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harts/chart5.xml" ContentType="application/vnd.openxmlformats-officedocument.drawingml.chart+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F:\宁\2.综合\2.司法\2025\2025-1-0597珠海别墅项目\1219测算过程\"/>
    </mc:Choice>
  </mc:AlternateContent>
  <xr:revisionPtr revIDLastSave="0" documentId="13_ncr:1_{A9BDE290-E467-48DA-B063-DDFC9CAB4AF9}" xr6:coauthVersionLast="47" xr6:coauthVersionMax="47" xr10:uidLastSave="{00000000-0000-0000-0000-000000000000}"/>
  <bookViews>
    <workbookView xWindow="0" yWindow="0" windowWidth="19200" windowHeight="21000" tabRatio="899" firstSheet="13" activeTab="52"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state="hidden" r:id="rId18"/>
    <sheet name="成本法" sheetId="68" state="hidden" r:id="rId19"/>
    <sheet name="假设开发法" sheetId="12" state="hidden" r:id="rId20"/>
    <sheet name="收益法" sheetId="15" state="hidden" r:id="rId21"/>
    <sheet name="收益法 (元)" sheetId="67" state="hidden" r:id="rId22"/>
    <sheet name="收益法-酒店模型" sheetId="77" state="hidden" r:id="rId23"/>
    <sheet name="收益法（汇总）" sheetId="70" state="hidden" r:id="rId24"/>
    <sheet name="比较法-住宅" sheetId="21"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state="hidden" r:id="rId33"/>
    <sheet name="基准地价（汇总）" sheetId="76" state="hidden" r:id="rId34"/>
    <sheet name="基准地价修正" sheetId="43" state="hidden" r:id="rId35"/>
    <sheet name="房源表" sheetId="83" state="hidden" r:id="rId36"/>
    <sheet name="成本法 (元)-地下-容积率1.7" sheetId="91" state="hidden" r:id="rId37"/>
    <sheet name="成本法 (元)-地下-容积率1.8" sheetId="92" state="hidden" r:id="rId38"/>
    <sheet name="成本法 (元)-地下-容积率2" sheetId="93" state="hidden" r:id="rId39"/>
    <sheet name="成本法 (元)-地下-容积率1" sheetId="95" r:id="rId40"/>
    <sheet name="标定地价" sheetId="82" r:id="rId41"/>
    <sheet name="修正" sheetId="45" state="hidden" r:id="rId42"/>
    <sheet name="容积率修正" sheetId="46" state="hidden" r:id="rId43"/>
    <sheet name="成本法（废）" sheetId="11" state="hidden" r:id="rId44"/>
    <sheet name="因素修正幅度" sheetId="65" state="hidden" r:id="rId45"/>
    <sheet name="区片价（范围）" sheetId="75" state="hidden" r:id="rId46"/>
    <sheet name="地价-分区" sheetId="79" state="hidden" r:id="rId47"/>
    <sheet name="地价" sheetId="71" state="hidden" r:id="rId48"/>
    <sheet name="区片价" sheetId="44" state="hidden" r:id="rId49"/>
    <sheet name="存贷款利率" sheetId="73" state="hidden" r:id="rId50"/>
    <sheet name="房源" sheetId="88" state="hidden" r:id="rId51"/>
    <sheet name="房源表及成交价" sheetId="85" r:id="rId52"/>
    <sheet name="房源修正表" sheetId="90" r:id="rId53"/>
    <sheet name="最终结果表" sheetId="94" r:id="rId54"/>
    <sheet name="成本法 (元)-地上" sheetId="69" r:id="rId55"/>
    <sheet name="造价" sheetId="81" r:id="rId56"/>
    <sheet name="土地成交" sheetId="89" r:id="rId57"/>
    <sheet name="取费依据" sheetId="87" r:id="rId58"/>
    <sheet name="194户型成交走势" sheetId="86" r:id="rId59"/>
    <sheet name="住宅设计规范" sheetId="80" r:id="rId60"/>
    <sheet name="Sheet1" sheetId="96" r:id="rId61"/>
  </sheets>
  <externalReferences>
    <externalReference r:id="rId62"/>
  </externalReferences>
  <definedNames>
    <definedName name="_xlnm._FilterDatabase" localSheetId="58" hidden="1">'194户型成交走势'!$A$1:$T$14</definedName>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51" hidden="1">房源表及成交价!$A$1:$U$15</definedName>
    <definedName name="_xlnm._FilterDatabase" localSheetId="52" hidden="1">房源修正表!$AL$1:$AL$89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definedName>
    <definedName name="_xlnm.Print_Area" localSheetId="18">成本法!$A$1:$G$57</definedName>
    <definedName name="_xlnm.Print_Area" localSheetId="54">'成本法 (元)-地上'!$A$1:$G$57</definedName>
    <definedName name="_xlnm.Print_Area" localSheetId="39">'成本法 (元)-地下-容积率1'!$A$1:$G$57</definedName>
    <definedName name="_xlnm.Print_Area" localSheetId="36">'成本法 (元)-地下-容积率1.7'!$A$1:$G$57</definedName>
    <definedName name="_xlnm.Print_Area" localSheetId="37">'成本法 (元)-地下-容积率1.8'!$A$1:$G$57</definedName>
    <definedName name="_xlnm.Print_Area" localSheetId="38">'成本法 (元)-地下-容积率2'!$A$1:$G$57</definedName>
    <definedName name="_xlnm.Print_Area" localSheetId="50">房源!$H$1:$V$49</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4">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1">'收益法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_xlnm.Print_Area" localSheetId="53">最终结果表!$A$1:$S$17</definedName>
    <definedName name="_xlnm.Print_Titles" localSheetId="50">房源!$1:$1</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K15" i="3" l="1"/>
  <c r="I14" i="3"/>
  <c r="I13" i="3"/>
  <c r="Q49" i="82"/>
  <c r="P49" i="82"/>
  <c r="G23" i="82"/>
  <c r="D15" i="82"/>
  <c r="D14" i="82"/>
  <c r="U65" i="90"/>
  <c r="U66" i="90"/>
  <c r="K2" i="90"/>
  <c r="K3" i="90"/>
  <c r="K8" i="90"/>
  <c r="K11" i="90" l="1"/>
  <c r="K48" i="90"/>
  <c r="K47" i="90"/>
  <c r="K45" i="90"/>
  <c r="K44" i="90"/>
  <c r="K42" i="90"/>
  <c r="K41" i="90"/>
  <c r="K39" i="90"/>
  <c r="K38" i="90"/>
  <c r="K36" i="90"/>
  <c r="K35" i="90"/>
  <c r="K33" i="90"/>
  <c r="K32" i="90"/>
  <c r="K30" i="90"/>
  <c r="K29" i="90"/>
  <c r="K27" i="90"/>
  <c r="K26" i="90"/>
  <c r="K24" i="90"/>
  <c r="K23" i="90"/>
  <c r="K21" i="90"/>
  <c r="K20" i="90"/>
  <c r="K18" i="90"/>
  <c r="K17" i="90"/>
  <c r="K15" i="90"/>
  <c r="K14" i="90"/>
  <c r="K12" i="90"/>
  <c r="D14" i="74"/>
  <c r="B14" i="74"/>
  <c r="M7" i="96"/>
  <c r="Q7" i="96" s="1"/>
  <c r="K7" i="96"/>
  <c r="M6" i="96"/>
  <c r="K6" i="96"/>
  <c r="M14" i="96"/>
  <c r="Q14" i="96" s="1"/>
  <c r="K14" i="96"/>
  <c r="M4" i="96"/>
  <c r="Q4" i="96" s="1"/>
  <c r="K4" i="96"/>
  <c r="M2" i="96"/>
  <c r="K2" i="96"/>
  <c r="M17" i="96"/>
  <c r="P17" i="96" s="1"/>
  <c r="K17" i="96"/>
  <c r="M3" i="96"/>
  <c r="Q3" i="96" s="1"/>
  <c r="K3" i="96"/>
  <c r="P13" i="96"/>
  <c r="M13" i="96"/>
  <c r="K13" i="96"/>
  <c r="M16" i="96"/>
  <c r="Q16" i="96" s="1"/>
  <c r="K16" i="96"/>
  <c r="M5" i="96"/>
  <c r="K5" i="96"/>
  <c r="M15" i="96"/>
  <c r="P15" i="96" s="1"/>
  <c r="K15" i="96"/>
  <c r="M9" i="96"/>
  <c r="P9" i="96" s="1"/>
  <c r="K9" i="96"/>
  <c r="M10" i="96"/>
  <c r="K10" i="96"/>
  <c r="P11" i="96"/>
  <c r="M11" i="96"/>
  <c r="Q11" i="96" s="1"/>
  <c r="K11" i="96"/>
  <c r="M12" i="96"/>
  <c r="P12" i="96" s="1"/>
  <c r="K12" i="96"/>
  <c r="M8" i="96"/>
  <c r="Q8" i="96" s="1"/>
  <c r="K8" i="96"/>
  <c r="AG8" i="90"/>
  <c r="AG11" i="90"/>
  <c r="AG14" i="90"/>
  <c r="AG17" i="90"/>
  <c r="AG20" i="90"/>
  <c r="AG23" i="90"/>
  <c r="AG26" i="90"/>
  <c r="AG29" i="90"/>
  <c r="AG32" i="90"/>
  <c r="AG35" i="90"/>
  <c r="AG38" i="90"/>
  <c r="AG41" i="90"/>
  <c r="AG44" i="90"/>
  <c r="AG47" i="90"/>
  <c r="AG5" i="90"/>
  <c r="P8" i="96" l="1"/>
  <c r="P3" i="96"/>
  <c r="P2" i="96"/>
  <c r="P4" i="96"/>
  <c r="P14" i="96"/>
  <c r="P10" i="96"/>
  <c r="Q9" i="96"/>
  <c r="Q15" i="96"/>
  <c r="P5" i="96"/>
  <c r="P16" i="96"/>
  <c r="P6" i="96"/>
  <c r="P7" i="96"/>
  <c r="K9" i="90"/>
  <c r="K6" i="90"/>
  <c r="K5" i="90"/>
  <c r="K72" i="90"/>
  <c r="K64" i="90"/>
  <c r="K63" i="90" s="1"/>
  <c r="K62" i="90" s="1"/>
  <c r="K70" i="90"/>
  <c r="K69" i="90" s="1"/>
  <c r="W6" i="90"/>
  <c r="W9" i="90"/>
  <c r="W12" i="90"/>
  <c r="W15" i="90"/>
  <c r="W18" i="90"/>
  <c r="W21" i="90"/>
  <c r="W24" i="90"/>
  <c r="W27" i="90"/>
  <c r="W30" i="90"/>
  <c r="W33" i="90"/>
  <c r="W36" i="90"/>
  <c r="W39" i="90"/>
  <c r="W42" i="90"/>
  <c r="W45" i="90"/>
  <c r="W48" i="90"/>
  <c r="W3" i="90"/>
  <c r="W64" i="90"/>
  <c r="W13" i="90" s="1"/>
  <c r="M12" i="94"/>
  <c r="M11" i="94"/>
  <c r="Q11" i="94" s="1"/>
  <c r="M10" i="94"/>
  <c r="P10" i="94" s="1"/>
  <c r="M9" i="94"/>
  <c r="Q9" i="94" s="1"/>
  <c r="M15" i="94"/>
  <c r="P15" i="94" s="1"/>
  <c r="M5" i="94"/>
  <c r="P5" i="94" s="1"/>
  <c r="M16" i="94"/>
  <c r="Q16" i="94" s="1"/>
  <c r="M13" i="94"/>
  <c r="P13" i="94" s="1"/>
  <c r="M3" i="94"/>
  <c r="P3" i="94" s="1"/>
  <c r="M17" i="94"/>
  <c r="P17" i="94" s="1"/>
  <c r="M2" i="94"/>
  <c r="P2" i="94" s="1"/>
  <c r="M4" i="94"/>
  <c r="Q4" i="94" s="1"/>
  <c r="M14" i="94"/>
  <c r="P14" i="94" s="1"/>
  <c r="M6" i="94"/>
  <c r="M7" i="94"/>
  <c r="Q7" i="94" s="1"/>
  <c r="M8" i="94"/>
  <c r="P8" i="94" s="1"/>
  <c r="Q38" i="82"/>
  <c r="R46" i="82"/>
  <c r="Q46" i="82"/>
  <c r="P46" i="82"/>
  <c r="O46" i="82"/>
  <c r="F38" i="95"/>
  <c r="E37" i="95"/>
  <c r="F36" i="95"/>
  <c r="F35" i="95"/>
  <c r="F21" i="95"/>
  <c r="C40" i="95" s="1"/>
  <c r="F20" i="95"/>
  <c r="F39" i="95" s="1"/>
  <c r="C19" i="95"/>
  <c r="E10" i="95"/>
  <c r="E9" i="95"/>
  <c r="F7" i="95"/>
  <c r="H1" i="95"/>
  <c r="N35" i="85"/>
  <c r="O74" i="90"/>
  <c r="O71" i="90"/>
  <c r="K6" i="94"/>
  <c r="AG6" i="94" s="1"/>
  <c r="K7" i="94"/>
  <c r="AG7" i="94" s="1"/>
  <c r="K14" i="94"/>
  <c r="AG14" i="94" s="1"/>
  <c r="K16" i="94"/>
  <c r="AG16" i="94" s="1"/>
  <c r="K5" i="94"/>
  <c r="AG5" i="94" s="1"/>
  <c r="K3" i="94"/>
  <c r="AG3" i="94" s="1"/>
  <c r="K4" i="94"/>
  <c r="AG4" i="94" s="1"/>
  <c r="K2" i="94"/>
  <c r="AG2" i="94" s="1"/>
  <c r="K15" i="94"/>
  <c r="AG15" i="94" s="1"/>
  <c r="K13" i="94"/>
  <c r="AG13" i="94" s="1"/>
  <c r="K17" i="94"/>
  <c r="AG17" i="94" s="1"/>
  <c r="K10" i="94"/>
  <c r="AG10" i="94" s="1"/>
  <c r="K9" i="94"/>
  <c r="AG9" i="94" s="1"/>
  <c r="K12" i="94"/>
  <c r="AG12" i="94" s="1"/>
  <c r="K11" i="94"/>
  <c r="AG11" i="94" s="1"/>
  <c r="K8" i="94"/>
  <c r="AG8" i="94" s="1"/>
  <c r="U3" i="90"/>
  <c r="U4" i="90"/>
  <c r="U6" i="90"/>
  <c r="U7" i="90"/>
  <c r="U9" i="90"/>
  <c r="U10" i="90"/>
  <c r="U12" i="90"/>
  <c r="U13" i="90"/>
  <c r="U15" i="90"/>
  <c r="U16" i="90"/>
  <c r="U18" i="90"/>
  <c r="U19" i="90"/>
  <c r="U21" i="90"/>
  <c r="U22" i="90"/>
  <c r="U24" i="90"/>
  <c r="U25" i="90"/>
  <c r="U27" i="90"/>
  <c r="U28" i="90"/>
  <c r="U30" i="90"/>
  <c r="U31" i="90"/>
  <c r="U33" i="90"/>
  <c r="U34" i="90"/>
  <c r="U36" i="90"/>
  <c r="U37" i="90"/>
  <c r="U39" i="90"/>
  <c r="U40" i="90"/>
  <c r="U42" i="90"/>
  <c r="U43" i="90"/>
  <c r="U45" i="90"/>
  <c r="U46" i="90"/>
  <c r="U48" i="90"/>
  <c r="U49" i="90"/>
  <c r="U67" i="90"/>
  <c r="E2" i="95"/>
  <c r="F40" i="95" l="1"/>
  <c r="C21" i="95"/>
  <c r="W28" i="90"/>
  <c r="W19" i="90"/>
  <c r="W65" i="90"/>
  <c r="W8" i="90" s="1"/>
  <c r="W43" i="90"/>
  <c r="W4" i="90"/>
  <c r="W40" i="90"/>
  <c r="W31" i="90"/>
  <c r="W16" i="90"/>
  <c r="W7" i="90"/>
  <c r="W32" i="90"/>
  <c r="W46" i="90"/>
  <c r="W34" i="90"/>
  <c r="W26" i="90"/>
  <c r="W22" i="90"/>
  <c r="W10" i="90"/>
  <c r="W49" i="90"/>
  <c r="W37" i="90"/>
  <c r="W25" i="90"/>
  <c r="Q14" i="94"/>
  <c r="P4" i="94"/>
  <c r="Q15" i="94"/>
  <c r="Q3" i="94"/>
  <c r="P7" i="94"/>
  <c r="Q8" i="94"/>
  <c r="P12" i="94"/>
  <c r="P16" i="94"/>
  <c r="P11" i="94"/>
  <c r="P9" i="94"/>
  <c r="P6" i="94"/>
  <c r="U26" i="90"/>
  <c r="U44" i="90"/>
  <c r="U5" i="90"/>
  <c r="U41" i="90"/>
  <c r="U20" i="90"/>
  <c r="U11" i="90"/>
  <c r="U8" i="90"/>
  <c r="U23" i="90"/>
  <c r="U38" i="90"/>
  <c r="U17" i="90"/>
  <c r="U35" i="90"/>
  <c r="U32" i="90"/>
  <c r="U47" i="90"/>
  <c r="U14" i="90"/>
  <c r="U2" i="90"/>
  <c r="U29" i="90"/>
  <c r="F38" i="93"/>
  <c r="E37" i="93"/>
  <c r="F36" i="93"/>
  <c r="F35" i="93"/>
  <c r="F21" i="93"/>
  <c r="F40" i="93" s="1"/>
  <c r="F20" i="93"/>
  <c r="F39" i="93" s="1"/>
  <c r="C19" i="93"/>
  <c r="E10" i="93"/>
  <c r="E9" i="93"/>
  <c r="F7" i="93"/>
  <c r="H1" i="93"/>
  <c r="F38" i="92"/>
  <c r="E37" i="92"/>
  <c r="F36" i="92"/>
  <c r="F35" i="92"/>
  <c r="F21" i="92"/>
  <c r="F40" i="92" s="1"/>
  <c r="F20" i="92"/>
  <c r="F39" i="92" s="1"/>
  <c r="C19" i="92"/>
  <c r="E10" i="92"/>
  <c r="E9" i="92"/>
  <c r="F7" i="92"/>
  <c r="H1" i="92"/>
  <c r="AE34" i="81"/>
  <c r="AE33" i="81"/>
  <c r="AE32" i="81"/>
  <c r="AE31" i="81"/>
  <c r="AE30" i="81"/>
  <c r="AE28" i="81"/>
  <c r="AE27" i="81"/>
  <c r="AE26" i="81"/>
  <c r="AE24" i="81"/>
  <c r="AE23" i="81"/>
  <c r="AE22" i="81"/>
  <c r="AE21" i="81"/>
  <c r="AE20" i="81"/>
  <c r="AE19" i="81"/>
  <c r="AE17" i="81"/>
  <c r="AE15" i="81"/>
  <c r="AE14" i="81"/>
  <c r="AE13" i="81"/>
  <c r="AE12" i="81"/>
  <c r="AE10" i="81"/>
  <c r="AE8" i="81"/>
  <c r="AE7" i="81"/>
  <c r="W34" i="81"/>
  <c r="W33" i="81"/>
  <c r="W32" i="81"/>
  <c r="W31" i="81"/>
  <c r="W30" i="81"/>
  <c r="W28" i="81"/>
  <c r="W27" i="81"/>
  <c r="W26" i="81"/>
  <c r="W24" i="81"/>
  <c r="W23" i="81"/>
  <c r="W22" i="81"/>
  <c r="W21" i="81"/>
  <c r="W20" i="81"/>
  <c r="W19" i="81"/>
  <c r="W17" i="81"/>
  <c r="W15" i="81"/>
  <c r="W14" i="81"/>
  <c r="W13" i="81"/>
  <c r="W12" i="81"/>
  <c r="W10" i="81"/>
  <c r="W8" i="81"/>
  <c r="W7" i="81"/>
  <c r="R18" i="85"/>
  <c r="I121" i="82"/>
  <c r="J121" i="82"/>
  <c r="H121" i="82"/>
  <c r="G86" i="82"/>
  <c r="J97" i="82" s="1"/>
  <c r="H74" i="82"/>
  <c r="I74" i="82"/>
  <c r="J74" i="82"/>
  <c r="A24" i="82"/>
  <c r="G39" i="82" s="1"/>
  <c r="D24" i="82"/>
  <c r="B24" i="82"/>
  <c r="I39" i="82"/>
  <c r="J47" i="82"/>
  <c r="I47" i="82"/>
  <c r="H47" i="82"/>
  <c r="G47" i="82"/>
  <c r="F38" i="91"/>
  <c r="E37" i="91"/>
  <c r="F36" i="91"/>
  <c r="F35" i="91"/>
  <c r="F21" i="91"/>
  <c r="F40" i="91" s="1"/>
  <c r="F20" i="91"/>
  <c r="F39" i="91" s="1"/>
  <c r="C19" i="91"/>
  <c r="E10" i="91"/>
  <c r="E9" i="91"/>
  <c r="F7" i="91"/>
  <c r="H1" i="91"/>
  <c r="S3" i="90"/>
  <c r="S4" i="90"/>
  <c r="S6" i="90"/>
  <c r="S7" i="90"/>
  <c r="S9" i="90"/>
  <c r="S10" i="90"/>
  <c r="S12" i="90"/>
  <c r="S13" i="90"/>
  <c r="S15" i="90"/>
  <c r="S16" i="90"/>
  <c r="S18" i="90"/>
  <c r="S19" i="90"/>
  <c r="S21" i="90"/>
  <c r="S22" i="90"/>
  <c r="S24" i="90"/>
  <c r="S25" i="90"/>
  <c r="S27" i="90"/>
  <c r="S28" i="90"/>
  <c r="S30" i="90"/>
  <c r="S31" i="90"/>
  <c r="S33" i="90"/>
  <c r="S34" i="90"/>
  <c r="S36" i="90"/>
  <c r="S37" i="90"/>
  <c r="S39" i="90"/>
  <c r="S40" i="90"/>
  <c r="S42" i="90"/>
  <c r="S43" i="90"/>
  <c r="S45" i="90"/>
  <c r="S46" i="90"/>
  <c r="S48" i="90"/>
  <c r="S49" i="90"/>
  <c r="Q3" i="90"/>
  <c r="Q4" i="90"/>
  <c r="Q6" i="90"/>
  <c r="Q7" i="90"/>
  <c r="Q9" i="90"/>
  <c r="Q10" i="90"/>
  <c r="Q12" i="90"/>
  <c r="Q13" i="90"/>
  <c r="Q15" i="90"/>
  <c r="Q16" i="90"/>
  <c r="Q18" i="90"/>
  <c r="Q19" i="90"/>
  <c r="Q21" i="90"/>
  <c r="Q22" i="90"/>
  <c r="Q24" i="90"/>
  <c r="Q25" i="90"/>
  <c r="Q27" i="90"/>
  <c r="Q28" i="90"/>
  <c r="Q30" i="90"/>
  <c r="Q31" i="90"/>
  <c r="Q33" i="90"/>
  <c r="Q34" i="90"/>
  <c r="Q36" i="90"/>
  <c r="Q37" i="90"/>
  <c r="Q39" i="90"/>
  <c r="Q40" i="90"/>
  <c r="Q42" i="90"/>
  <c r="Q43" i="90"/>
  <c r="Q45" i="90"/>
  <c r="Q46" i="90"/>
  <c r="Q48" i="90"/>
  <c r="Q49" i="90"/>
  <c r="O37" i="90"/>
  <c r="O39" i="90"/>
  <c r="O40" i="90"/>
  <c r="O42" i="90"/>
  <c r="O43" i="90"/>
  <c r="O45" i="90"/>
  <c r="O46" i="90"/>
  <c r="O48" i="90"/>
  <c r="O49" i="90"/>
  <c r="O3" i="90"/>
  <c r="O4" i="90"/>
  <c r="O6" i="90"/>
  <c r="O7" i="90"/>
  <c r="O9" i="90"/>
  <c r="O10" i="90"/>
  <c r="O12" i="90"/>
  <c r="O13" i="90"/>
  <c r="O15" i="90"/>
  <c r="O16" i="90"/>
  <c r="O18" i="90"/>
  <c r="O19" i="90"/>
  <c r="O21" i="90"/>
  <c r="O22" i="90"/>
  <c r="O24" i="90"/>
  <c r="O25" i="90"/>
  <c r="O27" i="90"/>
  <c r="O28" i="90"/>
  <c r="O30" i="90"/>
  <c r="O31" i="90"/>
  <c r="O33" i="90"/>
  <c r="O34" i="90"/>
  <c r="O36" i="90"/>
  <c r="S64" i="90"/>
  <c r="S11" i="90" s="1"/>
  <c r="Q64" i="90"/>
  <c r="Q11" i="90" s="1"/>
  <c r="O64" i="90"/>
  <c r="O65" i="90" s="1"/>
  <c r="R59" i="90"/>
  <c r="S57" i="90"/>
  <c r="Q57" i="90"/>
  <c r="P57" i="90" s="1"/>
  <c r="O57" i="90" s="1"/>
  <c r="O55" i="90"/>
  <c r="Q55" i="90"/>
  <c r="R55" i="90" s="1"/>
  <c r="S55" i="90" s="1"/>
  <c r="AA47" i="90"/>
  <c r="AA44" i="90"/>
  <c r="AA41" i="90"/>
  <c r="AA38" i="90"/>
  <c r="AA35" i="90"/>
  <c r="AA32" i="90"/>
  <c r="AA29" i="90"/>
  <c r="AA26" i="90"/>
  <c r="AA23" i="90"/>
  <c r="AA20" i="90"/>
  <c r="AA17" i="90"/>
  <c r="AA14" i="90"/>
  <c r="AA11" i="90"/>
  <c r="AA8" i="90"/>
  <c r="AA5" i="90"/>
  <c r="AA2" i="90"/>
  <c r="G49" i="90"/>
  <c r="G48" i="90"/>
  <c r="G47" i="90"/>
  <c r="G46" i="90"/>
  <c r="G45" i="90"/>
  <c r="G44" i="90"/>
  <c r="G43" i="90"/>
  <c r="G42" i="90"/>
  <c r="G41" i="90"/>
  <c r="G40" i="90"/>
  <c r="G39" i="90"/>
  <c r="G38" i="90"/>
  <c r="G37" i="90"/>
  <c r="G36" i="90"/>
  <c r="G35" i="90"/>
  <c r="G34" i="90"/>
  <c r="G33" i="90"/>
  <c r="G32" i="90"/>
  <c r="G31" i="90"/>
  <c r="G30" i="90"/>
  <c r="G29" i="90"/>
  <c r="G28" i="90"/>
  <c r="G27" i="90"/>
  <c r="G26" i="90"/>
  <c r="G25" i="90"/>
  <c r="G24" i="90"/>
  <c r="G23" i="90"/>
  <c r="G22" i="90"/>
  <c r="G21" i="90"/>
  <c r="G20" i="90"/>
  <c r="G19" i="90"/>
  <c r="G18" i="90"/>
  <c r="G17" i="90"/>
  <c r="G16" i="90"/>
  <c r="G15" i="90"/>
  <c r="G14" i="90"/>
  <c r="G13" i="90"/>
  <c r="G12" i="90"/>
  <c r="G11" i="90"/>
  <c r="G10" i="90"/>
  <c r="G9" i="90"/>
  <c r="G8" i="90"/>
  <c r="G7" i="90"/>
  <c r="G6" i="90"/>
  <c r="G5" i="90"/>
  <c r="G4" i="90"/>
  <c r="G3" i="90"/>
  <c r="G2" i="90"/>
  <c r="L3" i="85"/>
  <c r="L4" i="85"/>
  <c r="L5" i="85"/>
  <c r="L6" i="85"/>
  <c r="L7" i="85"/>
  <c r="L8" i="85"/>
  <c r="L9" i="85"/>
  <c r="L10" i="85"/>
  <c r="L11" i="85"/>
  <c r="L12" i="85"/>
  <c r="L13" i="85"/>
  <c r="L14" i="85"/>
  <c r="L15" i="85"/>
  <c r="L16" i="85"/>
  <c r="L17" i="85"/>
  <c r="L2" i="85"/>
  <c r="Z54" i="88"/>
  <c r="AA54" i="88" s="1"/>
  <c r="AB54" i="88" s="1"/>
  <c r="AC54" i="88" s="1"/>
  <c r="AD54" i="88" s="1"/>
  <c r="V23" i="88"/>
  <c r="L46" i="90"/>
  <c r="L45" i="90"/>
  <c r="M44" i="90"/>
  <c r="L44" i="90"/>
  <c r="M34" i="90"/>
  <c r="L34" i="90"/>
  <c r="L33" i="90"/>
  <c r="M31" i="90"/>
  <c r="L31" i="90"/>
  <c r="M30" i="90"/>
  <c r="L30" i="90"/>
  <c r="M4" i="90"/>
  <c r="L4" i="90"/>
  <c r="L3" i="90"/>
  <c r="M16" i="90"/>
  <c r="L16" i="90"/>
  <c r="M15" i="90"/>
  <c r="L15" i="90"/>
  <c r="M37" i="90"/>
  <c r="L37" i="90"/>
  <c r="L36" i="90"/>
  <c r="M13" i="90"/>
  <c r="L13" i="90"/>
  <c r="L12" i="90"/>
  <c r="M19" i="90"/>
  <c r="L19" i="90"/>
  <c r="L18" i="90"/>
  <c r="M10" i="90"/>
  <c r="L10" i="90"/>
  <c r="L9" i="90"/>
  <c r="M28" i="90"/>
  <c r="L28" i="90"/>
  <c r="L27" i="90"/>
  <c r="L49" i="90"/>
  <c r="L48" i="90"/>
  <c r="M47" i="90"/>
  <c r="L47" i="90"/>
  <c r="M40" i="90"/>
  <c r="L40" i="90"/>
  <c r="L39" i="90"/>
  <c r="L38" i="90"/>
  <c r="M25" i="90"/>
  <c r="L25" i="90"/>
  <c r="L24" i="90"/>
  <c r="M7" i="90"/>
  <c r="L7" i="90"/>
  <c r="L6" i="90"/>
  <c r="L43" i="90"/>
  <c r="L42" i="90"/>
  <c r="M41" i="90"/>
  <c r="M22" i="90"/>
  <c r="L22" i="90"/>
  <c r="L21" i="90"/>
  <c r="K25" i="88"/>
  <c r="V25" i="88" s="1"/>
  <c r="E2" i="91"/>
  <c r="E2" i="92"/>
  <c r="E2" i="93"/>
  <c r="X13" i="90" l="1"/>
  <c r="W23" i="90"/>
  <c r="I97" i="82"/>
  <c r="X36" i="90"/>
  <c r="W17" i="90"/>
  <c r="W11" i="90"/>
  <c r="W47" i="90"/>
  <c r="W44" i="90"/>
  <c r="W5" i="90"/>
  <c r="W41" i="90"/>
  <c r="X25" i="90"/>
  <c r="X22" i="90"/>
  <c r="X4" i="90"/>
  <c r="Y4" i="90" s="1"/>
  <c r="X30" i="90"/>
  <c r="X24" i="90"/>
  <c r="X18" i="90"/>
  <c r="W35" i="90"/>
  <c r="X7" i="90"/>
  <c r="X49" i="90"/>
  <c r="W20" i="90"/>
  <c r="W29" i="90"/>
  <c r="W66" i="90"/>
  <c r="W67" i="90" s="1"/>
  <c r="W14" i="90"/>
  <c r="W38" i="90"/>
  <c r="W2" i="90"/>
  <c r="X6" i="90"/>
  <c r="X48" i="90"/>
  <c r="X10" i="90"/>
  <c r="X28" i="90"/>
  <c r="X40" i="90"/>
  <c r="X21" i="90"/>
  <c r="X3" i="90"/>
  <c r="Y3" i="90" s="1"/>
  <c r="X39" i="90"/>
  <c r="X9" i="90"/>
  <c r="X43" i="90"/>
  <c r="X42" i="90"/>
  <c r="X31" i="90"/>
  <c r="X27" i="90"/>
  <c r="X19" i="90"/>
  <c r="X12" i="90"/>
  <c r="X34" i="90"/>
  <c r="X16" i="90"/>
  <c r="X46" i="90"/>
  <c r="X37" i="90"/>
  <c r="X33" i="90"/>
  <c r="X15" i="90"/>
  <c r="X45" i="90"/>
  <c r="Q59" i="90"/>
  <c r="P59" i="90" s="1"/>
  <c r="O59" i="90" s="1"/>
  <c r="O14" i="90"/>
  <c r="H97" i="82"/>
  <c r="G97" i="82" s="1"/>
  <c r="G100" i="82" s="1"/>
  <c r="AE36" i="81"/>
  <c r="AE37" i="81" s="1"/>
  <c r="AE39" i="81" s="1"/>
  <c r="M5" i="85"/>
  <c r="W5" i="85"/>
  <c r="M3" i="85"/>
  <c r="M2" i="85"/>
  <c r="W2" i="85"/>
  <c r="W16" i="85"/>
  <c r="W14" i="85"/>
  <c r="M11" i="85"/>
  <c r="W12" i="85"/>
  <c r="M9" i="85"/>
  <c r="W11" i="85"/>
  <c r="W3" i="85"/>
  <c r="M16" i="85"/>
  <c r="M15" i="85"/>
  <c r="M14" i="85"/>
  <c r="W15" i="85"/>
  <c r="M12" i="85"/>
  <c r="W9" i="85"/>
  <c r="O2" i="90"/>
  <c r="C40" i="93"/>
  <c r="C21" i="93"/>
  <c r="C40" i="92"/>
  <c r="C21" i="92"/>
  <c r="W36" i="81"/>
  <c r="W37" i="81" s="1"/>
  <c r="W39" i="81" s="1"/>
  <c r="G121" i="82"/>
  <c r="G123" i="82" s="1"/>
  <c r="G74" i="82"/>
  <c r="C40" i="91"/>
  <c r="C21" i="91"/>
  <c r="O17" i="90"/>
  <c r="O35" i="90"/>
  <c r="O11" i="90"/>
  <c r="X11" i="90" s="1"/>
  <c r="O38" i="90"/>
  <c r="O23" i="90"/>
  <c r="O29" i="90"/>
  <c r="O5" i="90"/>
  <c r="Q2" i="90"/>
  <c r="Q38" i="90"/>
  <c r="Q26" i="90"/>
  <c r="Q14" i="90"/>
  <c r="S2" i="90"/>
  <c r="S38" i="90"/>
  <c r="S26" i="90"/>
  <c r="S14" i="90"/>
  <c r="Q65" i="90"/>
  <c r="O20" i="90"/>
  <c r="O8" i="90"/>
  <c r="Q41" i="90"/>
  <c r="Q29" i="90"/>
  <c r="Q17" i="90"/>
  <c r="Q5" i="90"/>
  <c r="S41" i="90"/>
  <c r="S29" i="90"/>
  <c r="S17" i="90"/>
  <c r="S5" i="90"/>
  <c r="Q44" i="90"/>
  <c r="Q32" i="90"/>
  <c r="Q20" i="90"/>
  <c r="Q8" i="90"/>
  <c r="S44" i="90"/>
  <c r="S32" i="90"/>
  <c r="S20" i="90"/>
  <c r="S8" i="90"/>
  <c r="O26" i="90"/>
  <c r="Q47" i="90"/>
  <c r="Q35" i="90"/>
  <c r="Q23" i="90"/>
  <c r="S47" i="90"/>
  <c r="S35" i="90"/>
  <c r="S23" i="90"/>
  <c r="Z23" i="90"/>
  <c r="AB23" i="90" s="1"/>
  <c r="Z35" i="90"/>
  <c r="AB35" i="90" s="1"/>
  <c r="Z47" i="90"/>
  <c r="AB47" i="90" s="1"/>
  <c r="Z5" i="90"/>
  <c r="AB5" i="90" s="1"/>
  <c r="Z17" i="90"/>
  <c r="AB17" i="90" s="1"/>
  <c r="Z29" i="90"/>
  <c r="AB29" i="90" s="1"/>
  <c r="Z41" i="90"/>
  <c r="AB41" i="90" s="1"/>
  <c r="Z2" i="90"/>
  <c r="AB2" i="90" s="1"/>
  <c r="Z14" i="90"/>
  <c r="AB14" i="90" s="1"/>
  <c r="Z26" i="90"/>
  <c r="AB26" i="90" s="1"/>
  <c r="Z38" i="90"/>
  <c r="AB38" i="90" s="1"/>
  <c r="Z11" i="90"/>
  <c r="AB11" i="90" s="1"/>
  <c r="Z8" i="90"/>
  <c r="AB8" i="90" s="1"/>
  <c r="Z20" i="90"/>
  <c r="AB20" i="90" s="1"/>
  <c r="Z32" i="90"/>
  <c r="AB32" i="90" s="1"/>
  <c r="Z44" i="90"/>
  <c r="AB44" i="90" s="1"/>
  <c r="J49" i="88"/>
  <c r="J48" i="88" s="1"/>
  <c r="J47" i="88"/>
  <c r="J46" i="88"/>
  <c r="J45" i="88" s="1"/>
  <c r="J44" i="88"/>
  <c r="J43" i="88"/>
  <c r="J42" i="88" s="1"/>
  <c r="J41" i="88"/>
  <c r="J40" i="88"/>
  <c r="J39" i="88" s="1"/>
  <c r="J38" i="88"/>
  <c r="J37" i="88"/>
  <c r="J36" i="88" s="1"/>
  <c r="J35" i="88"/>
  <c r="J34" i="88"/>
  <c r="J33" i="88" s="1"/>
  <c r="J32" i="88"/>
  <c r="J31" i="88"/>
  <c r="J30" i="88" s="1"/>
  <c r="J29" i="88"/>
  <c r="J28" i="88"/>
  <c r="J27" i="88" s="1"/>
  <c r="J26" i="88"/>
  <c r="J25" i="88"/>
  <c r="J23" i="88"/>
  <c r="J22" i="88"/>
  <c r="J21" i="88" s="1"/>
  <c r="J20" i="88"/>
  <c r="J19" i="88"/>
  <c r="J18" i="88" s="1"/>
  <c r="J17" i="88"/>
  <c r="J16" i="88"/>
  <c r="J15" i="88" s="1"/>
  <c r="J14" i="88"/>
  <c r="J13" i="88"/>
  <c r="J12" i="88" s="1"/>
  <c r="J11" i="88"/>
  <c r="J10" i="88"/>
  <c r="J9" i="88" s="1"/>
  <c r="J8" i="88"/>
  <c r="J7" i="88"/>
  <c r="J6" i="88"/>
  <c r="J5" i="88"/>
  <c r="J4" i="88"/>
  <c r="J3" i="88" s="1"/>
  <c r="J2" i="88"/>
  <c r="D41" i="88"/>
  <c r="J23" i="82"/>
  <c r="I23" i="82"/>
  <c r="H23" i="82"/>
  <c r="X2" i="90" l="1"/>
  <c r="Y2" i="90" s="1"/>
  <c r="X26" i="90"/>
  <c r="X35" i="90"/>
  <c r="X14" i="90"/>
  <c r="X8" i="90"/>
  <c r="X29" i="90"/>
  <c r="AC30" i="90" s="1"/>
  <c r="X38" i="90"/>
  <c r="X5" i="90"/>
  <c r="X20" i="90"/>
  <c r="X23" i="90"/>
  <c r="X17" i="90"/>
  <c r="P17" i="82"/>
  <c r="G101" i="82"/>
  <c r="Q17" i="82" s="1"/>
  <c r="Z44" i="81"/>
  <c r="G77" i="82"/>
  <c r="G78" i="82" s="1"/>
  <c r="Q16" i="82" s="1"/>
  <c r="P16" i="82"/>
  <c r="G124" i="82"/>
  <c r="Q18" i="82" s="1"/>
  <c r="P18" i="82"/>
  <c r="W25" i="88"/>
  <c r="J24" i="88"/>
  <c r="W23" i="88" s="1"/>
  <c r="AC12" i="90"/>
  <c r="AD12" i="90" s="1"/>
  <c r="Y11" i="90"/>
  <c r="O32" i="90"/>
  <c r="X32" i="90" s="1"/>
  <c r="C47" i="88"/>
  <c r="Y38" i="90" l="1"/>
  <c r="AC39" i="90"/>
  <c r="AD39" i="90" s="1"/>
  <c r="Y20" i="90"/>
  <c r="AC21" i="90"/>
  <c r="AD21" i="90" s="1"/>
  <c r="Y23" i="90"/>
  <c r="AC24" i="90"/>
  <c r="AD24" i="90" s="1"/>
  <c r="Y26" i="90"/>
  <c r="AC27" i="90"/>
  <c r="Y29" i="90"/>
  <c r="AD30" i="90"/>
  <c r="Y5" i="90"/>
  <c r="AC6" i="90"/>
  <c r="AD6" i="90" s="1"/>
  <c r="Y14" i="90"/>
  <c r="AC15" i="90"/>
  <c r="AD15" i="90" s="1"/>
  <c r="Y17" i="90"/>
  <c r="AC18" i="90"/>
  <c r="AD18" i="90" s="1"/>
  <c r="AC3" i="90"/>
  <c r="Y32" i="90"/>
  <c r="AC33" i="90"/>
  <c r="AD33" i="90" s="1"/>
  <c r="Y8" i="90"/>
  <c r="AC9" i="90"/>
  <c r="AD9" i="90" s="1"/>
  <c r="Y35" i="90"/>
  <c r="AC36" i="90"/>
  <c r="AD36" i="90" s="1"/>
  <c r="AC13" i="90"/>
  <c r="AD13" i="90" s="1"/>
  <c r="AC11" i="90"/>
  <c r="AD11" i="90" s="1"/>
  <c r="O41" i="90"/>
  <c r="X41" i="90" s="1"/>
  <c r="O47" i="90"/>
  <c r="X47" i="90" s="1"/>
  <c r="O44" i="90"/>
  <c r="X44" i="90" s="1"/>
  <c r="J10" i="82"/>
  <c r="I10" i="82"/>
  <c r="H10" i="82"/>
  <c r="J11" i="82"/>
  <c r="I11" i="82"/>
  <c r="H11" i="82"/>
  <c r="K8" i="82"/>
  <c r="K5" i="82" s="1"/>
  <c r="I15" i="82"/>
  <c r="A15" i="82"/>
  <c r="G15" i="82" s="1"/>
  <c r="R38" i="82"/>
  <c r="C14" i="82"/>
  <c r="B14" i="82"/>
  <c r="B15" i="82" s="1"/>
  <c r="P38" i="82" s="1"/>
  <c r="O29" i="85"/>
  <c r="L29" i="85"/>
  <c r="C10" i="82"/>
  <c r="M49" i="88"/>
  <c r="M48" i="88"/>
  <c r="N47" i="88"/>
  <c r="M47" i="88"/>
  <c r="N46" i="88"/>
  <c r="M46" i="88"/>
  <c r="M45" i="88"/>
  <c r="N43" i="88"/>
  <c r="M43" i="88"/>
  <c r="N42" i="88"/>
  <c r="M42" i="88"/>
  <c r="N40" i="88"/>
  <c r="M40" i="88"/>
  <c r="M39" i="88"/>
  <c r="N37" i="88"/>
  <c r="M37" i="88"/>
  <c r="N36" i="88"/>
  <c r="M36" i="88"/>
  <c r="N34" i="88"/>
  <c r="M34" i="88"/>
  <c r="M33" i="88"/>
  <c r="N31" i="88"/>
  <c r="M31" i="88"/>
  <c r="M30" i="88"/>
  <c r="N28" i="88"/>
  <c r="M28" i="88"/>
  <c r="M27" i="88"/>
  <c r="N25" i="88"/>
  <c r="M25" i="88"/>
  <c r="M24" i="88"/>
  <c r="N22" i="88"/>
  <c r="M22" i="88"/>
  <c r="M21" i="88"/>
  <c r="M19" i="88"/>
  <c r="M18" i="88"/>
  <c r="N17" i="88"/>
  <c r="M17" i="88"/>
  <c r="M16" i="88"/>
  <c r="N16" i="88"/>
  <c r="M15" i="88"/>
  <c r="M14" i="88"/>
  <c r="N13" i="88"/>
  <c r="M13" i="88"/>
  <c r="M12" i="88"/>
  <c r="N10" i="88"/>
  <c r="M10" i="88"/>
  <c r="M9" i="88"/>
  <c r="M7" i="88"/>
  <c r="M6" i="88"/>
  <c r="N5" i="88"/>
  <c r="M4" i="88"/>
  <c r="N4" i="88"/>
  <c r="M3" i="88"/>
  <c r="AD27" i="90" l="1"/>
  <c r="AC26" i="90"/>
  <c r="AD26" i="90" s="1"/>
  <c r="G14" i="82"/>
  <c r="G38" i="82" s="1"/>
  <c r="O37" i="82"/>
  <c r="AC48" i="90"/>
  <c r="AD48" i="90" s="1"/>
  <c r="AC37" i="90"/>
  <c r="AD37" i="90" s="1"/>
  <c r="AC20" i="90"/>
  <c r="AD20" i="90" s="1"/>
  <c r="AC32" i="90"/>
  <c r="AD32" i="90" s="1"/>
  <c r="AC38" i="90"/>
  <c r="AD38" i="90" s="1"/>
  <c r="AC22" i="90"/>
  <c r="AD22" i="90" s="1"/>
  <c r="AC19" i="90"/>
  <c r="AD19" i="90" s="1"/>
  <c r="AC35" i="90"/>
  <c r="AD35" i="90" s="1"/>
  <c r="AC5" i="90"/>
  <c r="AD5" i="90" s="1"/>
  <c r="AC7" i="90"/>
  <c r="AD7" i="90" s="1"/>
  <c r="AC17" i="90"/>
  <c r="AD17" i="90" s="1"/>
  <c r="AC28" i="90"/>
  <c r="AD28" i="90" s="1"/>
  <c r="AC34" i="90"/>
  <c r="AD34" i="90" s="1"/>
  <c r="AC25" i="90"/>
  <c r="AD25" i="90" s="1"/>
  <c r="Y41" i="90"/>
  <c r="AC42" i="90"/>
  <c r="AD42" i="90" s="1"/>
  <c r="AC40" i="90"/>
  <c r="AD40" i="90" s="1"/>
  <c r="AC23" i="90"/>
  <c r="AD23" i="90" s="1"/>
  <c r="AC10" i="90"/>
  <c r="AD10" i="90" s="1"/>
  <c r="AC29" i="90"/>
  <c r="AD29" i="90" s="1"/>
  <c r="AC16" i="90"/>
  <c r="AD16" i="90" s="1"/>
  <c r="Y47" i="90"/>
  <c r="AC4" i="90"/>
  <c r="AD4" i="90" s="1"/>
  <c r="AD3" i="90"/>
  <c r="AC2" i="90"/>
  <c r="AD2" i="90" s="1"/>
  <c r="Y44" i="90"/>
  <c r="AC45" i="90"/>
  <c r="AD45" i="90" s="1"/>
  <c r="AC8" i="90"/>
  <c r="AD8" i="90" s="1"/>
  <c r="AC31" i="90"/>
  <c r="AD31" i="90" s="1"/>
  <c r="AC14" i="90"/>
  <c r="AD14" i="90" s="1"/>
  <c r="I50" i="82"/>
  <c r="J15" i="82"/>
  <c r="J26" i="82" s="1"/>
  <c r="J39" i="82"/>
  <c r="J50" i="82" s="1"/>
  <c r="H15" i="82"/>
  <c r="H26" i="82" s="1"/>
  <c r="H39" i="82"/>
  <c r="H50" i="82" s="1"/>
  <c r="I26" i="82"/>
  <c r="Q14" i="86"/>
  <c r="P14" i="86"/>
  <c r="N14" i="86"/>
  <c r="L14" i="86"/>
  <c r="Q13" i="86"/>
  <c r="P13" i="86"/>
  <c r="N13" i="86"/>
  <c r="L13" i="86"/>
  <c r="Q12" i="86"/>
  <c r="P12" i="86"/>
  <c r="N12" i="86"/>
  <c r="L12" i="86"/>
  <c r="Q11" i="86"/>
  <c r="P11" i="86"/>
  <c r="N11" i="86"/>
  <c r="L11" i="86"/>
  <c r="Q10" i="86"/>
  <c r="P10" i="86"/>
  <c r="N10" i="86"/>
  <c r="L10" i="86"/>
  <c r="Q9" i="86"/>
  <c r="P9" i="86"/>
  <c r="N9" i="86"/>
  <c r="L9" i="86"/>
  <c r="Q8" i="86"/>
  <c r="P8" i="86"/>
  <c r="N8" i="86"/>
  <c r="L8" i="86"/>
  <c r="Q7" i="86"/>
  <c r="P7" i="86"/>
  <c r="N7" i="86"/>
  <c r="L7" i="86"/>
  <c r="Q6" i="86"/>
  <c r="P6" i="86"/>
  <c r="N6" i="86"/>
  <c r="L6" i="86"/>
  <c r="Q5" i="86"/>
  <c r="P5" i="86"/>
  <c r="N5" i="86"/>
  <c r="L5" i="86"/>
  <c r="Q4" i="86"/>
  <c r="P4" i="86"/>
  <c r="N4" i="86"/>
  <c r="L4" i="86"/>
  <c r="Q3" i="86"/>
  <c r="P3" i="86"/>
  <c r="N3" i="86"/>
  <c r="L3" i="86"/>
  <c r="Q2" i="86"/>
  <c r="P2" i="86"/>
  <c r="N2" i="86"/>
  <c r="L2" i="86"/>
  <c r="O15" i="85"/>
  <c r="O16" i="85"/>
  <c r="O17" i="85"/>
  <c r="O31" i="85"/>
  <c r="S31" i="85" s="1"/>
  <c r="L31" i="85"/>
  <c r="O30" i="85"/>
  <c r="S30" i="85" s="1"/>
  <c r="L30" i="85"/>
  <c r="O12" i="85"/>
  <c r="O10" i="85"/>
  <c r="O11" i="85"/>
  <c r="O13" i="85"/>
  <c r="O2" i="85"/>
  <c r="O5" i="85"/>
  <c r="O6" i="85"/>
  <c r="O3" i="85"/>
  <c r="O4" i="85"/>
  <c r="O8" i="85"/>
  <c r="O9" i="85"/>
  <c r="O14" i="85"/>
  <c r="O7" i="85"/>
  <c r="G50" i="82" l="1"/>
  <c r="G53" i="82" s="1"/>
  <c r="G26" i="82"/>
  <c r="R49" i="82"/>
  <c r="O49" i="82"/>
  <c r="O52" i="82" s="1"/>
  <c r="P19" i="82" s="1"/>
  <c r="R7" i="86"/>
  <c r="R10" i="86"/>
  <c r="R13" i="86"/>
  <c r="R8" i="86"/>
  <c r="R9" i="86"/>
  <c r="R11" i="86"/>
  <c r="R12" i="86"/>
  <c r="R14" i="86"/>
  <c r="S17" i="85"/>
  <c r="S15" i="85"/>
  <c r="V15" i="85"/>
  <c r="S7" i="85"/>
  <c r="S2" i="85"/>
  <c r="V2" i="85"/>
  <c r="S13" i="85"/>
  <c r="S12" i="85"/>
  <c r="V12" i="85"/>
  <c r="S11" i="85"/>
  <c r="V11" i="85"/>
  <c r="S14" i="85"/>
  <c r="V14" i="85"/>
  <c r="S9" i="85"/>
  <c r="V9" i="85"/>
  <c r="S16" i="85"/>
  <c r="V16" i="85"/>
  <c r="S8" i="85"/>
  <c r="S4" i="85"/>
  <c r="O18" i="85"/>
  <c r="S3" i="85"/>
  <c r="V3" i="85"/>
  <c r="S6" i="85"/>
  <c r="X23" i="88"/>
  <c r="Y23" i="88" s="1"/>
  <c r="S5" i="85"/>
  <c r="V5" i="85"/>
  <c r="S10" i="85"/>
  <c r="AC44" i="90"/>
  <c r="AD44" i="90" s="1"/>
  <c r="AC46" i="90"/>
  <c r="AD46" i="90" s="1"/>
  <c r="AC49" i="90"/>
  <c r="AD49" i="90" s="1"/>
  <c r="AC43" i="90"/>
  <c r="AD43" i="90" s="1"/>
  <c r="AC41" i="90"/>
  <c r="AD41" i="90" s="1"/>
  <c r="AC47" i="90"/>
  <c r="G29" i="82"/>
  <c r="D42" i="88"/>
  <c r="R2" i="86"/>
  <c r="R3" i="86"/>
  <c r="R4" i="86"/>
  <c r="R5" i="86"/>
  <c r="R6" i="86"/>
  <c r="I28" i="83"/>
  <c r="H27" i="83"/>
  <c r="K27" i="83" s="1"/>
  <c r="H26" i="83"/>
  <c r="K26" i="83" s="1"/>
  <c r="H25" i="83"/>
  <c r="O53" i="82" l="1"/>
  <c r="Q19" i="82" s="1"/>
  <c r="P15" i="82"/>
  <c r="G54" i="82"/>
  <c r="Q15" i="82" s="1"/>
  <c r="Y24" i="88"/>
  <c r="Z23" i="88"/>
  <c r="Z24" i="88" s="1"/>
  <c r="AD47" i="90"/>
  <c r="G30" i="82"/>
  <c r="P14" i="82"/>
  <c r="Q14" i="82" s="1"/>
  <c r="D44" i="88"/>
  <c r="E44" i="88" s="1"/>
  <c r="C41" i="88" s="1"/>
  <c r="H28" i="83"/>
  <c r="J28" i="83" s="1"/>
  <c r="K25" i="83"/>
  <c r="G21" i="6"/>
  <c r="A3" i="3"/>
  <c r="N44" i="83"/>
  <c r="L44" i="83"/>
  <c r="N19" i="83"/>
  <c r="R19" i="83" s="1"/>
  <c r="L19" i="83"/>
  <c r="N18" i="83"/>
  <c r="R18" i="83" s="1"/>
  <c r="L18" i="83"/>
  <c r="N17" i="83"/>
  <c r="R17" i="83" s="1"/>
  <c r="L17" i="83"/>
  <c r="N16" i="83"/>
  <c r="R16" i="83" s="1"/>
  <c r="L16" i="83"/>
  <c r="N15" i="83"/>
  <c r="R15" i="83" s="1"/>
  <c r="L15" i="83"/>
  <c r="N14" i="83"/>
  <c r="R14" i="83" s="1"/>
  <c r="L14" i="83"/>
  <c r="N13" i="83"/>
  <c r="R13" i="83" s="1"/>
  <c r="L13" i="83"/>
  <c r="N12" i="83"/>
  <c r="R12" i="83" s="1"/>
  <c r="L12" i="83"/>
  <c r="N11" i="83"/>
  <c r="R11" i="83" s="1"/>
  <c r="L11" i="83"/>
  <c r="N10" i="83"/>
  <c r="R10" i="83" s="1"/>
  <c r="L10" i="83"/>
  <c r="N45" i="83"/>
  <c r="R45" i="83" s="1"/>
  <c r="L45" i="83"/>
  <c r="N8" i="83"/>
  <c r="R8" i="83" s="1"/>
  <c r="L8" i="83"/>
  <c r="N7" i="83"/>
  <c r="R7" i="83" s="1"/>
  <c r="L7" i="83"/>
  <c r="N6" i="83"/>
  <c r="R6" i="83" s="1"/>
  <c r="L6" i="83"/>
  <c r="N5" i="83"/>
  <c r="R5" i="83" s="1"/>
  <c r="L5" i="83"/>
  <c r="N4" i="83"/>
  <c r="R4" i="83" s="1"/>
  <c r="L4" i="83"/>
  <c r="N3" i="83"/>
  <c r="R3" i="83" s="1"/>
  <c r="L3" i="83"/>
  <c r="N2" i="83"/>
  <c r="R2" i="83" s="1"/>
  <c r="L2" i="83"/>
  <c r="C6" i="95" l="1"/>
  <c r="C7" i="95" s="1"/>
  <c r="C6" i="93"/>
  <c r="C7" i="93" s="1"/>
  <c r="C6" i="92"/>
  <c r="C7" i="92" s="1"/>
  <c r="C6" i="91"/>
  <c r="C7" i="91" s="1"/>
  <c r="C45" i="88"/>
  <c r="C44" i="88"/>
  <c r="B44" i="88" s="1"/>
  <c r="C42" i="88"/>
  <c r="C46" i="88" s="1"/>
  <c r="K28" i="83"/>
  <c r="I29" i="83"/>
  <c r="J29" i="83" s="1"/>
  <c r="D3" i="4"/>
  <c r="G7" i="81"/>
  <c r="I7" i="81" s="1"/>
  <c r="G9" i="81"/>
  <c r="I9" i="81" s="1"/>
  <c r="I13" i="81"/>
  <c r="I14" i="81"/>
  <c r="G12" i="81"/>
  <c r="I12" i="81" s="1"/>
  <c r="G11" i="81"/>
  <c r="I11" i="81" s="1"/>
  <c r="G10" i="81"/>
  <c r="I10" i="81" s="1"/>
  <c r="G8" i="81"/>
  <c r="I8" i="81" s="1"/>
  <c r="G6" i="81"/>
  <c r="I6" i="81" s="1"/>
  <c r="G5" i="81"/>
  <c r="I5" i="81" s="1"/>
  <c r="G4" i="81"/>
  <c r="I4" i="81" s="1"/>
  <c r="C4" i="81"/>
  <c r="G16" i="81" s="1"/>
  <c r="I16" i="81" s="1"/>
  <c r="G3" i="81"/>
  <c r="I3" i="81" s="1"/>
  <c r="G14" i="73"/>
  <c r="F14" i="73"/>
  <c r="E14" i="73"/>
  <c r="L25" i="83" l="1"/>
  <c r="I15" i="81"/>
  <c r="I12" i="79"/>
  <c r="L26" i="83" l="1"/>
  <c r="M26" i="83" s="1"/>
  <c r="M25" i="83"/>
  <c r="L27" i="83"/>
  <c r="M27" i="83" s="1"/>
  <c r="I17" i="81"/>
  <c r="I21" i="81" s="1"/>
  <c r="I22" i="81" s="1"/>
  <c r="I23" i="81" s="1"/>
  <c r="AP34" i="79"/>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Q7" i="79"/>
  <c r="AQ8" i="79" s="1"/>
  <c r="AQ9" i="79" s="1"/>
  <c r="AQ10" i="79" s="1"/>
  <c r="AQ11" i="79" s="1"/>
  <c r="AQ12" i="79" s="1"/>
  <c r="AQ13" i="79" s="1"/>
  <c r="AQ14" i="79" s="1"/>
  <c r="AQ15" i="79" s="1"/>
  <c r="AQ16" i="79" s="1"/>
  <c r="AQ17" i="79" s="1"/>
  <c r="AQ18" i="79" s="1"/>
  <c r="AQ19" i="79" s="1"/>
  <c r="AQ20" i="79" s="1"/>
  <c r="AQ21" i="79" s="1"/>
  <c r="AQ22" i="79" s="1"/>
  <c r="AQ23" i="79" s="1"/>
  <c r="AQ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M28" i="83" l="1"/>
  <c r="AB33" i="79"/>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R7" i="79" l="1"/>
  <c r="AR8" i="79" s="1"/>
  <c r="AD33" i="79"/>
  <c r="AR34" i="79"/>
  <c r="AR35" i="79" s="1"/>
  <c r="AR36" i="79" s="1"/>
  <c r="AD35" i="79"/>
  <c r="C60" i="78"/>
  <c r="D60" i="78" s="1"/>
  <c r="D53" i="78"/>
  <c r="D52" i="78"/>
  <c r="D51" i="78" s="1"/>
  <c r="B51" i="78"/>
  <c r="B56" i="78" s="1"/>
  <c r="B55" i="78" l="1"/>
  <c r="D55" i="78" s="1"/>
  <c r="C51" i="78"/>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R39" i="79" s="1"/>
  <c r="AC10" i="79"/>
  <c r="AB10" i="79"/>
  <c r="AA10" i="79"/>
  <c r="AD10" i="79" s="1"/>
  <c r="Z10" i="79"/>
  <c r="Y10" i="79"/>
  <c r="O10" i="79"/>
  <c r="N10" i="79"/>
  <c r="M10" i="79"/>
  <c r="P10" i="79" s="1"/>
  <c r="L10" i="79"/>
  <c r="K10" i="79"/>
  <c r="I10" i="79"/>
  <c r="AR11" i="79" s="1"/>
  <c r="P38" i="79" l="1"/>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M45" i="79"/>
  <c r="L45" i="79"/>
  <c r="I45" i="79"/>
  <c r="AB39" i="79"/>
  <c r="AA39" i="79"/>
  <c r="Z39" i="79"/>
  <c r="N39" i="79"/>
  <c r="M39" i="79"/>
  <c r="L39" i="79"/>
  <c r="I39" i="79"/>
  <c r="G31" i="79"/>
  <c r="F31" i="79"/>
  <c r="I31" i="79" s="1"/>
  <c r="E31" i="79"/>
  <c r="AC24" i="79"/>
  <c r="AB24" i="79"/>
  <c r="AA24" i="79"/>
  <c r="AD24" i="79" s="1"/>
  <c r="Z24" i="79"/>
  <c r="Y24" i="79"/>
  <c r="W24" i="79"/>
  <c r="O24" i="79"/>
  <c r="N24" i="79"/>
  <c r="M24" i="79"/>
  <c r="P24" i="79" s="1"/>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C20" i="79"/>
  <c r="AB20" i="79"/>
  <c r="AA20" i="79"/>
  <c r="AD20" i="79" s="1"/>
  <c r="Z20" i="79"/>
  <c r="Y20" i="79"/>
  <c r="O20" i="79"/>
  <c r="N20" i="79"/>
  <c r="M20" i="79"/>
  <c r="L20" i="79"/>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20" i="79" l="1"/>
  <c r="AG20" i="79" s="1"/>
  <c r="T22" i="79"/>
  <c r="S35" i="79"/>
  <c r="AG35" i="79" s="1"/>
  <c r="S33" i="79"/>
  <c r="AG33" i="79" s="1"/>
  <c r="S34" i="79"/>
  <c r="AG34" i="79" s="1"/>
  <c r="AA31" i="79"/>
  <c r="AD31" i="79" s="1"/>
  <c r="T40" i="79"/>
  <c r="U46" i="79"/>
  <c r="AI46" i="79" s="1"/>
  <c r="AD47" i="79"/>
  <c r="S48" i="79"/>
  <c r="AG48" i="79" s="1"/>
  <c r="U50" i="79"/>
  <c r="AI50" i="79" s="1"/>
  <c r="AD51" i="79"/>
  <c r="AR40" i="79"/>
  <c r="AR41" i="79" s="1"/>
  <c r="AR42" i="79" s="1"/>
  <c r="AR43" i="79" s="1"/>
  <c r="AR44" i="79" s="1"/>
  <c r="AR45" i="79" s="1"/>
  <c r="AR46" i="79" s="1"/>
  <c r="AR47" i="79" s="1"/>
  <c r="AR48" i="79" s="1"/>
  <c r="AR49" i="79" s="1"/>
  <c r="AR50" i="79" s="1"/>
  <c r="AR51" i="79" s="1"/>
  <c r="AR52" i="79" s="1"/>
  <c r="AD38" i="79"/>
  <c r="AD37" i="79"/>
  <c r="AD36" i="79"/>
  <c r="Z3" i="79"/>
  <c r="AR18" i="79"/>
  <c r="AR19" i="79" s="1"/>
  <c r="AR20" i="79" s="1"/>
  <c r="AR21" i="79" s="1"/>
  <c r="AR22" i="79" s="1"/>
  <c r="AR23" i="79" s="1"/>
  <c r="AR24" i="79" s="1"/>
  <c r="T33" i="79"/>
  <c r="T34" i="79"/>
  <c r="T35" i="79"/>
  <c r="W22" i="79"/>
  <c r="AK22" i="79" s="1"/>
  <c r="AH22" i="79"/>
  <c r="N31" i="79"/>
  <c r="U34" i="79"/>
  <c r="AI34" i="79" s="1"/>
  <c r="U33" i="79"/>
  <c r="AI33" i="79" s="1"/>
  <c r="U35" i="79"/>
  <c r="AI35"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42" i="79" l="1"/>
  <c r="AK42" i="79" s="1"/>
  <c r="W39" i="79"/>
  <c r="AK39" i="79" s="1"/>
  <c r="W15" i="79"/>
  <c r="AK15" i="79" s="1"/>
  <c r="AH15" i="79"/>
  <c r="W13" i="79"/>
  <c r="AK13" i="79" s="1"/>
  <c r="AH13" i="79"/>
  <c r="W48" i="79"/>
  <c r="AK48" i="79" s="1"/>
  <c r="AH48" i="79"/>
  <c r="W49" i="79"/>
  <c r="AK49" i="79" s="1"/>
  <c r="AH49" i="79"/>
  <c r="W43" i="79"/>
  <c r="AK43" i="79" s="1"/>
  <c r="AH43" i="79"/>
  <c r="W38" i="79"/>
  <c r="AK38" i="79" s="1"/>
  <c r="AH38" i="79"/>
  <c r="W23" i="79"/>
  <c r="AK23" i="79" s="1"/>
  <c r="AH23" i="79"/>
  <c r="W12" i="79"/>
  <c r="AK12" i="79" s="1"/>
  <c r="AH12" i="79"/>
  <c r="W21" i="79"/>
  <c r="AK21" i="79" s="1"/>
  <c r="AH21" i="79"/>
  <c r="W47" i="79"/>
  <c r="AK47" i="79" s="1"/>
  <c r="AH47" i="79"/>
  <c r="W45" i="79"/>
  <c r="AK45" i="79" s="1"/>
  <c r="AH45" i="79"/>
  <c r="W35" i="79"/>
  <c r="AK35" i="79" s="1"/>
  <c r="AH35" i="79"/>
  <c r="W11" i="79"/>
  <c r="AK11" i="79" s="1"/>
  <c r="AH11" i="79"/>
  <c r="W17" i="79"/>
  <c r="AK17" i="79" s="1"/>
  <c r="AH17" i="79"/>
  <c r="W10" i="79"/>
  <c r="AK10" i="79" s="1"/>
  <c r="AH10" i="79"/>
  <c r="W18" i="79"/>
  <c r="AK18" i="79" s="1"/>
  <c r="AH18" i="79"/>
  <c r="W20" i="79"/>
  <c r="AK20" i="79" s="1"/>
  <c r="AH20" i="79"/>
  <c r="W34" i="79"/>
  <c r="AK34" i="79" s="1"/>
  <c r="AH34" i="79"/>
  <c r="W14" i="79"/>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W33" i="79"/>
  <c r="AK33" i="79" s="1"/>
  <c r="AH33" i="79"/>
  <c r="W40" i="79"/>
  <c r="AK40" i="79" s="1"/>
  <c r="AH40"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s="1"/>
  <c r="E7" i="77" s="1"/>
  <c r="C27" i="77" s="1"/>
  <c r="R14" i="77"/>
  <c r="R24" i="77" s="1"/>
  <c r="D29" i="77"/>
  <c r="E23" i="77"/>
  <c r="D26" i="77"/>
  <c r="C29" i="77"/>
  <c r="R35" i="77"/>
  <c r="U34" i="77" s="1"/>
  <c r="AH9" i="71"/>
  <c r="AG9" i="71"/>
  <c r="AE9" i="71"/>
  <c r="AF9" i="71" s="1"/>
  <c r="AD9" i="71"/>
  <c r="Q9" i="71"/>
  <c r="P9" i="71"/>
  <c r="O9" i="71"/>
  <c r="N9" i="71"/>
  <c r="D7" i="77" l="1"/>
  <c r="C26" i="77" s="1"/>
  <c r="C32" i="77" s="1"/>
  <c r="C38" i="77" s="1"/>
  <c r="C39" i="77" s="1"/>
  <c r="D32" i="77"/>
  <c r="R25" i="77"/>
  <c r="R19" i="77"/>
  <c r="E26" i="77"/>
  <c r="E38" i="77"/>
  <c r="E39" i="77" s="1"/>
  <c r="E29" i="77"/>
  <c r="AH10" i="71"/>
  <c r="AG10" i="71"/>
  <c r="AE10" i="71"/>
  <c r="AF10" i="71" s="1"/>
  <c r="AD10" i="71"/>
  <c r="Q10" i="71"/>
  <c r="P10" i="71"/>
  <c r="O10" i="71"/>
  <c r="N10" i="71"/>
  <c r="C40" i="77" l="1"/>
  <c r="B2" i="77" s="1"/>
  <c r="B3" i="77" s="1"/>
  <c r="R5" i="77"/>
  <c r="U5" i="77" s="1"/>
  <c r="E32" i="77"/>
  <c r="C41" i="77" l="1"/>
  <c r="E24" i="43"/>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Q24" i="71"/>
  <c r="P24" i="71"/>
  <c r="E24" i="71" s="1"/>
  <c r="O24" i="71"/>
  <c r="C24" i="71" s="1"/>
  <c r="C23" i="71" s="1"/>
  <c r="Q25" i="71"/>
  <c r="F24" i="7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B16" i="72" s="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0" i="72"/>
  <c r="B66" i="72"/>
  <c r="B10" i="72"/>
  <c r="C53" i="10"/>
  <c r="B51" i="10"/>
  <c r="B19" i="72"/>
  <c r="A18" i="51"/>
  <c r="B13" i="72" s="1"/>
  <c r="B49" i="48"/>
  <c r="B5" i="72" s="1"/>
  <c r="D89" i="71"/>
  <c r="F88" i="71"/>
  <c r="F87" i="71" s="1"/>
  <c r="F86" i="71" s="1"/>
  <c r="E88" i="71"/>
  <c r="E87" i="71" s="1"/>
  <c r="E86" i="71" s="1"/>
  <c r="C88" i="71"/>
  <c r="D88" i="71" s="1"/>
  <c r="B88" i="71"/>
  <c r="B87" i="71" s="1"/>
  <c r="B86" i="71" s="1"/>
  <c r="D85" i="71"/>
  <c r="F84" i="71"/>
  <c r="F83" i="71" s="1"/>
  <c r="F82" i="71" s="1"/>
  <c r="E84" i="71"/>
  <c r="E83" i="71" s="1"/>
  <c r="E82" i="71" s="1"/>
  <c r="C84" i="71"/>
  <c r="B84" i="71"/>
  <c r="B83" i="71" s="1"/>
  <c r="B82" i="71" s="1"/>
  <c r="D81" i="71"/>
  <c r="Q80" i="71"/>
  <c r="P80" i="71"/>
  <c r="O80" i="71"/>
  <c r="N80" i="71"/>
  <c r="F80" i="71"/>
  <c r="V80" i="71" s="1"/>
  <c r="E80" i="71"/>
  <c r="C80" i="71"/>
  <c r="T80" i="71" s="1"/>
  <c r="B80" i="71"/>
  <c r="S80" i="71" s="1"/>
  <c r="Q79" i="71"/>
  <c r="P79" i="71"/>
  <c r="O79" i="71"/>
  <c r="N79" i="71"/>
  <c r="F79" i="71"/>
  <c r="F78" i="71" s="1"/>
  <c r="Q78" i="71"/>
  <c r="P78" i="71"/>
  <c r="O78" i="71"/>
  <c r="N78" i="71"/>
  <c r="Q77" i="71"/>
  <c r="P77" i="71"/>
  <c r="O77" i="71"/>
  <c r="N77" i="71"/>
  <c r="D77" i="71"/>
  <c r="Q76" i="71"/>
  <c r="P76" i="71"/>
  <c r="O76" i="71"/>
  <c r="N76" i="71"/>
  <c r="F76" i="71"/>
  <c r="E76" i="71"/>
  <c r="E75" i="71" s="1"/>
  <c r="E74" i="71" s="1"/>
  <c r="C76" i="71"/>
  <c r="T76" i="71" s="1"/>
  <c r="B76" i="71"/>
  <c r="Q75" i="71"/>
  <c r="P75" i="71"/>
  <c r="O75" i="71"/>
  <c r="N75" i="71"/>
  <c r="Q74" i="71"/>
  <c r="P74" i="71"/>
  <c r="O74" i="71"/>
  <c r="N74" i="71"/>
  <c r="Q73" i="71"/>
  <c r="P73" i="71"/>
  <c r="O73" i="71"/>
  <c r="N73" i="71"/>
  <c r="D73" i="71"/>
  <c r="Q72" i="71"/>
  <c r="P72" i="71"/>
  <c r="O72" i="71"/>
  <c r="N72" i="71"/>
  <c r="F72" i="71"/>
  <c r="V72" i="71" s="1"/>
  <c r="E72" i="71"/>
  <c r="U72" i="71" s="1"/>
  <c r="C72" i="71"/>
  <c r="D72" i="71" s="1"/>
  <c r="B72" i="71"/>
  <c r="S72" i="71" s="1"/>
  <c r="Q71" i="71"/>
  <c r="P71" i="71"/>
  <c r="O71" i="71"/>
  <c r="N71" i="71"/>
  <c r="Q70" i="71"/>
  <c r="P70" i="71"/>
  <c r="O70" i="71"/>
  <c r="N70" i="71"/>
  <c r="Q69" i="71"/>
  <c r="P69" i="71"/>
  <c r="O69" i="71"/>
  <c r="N69" i="71"/>
  <c r="D69" i="71"/>
  <c r="F68" i="71"/>
  <c r="V68" i="71" s="1"/>
  <c r="E68" i="71"/>
  <c r="C68" i="71"/>
  <c r="C67" i="71" s="1"/>
  <c r="C66" i="71" s="1"/>
  <c r="B68" i="71"/>
  <c r="S68" i="71" s="1"/>
  <c r="D65" i="71"/>
  <c r="Q64" i="71"/>
  <c r="P64" i="71"/>
  <c r="O64" i="71"/>
  <c r="N64" i="71"/>
  <c r="Q63" i="71"/>
  <c r="P63" i="71"/>
  <c r="O63" i="71"/>
  <c r="N63" i="71"/>
  <c r="Q62" i="71"/>
  <c r="P62" i="71"/>
  <c r="O62" i="71"/>
  <c r="N62" i="71"/>
  <c r="Q61" i="71"/>
  <c r="F62" i="71" s="1"/>
  <c r="F63" i="71" s="1"/>
  <c r="P61" i="71"/>
  <c r="E62" i="71" s="1"/>
  <c r="O61" i="71"/>
  <c r="C62" i="71" s="1"/>
  <c r="D62" i="71" s="1"/>
  <c r="N61" i="71"/>
  <c r="B62" i="71" s="1"/>
  <c r="D61" i="71"/>
  <c r="Q60" i="71"/>
  <c r="P60" i="71"/>
  <c r="O60" i="71"/>
  <c r="N60" i="71"/>
  <c r="Q59" i="71"/>
  <c r="P59" i="71"/>
  <c r="O59" i="71"/>
  <c r="N59" i="71"/>
  <c r="Q58" i="71"/>
  <c r="P58" i="71"/>
  <c r="O58" i="71"/>
  <c r="N58" i="71"/>
  <c r="Q57" i="71"/>
  <c r="F58" i="71" s="1"/>
  <c r="F59" i="71" s="1"/>
  <c r="F60" i="71" s="1"/>
  <c r="V60" i="71" s="1"/>
  <c r="P57" i="71"/>
  <c r="E58" i="71" s="1"/>
  <c r="O57" i="71"/>
  <c r="C58" i="71" s="1"/>
  <c r="D58" i="71" s="1"/>
  <c r="N57" i="71"/>
  <c r="B58" i="71" s="1"/>
  <c r="D57" i="71"/>
  <c r="Q56" i="71"/>
  <c r="P56" i="71"/>
  <c r="O56" i="71"/>
  <c r="N56" i="71"/>
  <c r="Q55" i="71"/>
  <c r="P55" i="71"/>
  <c r="O55" i="71"/>
  <c r="N55" i="71"/>
  <c r="Q54" i="71"/>
  <c r="P54" i="71"/>
  <c r="O54" i="71"/>
  <c r="N54" i="71"/>
  <c r="Q53" i="71"/>
  <c r="F54" i="71" s="1"/>
  <c r="P53" i="71"/>
  <c r="E54" i="71" s="1"/>
  <c r="E55" i="71" s="1"/>
  <c r="E56" i="71" s="1"/>
  <c r="U56" i="71" s="1"/>
  <c r="O53" i="71"/>
  <c r="C54" i="71" s="1"/>
  <c r="D54" i="71" s="1"/>
  <c r="N53" i="71"/>
  <c r="B54" i="71" s="1"/>
  <c r="D53" i="71"/>
  <c r="Q52" i="71"/>
  <c r="P52" i="71"/>
  <c r="O52" i="71"/>
  <c r="N52" i="71"/>
  <c r="Q51" i="71"/>
  <c r="P51" i="71"/>
  <c r="O51" i="71"/>
  <c r="N51" i="71"/>
  <c r="Q50" i="71"/>
  <c r="P50" i="71"/>
  <c r="O50" i="71"/>
  <c r="N50" i="71"/>
  <c r="Q49" i="71"/>
  <c r="F50" i="71" s="1"/>
  <c r="P49" i="71"/>
  <c r="E50" i="71" s="1"/>
  <c r="O49" i="71"/>
  <c r="C50" i="71" s="1"/>
  <c r="D50"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s="1"/>
  <c r="D46" i="71" s="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N41" i="71"/>
  <c r="B42" i="71" s="1"/>
  <c r="D41" i="71"/>
  <c r="Q40" i="71"/>
  <c r="P40" i="71"/>
  <c r="O40" i="71"/>
  <c r="N40" i="71"/>
  <c r="Q39" i="71"/>
  <c r="AB39" i="71" s="1"/>
  <c r="P39" i="71"/>
  <c r="AA39" i="71" s="1"/>
  <c r="O39" i="71"/>
  <c r="N39" i="71"/>
  <c r="Q38" i="71"/>
  <c r="P38" i="71"/>
  <c r="O38" i="71"/>
  <c r="N38" i="71"/>
  <c r="Q37" i="71"/>
  <c r="F38" i="71" s="1"/>
  <c r="P37" i="71"/>
  <c r="O37" i="71"/>
  <c r="C38" i="71" s="1"/>
  <c r="N37" i="71"/>
  <c r="B38" i="71" s="1"/>
  <c r="D37" i="71"/>
  <c r="Q36" i="71"/>
  <c r="P36" i="71"/>
  <c r="O36" i="71"/>
  <c r="N36" i="71"/>
  <c r="Q35" i="71"/>
  <c r="P35" i="71"/>
  <c r="O35" i="71"/>
  <c r="N35" i="71"/>
  <c r="Q34" i="71"/>
  <c r="P34" i="71"/>
  <c r="O34" i="71"/>
  <c r="N34" i="71"/>
  <c r="Q33" i="71"/>
  <c r="F34" i="71" s="1"/>
  <c r="F35" i="71" s="1"/>
  <c r="F36" i="71" s="1"/>
  <c r="V36" i="71" s="1"/>
  <c r="P33" i="71"/>
  <c r="E34" i="71" s="1"/>
  <c r="O33" i="71"/>
  <c r="C34" i="71" s="1"/>
  <c r="N33" i="71"/>
  <c r="B34" i="71" s="1"/>
  <c r="D33" i="71"/>
  <c r="Q32" i="71"/>
  <c r="P32" i="71"/>
  <c r="O32" i="71"/>
  <c r="N32" i="71"/>
  <c r="Q31" i="71"/>
  <c r="P31" i="71"/>
  <c r="O31" i="71"/>
  <c r="N31" i="71"/>
  <c r="Q30" i="71"/>
  <c r="P30" i="71"/>
  <c r="O30" i="71"/>
  <c r="N30" i="71"/>
  <c r="Q29" i="71"/>
  <c r="F30" i="71" s="1"/>
  <c r="P29" i="71"/>
  <c r="E30" i="71" s="1"/>
  <c r="O29" i="71"/>
  <c r="C30" i="71" s="1"/>
  <c r="N29" i="71"/>
  <c r="D29" i="71"/>
  <c r="O28" i="71"/>
  <c r="N28" i="71"/>
  <c r="B28" i="71" s="1"/>
  <c r="B30" i="71"/>
  <c r="B31" i="71" s="1"/>
  <c r="P28" i="71"/>
  <c r="Q28" i="71"/>
  <c r="F28" i="71" s="1"/>
  <c r="Q68" i="71"/>
  <c r="D76" i="71"/>
  <c r="O27" i="6"/>
  <c r="N27" i="6"/>
  <c r="P20" i="6"/>
  <c r="P21" i="6"/>
  <c r="P22" i="6"/>
  <c r="P23" i="6"/>
  <c r="P24" i="6"/>
  <c r="P25" i="6"/>
  <c r="P26" i="6"/>
  <c r="P19" i="6"/>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68" i="35" s="1"/>
  <c r="G68" i="35" s="1"/>
  <c r="F18" i="35"/>
  <c r="C18" i="35"/>
  <c r="Q21" i="37"/>
  <c r="Z21" i="37" s="1"/>
  <c r="D77" i="37"/>
  <c r="E77" i="37" s="1"/>
  <c r="F77" i="37" s="1"/>
  <c r="G77" i="37" s="1"/>
  <c r="C21" i="37"/>
  <c r="Q21" i="34"/>
  <c r="Z21" i="34" s="1"/>
  <c r="D84" i="34"/>
  <c r="E84" i="34" s="1"/>
  <c r="F21" i="34"/>
  <c r="AA21" i="34" s="1"/>
  <c r="C21" i="34"/>
  <c r="Q21" i="33"/>
  <c r="Z21" i="33" s="1"/>
  <c r="D83" i="33"/>
  <c r="E83" i="33" s="1"/>
  <c r="F83" i="33" s="1"/>
  <c r="G83" i="33" s="1"/>
  <c r="C21" i="33"/>
  <c r="C21" i="21"/>
  <c r="Q21" i="21"/>
  <c r="Z21" i="21" s="1"/>
  <c r="H19" i="21"/>
  <c r="D83" i="21"/>
  <c r="E83" i="21" s="1"/>
  <c r="F83" i="21" s="1"/>
  <c r="G83" i="21" s="1"/>
  <c r="F21" i="21"/>
  <c r="AA21" i="21" s="1"/>
  <c r="D81" i="21"/>
  <c r="G20" i="20"/>
  <c r="C25" i="40" s="1"/>
  <c r="C22" i="20"/>
  <c r="S18" i="36"/>
  <c r="H25" i="40"/>
  <c r="AB25" i="40" s="1"/>
  <c r="J25" i="40"/>
  <c r="AC25" i="40" s="1"/>
  <c r="H29" i="39"/>
  <c r="J29" i="39"/>
  <c r="J18" i="36"/>
  <c r="AC18" i="36" s="1"/>
  <c r="H18" i="35"/>
  <c r="AB18" i="35" s="1"/>
  <c r="J18" i="35"/>
  <c r="W18" i="35" s="1"/>
  <c r="H21" i="37"/>
  <c r="U21" i="37" s="1"/>
  <c r="F21" i="37"/>
  <c r="F84" i="34"/>
  <c r="G84" i="34" s="1"/>
  <c r="H21" i="34"/>
  <c r="AB21" i="34" s="1"/>
  <c r="H21" i="33"/>
  <c r="F21" i="33"/>
  <c r="S21" i="33" s="1"/>
  <c r="H1" i="69"/>
  <c r="U25" i="40"/>
  <c r="W18" i="36"/>
  <c r="J21" i="37"/>
  <c r="W21" i="37" s="1"/>
  <c r="J21" i="34"/>
  <c r="W21" i="34" s="1"/>
  <c r="J21" i="33"/>
  <c r="W21" i="33" s="1"/>
  <c r="H21" i="21"/>
  <c r="U21" i="21" s="1"/>
  <c r="F38" i="69"/>
  <c r="E37" i="69"/>
  <c r="F36" i="69"/>
  <c r="F35" i="69"/>
  <c r="F21" i="69"/>
  <c r="F40" i="69" s="1"/>
  <c r="F20" i="69"/>
  <c r="F39" i="69" s="1"/>
  <c r="E10" i="69"/>
  <c r="E9" i="69"/>
  <c r="AC21" i="37"/>
  <c r="J21" i="21"/>
  <c r="W21" i="21" s="1"/>
  <c r="F38" i="68"/>
  <c r="E37" i="68"/>
  <c r="F36" i="68"/>
  <c r="F35" i="68"/>
  <c r="F21" i="68"/>
  <c r="F20" i="68"/>
  <c r="F39" i="68" s="1"/>
  <c r="E10" i="68"/>
  <c r="E9" i="68"/>
  <c r="C7" i="68"/>
  <c r="Q72" i="67"/>
  <c r="Q59" i="67"/>
  <c r="Q58" i="67"/>
  <c r="Q51" i="67"/>
  <c r="J50" i="67"/>
  <c r="M47" i="67"/>
  <c r="D46" i="67"/>
  <c r="F33" i="67"/>
  <c r="F61" i="67" s="1"/>
  <c r="F23" i="67"/>
  <c r="D24" i="67" s="1"/>
  <c r="F21" i="67"/>
  <c r="F20" i="67"/>
  <c r="M19" i="67"/>
  <c r="F18" i="67"/>
  <c r="F17" i="67"/>
  <c r="F15" i="67"/>
  <c r="S2" i="4"/>
  <c r="C51" i="10" s="1"/>
  <c r="A13" i="51"/>
  <c r="B11" i="72" s="1"/>
  <c r="S1" i="4"/>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3" s="1"/>
  <c r="E15" i="4"/>
  <c r="A7" i="1"/>
  <c r="B7" i="1" s="1"/>
  <c r="E7" i="1" s="1"/>
  <c r="A8" i="1"/>
  <c r="B8" i="1" s="1"/>
  <c r="E8" i="1" s="1"/>
  <c r="A9" i="1"/>
  <c r="A10" i="1"/>
  <c r="A11" i="1"/>
  <c r="B11" i="1" s="1"/>
  <c r="E11" i="1" s="1"/>
  <c r="A12" i="1"/>
  <c r="A13" i="1"/>
  <c r="B13" i="1" s="1"/>
  <c r="E13" i="1" s="1"/>
  <c r="A6" i="1"/>
  <c r="G1" i="95"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G138" i="3" s="1"/>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A133" i="3" s="1"/>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A132" i="3" s="1"/>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L127" i="3" s="1"/>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G116" i="3" s="1"/>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S38" i="31" s="1"/>
  <c r="R39" i="31"/>
  <c r="R40" i="31"/>
  <c r="R41" i="31"/>
  <c r="R42" i="31"/>
  <c r="R43" i="31"/>
  <c r="R44" i="31"/>
  <c r="R45" i="31"/>
  <c r="R46" i="31"/>
  <c r="R47" i="31"/>
  <c r="R48" i="31"/>
  <c r="R49" i="31"/>
  <c r="R50" i="31"/>
  <c r="S50" i="31" s="1"/>
  <c r="R51" i="31"/>
  <c r="R52" i="31"/>
  <c r="R53" i="31"/>
  <c r="R54" i="31"/>
  <c r="R55" i="31"/>
  <c r="R56" i="31"/>
  <c r="R57" i="31"/>
  <c r="R58" i="31"/>
  <c r="R59" i="31"/>
  <c r="R60" i="31"/>
  <c r="R61" i="31"/>
  <c r="R62" i="31"/>
  <c r="S62" i="31" s="1"/>
  <c r="R63" i="31"/>
  <c r="R64" i="31"/>
  <c r="R65" i="31"/>
  <c r="R66" i="31"/>
  <c r="R67" i="31"/>
  <c r="R68" i="31"/>
  <c r="R69" i="31"/>
  <c r="R70" i="31"/>
  <c r="R71" i="31"/>
  <c r="R72" i="31"/>
  <c r="R73" i="31"/>
  <c r="R74" i="31"/>
  <c r="S74" i="31" s="1"/>
  <c r="R75" i="31"/>
  <c r="R76" i="31"/>
  <c r="R77" i="31"/>
  <c r="R78" i="31"/>
  <c r="R79" i="31"/>
  <c r="R80" i="31"/>
  <c r="R81" i="31"/>
  <c r="R82" i="31"/>
  <c r="R83" i="31"/>
  <c r="R84" i="31"/>
  <c r="R85" i="31"/>
  <c r="R86" i="31"/>
  <c r="S86" i="31" s="1"/>
  <c r="R87" i="31"/>
  <c r="R88" i="31"/>
  <c r="R89" i="31"/>
  <c r="R90" i="31"/>
  <c r="R91" i="31"/>
  <c r="R92" i="31"/>
  <c r="R93" i="31"/>
  <c r="R94" i="31"/>
  <c r="R95" i="31"/>
  <c r="R96" i="31"/>
  <c r="R97" i="31"/>
  <c r="R98" i="31"/>
  <c r="S98" i="31" s="1"/>
  <c r="R99" i="31"/>
  <c r="R100" i="31"/>
  <c r="R101" i="31"/>
  <c r="R102" i="31"/>
  <c r="R103" i="31"/>
  <c r="R104" i="31"/>
  <c r="R105" i="31"/>
  <c r="R106" i="31"/>
  <c r="R107" i="31"/>
  <c r="R108" i="31"/>
  <c r="R109" i="31"/>
  <c r="R110" i="31"/>
  <c r="S110" i="31" s="1"/>
  <c r="R111" i="31"/>
  <c r="R112" i="31"/>
  <c r="R113" i="31"/>
  <c r="R114" i="31"/>
  <c r="R115" i="31"/>
  <c r="R116" i="31"/>
  <c r="R117" i="31"/>
  <c r="R118" i="31"/>
  <c r="R119" i="31"/>
  <c r="R120" i="31"/>
  <c r="R121" i="31"/>
  <c r="R122" i="31"/>
  <c r="S122" i="31" s="1"/>
  <c r="R123" i="31"/>
  <c r="R124" i="31"/>
  <c r="R125" i="31"/>
  <c r="R126" i="31"/>
  <c r="R127" i="31"/>
  <c r="R128" i="31"/>
  <c r="R129" i="31"/>
  <c r="R130" i="31"/>
  <c r="R131" i="31"/>
  <c r="R132" i="31"/>
  <c r="R133" i="31"/>
  <c r="R134" i="31"/>
  <c r="S134" i="31" s="1"/>
  <c r="R135" i="31"/>
  <c r="R136" i="31"/>
  <c r="R137" i="31"/>
  <c r="R138" i="31"/>
  <c r="R139" i="31"/>
  <c r="R140" i="31"/>
  <c r="R141" i="31"/>
  <c r="R142" i="31"/>
  <c r="R143" i="31"/>
  <c r="R144" i="31"/>
  <c r="R145" i="31"/>
  <c r="R146" i="31"/>
  <c r="S146" i="31" s="1"/>
  <c r="R147" i="31"/>
  <c r="R148" i="31"/>
  <c r="R149" i="31"/>
  <c r="R150" i="31"/>
  <c r="R151" i="31"/>
  <c r="R152" i="31"/>
  <c r="R153" i="31"/>
  <c r="R154" i="31"/>
  <c r="R155" i="31"/>
  <c r="R156" i="31"/>
  <c r="R157" i="31"/>
  <c r="R158" i="31"/>
  <c r="S158" i="31" s="1"/>
  <c r="R159" i="31"/>
  <c r="R160" i="31"/>
  <c r="R161" i="31"/>
  <c r="R162" i="31"/>
  <c r="R163" i="31"/>
  <c r="R164" i="31"/>
  <c r="R165" i="31"/>
  <c r="R166" i="31"/>
  <c r="R167" i="31"/>
  <c r="R168" i="31"/>
  <c r="R169" i="31"/>
  <c r="R170" i="31"/>
  <c r="S170" i="31" s="1"/>
  <c r="R171" i="31"/>
  <c r="R172" i="31"/>
  <c r="R173" i="31"/>
  <c r="R174" i="31"/>
  <c r="R175" i="31"/>
  <c r="R176" i="31"/>
  <c r="R177" i="31"/>
  <c r="R178" i="31"/>
  <c r="R179" i="31"/>
  <c r="R180" i="31"/>
  <c r="R181" i="31"/>
  <c r="R182" i="31"/>
  <c r="S182" i="31" s="1"/>
  <c r="R183" i="31"/>
  <c r="R184" i="31"/>
  <c r="R185" i="31"/>
  <c r="R186" i="31"/>
  <c r="R187" i="31"/>
  <c r="R188" i="31"/>
  <c r="R189" i="31"/>
  <c r="R190" i="31"/>
  <c r="R191" i="31"/>
  <c r="R192" i="31"/>
  <c r="R193" i="31"/>
  <c r="R194" i="31"/>
  <c r="S194" i="31" s="1"/>
  <c r="R195" i="31"/>
  <c r="R196" i="31"/>
  <c r="R197" i="31"/>
  <c r="R198" i="31"/>
  <c r="R199" i="31"/>
  <c r="R200" i="31"/>
  <c r="R201" i="31"/>
  <c r="R202" i="31"/>
  <c r="R203" i="31"/>
  <c r="R204" i="31"/>
  <c r="R205" i="31"/>
  <c r="R206" i="31"/>
  <c r="S206" i="31" s="1"/>
  <c r="R207" i="31"/>
  <c r="R208" i="31"/>
  <c r="R209" i="31"/>
  <c r="R210" i="31"/>
  <c r="R211" i="31"/>
  <c r="R212" i="31"/>
  <c r="R213" i="31"/>
  <c r="R214" i="31"/>
  <c r="R215" i="31"/>
  <c r="R216" i="31"/>
  <c r="R217" i="31"/>
  <c r="R218" i="31"/>
  <c r="S218" i="31" s="1"/>
  <c r="R219" i="31"/>
  <c r="R220" i="31"/>
  <c r="R221" i="31"/>
  <c r="R222" i="31"/>
  <c r="R223" i="31"/>
  <c r="R224" i="31"/>
  <c r="R225" i="31"/>
  <c r="R226" i="31"/>
  <c r="R227" i="31"/>
  <c r="R228" i="31"/>
  <c r="R229" i="31"/>
  <c r="R230" i="31"/>
  <c r="S230" i="31" s="1"/>
  <c r="R231" i="31"/>
  <c r="R232" i="31"/>
  <c r="R233" i="31"/>
  <c r="R234" i="31"/>
  <c r="R235" i="31"/>
  <c r="R236" i="31"/>
  <c r="R237" i="31"/>
  <c r="R238" i="31"/>
  <c r="R239" i="31"/>
  <c r="R240" i="31"/>
  <c r="R241" i="31"/>
  <c r="R242" i="31"/>
  <c r="S242" i="31" s="1"/>
  <c r="R243" i="31"/>
  <c r="R244" i="31"/>
  <c r="R245" i="31"/>
  <c r="R246" i="31"/>
  <c r="R247" i="31"/>
  <c r="R248" i="31"/>
  <c r="R249" i="31"/>
  <c r="R250" i="31"/>
  <c r="R251" i="31"/>
  <c r="R252" i="31"/>
  <c r="R253" i="31"/>
  <c r="R254" i="31"/>
  <c r="S254" i="31" s="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S278" i="31" s="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S302" i="31" s="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S326" i="31" s="1"/>
  <c r="R327" i="31"/>
  <c r="S327" i="31" s="1"/>
  <c r="R328" i="31"/>
  <c r="R329" i="31"/>
  <c r="S329" i="31" s="1"/>
  <c r="R330" i="31"/>
  <c r="R331" i="31"/>
  <c r="S331" i="31" s="1"/>
  <c r="R332" i="31"/>
  <c r="R333" i="31"/>
  <c r="S333" i="31" s="1"/>
  <c r="R334" i="31"/>
  <c r="R335" i="31"/>
  <c r="S335" i="31" s="1"/>
  <c r="R336" i="31"/>
  <c r="R337" i="31"/>
  <c r="S337" i="31" s="1"/>
  <c r="R338" i="31"/>
  <c r="S338" i="31" s="1"/>
  <c r="R339" i="31"/>
  <c r="S339" i="31" s="1"/>
  <c r="R340" i="31"/>
  <c r="R341" i="31"/>
  <c r="S341" i="31" s="1"/>
  <c r="R342" i="31"/>
  <c r="R343" i="31"/>
  <c r="S343" i="31" s="1"/>
  <c r="R344" i="31"/>
  <c r="R345" i="31"/>
  <c r="S345" i="31" s="1"/>
  <c r="R346" i="31"/>
  <c r="R347" i="31"/>
  <c r="S347" i="31" s="1"/>
  <c r="R348" i="31"/>
  <c r="R349" i="31"/>
  <c r="S349" i="31" s="1"/>
  <c r="R350" i="31"/>
  <c r="S350" i="31" s="1"/>
  <c r="R351" i="31"/>
  <c r="S351" i="31" s="1"/>
  <c r="R352" i="31"/>
  <c r="R353" i="31"/>
  <c r="S353" i="31" s="1"/>
  <c r="R354" i="31"/>
  <c r="R355" i="31"/>
  <c r="S355" i="31" s="1"/>
  <c r="R356" i="31"/>
  <c r="R357" i="31"/>
  <c r="S357" i="31" s="1"/>
  <c r="R358" i="31"/>
  <c r="R359" i="31"/>
  <c r="S359" i="31" s="1"/>
  <c r="R360" i="31"/>
  <c r="R361" i="31"/>
  <c r="S361" i="31" s="1"/>
  <c r="R362" i="31"/>
  <c r="S362" i="31" s="1"/>
  <c r="R363" i="31"/>
  <c r="S363" i="31" s="1"/>
  <c r="R364" i="31"/>
  <c r="R365" i="31"/>
  <c r="S365" i="31" s="1"/>
  <c r="R366" i="31"/>
  <c r="R367" i="31"/>
  <c r="S367" i="31" s="1"/>
  <c r="R368" i="31"/>
  <c r="R369" i="31"/>
  <c r="S369" i="31" s="1"/>
  <c r="R370" i="31"/>
  <c r="R371" i="31"/>
  <c r="S371" i="31" s="1"/>
  <c r="R372" i="31"/>
  <c r="R373" i="31"/>
  <c r="S373" i="31" s="1"/>
  <c r="R374" i="31"/>
  <c r="S374" i="31" s="1"/>
  <c r="R375" i="31"/>
  <c r="S375" i="31" s="1"/>
  <c r="R376" i="31"/>
  <c r="R377" i="31"/>
  <c r="S377" i="31" s="1"/>
  <c r="R378" i="31"/>
  <c r="R379" i="31"/>
  <c r="S379" i="31" s="1"/>
  <c r="R380" i="31"/>
  <c r="R381" i="31"/>
  <c r="S381" i="31" s="1"/>
  <c r="R382" i="31"/>
  <c r="R383" i="31"/>
  <c r="S383" i="31" s="1"/>
  <c r="R384" i="31"/>
  <c r="R385" i="31"/>
  <c r="S385" i="31" s="1"/>
  <c r="R386" i="31"/>
  <c r="S386" i="31" s="1"/>
  <c r="R387" i="31"/>
  <c r="S387" i="31" s="1"/>
  <c r="R388" i="31"/>
  <c r="R389" i="31"/>
  <c r="S389" i="31" s="1"/>
  <c r="R390" i="31"/>
  <c r="R391" i="31"/>
  <c r="S391" i="31" s="1"/>
  <c r="R392" i="31"/>
  <c r="R393" i="31"/>
  <c r="S393" i="31" s="1"/>
  <c r="R394" i="31"/>
  <c r="R395" i="31"/>
  <c r="S395" i="31" s="1"/>
  <c r="R396" i="31"/>
  <c r="R397" i="31"/>
  <c r="S397" i="31" s="1"/>
  <c r="R398" i="31"/>
  <c r="S398" i="31" s="1"/>
  <c r="R399" i="31"/>
  <c r="S399" i="31" s="1"/>
  <c r="R400" i="31"/>
  <c r="R401" i="31"/>
  <c r="S401" i="31" s="1"/>
  <c r="R402" i="31"/>
  <c r="R403" i="31"/>
  <c r="S403" i="31" s="1"/>
  <c r="R404" i="31"/>
  <c r="R405" i="31"/>
  <c r="S405" i="31" s="1"/>
  <c r="R406" i="31"/>
  <c r="R407" i="31"/>
  <c r="S407" i="31" s="1"/>
  <c r="R408" i="31"/>
  <c r="R409" i="31"/>
  <c r="S409" i="31" s="1"/>
  <c r="R410" i="31"/>
  <c r="S410" i="31" s="1"/>
  <c r="R411" i="31"/>
  <c r="S411" i="31" s="1"/>
  <c r="R412" i="31"/>
  <c r="R413" i="31"/>
  <c r="S413" i="31" s="1"/>
  <c r="R414" i="31"/>
  <c r="R415" i="31"/>
  <c r="S415" i="31" s="1"/>
  <c r="R416" i="31"/>
  <c r="R417" i="31"/>
  <c r="S417" i="31" s="1"/>
  <c r="R418" i="31"/>
  <c r="R419" i="31"/>
  <c r="S419" i="31" s="1"/>
  <c r="R420" i="31"/>
  <c r="R421" i="31"/>
  <c r="S421" i="31" s="1"/>
  <c r="R422" i="31"/>
  <c r="S422" i="31" s="1"/>
  <c r="R423" i="31"/>
  <c r="S423" i="31" s="1"/>
  <c r="R424" i="31"/>
  <c r="R425" i="31"/>
  <c r="R426" i="31"/>
  <c r="R427" i="31"/>
  <c r="R428" i="31"/>
  <c r="R429" i="31"/>
  <c r="R430" i="31"/>
  <c r="R431" i="31"/>
  <c r="R432" i="31"/>
  <c r="R433" i="31"/>
  <c r="R434" i="31"/>
  <c r="S434" i="31" s="1"/>
  <c r="R435" i="31"/>
  <c r="R436" i="31"/>
  <c r="R437" i="31"/>
  <c r="R438" i="31"/>
  <c r="R439" i="31"/>
  <c r="R440" i="31"/>
  <c r="R441" i="31"/>
  <c r="R442" i="31"/>
  <c r="R443" i="31"/>
  <c r="R444" i="31"/>
  <c r="R445" i="31"/>
  <c r="R446" i="31"/>
  <c r="S446" i="31" s="1"/>
  <c r="R447" i="31"/>
  <c r="R448" i="31"/>
  <c r="R449" i="31"/>
  <c r="R450" i="31"/>
  <c r="R451" i="31"/>
  <c r="R452" i="31"/>
  <c r="R453" i="31"/>
  <c r="R454" i="31"/>
  <c r="R455" i="31"/>
  <c r="R456" i="31"/>
  <c r="R457" i="31"/>
  <c r="R458" i="31"/>
  <c r="S458" i="31" s="1"/>
  <c r="R459" i="31"/>
  <c r="R460" i="31"/>
  <c r="R461" i="31"/>
  <c r="R462" i="31"/>
  <c r="R463" i="31"/>
  <c r="R464" i="31"/>
  <c r="R465" i="31"/>
  <c r="R466" i="31"/>
  <c r="R467" i="31"/>
  <c r="R468" i="31"/>
  <c r="R469" i="31"/>
  <c r="R470" i="31"/>
  <c r="S470" i="31" s="1"/>
  <c r="R471" i="31"/>
  <c r="R472" i="31"/>
  <c r="R473" i="31"/>
  <c r="R474" i="31"/>
  <c r="R475" i="31"/>
  <c r="R476" i="31"/>
  <c r="R477" i="31"/>
  <c r="R478" i="31"/>
  <c r="R479" i="31"/>
  <c r="R480" i="31"/>
  <c r="R481" i="31"/>
  <c r="R482" i="31"/>
  <c r="S482" i="31" s="1"/>
  <c r="R483" i="31"/>
  <c r="R484" i="31"/>
  <c r="R485" i="31"/>
  <c r="R486" i="31"/>
  <c r="R487" i="31"/>
  <c r="R488" i="31"/>
  <c r="R489" i="31"/>
  <c r="R490" i="31"/>
  <c r="R491" i="31"/>
  <c r="R492" i="31"/>
  <c r="R493" i="31"/>
  <c r="R494" i="31"/>
  <c r="S494" i="31" s="1"/>
  <c r="R495" i="31"/>
  <c r="R496" i="31"/>
  <c r="R497" i="31"/>
  <c r="R498" i="31"/>
  <c r="R499" i="31"/>
  <c r="R500" i="31"/>
  <c r="R501" i="31"/>
  <c r="R502" i="31"/>
  <c r="R503" i="31"/>
  <c r="R504" i="31"/>
  <c r="R505" i="31"/>
  <c r="R506" i="31"/>
  <c r="S506" i="31" s="1"/>
  <c r="R507" i="31"/>
  <c r="R508" i="31"/>
  <c r="R509" i="31"/>
  <c r="R510" i="31"/>
  <c r="R511" i="31"/>
  <c r="R512" i="31"/>
  <c r="R513" i="31"/>
  <c r="R514" i="31"/>
  <c r="R515" i="31"/>
  <c r="R516" i="31"/>
  <c r="R517" i="31"/>
  <c r="R518" i="31"/>
  <c r="S518" i="31" s="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F19" i="6" s="1"/>
  <c r="C6" i="69"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E19" i="95"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0" i="31"/>
  <c r="S418" i="31"/>
  <c r="S416" i="31"/>
  <c r="S414" i="31"/>
  <c r="S412" i="31"/>
  <c r="S408" i="31"/>
  <c r="S406" i="31"/>
  <c r="S404" i="31"/>
  <c r="S402" i="31"/>
  <c r="S400" i="31"/>
  <c r="S396" i="31"/>
  <c r="S394" i="31"/>
  <c r="S392" i="31"/>
  <c r="S390" i="31"/>
  <c r="S388" i="31"/>
  <c r="S384" i="31"/>
  <c r="S382" i="31"/>
  <c r="S380" i="31"/>
  <c r="S378" i="31"/>
  <c r="S376" i="31"/>
  <c r="S372" i="31"/>
  <c r="S370" i="31"/>
  <c r="S368" i="31"/>
  <c r="S366" i="31"/>
  <c r="S364" i="31"/>
  <c r="S360" i="31"/>
  <c r="S358" i="31"/>
  <c r="S356" i="31"/>
  <c r="S354" i="31"/>
  <c r="S352" i="31"/>
  <c r="S348" i="31"/>
  <c r="S346" i="31"/>
  <c r="S344" i="31"/>
  <c r="S342" i="31"/>
  <c r="S340" i="31"/>
  <c r="S336" i="31"/>
  <c r="S334" i="31"/>
  <c r="S332" i="31"/>
  <c r="S330" i="31"/>
  <c r="S328" i="31"/>
  <c r="S324" i="31"/>
  <c r="S322" i="31"/>
  <c r="S424" i="31"/>
  <c r="S320" i="31"/>
  <c r="S318" i="31"/>
  <c r="S316" i="31"/>
  <c r="S314" i="31"/>
  <c r="S312" i="31"/>
  <c r="S310" i="31"/>
  <c r="S308" i="31"/>
  <c r="S306" i="31"/>
  <c r="S304" i="31"/>
  <c r="S300" i="31"/>
  <c r="S298" i="31"/>
  <c r="S296" i="31"/>
  <c r="S294" i="31"/>
  <c r="S292" i="31"/>
  <c r="S290" i="31"/>
  <c r="S288" i="31"/>
  <c r="S286" i="31"/>
  <c r="S284" i="31"/>
  <c r="S282" i="31"/>
  <c r="S280" i="31"/>
  <c r="S276" i="31"/>
  <c r="S274" i="31"/>
  <c r="S272" i="31"/>
  <c r="S270" i="31"/>
  <c r="S268" i="31"/>
  <c r="S266" i="31"/>
  <c r="S264" i="31"/>
  <c r="S262" i="31"/>
  <c r="S260" i="31"/>
  <c r="S258" i="31"/>
  <c r="S256" i="31"/>
  <c r="S253" i="31"/>
  <c r="S252" i="31"/>
  <c r="S251" i="31"/>
  <c r="S250" i="31"/>
  <c r="S249" i="31"/>
  <c r="S248" i="31"/>
  <c r="S247" i="31"/>
  <c r="S246" i="31"/>
  <c r="S245" i="31"/>
  <c r="S244" i="31"/>
  <c r="S243" i="31"/>
  <c r="S241" i="31"/>
  <c r="S240" i="31"/>
  <c r="S239" i="31"/>
  <c r="S238" i="31"/>
  <c r="S237" i="31"/>
  <c r="S236" i="31"/>
  <c r="S235" i="31"/>
  <c r="S234" i="31"/>
  <c r="S233" i="31"/>
  <c r="S232" i="31"/>
  <c r="S231" i="31"/>
  <c r="S229" i="31"/>
  <c r="S228" i="31"/>
  <c r="S227" i="31"/>
  <c r="S226" i="31"/>
  <c r="S225" i="31"/>
  <c r="S224" i="31"/>
  <c r="S223" i="31"/>
  <c r="S429" i="31"/>
  <c r="S428" i="31"/>
  <c r="S427" i="31"/>
  <c r="S426" i="31"/>
  <c r="S425" i="31"/>
  <c r="S222" i="31"/>
  <c r="S221" i="31"/>
  <c r="S220" i="31"/>
  <c r="S219" i="31"/>
  <c r="S217" i="31"/>
  <c r="S216" i="31"/>
  <c r="S215" i="31"/>
  <c r="S214" i="31"/>
  <c r="S213" i="31"/>
  <c r="S212" i="31"/>
  <c r="S211" i="31"/>
  <c r="S210" i="31"/>
  <c r="S209" i="31"/>
  <c r="S208" i="31"/>
  <c r="S207" i="31"/>
  <c r="S205" i="31"/>
  <c r="S204" i="31"/>
  <c r="S203" i="31"/>
  <c r="S202" i="31"/>
  <c r="S201" i="31"/>
  <c r="S200" i="31"/>
  <c r="S199" i="31"/>
  <c r="S198" i="31"/>
  <c r="S197" i="31"/>
  <c r="S196" i="31"/>
  <c r="S195" i="31"/>
  <c r="S193" i="31"/>
  <c r="S192" i="31"/>
  <c r="S191" i="31"/>
  <c r="S190" i="31"/>
  <c r="S189" i="31"/>
  <c r="S188" i="31"/>
  <c r="S187" i="31"/>
  <c r="S186" i="31"/>
  <c r="S185" i="31"/>
  <c r="S184" i="31"/>
  <c r="S183" i="31"/>
  <c r="S181" i="31"/>
  <c r="S180" i="31"/>
  <c r="S179" i="31"/>
  <c r="S178" i="31"/>
  <c r="S177" i="31"/>
  <c r="S176" i="31"/>
  <c r="S175" i="31"/>
  <c r="S174" i="31"/>
  <c r="S173" i="31"/>
  <c r="S172" i="31"/>
  <c r="S171" i="31"/>
  <c r="S169" i="31"/>
  <c r="S168" i="31"/>
  <c r="S167" i="31"/>
  <c r="S166" i="31"/>
  <c r="S165" i="31"/>
  <c r="S164" i="31"/>
  <c r="S163" i="31"/>
  <c r="S162" i="31"/>
  <c r="S161" i="31"/>
  <c r="S160" i="31"/>
  <c r="S159" i="31"/>
  <c r="S157" i="31"/>
  <c r="S156" i="31"/>
  <c r="S155" i="31"/>
  <c r="S154" i="31"/>
  <c r="S153" i="31"/>
  <c r="S152" i="31"/>
  <c r="S151" i="31"/>
  <c r="S150" i="31"/>
  <c r="S149" i="31"/>
  <c r="S148" i="31"/>
  <c r="S147" i="31"/>
  <c r="S145" i="31"/>
  <c r="S144" i="31"/>
  <c r="S143" i="31"/>
  <c r="S142" i="31"/>
  <c r="S141" i="31"/>
  <c r="S140" i="31"/>
  <c r="S139" i="31"/>
  <c r="S138" i="31"/>
  <c r="S137" i="31"/>
  <c r="S136" i="31"/>
  <c r="S135" i="31"/>
  <c r="S133" i="31"/>
  <c r="S132" i="31"/>
  <c r="S131" i="31"/>
  <c r="S130" i="31"/>
  <c r="S129" i="31"/>
  <c r="S128" i="31"/>
  <c r="S127" i="31"/>
  <c r="S126" i="31"/>
  <c r="S125" i="31"/>
  <c r="S124" i="31"/>
  <c r="S123" i="31"/>
  <c r="S497" i="31"/>
  <c r="S496" i="31"/>
  <c r="S495" i="31"/>
  <c r="S493" i="31"/>
  <c r="S492" i="31"/>
  <c r="S491" i="31"/>
  <c r="S490" i="31"/>
  <c r="S489" i="31"/>
  <c r="S488" i="31"/>
  <c r="S487" i="31"/>
  <c r="S486" i="31"/>
  <c r="S485" i="31"/>
  <c r="S484" i="31"/>
  <c r="S483" i="31"/>
  <c r="S481" i="31"/>
  <c r="S480" i="31"/>
  <c r="S479" i="31"/>
  <c r="S478" i="31"/>
  <c r="S477" i="31"/>
  <c r="S476" i="31"/>
  <c r="S475" i="31"/>
  <c r="S474" i="31"/>
  <c r="S473" i="31"/>
  <c r="S472" i="31"/>
  <c r="S471" i="31"/>
  <c r="S469" i="31"/>
  <c r="S468" i="31"/>
  <c r="S444" i="31"/>
  <c r="S443" i="31"/>
  <c r="S442" i="31"/>
  <c r="S441" i="31"/>
  <c r="S440" i="31"/>
  <c r="S439" i="31"/>
  <c r="S438" i="31"/>
  <c r="S437" i="31"/>
  <c r="S436" i="31"/>
  <c r="S435" i="31"/>
  <c r="S433" i="31"/>
  <c r="S432" i="31"/>
  <c r="S431" i="31"/>
  <c r="S430" i="31"/>
  <c r="S121" i="31"/>
  <c r="S120" i="31"/>
  <c r="S119" i="31"/>
  <c r="S118" i="31"/>
  <c r="S117" i="31"/>
  <c r="S116" i="31"/>
  <c r="S115" i="31"/>
  <c r="S114" i="31"/>
  <c r="S113" i="31"/>
  <c r="S112" i="31"/>
  <c r="S504" i="31"/>
  <c r="S502" i="31"/>
  <c r="S500" i="31"/>
  <c r="S498" i="31"/>
  <c r="S467" i="31"/>
  <c r="S466" i="31"/>
  <c r="S465" i="31"/>
  <c r="S464" i="31"/>
  <c r="S463" i="31"/>
  <c r="S462" i="31"/>
  <c r="S461" i="31"/>
  <c r="S460" i="31"/>
  <c r="S459" i="31"/>
  <c r="S457" i="31"/>
  <c r="S456" i="31"/>
  <c r="S455" i="31"/>
  <c r="S454" i="31"/>
  <c r="S453" i="31"/>
  <c r="S452" i="31"/>
  <c r="S451" i="31"/>
  <c r="S450" i="31"/>
  <c r="S54" i="31"/>
  <c r="S53" i="31"/>
  <c r="S52" i="31"/>
  <c r="S51" i="31"/>
  <c r="S49" i="31"/>
  <c r="S48" i="31"/>
  <c r="S47" i="31"/>
  <c r="S46" i="31"/>
  <c r="S45" i="31"/>
  <c r="S44" i="31"/>
  <c r="S43" i="31"/>
  <c r="S42" i="31"/>
  <c r="S41" i="31"/>
  <c r="S40" i="31"/>
  <c r="S39" i="31"/>
  <c r="S37" i="31"/>
  <c r="S36" i="31"/>
  <c r="S35" i="31"/>
  <c r="S34" i="31"/>
  <c r="S33" i="31"/>
  <c r="S32" i="31"/>
  <c r="S77" i="31"/>
  <c r="S76" i="31"/>
  <c r="S75" i="31"/>
  <c r="S73" i="31"/>
  <c r="S72" i="31"/>
  <c r="S71" i="31"/>
  <c r="S70" i="31"/>
  <c r="S69" i="31"/>
  <c r="S68" i="31"/>
  <c r="S67" i="31"/>
  <c r="S66" i="31"/>
  <c r="S65" i="31"/>
  <c r="S64" i="31"/>
  <c r="S63" i="31"/>
  <c r="S61" i="31"/>
  <c r="S60" i="31"/>
  <c r="S59" i="31"/>
  <c r="S58" i="31"/>
  <c r="S57" i="31"/>
  <c r="S56" i="31"/>
  <c r="S55" i="31"/>
  <c r="S24" i="31"/>
  <c r="S97" i="31"/>
  <c r="S96" i="31"/>
  <c r="S95" i="31"/>
  <c r="S94" i="31"/>
  <c r="S93" i="31"/>
  <c r="S92" i="31"/>
  <c r="S91" i="31"/>
  <c r="S90" i="31"/>
  <c r="S89" i="31"/>
  <c r="S88" i="31"/>
  <c r="S87" i="31"/>
  <c r="S85" i="31"/>
  <c r="S84" i="31"/>
  <c r="S83" i="31"/>
  <c r="S82" i="31"/>
  <c r="S81" i="31"/>
  <c r="S80" i="31"/>
  <c r="S79" i="31"/>
  <c r="S78" i="31"/>
  <c r="S31" i="31"/>
  <c r="S30" i="31"/>
  <c r="S29" i="31"/>
  <c r="S99" i="31"/>
  <c r="S100" i="31"/>
  <c r="S101" i="31"/>
  <c r="S102" i="31"/>
  <c r="S103" i="31"/>
  <c r="S104" i="31"/>
  <c r="S105" i="31"/>
  <c r="S106" i="31"/>
  <c r="S107" i="31"/>
  <c r="S108" i="31"/>
  <c r="S109" i="31"/>
  <c r="S111" i="31"/>
  <c r="S445"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G494" i="3" s="1"/>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G502" i="3" s="1"/>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G515" i="3" s="1"/>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A516" i="3" s="1"/>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G538" i="3" s="1"/>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G546" i="3" s="1"/>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G554" i="3" s="1"/>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G584" i="3" s="1"/>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J35" i="39" s="1"/>
  <c r="AC35" i="39" s="1"/>
  <c r="B111" i="39"/>
  <c r="J30" i="36"/>
  <c r="W30" i="36" s="1"/>
  <c r="H30" i="36"/>
  <c r="AB30" i="36" s="1"/>
  <c r="F30" i="36"/>
  <c r="AA30" i="36" s="1"/>
  <c r="C26" i="35"/>
  <c r="C79" i="35" s="1"/>
  <c r="J31" i="35"/>
  <c r="H31" i="35"/>
  <c r="AB31" i="35" s="1"/>
  <c r="F31" i="35"/>
  <c r="AA31" i="35" s="1"/>
  <c r="D87" i="35"/>
  <c r="E87" i="35" s="1"/>
  <c r="F87" i="35" s="1"/>
  <c r="G87" i="35" s="1"/>
  <c r="H87" i="35" s="1"/>
  <c r="I87" i="35" s="1"/>
  <c r="J87" i="35" s="1"/>
  <c r="K87" i="35" s="1"/>
  <c r="L87" i="35" s="1"/>
  <c r="M87" i="35" s="1"/>
  <c r="H34" i="37"/>
  <c r="AB34" i="37" s="1"/>
  <c r="D101" i="37"/>
  <c r="E101" i="37" s="1"/>
  <c r="F101" i="37" s="1"/>
  <c r="G101" i="37" s="1"/>
  <c r="H101" i="37" s="1"/>
  <c r="I101" i="37" s="1"/>
  <c r="J101" i="37" s="1"/>
  <c r="K101" i="37" s="1"/>
  <c r="L101" i="37" s="1"/>
  <c r="M101" i="37" s="1"/>
  <c r="F34" i="37"/>
  <c r="S34" i="37" s="1"/>
  <c r="D99" i="37"/>
  <c r="E99" i="37" s="1"/>
  <c r="F99" i="37" s="1"/>
  <c r="G99" i="37" s="1"/>
  <c r="H99" i="37" s="1"/>
  <c r="I99" i="37" s="1"/>
  <c r="J99" i="37" s="1"/>
  <c r="K99" i="37" s="1"/>
  <c r="L99" i="37" s="1"/>
  <c r="M99" i="37" s="1"/>
  <c r="H42" i="34"/>
  <c r="U42" i="34" s="1"/>
  <c r="J42" i="34"/>
  <c r="W42" i="34" s="1"/>
  <c r="F42" i="34"/>
  <c r="J38" i="34"/>
  <c r="W38" i="34" s="1"/>
  <c r="D114" i="34"/>
  <c r="E114" i="34" s="1"/>
  <c r="F114" i="34" s="1"/>
  <c r="G114" i="34" s="1"/>
  <c r="H114" i="34" s="1"/>
  <c r="I114" i="34" s="1"/>
  <c r="J114" i="34" s="1"/>
  <c r="K114" i="34" s="1"/>
  <c r="L114" i="34" s="1"/>
  <c r="M114" i="34" s="1"/>
  <c r="F38" i="34"/>
  <c r="D112" i="34"/>
  <c r="E112" i="34" s="1"/>
  <c r="F112" i="34" s="1"/>
  <c r="G112" i="34" s="1"/>
  <c r="H112" i="34" s="1"/>
  <c r="I112" i="34" s="1"/>
  <c r="J112" i="34" s="1"/>
  <c r="K112" i="34" s="1"/>
  <c r="L112" i="34" s="1"/>
  <c r="M112" i="34" s="1"/>
  <c r="F40" i="33"/>
  <c r="S40" i="33" s="1"/>
  <c r="J41" i="33"/>
  <c r="AC41" i="33" s="1"/>
  <c r="D113" i="33"/>
  <c r="E113" i="33" s="1"/>
  <c r="F113" i="33" s="1"/>
  <c r="G113" i="33" s="1"/>
  <c r="H113" i="33" s="1"/>
  <c r="I113" i="33" s="1"/>
  <c r="J113" i="33" s="1"/>
  <c r="K113" i="33" s="1"/>
  <c r="L113" i="33" s="1"/>
  <c r="M113" i="33" s="1"/>
  <c r="F37" i="33"/>
  <c r="S37" i="33" s="1"/>
  <c r="D111" i="33"/>
  <c r="E111" i="33" s="1"/>
  <c r="F111" i="33" s="1"/>
  <c r="G111" i="33" s="1"/>
  <c r="H111" i="33" s="1"/>
  <c r="I111" i="33" s="1"/>
  <c r="J111" i="33" s="1"/>
  <c r="K111" i="33" s="1"/>
  <c r="L111" i="33" s="1"/>
  <c r="M111" i="33" s="1"/>
  <c r="S515" i="31"/>
  <c r="S516" i="31"/>
  <c r="S517" i="31"/>
  <c r="S519" i="31"/>
  <c r="S520" i="31"/>
  <c r="S521" i="31"/>
  <c r="S522" i="31"/>
  <c r="S523" i="31"/>
  <c r="S524" i="31"/>
  <c r="F41" i="21"/>
  <c r="S41" i="21" s="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B116" i="40"/>
  <c r="F38" i="40" s="1"/>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H107" i="40"/>
  <c r="G107" i="40"/>
  <c r="F107" i="40"/>
  <c r="E107" i="40"/>
  <c r="D107" i="40"/>
  <c r="C107" i="40"/>
  <c r="B105" i="40"/>
  <c r="B103" i="40"/>
  <c r="J32" i="40" s="1"/>
  <c r="AC32" i="40" s="1"/>
  <c r="B101" i="40"/>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H14" i="40" s="1"/>
  <c r="B79" i="40"/>
  <c r="F13" i="40" s="1"/>
  <c r="B77" i="40"/>
  <c r="J12" i="40" s="1"/>
  <c r="W12" i="40" s="1"/>
  <c r="M74" i="40"/>
  <c r="L74" i="40"/>
  <c r="K74" i="40"/>
  <c r="J74" i="40"/>
  <c r="I74" i="40"/>
  <c r="H74" i="40"/>
  <c r="G74" i="40"/>
  <c r="F74" i="40"/>
  <c r="E74" i="40"/>
  <c r="D74" i="40"/>
  <c r="C74" i="40"/>
  <c r="P43" i="40"/>
  <c r="P42" i="40"/>
  <c r="V41" i="40"/>
  <c r="T41" i="40"/>
  <c r="R41" i="40"/>
  <c r="P41" i="40"/>
  <c r="Q40" i="40"/>
  <c r="Z40" i="40" s="1"/>
  <c r="Q39" i="40"/>
  <c r="Z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H37" i="39" s="1"/>
  <c r="D108" i="39"/>
  <c r="E108" i="39" s="1"/>
  <c r="F108" i="39" s="1"/>
  <c r="G108" i="39" s="1"/>
  <c r="H108" i="39" s="1"/>
  <c r="I108" i="39" s="1"/>
  <c r="J108" i="39" s="1"/>
  <c r="K108" i="39" s="1"/>
  <c r="L108" i="39" s="1"/>
  <c r="M108" i="39" s="1"/>
  <c r="F34" i="39"/>
  <c r="S34"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0" i="39"/>
  <c r="E100" i="39" s="1"/>
  <c r="F100" i="39" s="1"/>
  <c r="G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U45" i="39" s="1"/>
  <c r="B128" i="39"/>
  <c r="H44" i="39" s="1"/>
  <c r="B126" i="39"/>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E96" i="39" s="1"/>
  <c r="F96" i="39" s="1"/>
  <c r="G96" i="39" s="1"/>
  <c r="J23" i="39"/>
  <c r="AC23" i="39" s="1"/>
  <c r="D94" i="39"/>
  <c r="E94" i="39" s="1"/>
  <c r="F94" i="39" s="1"/>
  <c r="D92" i="39"/>
  <c r="E92" i="39" s="1"/>
  <c r="F92" i="39" s="1"/>
  <c r="G92" i="39" s="1"/>
  <c r="D90" i="39"/>
  <c r="E90" i="39" s="1"/>
  <c r="F90" i="39" s="1"/>
  <c r="G90" i="39" s="1"/>
  <c r="D88" i="39"/>
  <c r="E88" i="39" s="1"/>
  <c r="F88" i="39" s="1"/>
  <c r="G88" i="39" s="1"/>
  <c r="B85" i="39"/>
  <c r="J14" i="39" s="1"/>
  <c r="AC14" i="39" s="1"/>
  <c r="B83" i="39"/>
  <c r="B81" i="39"/>
  <c r="H12" i="39" s="1"/>
  <c r="AB12" i="39" s="1"/>
  <c r="M78" i="39"/>
  <c r="L78" i="39"/>
  <c r="K78" i="39"/>
  <c r="J78" i="39"/>
  <c r="I78" i="39"/>
  <c r="H78" i="39"/>
  <c r="G78" i="39"/>
  <c r="F78" i="39"/>
  <c r="E78" i="39"/>
  <c r="D78" i="39"/>
  <c r="C78" i="39"/>
  <c r="P48" i="39"/>
  <c r="P47" i="39"/>
  <c r="V46" i="39"/>
  <c r="T46" i="39"/>
  <c r="R46" i="39"/>
  <c r="P46" i="39"/>
  <c r="J40" i="39"/>
  <c r="AC40" i="39" s="1"/>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F9" i="39"/>
  <c r="AA9" i="39" s="1"/>
  <c r="J8" i="39"/>
  <c r="AC8" i="39" s="1"/>
  <c r="H8" i="39"/>
  <c r="U8" i="39" s="1"/>
  <c r="F8" i="39"/>
  <c r="AA8" i="39" s="1"/>
  <c r="C20" i="36"/>
  <c r="C20" i="35"/>
  <c r="C16" i="36"/>
  <c r="C16" i="35"/>
  <c r="C14" i="36"/>
  <c r="C14" i="35"/>
  <c r="B80" i="37"/>
  <c r="B110" i="37"/>
  <c r="J39" i="37" s="1"/>
  <c r="AC39" i="37" s="1"/>
  <c r="B108" i="37"/>
  <c r="F38" i="37" s="1"/>
  <c r="C23" i="37"/>
  <c r="C19" i="37"/>
  <c r="C17" i="37"/>
  <c r="C15" i="37"/>
  <c r="B112" i="37"/>
  <c r="F40" i="37" s="1"/>
  <c r="D107" i="37"/>
  <c r="E107" i="37" s="1"/>
  <c r="F107" i="37" s="1"/>
  <c r="G107" i="37" s="1"/>
  <c r="H107" i="37" s="1"/>
  <c r="I107" i="37" s="1"/>
  <c r="J107" i="37" s="1"/>
  <c r="K107" i="37" s="1"/>
  <c r="L107" i="37" s="1"/>
  <c r="M107" i="37" s="1"/>
  <c r="D105" i="37"/>
  <c r="E105" i="37" s="1"/>
  <c r="D103" i="37"/>
  <c r="E103" i="37" s="1"/>
  <c r="F103" i="37" s="1"/>
  <c r="G103" i="37" s="1"/>
  <c r="H103" i="37" s="1"/>
  <c r="I103" i="37" s="1"/>
  <c r="J103" i="37" s="1"/>
  <c r="K103" i="37" s="1"/>
  <c r="L103" i="37" s="1"/>
  <c r="M103" i="37" s="1"/>
  <c r="J35" i="37"/>
  <c r="W35" i="37" s="1"/>
  <c r="F97" i="37"/>
  <c r="E97" i="37"/>
  <c r="D97" i="37"/>
  <c r="C97" i="37"/>
  <c r="D96" i="37"/>
  <c r="E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H27" i="37" s="1"/>
  <c r="U27" i="37" s="1"/>
  <c r="B82" i="37"/>
  <c r="H26" i="37" s="1"/>
  <c r="AB26" i="37" s="1"/>
  <c r="D79" i="37"/>
  <c r="E79" i="37" s="1"/>
  <c r="F79" i="37" s="1"/>
  <c r="G79" i="37" s="1"/>
  <c r="D75" i="37"/>
  <c r="E75" i="37" s="1"/>
  <c r="F75" i="37" s="1"/>
  <c r="G75" i="37" s="1"/>
  <c r="D73" i="37"/>
  <c r="E73" i="37" s="1"/>
  <c r="F73" i="37" s="1"/>
  <c r="D71" i="37"/>
  <c r="E71" i="37" s="1"/>
  <c r="F71" i="37" s="1"/>
  <c r="G71" i="37" s="1"/>
  <c r="H15" i="37"/>
  <c r="AB15" i="37" s="1"/>
  <c r="B68" i="37"/>
  <c r="H14" i="37" s="1"/>
  <c r="AB14" i="37" s="1"/>
  <c r="B66" i="37"/>
  <c r="B64" i="37"/>
  <c r="D63" i="37"/>
  <c r="E63" i="37" s="1"/>
  <c r="F63" i="37" s="1"/>
  <c r="M61" i="37"/>
  <c r="L61" i="37"/>
  <c r="K61" i="37"/>
  <c r="J61" i="37"/>
  <c r="I61" i="37"/>
  <c r="H61" i="37"/>
  <c r="G61" i="37"/>
  <c r="F61" i="37"/>
  <c r="E61" i="37"/>
  <c r="D61" i="37"/>
  <c r="C61" i="37"/>
  <c r="C57" i="37"/>
  <c r="J9" i="37" s="1"/>
  <c r="W9" i="37" s="1"/>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AC30" i="37" s="1"/>
  <c r="H30" i="37"/>
  <c r="F30" i="37"/>
  <c r="Q29" i="37"/>
  <c r="Z29" i="37" s="1"/>
  <c r="H29" i="37"/>
  <c r="AB29" i="37" s="1"/>
  <c r="Q28" i="37"/>
  <c r="Z28" i="37" s="1"/>
  <c r="Q27" i="37"/>
  <c r="Z27" i="37" s="1"/>
  <c r="Q26" i="37"/>
  <c r="Z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U29" i="36" s="1"/>
  <c r="D81" i="36"/>
  <c r="E81" i="36" s="1"/>
  <c r="F81" i="36" s="1"/>
  <c r="G81" i="36" s="1"/>
  <c r="H81" i="36" s="1"/>
  <c r="I81" i="36" s="1"/>
  <c r="J81" i="36" s="1"/>
  <c r="K81" i="36" s="1"/>
  <c r="L81" i="36" s="1"/>
  <c r="M81" i="36" s="1"/>
  <c r="F79" i="36"/>
  <c r="E79" i="36"/>
  <c r="D79" i="36"/>
  <c r="C79" i="36"/>
  <c r="B93" i="36"/>
  <c r="H33" i="36" s="1"/>
  <c r="B91" i="36"/>
  <c r="J32" i="36" s="1"/>
  <c r="W32" i="36" s="1"/>
  <c r="B95"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H25" i="36" s="1"/>
  <c r="AB25" i="36" s="1"/>
  <c r="B73" i="36"/>
  <c r="F24" i="36" s="1"/>
  <c r="AA24" i="36" s="1"/>
  <c r="B71" i="36"/>
  <c r="H23" i="36" s="1"/>
  <c r="AB23" i="36" s="1"/>
  <c r="D70" i="36"/>
  <c r="H22" i="36"/>
  <c r="AB22" i="36" s="1"/>
  <c r="D68" i="36"/>
  <c r="E68" i="36" s="1"/>
  <c r="F68" i="36" s="1"/>
  <c r="G68" i="36" s="1"/>
  <c r="D64" i="36"/>
  <c r="E64" i="36" s="1"/>
  <c r="F64" i="36" s="1"/>
  <c r="G64" i="36" s="1"/>
  <c r="J16" i="36"/>
  <c r="W16" i="36" s="1"/>
  <c r="D62" i="36"/>
  <c r="E62" i="36" s="1"/>
  <c r="F62" i="36" s="1"/>
  <c r="G62" i="36" s="1"/>
  <c r="B59" i="36"/>
  <c r="J13" i="36" s="1"/>
  <c r="B57" i="36"/>
  <c r="H12" i="36" s="1"/>
  <c r="B55" i="36"/>
  <c r="H11" i="36" s="1"/>
  <c r="U11" i="36" s="1"/>
  <c r="C51" i="36"/>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s="1"/>
  <c r="Q26" i="36"/>
  <c r="Z26" i="36" s="1"/>
  <c r="H26" i="36"/>
  <c r="AB26" i="36" s="1"/>
  <c r="Q25" i="36"/>
  <c r="Z25" i="36" s="1"/>
  <c r="Q24" i="36"/>
  <c r="Z24" i="36" s="1"/>
  <c r="Q23" i="36"/>
  <c r="Z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8" i="36"/>
  <c r="AC8" i="36" s="1"/>
  <c r="H8" i="36"/>
  <c r="U8" i="36" s="1"/>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H27" i="35"/>
  <c r="U27" i="35" s="1"/>
  <c r="F27" i="35"/>
  <c r="J22" i="35"/>
  <c r="B101" i="35"/>
  <c r="B99" i="35"/>
  <c r="H35" i="35" s="1"/>
  <c r="B97" i="35"/>
  <c r="H34" i="35" s="1"/>
  <c r="AB34" i="35" s="1"/>
  <c r="B77" i="35"/>
  <c r="F25" i="35" s="1"/>
  <c r="S25" i="35" s="1"/>
  <c r="B75" i="35"/>
  <c r="H24" i="35" s="1"/>
  <c r="AB24" i="35" s="1"/>
  <c r="B73" i="35"/>
  <c r="F23" i="35" s="1"/>
  <c r="AA23" i="35" s="1"/>
  <c r="B57" i="35"/>
  <c r="F11" i="35" s="1"/>
  <c r="B61" i="35"/>
  <c r="B59" i="35"/>
  <c r="H12" i="35" s="1"/>
  <c r="B131" i="34"/>
  <c r="H47" i="34" s="1"/>
  <c r="B129" i="34"/>
  <c r="F46" i="34" s="1"/>
  <c r="B127" i="34"/>
  <c r="H45" i="34" s="1"/>
  <c r="U45" i="34" s="1"/>
  <c r="B99" i="34"/>
  <c r="H32" i="34" s="1"/>
  <c r="AB32" i="34" s="1"/>
  <c r="B97" i="34"/>
  <c r="B95" i="34"/>
  <c r="F30" i="34" s="1"/>
  <c r="B93" i="34"/>
  <c r="J29" i="34" s="1"/>
  <c r="AC29" i="34" s="1"/>
  <c r="B75" i="34"/>
  <c r="J14" i="34" s="1"/>
  <c r="W14" i="34" s="1"/>
  <c r="B73" i="34"/>
  <c r="B71" i="34"/>
  <c r="J12" i="34" s="1"/>
  <c r="W12" i="34" s="1"/>
  <c r="B130" i="33"/>
  <c r="F46" i="33" s="1"/>
  <c r="AA46" i="33" s="1"/>
  <c r="B128" i="33"/>
  <c r="F45" i="33" s="1"/>
  <c r="AA45" i="33" s="1"/>
  <c r="B126" i="33"/>
  <c r="J44" i="33" s="1"/>
  <c r="B98" i="33"/>
  <c r="F31" i="33" s="1"/>
  <c r="B96" i="33"/>
  <c r="B94" i="33"/>
  <c r="B74" i="33"/>
  <c r="B72" i="33"/>
  <c r="F13" i="33" s="1"/>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c r="F12" i="34"/>
  <c r="S12" i="34" s="1"/>
  <c r="Q11" i="34"/>
  <c r="Z11" i="34" s="1"/>
  <c r="Q10" i="34"/>
  <c r="Z10" i="34" s="1"/>
  <c r="F10" i="34"/>
  <c r="AA10" i="34" s="1"/>
  <c r="Q9" i="34"/>
  <c r="Z9" i="34" s="1"/>
  <c r="J8" i="34"/>
  <c r="AC8" i="34" s="1"/>
  <c r="H8" i="34"/>
  <c r="U8" i="34" s="1"/>
  <c r="F8" i="34"/>
  <c r="D121" i="33"/>
  <c r="E121" i="33" s="1"/>
  <c r="F109" i="33"/>
  <c r="E109" i="33"/>
  <c r="D109" i="33"/>
  <c r="C109" i="33"/>
  <c r="D91" i="33"/>
  <c r="E91" i="33" s="1"/>
  <c r="F91" i="33" s="1"/>
  <c r="G91" i="33" s="1"/>
  <c r="H91" i="33" s="1"/>
  <c r="I91" i="33" s="1"/>
  <c r="J91" i="33" s="1"/>
  <c r="K91" i="33" s="1"/>
  <c r="L91" i="33" s="1"/>
  <c r="M91" i="33" s="1"/>
  <c r="B88" i="33"/>
  <c r="C23" i="33"/>
  <c r="C19" i="33"/>
  <c r="C17" i="33"/>
  <c r="C15" i="33"/>
  <c r="C15" i="21"/>
  <c r="D125" i="33"/>
  <c r="E125" i="33" s="1"/>
  <c r="F125" i="33" s="1"/>
  <c r="G125" i="33" s="1"/>
  <c r="D123" i="33"/>
  <c r="E123" i="33" s="1"/>
  <c r="F123" i="33" s="1"/>
  <c r="G123" i="33" s="1"/>
  <c r="H123" i="33" s="1"/>
  <c r="I123" i="33" s="1"/>
  <c r="J123" i="33" s="1"/>
  <c r="K123" i="33" s="1"/>
  <c r="L123" i="33" s="1"/>
  <c r="M123" i="33" s="1"/>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M102" i="33"/>
  <c r="L102" i="33"/>
  <c r="K102" i="33"/>
  <c r="J102" i="33"/>
  <c r="I102" i="33"/>
  <c r="H102" i="33"/>
  <c r="G102" i="33"/>
  <c r="F102" i="33"/>
  <c r="E102" i="33"/>
  <c r="D102" i="33"/>
  <c r="C102" i="33"/>
  <c r="D101" i="33"/>
  <c r="E101" i="33" s="1"/>
  <c r="B92" i="33"/>
  <c r="H28" i="33" s="1"/>
  <c r="U28" i="33" s="1"/>
  <c r="B90" i="33"/>
  <c r="F27" i="33" s="1"/>
  <c r="D87" i="33"/>
  <c r="E87" i="33" s="1"/>
  <c r="F87" i="33" s="1"/>
  <c r="G87" i="33" s="1"/>
  <c r="H87" i="33" s="1"/>
  <c r="I87" i="33" s="1"/>
  <c r="J87" i="33" s="1"/>
  <c r="K87" i="33" s="1"/>
  <c r="L87" i="33" s="1"/>
  <c r="M87" i="33" s="1"/>
  <c r="D85" i="33"/>
  <c r="E85" i="33" s="1"/>
  <c r="F85" i="33" s="1"/>
  <c r="G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Q39" i="33"/>
  <c r="Z39" i="33" s="1"/>
  <c r="J39" i="33"/>
  <c r="AC39" i="33" s="1"/>
  <c r="Q38" i="33"/>
  <c r="Z38" i="33" s="1"/>
  <c r="J38" i="33"/>
  <c r="H38" i="33"/>
  <c r="AB38" i="33" s="1"/>
  <c r="F38" i="33"/>
  <c r="Q37" i="33"/>
  <c r="Z37" i="33" s="1"/>
  <c r="Q36" i="33"/>
  <c r="Z36" i="33" s="1"/>
  <c r="Q35" i="33"/>
  <c r="Z35" i="33" s="1"/>
  <c r="H35" i="33"/>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s="1"/>
  <c r="J9" i="33"/>
  <c r="AC9" i="33" s="1"/>
  <c r="J8" i="33"/>
  <c r="AC8" i="33" s="1"/>
  <c r="H8" i="33"/>
  <c r="AB8" i="33" s="1"/>
  <c r="F8" i="33"/>
  <c r="AA8" i="33" s="1"/>
  <c r="M102" i="21"/>
  <c r="D102" i="21"/>
  <c r="E102" i="21"/>
  <c r="F102" i="21"/>
  <c r="G102" i="21"/>
  <c r="H102" i="21"/>
  <c r="I102" i="21"/>
  <c r="J102" i="21"/>
  <c r="K102" i="21"/>
  <c r="L102" i="21"/>
  <c r="C102" i="21"/>
  <c r="C63" i="21"/>
  <c r="F9" i="21" s="1"/>
  <c r="S9" i="21" s="1"/>
  <c r="G18" i="20"/>
  <c r="G19" i="20"/>
  <c r="B87" i="43" s="1"/>
  <c r="G16" i="20"/>
  <c r="B84" i="43" s="1"/>
  <c r="G15" i="20"/>
  <c r="B83" i="43" s="1"/>
  <c r="C24" i="20"/>
  <c r="B65" i="43" s="1"/>
  <c r="C21" i="20"/>
  <c r="B99" i="43" s="1"/>
  <c r="C20" i="20"/>
  <c r="B79" i="43" s="1"/>
  <c r="C18" i="20"/>
  <c r="B94" i="43" s="1"/>
  <c r="C17" i="20"/>
  <c r="B61" i="43" s="1"/>
  <c r="C16" i="20"/>
  <c r="C17" i="39" s="1"/>
  <c r="C15" i="20"/>
  <c r="B72"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E119" i="21" s="1"/>
  <c r="F119" i="21" s="1"/>
  <c r="G119" i="21" s="1"/>
  <c r="H119" i="21" s="1"/>
  <c r="I119" i="21" s="1"/>
  <c r="J119" i="21" s="1"/>
  <c r="K119" i="21" s="1"/>
  <c r="L119" i="21" s="1"/>
  <c r="M119" i="21" s="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E85" i="21" s="1"/>
  <c r="F85" i="21" s="1"/>
  <c r="G85" i="21" s="1"/>
  <c r="F19" i="21"/>
  <c r="AA19" i="21" s="1"/>
  <c r="E81" i="21"/>
  <c r="F81" i="21" s="1"/>
  <c r="G81" i="21" s="1"/>
  <c r="D77" i="21"/>
  <c r="E77" i="21" s="1"/>
  <c r="B130" i="21"/>
  <c r="H46" i="21" s="1"/>
  <c r="U46" i="21" s="1"/>
  <c r="B128" i="21"/>
  <c r="H45" i="21" s="1"/>
  <c r="U45" i="21" s="1"/>
  <c r="B126" i="21"/>
  <c r="B98" i="21"/>
  <c r="B96" i="21"/>
  <c r="B94" i="21"/>
  <c r="B92" i="21"/>
  <c r="B90" i="21"/>
  <c r="J27" i="21" s="1"/>
  <c r="W27" i="21" s="1"/>
  <c r="B74" i="21"/>
  <c r="J14" i="21" s="1"/>
  <c r="W14" i="21" s="1"/>
  <c r="B72" i="21"/>
  <c r="F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26" i="21"/>
  <c r="W26" i="21" s="1"/>
  <c r="F26" i="21"/>
  <c r="S26" i="21" s="1"/>
  <c r="F29" i="36"/>
  <c r="AA29" i="36" s="1"/>
  <c r="F16" i="36"/>
  <c r="AA16" i="36" s="1"/>
  <c r="H22" i="35"/>
  <c r="AB22" i="35" s="1"/>
  <c r="U34" i="35"/>
  <c r="F36" i="34"/>
  <c r="J35" i="34"/>
  <c r="W35" i="34" s="1"/>
  <c r="H39" i="33"/>
  <c r="AB39" i="33" s="1"/>
  <c r="W39" i="33"/>
  <c r="F11" i="40"/>
  <c r="AA11" i="40" s="1"/>
  <c r="H11" i="40"/>
  <c r="AB11" i="40" s="1"/>
  <c r="U9" i="40"/>
  <c r="S34" i="40"/>
  <c r="F42" i="39"/>
  <c r="AA42" i="39" s="1"/>
  <c r="F41" i="39"/>
  <c r="H40" i="39"/>
  <c r="H39" i="39"/>
  <c r="U39" i="39" s="1"/>
  <c r="H34" i="39"/>
  <c r="H19" i="39"/>
  <c r="F19" i="39"/>
  <c r="AA19" i="39" s="1"/>
  <c r="H17" i="39"/>
  <c r="AB17" i="39" s="1"/>
  <c r="F17" i="39"/>
  <c r="AA17" i="39" s="1"/>
  <c r="J23" i="40"/>
  <c r="AC23" i="40" s="1"/>
  <c r="F21" i="40"/>
  <c r="AA21" i="40" s="1"/>
  <c r="J21" i="40"/>
  <c r="W21" i="40" s="1"/>
  <c r="H42" i="39"/>
  <c r="AB42" i="39" s="1"/>
  <c r="J34" i="39"/>
  <c r="AC34" i="39" s="1"/>
  <c r="H27" i="39"/>
  <c r="U27" i="39" s="1"/>
  <c r="J19" i="39"/>
  <c r="AC19" i="39" s="1"/>
  <c r="J17" i="39"/>
  <c r="W17" i="39" s="1"/>
  <c r="J27" i="39"/>
  <c r="AC27" i="39" s="1"/>
  <c r="F27" i="39"/>
  <c r="F11" i="21"/>
  <c r="S11" i="21" s="1"/>
  <c r="H11" i="39"/>
  <c r="H32" i="33"/>
  <c r="H11" i="21"/>
  <c r="U11" i="21" s="1"/>
  <c r="J11" i="21"/>
  <c r="W11" i="21" s="1"/>
  <c r="H37" i="40"/>
  <c r="U37" i="40" s="1"/>
  <c r="H36" i="40"/>
  <c r="F35" i="40"/>
  <c r="AA35" i="40" s="1"/>
  <c r="H23" i="40"/>
  <c r="AB23" i="40" s="1"/>
  <c r="H17" i="40"/>
  <c r="U17" i="40" s="1"/>
  <c r="J15" i="40"/>
  <c r="W15" i="40" s="1"/>
  <c r="J11" i="40"/>
  <c r="W11" i="40" s="1"/>
  <c r="AC12" i="34"/>
  <c r="J30" i="35"/>
  <c r="W30" i="35" s="1"/>
  <c r="H30" i="35"/>
  <c r="AB30" i="35" s="1"/>
  <c r="F22" i="35"/>
  <c r="H10" i="35"/>
  <c r="U10" i="35" s="1"/>
  <c r="H16" i="36"/>
  <c r="J29" i="36"/>
  <c r="AC29" i="36" s="1"/>
  <c r="F14" i="35"/>
  <c r="AA14" i="35" s="1"/>
  <c r="J32" i="35"/>
  <c r="AC32" i="35" s="1"/>
  <c r="J16" i="35"/>
  <c r="H16" i="35"/>
  <c r="U16" i="35" s="1"/>
  <c r="F16" i="35"/>
  <c r="S16" i="35" s="1"/>
  <c r="H14" i="35"/>
  <c r="AB14" i="35" s="1"/>
  <c r="J29" i="35"/>
  <c r="H33" i="35"/>
  <c r="J20" i="35"/>
  <c r="W20" i="35" s="1"/>
  <c r="F35" i="37"/>
  <c r="S35" i="37" s="1"/>
  <c r="J34" i="37"/>
  <c r="W34" i="37" s="1"/>
  <c r="J33" i="37"/>
  <c r="AC33" i="37" s="1"/>
  <c r="H40" i="34"/>
  <c r="U40" i="34"/>
  <c r="H36" i="34"/>
  <c r="U36" i="34" s="1"/>
  <c r="F37" i="34"/>
  <c r="AA37" i="34" s="1"/>
  <c r="F28" i="34"/>
  <c r="F25" i="34"/>
  <c r="S25" i="34" s="1"/>
  <c r="H23" i="34"/>
  <c r="AB23" i="34" s="1"/>
  <c r="J23" i="34"/>
  <c r="W23" i="34" s="1"/>
  <c r="F19" i="34"/>
  <c r="H17" i="34"/>
  <c r="U17" i="34" s="1"/>
  <c r="F15" i="34"/>
  <c r="AA15" i="34" s="1"/>
  <c r="J15" i="34"/>
  <c r="W15" i="34" s="1"/>
  <c r="H15" i="34"/>
  <c r="AB15" i="34" s="1"/>
  <c r="J28" i="34"/>
  <c r="F41" i="33"/>
  <c r="AA41" i="33" s="1"/>
  <c r="F32" i="33"/>
  <c r="AA32" i="33" s="1"/>
  <c r="J19" i="33"/>
  <c r="AC19" i="33" s="1"/>
  <c r="J15" i="33"/>
  <c r="AC15" i="33" s="1"/>
  <c r="F11" i="33"/>
  <c r="AA11" i="33" s="1"/>
  <c r="F37" i="40"/>
  <c r="AA37" i="40" s="1"/>
  <c r="F36" i="40"/>
  <c r="AA36" i="40" s="1"/>
  <c r="H28" i="40"/>
  <c r="U28" i="40" s="1"/>
  <c r="F23" i="40"/>
  <c r="AA23" i="40" s="1"/>
  <c r="F17" i="40"/>
  <c r="AA17" i="40" s="1"/>
  <c r="J17" i="40"/>
  <c r="W17" i="40" s="1"/>
  <c r="F15" i="40"/>
  <c r="H15" i="40"/>
  <c r="AB15" i="40" s="1"/>
  <c r="AC11" i="40"/>
  <c r="F29" i="35"/>
  <c r="S29" i="35" s="1"/>
  <c r="H29" i="35"/>
  <c r="AB29" i="35" s="1"/>
  <c r="H33" i="37"/>
  <c r="F33" i="37"/>
  <c r="AA33" i="37" s="1"/>
  <c r="U34" i="37"/>
  <c r="J43" i="34"/>
  <c r="J40" i="34"/>
  <c r="AC40" i="34" s="1"/>
  <c r="H38" i="34"/>
  <c r="AB38" i="34" s="1"/>
  <c r="J36" i="34"/>
  <c r="H37" i="34"/>
  <c r="U37" i="34" s="1"/>
  <c r="H25" i="34"/>
  <c r="AB25" i="34" s="1"/>
  <c r="J25" i="34"/>
  <c r="AC25" i="34" s="1"/>
  <c r="F23" i="34"/>
  <c r="J19" i="34"/>
  <c r="AC19" i="34" s="1"/>
  <c r="F17" i="34"/>
  <c r="AA17" i="34" s="1"/>
  <c r="J17" i="34"/>
  <c r="W17" i="34" s="1"/>
  <c r="H37" i="33"/>
  <c r="AB37" i="33" s="1"/>
  <c r="H15" i="33"/>
  <c r="AB15" i="33" s="1"/>
  <c r="H11" i="33"/>
  <c r="AB11" i="33" s="1"/>
  <c r="F28" i="40"/>
  <c r="AA28" i="40" s="1"/>
  <c r="AC38" i="34"/>
  <c r="J37" i="34"/>
  <c r="AC37" i="34" s="1"/>
  <c r="J11" i="33"/>
  <c r="W11" i="33" s="1"/>
  <c r="J42" i="21"/>
  <c r="AC42" i="21" s="1"/>
  <c r="H42" i="21"/>
  <c r="U42" i="21" s="1"/>
  <c r="J44" i="34"/>
  <c r="W44" i="34" s="1"/>
  <c r="F44" i="34"/>
  <c r="AA44" i="34" s="1"/>
  <c r="J10" i="35"/>
  <c r="AC10" i="35" s="1"/>
  <c r="H14" i="21"/>
  <c r="U14" i="21" s="1"/>
  <c r="F28" i="33"/>
  <c r="AA28" i="33" s="1"/>
  <c r="J28" i="33"/>
  <c r="W28" i="33" s="1"/>
  <c r="F33" i="35"/>
  <c r="S33" i="35" s="1"/>
  <c r="J33" i="35"/>
  <c r="AC33" i="35" s="1"/>
  <c r="F30" i="35"/>
  <c r="S30" i="35" s="1"/>
  <c r="H10" i="36"/>
  <c r="AB10" i="36" s="1"/>
  <c r="J14" i="36"/>
  <c r="W14" i="36" s="1"/>
  <c r="H14" i="36"/>
  <c r="U14" i="36" s="1"/>
  <c r="F28" i="36"/>
  <c r="AA28" i="36" s="1"/>
  <c r="H27" i="21"/>
  <c r="AB27" i="21" s="1"/>
  <c r="F27" i="21"/>
  <c r="AA27" i="21" s="1"/>
  <c r="J31" i="21"/>
  <c r="AC31" i="21" s="1"/>
  <c r="H13" i="33"/>
  <c r="U13" i="33" s="1"/>
  <c r="H29" i="33"/>
  <c r="U29" i="33" s="1"/>
  <c r="H45" i="33"/>
  <c r="H30" i="34"/>
  <c r="U30" i="34" s="1"/>
  <c r="J30" i="34"/>
  <c r="J11" i="35"/>
  <c r="W11" i="35" s="1"/>
  <c r="J26" i="36"/>
  <c r="W26" i="36" s="1"/>
  <c r="H28" i="36"/>
  <c r="U28" i="36" s="1"/>
  <c r="J11" i="36"/>
  <c r="AC11" i="36" s="1"/>
  <c r="F11" i="36"/>
  <c r="J29" i="37"/>
  <c r="W29" i="37" s="1"/>
  <c r="F29" i="37"/>
  <c r="S29" i="37" s="1"/>
  <c r="F105" i="37"/>
  <c r="G105" i="37" s="1"/>
  <c r="H36" i="37"/>
  <c r="AB36" i="37" s="1"/>
  <c r="J37" i="37"/>
  <c r="H37" i="37"/>
  <c r="U37" i="37" s="1"/>
  <c r="J40" i="37"/>
  <c r="J14" i="33"/>
  <c r="J13" i="34"/>
  <c r="W13" i="34" s="1"/>
  <c r="F31" i="34"/>
  <c r="S31" i="34" s="1"/>
  <c r="J35" i="35"/>
  <c r="AC35" i="35" s="1"/>
  <c r="F35" i="35"/>
  <c r="AA35" i="35" s="1"/>
  <c r="H13" i="37"/>
  <c r="AB13" i="37" s="1"/>
  <c r="F13" i="37"/>
  <c r="S13" i="37" s="1"/>
  <c r="J13" i="37"/>
  <c r="H30" i="40"/>
  <c r="AB30" i="40" s="1"/>
  <c r="F33" i="40"/>
  <c r="AA33" i="40" s="1"/>
  <c r="J35" i="40"/>
  <c r="AC35" i="40" s="1"/>
  <c r="J37" i="40"/>
  <c r="AC37" i="40" s="1"/>
  <c r="J27" i="37"/>
  <c r="AC27" i="37" s="1"/>
  <c r="J36" i="37"/>
  <c r="AC36" i="37" s="1"/>
  <c r="J10" i="36"/>
  <c r="AC10" i="36" s="1"/>
  <c r="S45" i="33"/>
  <c r="F17" i="21"/>
  <c r="AA17" i="21" s="1"/>
  <c r="H17" i="21"/>
  <c r="AB17" i="21" s="1"/>
  <c r="F15" i="21"/>
  <c r="S15" i="21" s="1"/>
  <c r="J41" i="39"/>
  <c r="G529" i="3"/>
  <c r="G493" i="3"/>
  <c r="G583" i="3"/>
  <c r="G575" i="3"/>
  <c r="AC557" i="3"/>
  <c r="BQ557" i="3"/>
  <c r="BQ583" i="3"/>
  <c r="BQ581" i="3"/>
  <c r="BQ579" i="3"/>
  <c r="BQ577" i="3"/>
  <c r="BQ575" i="3"/>
  <c r="BQ573" i="3"/>
  <c r="BQ571" i="3"/>
  <c r="BQ569" i="3"/>
  <c r="BQ567" i="3"/>
  <c r="BQ565" i="3"/>
  <c r="BQ563" i="3"/>
  <c r="BQ561" i="3"/>
  <c r="BQ559" i="3"/>
  <c r="G553" i="3"/>
  <c r="G545" i="3"/>
  <c r="G537" i="3"/>
  <c r="BQ555" i="3"/>
  <c r="BQ553" i="3"/>
  <c r="BQ551" i="3"/>
  <c r="BQ549" i="3"/>
  <c r="BQ547" i="3"/>
  <c r="BQ545" i="3"/>
  <c r="BQ543" i="3"/>
  <c r="BQ541" i="3"/>
  <c r="BQ539" i="3"/>
  <c r="BQ537" i="3"/>
  <c r="BQ535" i="3"/>
  <c r="BQ533" i="3"/>
  <c r="BQ531" i="3"/>
  <c r="BQ529" i="3"/>
  <c r="BQ527" i="3"/>
  <c r="BQ525" i="3"/>
  <c r="BQ523" i="3"/>
  <c r="AC521" i="3"/>
  <c r="G521" i="3" s="1"/>
  <c r="BQ521" i="3"/>
  <c r="BQ519" i="3"/>
  <c r="BQ517" i="3"/>
  <c r="BQ515" i="3"/>
  <c r="BQ513" i="3"/>
  <c r="BQ511" i="3"/>
  <c r="AC509" i="3"/>
  <c r="G509" i="3" s="1"/>
  <c r="BQ509" i="3"/>
  <c r="G501" i="3"/>
  <c r="G499" i="3"/>
  <c r="BQ507" i="3"/>
  <c r="BQ505" i="3"/>
  <c r="BQ503" i="3"/>
  <c r="BQ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H25" i="21"/>
  <c r="U25" i="21" s="1"/>
  <c r="F25" i="21"/>
  <c r="J25" i="21"/>
  <c r="H43" i="33"/>
  <c r="H17" i="37"/>
  <c r="U17" i="37" s="1"/>
  <c r="F39" i="33"/>
  <c r="AA39" i="33" s="1"/>
  <c r="F42" i="33"/>
  <c r="H28" i="34"/>
  <c r="AB28" i="34" s="1"/>
  <c r="F14" i="36"/>
  <c r="AA14" i="36" s="1"/>
  <c r="F22" i="36"/>
  <c r="F26" i="36"/>
  <c r="S26" i="36" s="1"/>
  <c r="H35" i="34"/>
  <c r="U35" i="34" s="1"/>
  <c r="F41" i="34"/>
  <c r="H41" i="34"/>
  <c r="U41" i="34" s="1"/>
  <c r="J41" i="34"/>
  <c r="AC41" i="34" s="1"/>
  <c r="F10" i="35"/>
  <c r="S10" i="35" s="1"/>
  <c r="H23" i="37"/>
  <c r="AB23" i="37" s="1"/>
  <c r="J32" i="37"/>
  <c r="AC32" i="37" s="1"/>
  <c r="F36" i="37"/>
  <c r="AA36" i="37" s="1"/>
  <c r="F37" i="37"/>
  <c r="AA37" i="37" s="1"/>
  <c r="F31" i="40"/>
  <c r="AA31" i="40" s="1"/>
  <c r="J36" i="40"/>
  <c r="W36" i="40" s="1"/>
  <c r="H19" i="37"/>
  <c r="AB19" i="37" s="1"/>
  <c r="H42" i="33"/>
  <c r="AB42" i="33" s="1"/>
  <c r="J43" i="33"/>
  <c r="AC43" i="33" s="1"/>
  <c r="S28" i="31"/>
  <c r="S27" i="31"/>
  <c r="S26" i="31"/>
  <c r="U26" i="37"/>
  <c r="U19" i="21"/>
  <c r="F43" i="33"/>
  <c r="AA43" i="33" s="1"/>
  <c r="AC15" i="34"/>
  <c r="H37" i="21"/>
  <c r="U37" i="21" s="1"/>
  <c r="S42" i="21"/>
  <c r="H19" i="34"/>
  <c r="AB19" i="34" s="1"/>
  <c r="H9" i="37"/>
  <c r="U9" i="37" s="1"/>
  <c r="J12" i="37"/>
  <c r="W12" i="37" s="1"/>
  <c r="H12" i="37"/>
  <c r="AB12" i="37" s="1"/>
  <c r="F12" i="37"/>
  <c r="S12" i="37" s="1"/>
  <c r="F15" i="37"/>
  <c r="AA15" i="37" s="1"/>
  <c r="F31" i="37"/>
  <c r="S31" i="37" s="1"/>
  <c r="J42" i="39"/>
  <c r="AC42" i="39" s="1"/>
  <c r="H21" i="40"/>
  <c r="AB21" i="40" s="1"/>
  <c r="H31" i="37"/>
  <c r="J15" i="37"/>
  <c r="W15" i="37" s="1"/>
  <c r="AT6" i="3"/>
  <c r="H19" i="40"/>
  <c r="U19" i="40" s="1"/>
  <c r="F88" i="40"/>
  <c r="G88" i="40" s="1"/>
  <c r="F19" i="40"/>
  <c r="W23" i="39"/>
  <c r="AB45" i="39"/>
  <c r="AB44" i="39"/>
  <c r="U44" i="39"/>
  <c r="H25" i="39"/>
  <c r="AB25" i="39" s="1"/>
  <c r="J25" i="39"/>
  <c r="F25" i="39"/>
  <c r="AA25" i="39" s="1"/>
  <c r="F15" i="39"/>
  <c r="AA15" i="39" s="1"/>
  <c r="H15" i="39"/>
  <c r="U15" i="39" s="1"/>
  <c r="J15" i="39"/>
  <c r="W15" i="39" s="1"/>
  <c r="H41" i="39"/>
  <c r="AB41" i="39" s="1"/>
  <c r="W9" i="39"/>
  <c r="W8" i="39"/>
  <c r="J19" i="40"/>
  <c r="AC19" i="40" s="1"/>
  <c r="J50" i="40"/>
  <c r="H103" i="9"/>
  <c r="D8" i="53" s="1"/>
  <c r="B16" i="53"/>
  <c r="B33" i="72" s="1"/>
  <c r="C7" i="36"/>
  <c r="C46" i="36" s="1"/>
  <c r="D46" i="36" s="1"/>
  <c r="E46" i="36" s="1"/>
  <c r="F46" i="36" s="1"/>
  <c r="G46" i="36" s="1"/>
  <c r="H46" i="36" s="1"/>
  <c r="I46" i="36" s="1"/>
  <c r="W35" i="40"/>
  <c r="A118" i="9"/>
  <c r="A4" i="52"/>
  <c r="B41" i="72" s="1"/>
  <c r="J11" i="39"/>
  <c r="W11" i="39" s="1"/>
  <c r="F11" i="39"/>
  <c r="S11" i="39" s="1"/>
  <c r="G4" i="4"/>
  <c r="I4" i="4"/>
  <c r="A2" i="9"/>
  <c r="F61" i="43"/>
  <c r="H64" i="43" s="1"/>
  <c r="G303" i="3"/>
  <c r="BL304" i="3"/>
  <c r="G305" i="3"/>
  <c r="BL306" i="3"/>
  <c r="BA308" i="3"/>
  <c r="BA309" i="3"/>
  <c r="BL309" i="3"/>
  <c r="G310" i="3"/>
  <c r="BA311" i="3"/>
  <c r="G319" i="3"/>
  <c r="BL320" i="3"/>
  <c r="G321" i="3"/>
  <c r="BL322" i="3"/>
  <c r="BA324" i="3"/>
  <c r="BA325" i="3"/>
  <c r="BL325" i="3"/>
  <c r="G326" i="3"/>
  <c r="BA327" i="3"/>
  <c r="G335" i="3"/>
  <c r="BL336" i="3"/>
  <c r="G337" i="3"/>
  <c r="BL338" i="3"/>
  <c r="BA340" i="3"/>
  <c r="BA341" i="3"/>
  <c r="BL341" i="3"/>
  <c r="BA343" i="3"/>
  <c r="BA345" i="3"/>
  <c r="BL355" i="3"/>
  <c r="G356" i="3"/>
  <c r="BL357" i="3"/>
  <c r="BA359" i="3"/>
  <c r="BA360" i="3"/>
  <c r="BL360" i="3"/>
  <c r="G361" i="3"/>
  <c r="BA362" i="3"/>
  <c r="G370" i="3"/>
  <c r="BL371" i="3"/>
  <c r="G372" i="3"/>
  <c r="BL373" i="3"/>
  <c r="BA375" i="3"/>
  <c r="BA376" i="3"/>
  <c r="BL376" i="3"/>
  <c r="G377" i="3"/>
  <c r="BA378" i="3"/>
  <c r="BL378" i="3"/>
  <c r="G379" i="3"/>
  <c r="BA380" i="3"/>
  <c r="G388" i="3"/>
  <c r="BL389" i="3"/>
  <c r="G390" i="3"/>
  <c r="BL391" i="3"/>
  <c r="BA393" i="3"/>
  <c r="BA394" i="3"/>
  <c r="BL394" i="3"/>
  <c r="G113" i="3"/>
  <c r="BA115" i="3"/>
  <c r="BL116" i="3"/>
  <c r="G117" i="3"/>
  <c r="BA119" i="3"/>
  <c r="BL120" i="3"/>
  <c r="G121" i="3"/>
  <c r="BA123" i="3"/>
  <c r="BL124" i="3"/>
  <c r="G125" i="3"/>
  <c r="BA127" i="3"/>
  <c r="AZ127" i="3" s="1"/>
  <c r="BL128" i="3"/>
  <c r="AZ128" i="3" s="1"/>
  <c r="G129" i="3"/>
  <c r="BA131" i="3"/>
  <c r="BL132" i="3"/>
  <c r="G133" i="3"/>
  <c r="BA135" i="3"/>
  <c r="BL136" i="3"/>
  <c r="G137" i="3"/>
  <c r="BA139" i="3"/>
  <c r="BL140" i="3"/>
  <c r="G141" i="3"/>
  <c r="BA143" i="3"/>
  <c r="BL144" i="3"/>
  <c r="G145" i="3"/>
  <c r="BA147" i="3"/>
  <c r="BL148" i="3"/>
  <c r="G149" i="3"/>
  <c r="BA151" i="3"/>
  <c r="BL152" i="3"/>
  <c r="G153" i="3"/>
  <c r="BA155" i="3"/>
  <c r="BL156" i="3"/>
  <c r="G157" i="3"/>
  <c r="BA159" i="3"/>
  <c r="BL160" i="3"/>
  <c r="G161" i="3"/>
  <c r="BA163" i="3"/>
  <c r="BL164" i="3"/>
  <c r="G165" i="3"/>
  <c r="BA167" i="3"/>
  <c r="BL168" i="3"/>
  <c r="G169" i="3"/>
  <c r="BA171" i="3"/>
  <c r="BL172" i="3"/>
  <c r="G173" i="3"/>
  <c r="BA175" i="3"/>
  <c r="BL176" i="3"/>
  <c r="G177" i="3"/>
  <c r="BA179" i="3"/>
  <c r="BL180" i="3"/>
  <c r="G181" i="3"/>
  <c r="BA183" i="3"/>
  <c r="BL184" i="3"/>
  <c r="G185" i="3"/>
  <c r="BA187" i="3"/>
  <c r="BL188" i="3"/>
  <c r="G189" i="3"/>
  <c r="BA191" i="3"/>
  <c r="BL192" i="3"/>
  <c r="G193" i="3"/>
  <c r="BA195" i="3"/>
  <c r="BL196" i="3"/>
  <c r="G197" i="3"/>
  <c r="BA199" i="3"/>
  <c r="BL200" i="3"/>
  <c r="G201" i="3"/>
  <c r="BA203" i="3"/>
  <c r="BL204" i="3"/>
  <c r="G530" i="3"/>
  <c r="G516" i="3"/>
  <c r="G16" i="3"/>
  <c r="BA304" i="3"/>
  <c r="BA305" i="3"/>
  <c r="BL305" i="3"/>
  <c r="G306" i="3"/>
  <c r="G309" i="3"/>
  <c r="BL310" i="3"/>
  <c r="BA312" i="3"/>
  <c r="BA313" i="3"/>
  <c r="BL313" i="3"/>
  <c r="G314" i="3"/>
  <c r="G317" i="3"/>
  <c r="BL318" i="3"/>
  <c r="BA320" i="3"/>
  <c r="BA321" i="3"/>
  <c r="BL321" i="3"/>
  <c r="G322" i="3"/>
  <c r="G325" i="3"/>
  <c r="BL326" i="3"/>
  <c r="BA328" i="3"/>
  <c r="BA329" i="3"/>
  <c r="BL329" i="3"/>
  <c r="G330" i="3"/>
  <c r="G333" i="3"/>
  <c r="BL334" i="3"/>
  <c r="BA336" i="3"/>
  <c r="AZ336" i="3" s="1"/>
  <c r="BA337" i="3"/>
  <c r="BL337" i="3"/>
  <c r="G338" i="3"/>
  <c r="G341" i="3"/>
  <c r="BA342" i="3"/>
  <c r="BL342" i="3"/>
  <c r="BA344" i="3"/>
  <c r="BL344" i="3"/>
  <c r="AZ344" i="3" s="1"/>
  <c r="BA346" i="3"/>
  <c r="BA347" i="3"/>
  <c r="BL347" i="3"/>
  <c r="G350" i="3"/>
  <c r="BA351" i="3"/>
  <c r="BL351" i="3"/>
  <c r="G352" i="3"/>
  <c r="G354" i="3"/>
  <c r="BA355" i="3"/>
  <c r="BA356" i="3"/>
  <c r="BL356" i="3"/>
  <c r="G357" i="3"/>
  <c r="G360" i="3"/>
  <c r="BL361" i="3"/>
  <c r="BA363" i="3"/>
  <c r="BA364" i="3"/>
  <c r="BL364" i="3"/>
  <c r="G365" i="3"/>
  <c r="G368" i="3"/>
  <c r="BL369" i="3"/>
  <c r="BA371" i="3"/>
  <c r="BA372" i="3"/>
  <c r="BL372" i="3"/>
  <c r="G373" i="3"/>
  <c r="G376" i="3"/>
  <c r="BL377" i="3"/>
  <c r="BL379" i="3"/>
  <c r="BA381" i="3"/>
  <c r="BA382" i="3"/>
  <c r="BL382" i="3"/>
  <c r="G383" i="3"/>
  <c r="G386" i="3"/>
  <c r="BL387" i="3"/>
  <c r="BA389" i="3"/>
  <c r="BA390" i="3"/>
  <c r="BL390" i="3"/>
  <c r="G391" i="3"/>
  <c r="G394" i="3"/>
  <c r="BA16" i="3"/>
  <c r="BL303" i="3"/>
  <c r="G304" i="3"/>
  <c r="BA306" i="3"/>
  <c r="BL307" i="3"/>
  <c r="G308" i="3"/>
  <c r="BA310" i="3"/>
  <c r="BL311" i="3"/>
  <c r="G312" i="3"/>
  <c r="BA314" i="3"/>
  <c r="BL315" i="3"/>
  <c r="G316" i="3"/>
  <c r="BA318" i="3"/>
  <c r="BL319" i="3"/>
  <c r="G320" i="3"/>
  <c r="BA322" i="3"/>
  <c r="BL323" i="3"/>
  <c r="G324" i="3"/>
  <c r="BA326" i="3"/>
  <c r="BL327" i="3"/>
  <c r="G328" i="3"/>
  <c r="BA330" i="3"/>
  <c r="BL331" i="3"/>
  <c r="G332" i="3"/>
  <c r="BA334" i="3"/>
  <c r="BL335" i="3"/>
  <c r="G336" i="3"/>
  <c r="BA338" i="3"/>
  <c r="BL339" i="3"/>
  <c r="G340" i="3"/>
  <c r="BL343" i="3"/>
  <c r="G344" i="3"/>
  <c r="G348" i="3"/>
  <c r="G355" i="3"/>
  <c r="G342" i="3"/>
  <c r="BL345" i="3"/>
  <c r="G346" i="3"/>
  <c r="BL349" i="3"/>
  <c r="BL352" i="3"/>
  <c r="G353" i="3"/>
  <c r="BA357" i="3"/>
  <c r="BL358" i="3"/>
  <c r="G359" i="3"/>
  <c r="BA361" i="3"/>
  <c r="BL362" i="3"/>
  <c r="G363" i="3"/>
  <c r="BA365" i="3"/>
  <c r="BL366" i="3"/>
  <c r="G367" i="3"/>
  <c r="BA369" i="3"/>
  <c r="BL370" i="3"/>
  <c r="G371" i="3"/>
  <c r="BA373" i="3"/>
  <c r="AZ373" i="3" s="1"/>
  <c r="BL374" i="3"/>
  <c r="G375" i="3"/>
  <c r="BA377" i="3"/>
  <c r="BA379" i="3"/>
  <c r="AZ379" i="3" s="1"/>
  <c r="BL380" i="3"/>
  <c r="G381" i="3"/>
  <c r="BA383" i="3"/>
  <c r="BL384" i="3"/>
  <c r="G385" i="3"/>
  <c r="BA387" i="3"/>
  <c r="BL388" i="3"/>
  <c r="G389" i="3"/>
  <c r="BA391" i="3"/>
  <c r="BL392" i="3"/>
  <c r="G393" i="3"/>
  <c r="G17" i="3"/>
  <c r="BA17" i="3"/>
  <c r="F83" i="43"/>
  <c r="H85" i="43" s="1"/>
  <c r="F50" i="43"/>
  <c r="H54" i="43" s="1"/>
  <c r="F72" i="43"/>
  <c r="H75" i="43" s="1"/>
  <c r="U17" i="39"/>
  <c r="S14" i="35"/>
  <c r="U43" i="21"/>
  <c r="J37" i="33"/>
  <c r="W37" i="33" s="1"/>
  <c r="F106" i="33"/>
  <c r="G106" i="33" s="1"/>
  <c r="H106" i="33" s="1"/>
  <c r="I106" i="33" s="1"/>
  <c r="J106" i="33" s="1"/>
  <c r="K106" i="33" s="1"/>
  <c r="L106" i="33" s="1"/>
  <c r="M106" i="33" s="1"/>
  <c r="J34" i="33"/>
  <c r="W34" i="33" s="1"/>
  <c r="F33" i="34"/>
  <c r="S33" i="34" s="1"/>
  <c r="H20" i="36"/>
  <c r="U20" i="36" s="1"/>
  <c r="J20" i="36"/>
  <c r="J27" i="36"/>
  <c r="W27" i="36" s="1"/>
  <c r="H35" i="40"/>
  <c r="AB35" i="40" s="1"/>
  <c r="H35" i="37"/>
  <c r="H20" i="35"/>
  <c r="U20" i="35" s="1"/>
  <c r="F20" i="35"/>
  <c r="AB29" i="36"/>
  <c r="H32" i="37"/>
  <c r="F96" i="37"/>
  <c r="G96" i="37" s="1"/>
  <c r="H96" i="37" s="1"/>
  <c r="I96" i="37" s="1"/>
  <c r="J96" i="37" s="1"/>
  <c r="K96" i="37" s="1"/>
  <c r="L96" i="37" s="1"/>
  <c r="M96" i="37" s="1"/>
  <c r="H27" i="40"/>
  <c r="U27" i="40" s="1"/>
  <c r="J27" i="40"/>
  <c r="AC27" i="40" s="1"/>
  <c r="F27" i="40"/>
  <c r="S27" i="40" s="1"/>
  <c r="J30" i="40"/>
  <c r="AC30" i="40" s="1"/>
  <c r="F30" i="40"/>
  <c r="AA30" i="40" s="1"/>
  <c r="AC21" i="40"/>
  <c r="S11" i="40"/>
  <c r="E98" i="40"/>
  <c r="F98" i="40" s="1"/>
  <c r="G98" i="40" s="1"/>
  <c r="H98" i="40" s="1"/>
  <c r="I98" i="40" s="1"/>
  <c r="J98" i="40" s="1"/>
  <c r="K98" i="40" s="1"/>
  <c r="L98" i="40" s="1"/>
  <c r="M98" i="40" s="1"/>
  <c r="F10" i="33"/>
  <c r="S10" i="33" s="1"/>
  <c r="F34" i="33"/>
  <c r="H34" i="33"/>
  <c r="U34" i="33" s="1"/>
  <c r="F35" i="33"/>
  <c r="S35" i="33" s="1"/>
  <c r="F39" i="34"/>
  <c r="AA39" i="34" s="1"/>
  <c r="J39" i="34"/>
  <c r="W39" i="34" s="1"/>
  <c r="F40" i="34"/>
  <c r="S40" i="34" s="1"/>
  <c r="F43" i="34"/>
  <c r="AA43" i="34" s="1"/>
  <c r="H44" i="34"/>
  <c r="U44" i="34" s="1"/>
  <c r="AC38" i="39"/>
  <c r="F39" i="39"/>
  <c r="S39" i="39" s="1"/>
  <c r="J39" i="39"/>
  <c r="AC39" i="39" s="1"/>
  <c r="C40" i="11"/>
  <c r="F23" i="39"/>
  <c r="AA23" i="39" s="1"/>
  <c r="H27" i="36"/>
  <c r="U27" i="36" s="1"/>
  <c r="F27" i="36"/>
  <c r="AA27" i="36" s="1"/>
  <c r="H33" i="34"/>
  <c r="U33" i="34" s="1"/>
  <c r="F32" i="37"/>
  <c r="S32" i="37" s="1"/>
  <c r="F20" i="36"/>
  <c r="AA20" i="36" s="1"/>
  <c r="J33" i="34"/>
  <c r="AC33" i="34" s="1"/>
  <c r="H23" i="39"/>
  <c r="U23" i="39" s="1"/>
  <c r="D48" i="9"/>
  <c r="M52" i="9" s="1"/>
  <c r="K9" i="1"/>
  <c r="M9" i="1" s="1"/>
  <c r="D93" i="9"/>
  <c r="AB33" i="36"/>
  <c r="U33" i="36"/>
  <c r="BL14" i="3"/>
  <c r="AC13" i="34"/>
  <c r="S19" i="39"/>
  <c r="B12" i="1"/>
  <c r="E12" i="1" s="1"/>
  <c r="B10" i="1"/>
  <c r="E10" i="1" s="1"/>
  <c r="K12" i="1"/>
  <c r="M12" i="1" s="1"/>
  <c r="S13" i="1"/>
  <c r="AR13" i="1" s="1"/>
  <c r="R13" i="1"/>
  <c r="J51" i="67"/>
  <c r="B41" i="1"/>
  <c r="F30" i="95" s="1"/>
  <c r="AB37" i="40"/>
  <c r="S35" i="40"/>
  <c r="AC36" i="40"/>
  <c r="S17" i="40"/>
  <c r="S23" i="40"/>
  <c r="AB19" i="40"/>
  <c r="F32" i="39"/>
  <c r="AA32" i="39" s="1"/>
  <c r="AB27" i="39"/>
  <c r="J21" i="39"/>
  <c r="W21" i="39" s="1"/>
  <c r="F21" i="39"/>
  <c r="AA21" i="39" s="1"/>
  <c r="G94" i="39"/>
  <c r="H21" i="39"/>
  <c r="AB21" i="39" s="1"/>
  <c r="W19" i="39"/>
  <c r="S17" i="39"/>
  <c r="S9" i="39"/>
  <c r="AA26" i="36"/>
  <c r="AC26" i="36"/>
  <c r="AB14" i="36"/>
  <c r="U22" i="36"/>
  <c r="S24" i="36"/>
  <c r="U23" i="36"/>
  <c r="AB20" i="36"/>
  <c r="S23" i="35"/>
  <c r="U29" i="35"/>
  <c r="U32" i="35"/>
  <c r="AA33" i="35"/>
  <c r="AC30" i="35"/>
  <c r="S32" i="35"/>
  <c r="AB16" i="35"/>
  <c r="U22" i="35"/>
  <c r="U14" i="35"/>
  <c r="AC9" i="35"/>
  <c r="W9" i="35"/>
  <c r="F9" i="35"/>
  <c r="S9" i="35" s="1"/>
  <c r="H9" i="35"/>
  <c r="U9" i="35" s="1"/>
  <c r="AC29" i="37"/>
  <c r="U29" i="37"/>
  <c r="W30" i="37"/>
  <c r="S36" i="37"/>
  <c r="AC35" i="37"/>
  <c r="J17" i="37"/>
  <c r="W17" i="37" s="1"/>
  <c r="G73" i="37"/>
  <c r="F17" i="37"/>
  <c r="AA17" i="37" s="1"/>
  <c r="F19" i="37"/>
  <c r="S19" i="37" s="1"/>
  <c r="F23" i="37"/>
  <c r="S23" i="37" s="1"/>
  <c r="H10" i="37"/>
  <c r="AB10" i="37" s="1"/>
  <c r="F11" i="37"/>
  <c r="S11" i="37" s="1"/>
  <c r="W25" i="34"/>
  <c r="AB8" i="34"/>
  <c r="AA33" i="34"/>
  <c r="AC42" i="34"/>
  <c r="AA25" i="34"/>
  <c r="U15" i="34"/>
  <c r="H10" i="34"/>
  <c r="AB10" i="34" s="1"/>
  <c r="F11" i="34"/>
  <c r="S11" i="34" s="1"/>
  <c r="AB29" i="33"/>
  <c r="H41" i="33"/>
  <c r="U41" i="33" s="1"/>
  <c r="F121" i="33"/>
  <c r="G121" i="33" s="1"/>
  <c r="H121" i="33" s="1"/>
  <c r="I121" i="33" s="1"/>
  <c r="J121" i="33" s="1"/>
  <c r="K121" i="33" s="1"/>
  <c r="L121" i="33" s="1"/>
  <c r="M121" i="33" s="1"/>
  <c r="F36" i="33"/>
  <c r="AA36" i="33" s="1"/>
  <c r="J35" i="33"/>
  <c r="W35" i="33" s="1"/>
  <c r="S39" i="33"/>
  <c r="F101" i="33"/>
  <c r="G101" i="33" s="1"/>
  <c r="H101" i="33" s="1"/>
  <c r="I101" i="33" s="1"/>
  <c r="J101" i="33" s="1"/>
  <c r="K101" i="33" s="1"/>
  <c r="L101" i="33" s="1"/>
  <c r="M101" i="33" s="1"/>
  <c r="J32" i="33"/>
  <c r="AC32" i="33" s="1"/>
  <c r="S43" i="33"/>
  <c r="H27" i="33"/>
  <c r="U27" i="33" s="1"/>
  <c r="H25" i="33"/>
  <c r="AB25" i="33" s="1"/>
  <c r="F25" i="33"/>
  <c r="S25" i="33" s="1"/>
  <c r="J23" i="33"/>
  <c r="AC23" i="33" s="1"/>
  <c r="H23" i="33"/>
  <c r="AB23" i="33" s="1"/>
  <c r="F19" i="33"/>
  <c r="S19" i="33" s="1"/>
  <c r="J17" i="33"/>
  <c r="AC17" i="33" s="1"/>
  <c r="F79" i="33"/>
  <c r="G79" i="33" s="1"/>
  <c r="J10" i="33"/>
  <c r="W10" i="33" s="1"/>
  <c r="H10" i="33"/>
  <c r="U10" i="33" s="1"/>
  <c r="AC11" i="33"/>
  <c r="W36" i="21"/>
  <c r="W41" i="21"/>
  <c r="AB39" i="21"/>
  <c r="AA43" i="21"/>
  <c r="AA38" i="21"/>
  <c r="AC40" i="21"/>
  <c r="J15" i="21"/>
  <c r="W15" i="21" s="1"/>
  <c r="F77" i="21"/>
  <c r="G77" i="21" s="1"/>
  <c r="F23" i="21"/>
  <c r="S23" i="21" s="1"/>
  <c r="C18" i="9"/>
  <c r="D18" i="9" s="1"/>
  <c r="F34" i="15"/>
  <c r="F62" i="15" s="1"/>
  <c r="G13" i="3"/>
  <c r="BA13" i="3"/>
  <c r="BL17" i="3"/>
  <c r="BL13" i="3"/>
  <c r="J56" i="9"/>
  <c r="J57" i="9" s="1"/>
  <c r="J59" i="9" s="1"/>
  <c r="J61" i="9" s="1"/>
  <c r="A24" i="51"/>
  <c r="B18" i="72" s="1"/>
  <c r="E32" i="6"/>
  <c r="G1" i="68"/>
  <c r="K1" i="12"/>
  <c r="E19" i="68"/>
  <c r="E19" i="11"/>
  <c r="E1" i="73"/>
  <c r="G22" i="69"/>
  <c r="G22" i="68"/>
  <c r="G26" i="12"/>
  <c r="G22" i="11"/>
  <c r="C6" i="43"/>
  <c r="B19" i="53"/>
  <c r="B37" i="72" s="1"/>
  <c r="C7" i="35"/>
  <c r="C48" i="35" s="1"/>
  <c r="D48" i="35" s="1"/>
  <c r="M47" i="9"/>
  <c r="A4" i="51"/>
  <c r="B6" i="72" s="1"/>
  <c r="L20" i="6"/>
  <c r="K11" i="1"/>
  <c r="M11" i="1" s="1"/>
  <c r="O11" i="1" s="1"/>
  <c r="B9" i="1"/>
  <c r="E9" i="1" s="1"/>
  <c r="K7" i="1"/>
  <c r="M7" i="1" s="1"/>
  <c r="O7" i="1" s="1"/>
  <c r="P7" i="1" s="1"/>
  <c r="G1" i="69"/>
  <c r="G1" i="67"/>
  <c r="W23" i="40"/>
  <c r="W27" i="40"/>
  <c r="S33" i="40"/>
  <c r="U15" i="40"/>
  <c r="S8" i="40"/>
  <c r="U42" i="39"/>
  <c r="W25" i="39"/>
  <c r="AC25" i="39"/>
  <c r="AB11" i="39"/>
  <c r="U11" i="39"/>
  <c r="AA27" i="39"/>
  <c r="S27" i="39"/>
  <c r="S23" i="39"/>
  <c r="AB39" i="39"/>
  <c r="W34" i="39"/>
  <c r="U38" i="39"/>
  <c r="AB28" i="36"/>
  <c r="S35" i="35"/>
  <c r="W35" i="35"/>
  <c r="AA16" i="35"/>
  <c r="W32" i="37"/>
  <c r="U36" i="37"/>
  <c r="AC34" i="37"/>
  <c r="AA31" i="37"/>
  <c r="U19" i="37"/>
  <c r="AA29" i="37"/>
  <c r="AB40" i="34"/>
  <c r="U19" i="34"/>
  <c r="AC14" i="34"/>
  <c r="AB30" i="34"/>
  <c r="U38" i="34"/>
  <c r="AA19" i="34"/>
  <c r="S19" i="34"/>
  <c r="AA36" i="34"/>
  <c r="S36" i="34"/>
  <c r="AA8" i="34"/>
  <c r="S8" i="34"/>
  <c r="AC43" i="34"/>
  <c r="W43" i="34"/>
  <c r="AB28" i="33"/>
  <c r="U39" i="33"/>
  <c r="U38" i="33"/>
  <c r="S33" i="33"/>
  <c r="AC14" i="33"/>
  <c r="W14" i="33"/>
  <c r="U15" i="33"/>
  <c r="S11" i="33"/>
  <c r="AC28" i="33"/>
  <c r="W8" i="33"/>
  <c r="AB42" i="21"/>
  <c r="F33" i="21"/>
  <c r="AA33" i="21" s="1"/>
  <c r="J33" i="21"/>
  <c r="AC33" i="21" s="1"/>
  <c r="H33" i="21"/>
  <c r="AB33" i="21" s="1"/>
  <c r="F37" i="21"/>
  <c r="AA37" i="21" s="1"/>
  <c r="AB14" i="21"/>
  <c r="J37" i="21"/>
  <c r="W37" i="21" s="1"/>
  <c r="H15" i="21"/>
  <c r="U15" i="21" s="1"/>
  <c r="J17" i="21"/>
  <c r="AC17" i="21" s="1"/>
  <c r="AC19" i="21"/>
  <c r="H32" i="21"/>
  <c r="AB32" i="21" s="1"/>
  <c r="H9" i="21"/>
  <c r="AB9" i="21" s="1"/>
  <c r="J32" i="21"/>
  <c r="W32" i="21" s="1"/>
  <c r="F32" i="21"/>
  <c r="S32" i="21" s="1"/>
  <c r="K141" i="21"/>
  <c r="K144" i="21"/>
  <c r="K143" i="21"/>
  <c r="AB25" i="21"/>
  <c r="W42" i="21"/>
  <c r="F10" i="21"/>
  <c r="AA10" i="21" s="1"/>
  <c r="K145" i="21"/>
  <c r="W31" i="21"/>
  <c r="AC27" i="21"/>
  <c r="AC26" i="21"/>
  <c r="W30" i="40"/>
  <c r="U30" i="40"/>
  <c r="B56" i="43"/>
  <c r="B67" i="43"/>
  <c r="B58" i="43"/>
  <c r="B69" i="43"/>
  <c r="D22" i="15"/>
  <c r="E4" i="4"/>
  <c r="B5" i="62" s="1"/>
  <c r="B73" i="72" s="1"/>
  <c r="C4" i="4"/>
  <c r="F30" i="68"/>
  <c r="F48" i="68" s="1"/>
  <c r="F30" i="11"/>
  <c r="C48" i="11" s="1"/>
  <c r="F28" i="67"/>
  <c r="F31" i="12"/>
  <c r="F52" i="9"/>
  <c r="M18" i="67"/>
  <c r="F32" i="67"/>
  <c r="F60" i="67" s="1"/>
  <c r="F30" i="69"/>
  <c r="F48" i="69" s="1"/>
  <c r="M18" i="15"/>
  <c r="F28" i="15"/>
  <c r="D68" i="9"/>
  <c r="F54" i="9"/>
  <c r="J32" i="39"/>
  <c r="W32" i="39" s="1"/>
  <c r="H32" i="39"/>
  <c r="AB32" i="39" s="1"/>
  <c r="S21" i="39"/>
  <c r="S17" i="37"/>
  <c r="J19" i="37"/>
  <c r="W19" i="37" s="1"/>
  <c r="J23" i="37"/>
  <c r="W23" i="37" s="1"/>
  <c r="J10" i="37"/>
  <c r="W10" i="37" s="1"/>
  <c r="G63" i="37"/>
  <c r="H63" i="37" s="1"/>
  <c r="I63" i="37" s="1"/>
  <c r="J63" i="37" s="1"/>
  <c r="K63" i="37" s="1"/>
  <c r="L63" i="37" s="1"/>
  <c r="M63" i="37" s="1"/>
  <c r="H11" i="37"/>
  <c r="AB11" i="37" s="1"/>
  <c r="H11" i="34"/>
  <c r="U11" i="34" s="1"/>
  <c r="J10" i="34"/>
  <c r="AC10" i="34" s="1"/>
  <c r="AC35" i="33"/>
  <c r="J36" i="33"/>
  <c r="W36" i="33" s="1"/>
  <c r="H36" i="33"/>
  <c r="U36" i="33" s="1"/>
  <c r="W32" i="33"/>
  <c r="J27" i="33"/>
  <c r="W27" i="33" s="1"/>
  <c r="J25" i="33"/>
  <c r="AC25" i="33" s="1"/>
  <c r="U23" i="33"/>
  <c r="F23" i="33"/>
  <c r="H19" i="33"/>
  <c r="AB19" i="33" s="1"/>
  <c r="H17" i="33"/>
  <c r="U17" i="33" s="1"/>
  <c r="F17" i="33"/>
  <c r="S17" i="33" s="1"/>
  <c r="W17" i="33"/>
  <c r="AB15" i="21"/>
  <c r="J23" i="21"/>
  <c r="AC23" i="21" s="1"/>
  <c r="H23" i="21"/>
  <c r="U23" i="21" s="1"/>
  <c r="A18" i="62"/>
  <c r="B64" i="72" s="1"/>
  <c r="J11" i="37"/>
  <c r="AC11" i="37" s="1"/>
  <c r="J11" i="34"/>
  <c r="W11" i="34" s="1"/>
  <c r="H109" i="9"/>
  <c r="M49" i="9" s="1"/>
  <c r="H112" i="9"/>
  <c r="D21" i="53" s="1"/>
  <c r="B39" i="72" s="1"/>
  <c r="H111" i="9"/>
  <c r="D126" i="9" s="1"/>
  <c r="AD3" i="71"/>
  <c r="J1" i="73"/>
  <c r="C22" i="71"/>
  <c r="C21" i="71" s="1"/>
  <c r="D21" i="71" s="1"/>
  <c r="D23" i="71"/>
  <c r="D24" i="71"/>
  <c r="U24" i="71" s="1"/>
  <c r="S24" i="71"/>
  <c r="T24" i="71"/>
  <c r="AB22" i="71"/>
  <c r="X20" i="71"/>
  <c r="X19" i="71"/>
  <c r="AA20" i="71"/>
  <c r="AA19" i="71"/>
  <c r="X23" i="71"/>
  <c r="Y19" i="71"/>
  <c r="Z19" i="71" s="1"/>
  <c r="AB20" i="71"/>
  <c r="AB19" i="71"/>
  <c r="Y20" i="71"/>
  <c r="Z20" i="71" s="1"/>
  <c r="X3" i="71"/>
  <c r="F20" i="31"/>
  <c r="F4" i="73"/>
  <c r="B10" i="76"/>
  <c r="F5" i="73"/>
  <c r="E9" i="76"/>
  <c r="E2" i="68"/>
  <c r="E2" i="69"/>
  <c r="F7" i="73"/>
  <c r="E11" i="76"/>
  <c r="D35" i="9"/>
  <c r="D6" i="73"/>
  <c r="C20" i="9"/>
  <c r="M22" i="67"/>
  <c r="E7" i="76"/>
  <c r="E13" i="76"/>
  <c r="B7" i="76"/>
  <c r="E10" i="76"/>
  <c r="B11" i="76"/>
  <c r="AO13" i="1"/>
  <c r="F6" i="73"/>
  <c r="C19" i="9"/>
  <c r="B9" i="76"/>
  <c r="D19" i="9"/>
  <c r="F38" i="67"/>
  <c r="F3" i="73"/>
  <c r="B12" i="76"/>
  <c r="D34" i="9"/>
  <c r="B8" i="76"/>
  <c r="E12" i="76"/>
  <c r="D9" i="95"/>
  <c r="B13" i="76"/>
  <c r="C36" i="95"/>
  <c r="D20" i="9"/>
  <c r="F27" i="95"/>
  <c r="E8" i="76"/>
  <c r="U47" i="34" l="1"/>
  <c r="AB47" i="34"/>
  <c r="F27" i="37"/>
  <c r="AA27" i="37" s="1"/>
  <c r="J25" i="36"/>
  <c r="W25" i="36" s="1"/>
  <c r="H40" i="37"/>
  <c r="W8" i="40"/>
  <c r="G576" i="3"/>
  <c r="G555" i="3"/>
  <c r="G531" i="3"/>
  <c r="E35" i="71"/>
  <c r="E36" i="71" s="1"/>
  <c r="U36" i="71" s="1"/>
  <c r="F51" i="71"/>
  <c r="F52" i="71" s="1"/>
  <c r="V52" i="71" s="1"/>
  <c r="U32" i="21"/>
  <c r="F35" i="39"/>
  <c r="F32" i="15"/>
  <c r="F60" i="15" s="1"/>
  <c r="AC14" i="21"/>
  <c r="AC35" i="34"/>
  <c r="U26" i="36"/>
  <c r="S42" i="39"/>
  <c r="J46" i="34"/>
  <c r="F45" i="39"/>
  <c r="S45" i="39" s="1"/>
  <c r="AZ132" i="3"/>
  <c r="D22" i="71"/>
  <c r="AA32" i="21"/>
  <c r="AC23" i="34"/>
  <c r="U8" i="40"/>
  <c r="S15" i="33"/>
  <c r="AA32" i="37"/>
  <c r="H46" i="34"/>
  <c r="AA41" i="21"/>
  <c r="F44" i="39"/>
  <c r="AC17" i="39"/>
  <c r="AB17" i="40"/>
  <c r="S14" i="36"/>
  <c r="S15" i="39"/>
  <c r="S21" i="40"/>
  <c r="J25" i="35"/>
  <c r="F64" i="71"/>
  <c r="V64" i="71" s="1"/>
  <c r="AA39" i="39"/>
  <c r="AB27" i="35"/>
  <c r="U21" i="39"/>
  <c r="U27" i="21"/>
  <c r="U37" i="33"/>
  <c r="W33" i="34"/>
  <c r="W36" i="37"/>
  <c r="AA37" i="33"/>
  <c r="AC15" i="37"/>
  <c r="AC20" i="35"/>
  <c r="U35" i="40"/>
  <c r="G577" i="3"/>
  <c r="G26" i="3"/>
  <c r="H12" i="40"/>
  <c r="F12" i="40"/>
  <c r="S12" i="40" s="1"/>
  <c r="H31" i="33"/>
  <c r="G567" i="3"/>
  <c r="G559" i="3"/>
  <c r="F39" i="71"/>
  <c r="S32" i="39"/>
  <c r="AC17" i="34"/>
  <c r="C19" i="39"/>
  <c r="U40" i="21"/>
  <c r="W19" i="34"/>
  <c r="W34" i="40"/>
  <c r="S28" i="35"/>
  <c r="S16" i="36"/>
  <c r="H14" i="39"/>
  <c r="J23" i="36"/>
  <c r="BA120" i="3"/>
  <c r="AZ120" i="3" s="1"/>
  <c r="E31" i="71"/>
  <c r="E32" i="71" s="1"/>
  <c r="U32" i="71" s="1"/>
  <c r="AB41" i="33"/>
  <c r="C23" i="40"/>
  <c r="S35" i="21"/>
  <c r="AA31" i="34"/>
  <c r="AZ362" i="3"/>
  <c r="U17" i="21"/>
  <c r="AB20" i="35"/>
  <c r="U13" i="37"/>
  <c r="F14" i="39"/>
  <c r="AA14" i="39" s="1"/>
  <c r="BL562" i="3"/>
  <c r="G492" i="3"/>
  <c r="G220" i="3"/>
  <c r="F31" i="71"/>
  <c r="F32" i="71" s="1"/>
  <c r="V32" i="71" s="1"/>
  <c r="B43" i="71"/>
  <c r="B44" i="71" s="1"/>
  <c r="S44" i="71" s="1"/>
  <c r="W41" i="34"/>
  <c r="AZ380" i="3"/>
  <c r="U35" i="21"/>
  <c r="AB27" i="37"/>
  <c r="AC12" i="40"/>
  <c r="AA34" i="37"/>
  <c r="F33" i="36"/>
  <c r="J33" i="36"/>
  <c r="AC33" i="36" s="1"/>
  <c r="AA38" i="71"/>
  <c r="E59" i="71"/>
  <c r="E60" i="71" s="1"/>
  <c r="U60" i="71" s="1"/>
  <c r="F45" i="95"/>
  <c r="C47" i="95"/>
  <c r="D45" i="95" s="1"/>
  <c r="C29" i="95"/>
  <c r="D27" i="95" s="1"/>
  <c r="S31" i="33"/>
  <c r="AA31" i="33"/>
  <c r="S30" i="34"/>
  <c r="AA30" i="34"/>
  <c r="S46" i="34"/>
  <c r="AA46" i="34"/>
  <c r="S11" i="35"/>
  <c r="AA11" i="35"/>
  <c r="AB23" i="21"/>
  <c r="U9" i="21"/>
  <c r="U25" i="33"/>
  <c r="C17" i="40"/>
  <c r="W39" i="21"/>
  <c r="AB34" i="33"/>
  <c r="AC37" i="33"/>
  <c r="U25" i="34"/>
  <c r="AB33" i="34"/>
  <c r="AA45" i="39"/>
  <c r="U11" i="40"/>
  <c r="S37" i="40"/>
  <c r="W43" i="33"/>
  <c r="S32" i="33"/>
  <c r="S17" i="34"/>
  <c r="U43" i="34"/>
  <c r="AB17" i="37"/>
  <c r="F48" i="95"/>
  <c r="AC14" i="35"/>
  <c r="AC44" i="34"/>
  <c r="AZ355" i="3"/>
  <c r="AZ394" i="3"/>
  <c r="U11" i="33"/>
  <c r="H11" i="35"/>
  <c r="AB11" i="35" s="1"/>
  <c r="H14" i="34"/>
  <c r="U14" i="34" s="1"/>
  <c r="J31" i="33"/>
  <c r="W31" i="33" s="1"/>
  <c r="J13" i="33"/>
  <c r="F14" i="21"/>
  <c r="AB8" i="39"/>
  <c r="U34" i="21"/>
  <c r="AA40" i="33"/>
  <c r="H12" i="34"/>
  <c r="BA583" i="3"/>
  <c r="BA582" i="3"/>
  <c r="G580" i="3"/>
  <c r="G572" i="3"/>
  <c r="G571" i="3"/>
  <c r="G565" i="3"/>
  <c r="G564" i="3"/>
  <c r="BL558" i="3"/>
  <c r="G550" i="3"/>
  <c r="G543" i="3"/>
  <c r="G535" i="3"/>
  <c r="G534" i="3"/>
  <c r="BL533" i="3"/>
  <c r="G527" i="3"/>
  <c r="G520" i="3"/>
  <c r="BA513" i="3"/>
  <c r="G513" i="3"/>
  <c r="BL512" i="3"/>
  <c r="G512" i="3"/>
  <c r="G511" i="3"/>
  <c r="G507" i="3"/>
  <c r="G506" i="3"/>
  <c r="AC5" i="3"/>
  <c r="BL493" i="3"/>
  <c r="G15" i="3"/>
  <c r="AC18" i="35"/>
  <c r="AA9" i="40"/>
  <c r="W25" i="33"/>
  <c r="AZ357" i="3"/>
  <c r="W27" i="39"/>
  <c r="AB38" i="21"/>
  <c r="AC14" i="36"/>
  <c r="U30" i="36"/>
  <c r="S38" i="40"/>
  <c r="G582" i="3"/>
  <c r="G41" i="95"/>
  <c r="G22" i="95"/>
  <c r="C9" i="95"/>
  <c r="M8" i="1"/>
  <c r="S25" i="21"/>
  <c r="AA25" i="21"/>
  <c r="AB36" i="40"/>
  <c r="U36" i="40"/>
  <c r="AB32" i="33"/>
  <c r="U32" i="33"/>
  <c r="F30" i="33"/>
  <c r="J30" i="33"/>
  <c r="F13" i="35"/>
  <c r="J13" i="35"/>
  <c r="AB9" i="39"/>
  <c r="U9" i="39"/>
  <c r="J13" i="39"/>
  <c r="F13" i="39"/>
  <c r="H31" i="39"/>
  <c r="J31" i="39"/>
  <c r="BA563" i="3"/>
  <c r="AA40" i="34"/>
  <c r="U25" i="36"/>
  <c r="U42" i="33"/>
  <c r="AB41" i="34"/>
  <c r="W27" i="37"/>
  <c r="AZ342" i="3"/>
  <c r="AZ305" i="3"/>
  <c r="S19" i="40"/>
  <c r="AA19" i="40"/>
  <c r="AC37" i="37"/>
  <c r="W37" i="37"/>
  <c r="F14" i="34"/>
  <c r="AB42" i="34"/>
  <c r="W8" i="34"/>
  <c r="AA22" i="35"/>
  <c r="S22" i="35"/>
  <c r="C15" i="39"/>
  <c r="J30" i="21"/>
  <c r="F30" i="21"/>
  <c r="H30" i="21"/>
  <c r="U30" i="21" s="1"/>
  <c r="F46" i="21"/>
  <c r="J46" i="21"/>
  <c r="B101" i="43"/>
  <c r="C25" i="39"/>
  <c r="AA35" i="34"/>
  <c r="S35" i="34"/>
  <c r="J33" i="40"/>
  <c r="H33" i="40"/>
  <c r="U33" i="40" s="1"/>
  <c r="AA15" i="21"/>
  <c r="AA9" i="21"/>
  <c r="U41" i="39"/>
  <c r="AC27" i="33"/>
  <c r="AB27" i="33"/>
  <c r="AC17" i="37"/>
  <c r="AC34" i="21"/>
  <c r="AA26" i="21"/>
  <c r="S28" i="33"/>
  <c r="W40" i="34"/>
  <c r="W29" i="34"/>
  <c r="U8" i="37"/>
  <c r="AA35" i="37"/>
  <c r="U24" i="35"/>
  <c r="W22" i="36"/>
  <c r="S20" i="36"/>
  <c r="W28" i="40"/>
  <c r="AZ17" i="3"/>
  <c r="AA36" i="21"/>
  <c r="U15" i="37"/>
  <c r="S37" i="37"/>
  <c r="AA25" i="35"/>
  <c r="AC15" i="40"/>
  <c r="AC34" i="33"/>
  <c r="G498" i="3"/>
  <c r="AA42" i="33"/>
  <c r="S42" i="33"/>
  <c r="BL509" i="3"/>
  <c r="AZ509" i="3" s="1"/>
  <c r="H13" i="39"/>
  <c r="AB14" i="39"/>
  <c r="U14" i="39"/>
  <c r="J45" i="34"/>
  <c r="AC44" i="33"/>
  <c r="W44" i="33"/>
  <c r="J45" i="33"/>
  <c r="AB17" i="34"/>
  <c r="AB16" i="36"/>
  <c r="U16" i="36"/>
  <c r="AB19" i="39"/>
  <c r="U19" i="39"/>
  <c r="W28" i="35"/>
  <c r="AC38" i="33"/>
  <c r="W38" i="33"/>
  <c r="AA27" i="33"/>
  <c r="S27" i="33"/>
  <c r="W28" i="34"/>
  <c r="AC28" i="34"/>
  <c r="J45" i="21"/>
  <c r="F45" i="21"/>
  <c r="AB39" i="34"/>
  <c r="U39" i="34"/>
  <c r="J12" i="33"/>
  <c r="W12" i="33" s="1"/>
  <c r="F12" i="33"/>
  <c r="H12" i="33"/>
  <c r="U12" i="33" s="1"/>
  <c r="F14" i="40"/>
  <c r="J14" i="40"/>
  <c r="BA562" i="3"/>
  <c r="BL521" i="3"/>
  <c r="BL518" i="3"/>
  <c r="C15" i="40"/>
  <c r="S19" i="21"/>
  <c r="J9" i="21"/>
  <c r="AB36" i="34"/>
  <c r="S8" i="39"/>
  <c r="W37" i="40"/>
  <c r="AB28" i="40"/>
  <c r="D120" i="9"/>
  <c r="D121" i="9" s="1"/>
  <c r="D7" i="52" s="1"/>
  <c r="W15" i="33"/>
  <c r="W39" i="37"/>
  <c r="AZ327" i="3"/>
  <c r="F9" i="37"/>
  <c r="S9" i="37" s="1"/>
  <c r="BL583" i="3"/>
  <c r="F25" i="36"/>
  <c r="H25" i="35"/>
  <c r="F31" i="39"/>
  <c r="AB40" i="39"/>
  <c r="U40" i="39"/>
  <c r="W40" i="39"/>
  <c r="W41" i="33"/>
  <c r="F29" i="33"/>
  <c r="J29" i="33"/>
  <c r="J32" i="34"/>
  <c r="F32" i="34"/>
  <c r="J24" i="35"/>
  <c r="F24" i="35"/>
  <c r="H36" i="35"/>
  <c r="F36" i="35"/>
  <c r="S36" i="35" s="1"/>
  <c r="F13" i="36"/>
  <c r="H13" i="36"/>
  <c r="H34" i="36"/>
  <c r="F34" i="36"/>
  <c r="AA30" i="37"/>
  <c r="S30" i="37"/>
  <c r="J43" i="39"/>
  <c r="H43" i="39"/>
  <c r="F43" i="39"/>
  <c r="AA43" i="39" s="1"/>
  <c r="S38" i="34"/>
  <c r="AA38" i="34"/>
  <c r="BL584" i="3"/>
  <c r="BA579" i="3"/>
  <c r="AZ579" i="3" s="1"/>
  <c r="G579" i="3"/>
  <c r="BL578" i="3"/>
  <c r="AZ578" i="3" s="1"/>
  <c r="BA578" i="3"/>
  <c r="BL576" i="3"/>
  <c r="BA574" i="3"/>
  <c r="BA571" i="3"/>
  <c r="BL570" i="3"/>
  <c r="BA567" i="3"/>
  <c r="BA566" i="3"/>
  <c r="G563" i="3"/>
  <c r="BL560" i="3"/>
  <c r="BA558" i="3"/>
  <c r="AZ558" i="3" s="1"/>
  <c r="BA553" i="3"/>
  <c r="G549" i="3"/>
  <c r="BA548" i="3"/>
  <c r="G548" i="3"/>
  <c r="BA547" i="3"/>
  <c r="BL546" i="3"/>
  <c r="BA544" i="3"/>
  <c r="BA543" i="3"/>
  <c r="BA542" i="3"/>
  <c r="G541" i="3"/>
  <c r="BL540" i="3"/>
  <c r="G540" i="3"/>
  <c r="BL538" i="3"/>
  <c r="BA535" i="3"/>
  <c r="G533" i="3"/>
  <c r="BN5" i="3"/>
  <c r="BA532" i="3"/>
  <c r="G532" i="3"/>
  <c r="BA531" i="3"/>
  <c r="BD5" i="3"/>
  <c r="BA528" i="3"/>
  <c r="BT5" i="3"/>
  <c r="BA527" i="3"/>
  <c r="BO5" i="3"/>
  <c r="G525" i="3"/>
  <c r="BA524" i="3"/>
  <c r="G524" i="3"/>
  <c r="BL522" i="3"/>
  <c r="G519" i="3"/>
  <c r="BE5" i="3"/>
  <c r="G518" i="3"/>
  <c r="BA517" i="3"/>
  <c r="BA512" i="3"/>
  <c r="AZ512" i="3" s="1"/>
  <c r="BL510" i="3"/>
  <c r="G510" i="3"/>
  <c r="BH5" i="3"/>
  <c r="BA509" i="3"/>
  <c r="BA507" i="3"/>
  <c r="BA506" i="3"/>
  <c r="G505" i="3"/>
  <c r="G504" i="3"/>
  <c r="BL502" i="3"/>
  <c r="BL500" i="3"/>
  <c r="BA499" i="3"/>
  <c r="G497" i="3"/>
  <c r="G496" i="3"/>
  <c r="BA495" i="3"/>
  <c r="BA494" i="3"/>
  <c r="AZ494" i="3" s="1"/>
  <c r="H5" i="3"/>
  <c r="BL513" i="3"/>
  <c r="G585" i="3"/>
  <c r="E19" i="6"/>
  <c r="K6" i="1" s="1"/>
  <c r="AP6" i="1" s="1"/>
  <c r="F34" i="68"/>
  <c r="G287" i="3"/>
  <c r="G295" i="3"/>
  <c r="G143" i="3"/>
  <c r="BL24" i="3"/>
  <c r="G29" i="3"/>
  <c r="G38" i="3"/>
  <c r="G50" i="3"/>
  <c r="BL52" i="3"/>
  <c r="G69" i="3"/>
  <c r="G93" i="3"/>
  <c r="E19" i="69"/>
  <c r="E19" i="91"/>
  <c r="E19" i="93"/>
  <c r="E19" i="92"/>
  <c r="G398" i="3"/>
  <c r="G414" i="3"/>
  <c r="BA431" i="3"/>
  <c r="G434" i="3"/>
  <c r="G438" i="3"/>
  <c r="G478" i="3"/>
  <c r="G364" i="3"/>
  <c r="G396" i="3"/>
  <c r="BL23" i="3"/>
  <c r="BL35" i="3"/>
  <c r="G92" i="3"/>
  <c r="G112" i="3"/>
  <c r="G41" i="69"/>
  <c r="G41" i="93"/>
  <c r="G22" i="91"/>
  <c r="G22" i="92"/>
  <c r="G41" i="91"/>
  <c r="G22" i="93"/>
  <c r="G41" i="92"/>
  <c r="G1" i="92"/>
  <c r="G1" i="93"/>
  <c r="C7" i="69"/>
  <c r="F48" i="9"/>
  <c r="O52" i="9" s="1"/>
  <c r="F30" i="93"/>
  <c r="F30" i="92"/>
  <c r="F30" i="91"/>
  <c r="AZ338" i="3"/>
  <c r="BL503" i="3"/>
  <c r="BL547" i="3"/>
  <c r="AZ547" i="3" s="1"/>
  <c r="G557" i="3"/>
  <c r="H35" i="39"/>
  <c r="K10" i="1"/>
  <c r="M10" i="1" s="1"/>
  <c r="O10" i="1" s="1"/>
  <c r="P10" i="1" s="1"/>
  <c r="G424" i="3"/>
  <c r="G437" i="3"/>
  <c r="BL451" i="3"/>
  <c r="G452" i="3"/>
  <c r="G456" i="3"/>
  <c r="G457" i="3"/>
  <c r="G464" i="3"/>
  <c r="G468" i="3"/>
  <c r="BL479" i="3"/>
  <c r="G55" i="3"/>
  <c r="G59" i="3"/>
  <c r="F27" i="71"/>
  <c r="F26" i="71" s="1"/>
  <c r="B6" i="1"/>
  <c r="E6" i="1" s="1"/>
  <c r="G1" i="91"/>
  <c r="AB37" i="39"/>
  <c r="U37" i="39"/>
  <c r="AA19" i="33"/>
  <c r="B62" i="43"/>
  <c r="AB36" i="21"/>
  <c r="AC38" i="21"/>
  <c r="U32" i="34"/>
  <c r="S37" i="34"/>
  <c r="AB37" i="37"/>
  <c r="S27" i="37"/>
  <c r="AC25" i="36"/>
  <c r="S36" i="40"/>
  <c r="W19" i="33"/>
  <c r="S46" i="33"/>
  <c r="W42" i="33"/>
  <c r="AA13" i="37"/>
  <c r="U25" i="39"/>
  <c r="S43" i="39"/>
  <c r="S28" i="40"/>
  <c r="AC35" i="21"/>
  <c r="AC12" i="37"/>
  <c r="F32" i="40"/>
  <c r="BL501" i="3"/>
  <c r="BL523" i="3"/>
  <c r="BL553" i="3"/>
  <c r="BL571" i="3"/>
  <c r="AB30" i="21"/>
  <c r="U23" i="34"/>
  <c r="U34" i="40"/>
  <c r="W33" i="33"/>
  <c r="H31" i="21"/>
  <c r="F31" i="21"/>
  <c r="AB40" i="33"/>
  <c r="U40" i="33"/>
  <c r="F14" i="33"/>
  <c r="S14" i="33" s="1"/>
  <c r="H14" i="33"/>
  <c r="J47" i="34"/>
  <c r="F47" i="34"/>
  <c r="J28" i="21"/>
  <c r="F28" i="21"/>
  <c r="AC31" i="37"/>
  <c r="W31" i="37"/>
  <c r="F28" i="37"/>
  <c r="H28" i="37"/>
  <c r="J39" i="40"/>
  <c r="H39" i="40"/>
  <c r="U39" i="40" s="1"/>
  <c r="BA575" i="3"/>
  <c r="BA570" i="3"/>
  <c r="BL568" i="3"/>
  <c r="BA559" i="3"/>
  <c r="AZ559" i="3" s="1"/>
  <c r="BL552" i="3"/>
  <c r="BA552" i="3"/>
  <c r="BA539" i="3"/>
  <c r="BA538" i="3"/>
  <c r="AZ538" i="3" s="1"/>
  <c r="BL530" i="3"/>
  <c r="BA523" i="3"/>
  <c r="BA520" i="3"/>
  <c r="BA503" i="3"/>
  <c r="BA500" i="3"/>
  <c r="AZ500" i="3" s="1"/>
  <c r="BL494" i="3"/>
  <c r="BA585" i="3"/>
  <c r="AB45" i="21"/>
  <c r="AA23" i="21"/>
  <c r="AA25" i="33"/>
  <c r="AA19" i="37"/>
  <c r="B54" i="43"/>
  <c r="S17" i="21"/>
  <c r="AB46" i="21"/>
  <c r="W19" i="40"/>
  <c r="U28" i="34"/>
  <c r="AB35" i="34"/>
  <c r="U23" i="37"/>
  <c r="U28" i="35"/>
  <c r="AC31" i="33"/>
  <c r="BL541" i="3"/>
  <c r="BL559" i="3"/>
  <c r="BL567" i="3"/>
  <c r="BL575" i="3"/>
  <c r="AZ575" i="3" s="1"/>
  <c r="AZ583" i="3"/>
  <c r="J14" i="37"/>
  <c r="F14" i="37"/>
  <c r="H28" i="21"/>
  <c r="W32" i="40"/>
  <c r="H46" i="33"/>
  <c r="J46" i="33"/>
  <c r="F29" i="34"/>
  <c r="S29" i="34" s="1"/>
  <c r="H29" i="34"/>
  <c r="H9" i="36"/>
  <c r="AB9" i="36" s="1"/>
  <c r="J9" i="36"/>
  <c r="W31" i="35"/>
  <c r="AC31" i="35"/>
  <c r="S36" i="33"/>
  <c r="B51" i="43"/>
  <c r="W29" i="36"/>
  <c r="S31" i="40"/>
  <c r="S39" i="21"/>
  <c r="AA35" i="33"/>
  <c r="U21" i="40"/>
  <c r="AC17" i="40"/>
  <c r="F39" i="40"/>
  <c r="AA12" i="40"/>
  <c r="BB5" i="3"/>
  <c r="E8" i="6" s="1"/>
  <c r="F27" i="6" s="1"/>
  <c r="AZ369" i="3"/>
  <c r="AZ326" i="3"/>
  <c r="AZ389" i="3"/>
  <c r="AB33" i="40"/>
  <c r="H32" i="40"/>
  <c r="BL499" i="3"/>
  <c r="AZ499" i="3" s="1"/>
  <c r="BL517" i="3"/>
  <c r="AZ517" i="3" s="1"/>
  <c r="BL529" i="3"/>
  <c r="BL535" i="3"/>
  <c r="BL543" i="3"/>
  <c r="BL551" i="3"/>
  <c r="BL577" i="3"/>
  <c r="J28" i="37"/>
  <c r="AA28" i="34"/>
  <c r="S28" i="34"/>
  <c r="S40" i="21"/>
  <c r="H25" i="37"/>
  <c r="F25" i="37"/>
  <c r="AA44" i="39"/>
  <c r="S44" i="39"/>
  <c r="G547" i="3"/>
  <c r="G539" i="3"/>
  <c r="G523" i="3"/>
  <c r="G522" i="3"/>
  <c r="G517" i="3"/>
  <c r="G503" i="3"/>
  <c r="G495" i="3"/>
  <c r="BL406" i="3"/>
  <c r="G407" i="3"/>
  <c r="G477" i="3"/>
  <c r="G481" i="3"/>
  <c r="G489" i="3"/>
  <c r="BL490" i="3"/>
  <c r="G307" i="3"/>
  <c r="G311" i="3"/>
  <c r="G315" i="3"/>
  <c r="G323" i="3"/>
  <c r="G351" i="3"/>
  <c r="G209" i="3"/>
  <c r="G213" i="3"/>
  <c r="G218" i="3"/>
  <c r="G222" i="3"/>
  <c r="G226" i="3"/>
  <c r="BA240" i="3"/>
  <c r="G243" i="3"/>
  <c r="BA243" i="3"/>
  <c r="G246" i="3"/>
  <c r="G250" i="3"/>
  <c r="G254" i="3"/>
  <c r="G262" i="3"/>
  <c r="G263" i="3"/>
  <c r="G266" i="3"/>
  <c r="G270" i="3"/>
  <c r="BA177" i="3"/>
  <c r="BL181" i="3"/>
  <c r="G182" i="3"/>
  <c r="G190" i="3"/>
  <c r="G198" i="3"/>
  <c r="BA22" i="3"/>
  <c r="BL25" i="3"/>
  <c r="BL27" i="3"/>
  <c r="BA28" i="3"/>
  <c r="G31" i="3"/>
  <c r="BA33" i="3"/>
  <c r="BA38" i="3"/>
  <c r="G41" i="3"/>
  <c r="BL44" i="3"/>
  <c r="G45" i="3"/>
  <c r="BL45" i="3"/>
  <c r="BA50" i="3"/>
  <c r="G54" i="3"/>
  <c r="BL57" i="3"/>
  <c r="G62" i="3"/>
  <c r="G66" i="3"/>
  <c r="G78" i="3"/>
  <c r="G86" i="3"/>
  <c r="G106" i="3"/>
  <c r="D68" i="71"/>
  <c r="U31" i="36"/>
  <c r="AB41" i="21"/>
  <c r="G581" i="3"/>
  <c r="G573" i="3"/>
  <c r="BA410" i="3"/>
  <c r="G421" i="3"/>
  <c r="BA424" i="3"/>
  <c r="BL424" i="3"/>
  <c r="G426" i="3"/>
  <c r="G427" i="3"/>
  <c r="G435" i="3"/>
  <c r="BL435" i="3"/>
  <c r="BL436" i="3"/>
  <c r="G439" i="3"/>
  <c r="BA446" i="3"/>
  <c r="G459" i="3"/>
  <c r="G463" i="3"/>
  <c r="BA358" i="3"/>
  <c r="AZ358" i="3" s="1"/>
  <c r="BL267" i="3"/>
  <c r="G281" i="3"/>
  <c r="BA293" i="3"/>
  <c r="G136" i="3"/>
  <c r="G152" i="3"/>
  <c r="G172" i="3"/>
  <c r="G34" i="3"/>
  <c r="G52" i="3"/>
  <c r="BA70" i="3"/>
  <c r="G81" i="3"/>
  <c r="G109" i="3"/>
  <c r="AA21" i="33"/>
  <c r="W25" i="40"/>
  <c r="C79" i="71"/>
  <c r="O68" i="71"/>
  <c r="B79" i="71"/>
  <c r="B78" i="71" s="1"/>
  <c r="BA487" i="3"/>
  <c r="BL383" i="3"/>
  <c r="AZ383" i="3" s="1"/>
  <c r="G68" i="3"/>
  <c r="BA88" i="3"/>
  <c r="G111" i="3"/>
  <c r="AB21" i="37"/>
  <c r="T68" i="71"/>
  <c r="M20" i="67"/>
  <c r="F34" i="67"/>
  <c r="F62" i="67" s="1"/>
  <c r="AZ356" i="3"/>
  <c r="AZ341" i="3"/>
  <c r="U46" i="34"/>
  <c r="AB46" i="34"/>
  <c r="AA11" i="36"/>
  <c r="S11" i="36"/>
  <c r="AC23" i="37"/>
  <c r="U32" i="39"/>
  <c r="S37" i="21"/>
  <c r="AZ387" i="3"/>
  <c r="AZ390" i="3"/>
  <c r="AZ351" i="3"/>
  <c r="AZ313" i="3"/>
  <c r="AZ325" i="3"/>
  <c r="AZ320" i="3"/>
  <c r="AZ322" i="3"/>
  <c r="AZ311" i="3"/>
  <c r="AB45" i="33"/>
  <c r="U45" i="33"/>
  <c r="U12" i="35"/>
  <c r="AB12" i="35"/>
  <c r="AZ570" i="3"/>
  <c r="S41" i="33"/>
  <c r="G566" i="3"/>
  <c r="G558" i="3"/>
  <c r="G552" i="3"/>
  <c r="G544" i="3"/>
  <c r="G536" i="3"/>
  <c r="G528" i="3"/>
  <c r="G514" i="3"/>
  <c r="G508" i="3"/>
  <c r="G500" i="3"/>
  <c r="BL402" i="3"/>
  <c r="G403" i="3"/>
  <c r="BA406" i="3"/>
  <c r="AZ406" i="3" s="1"/>
  <c r="G408" i="3"/>
  <c r="G413" i="3"/>
  <c r="G444" i="3"/>
  <c r="G448" i="3"/>
  <c r="G473" i="3"/>
  <c r="G479" i="3"/>
  <c r="G480" i="3"/>
  <c r="G485" i="3"/>
  <c r="G490" i="3"/>
  <c r="BL316" i="3"/>
  <c r="BL340" i="3"/>
  <c r="AZ340" i="3" s="1"/>
  <c r="BL367" i="3"/>
  <c r="G382" i="3"/>
  <c r="G387" i="3"/>
  <c r="BA212" i="3"/>
  <c r="BL219" i="3"/>
  <c r="G231" i="3"/>
  <c r="G239" i="3"/>
  <c r="G251" i="3"/>
  <c r="G255" i="3"/>
  <c r="BA257" i="3"/>
  <c r="BL272" i="3"/>
  <c r="G280" i="3"/>
  <c r="BA281" i="3"/>
  <c r="G284" i="3"/>
  <c r="G292" i="3"/>
  <c r="G297" i="3"/>
  <c r="BA116" i="3"/>
  <c r="AZ116" i="3" s="1"/>
  <c r="BA121" i="3"/>
  <c r="BL121" i="3"/>
  <c r="G135" i="3"/>
  <c r="G170" i="3"/>
  <c r="BL186" i="3"/>
  <c r="BA188" i="3"/>
  <c r="AZ188" i="3" s="1"/>
  <c r="G191" i="3"/>
  <c r="G47" i="3"/>
  <c r="G63" i="3"/>
  <c r="S21" i="34"/>
  <c r="D80" i="71"/>
  <c r="X25" i="71"/>
  <c r="AB34" i="71"/>
  <c r="E47" i="71"/>
  <c r="E48" i="71" s="1"/>
  <c r="U48" i="71" s="1"/>
  <c r="E63" i="71"/>
  <c r="E64" i="71" s="1"/>
  <c r="U64" i="71" s="1"/>
  <c r="C63" i="71"/>
  <c r="C64" i="71" s="1"/>
  <c r="F67" i="71"/>
  <c r="F66" i="71" s="1"/>
  <c r="Q66" i="71" s="1"/>
  <c r="S44" i="34"/>
  <c r="J36" i="35"/>
  <c r="AC36" i="35" s="1"/>
  <c r="F23" i="36"/>
  <c r="G570" i="3"/>
  <c r="G569" i="3"/>
  <c r="G568" i="3"/>
  <c r="G561" i="3"/>
  <c r="G560" i="3"/>
  <c r="E71" i="71"/>
  <c r="E70" i="71" s="1"/>
  <c r="X35" i="71"/>
  <c r="BA456" i="3"/>
  <c r="BL381" i="3"/>
  <c r="AZ381" i="3" s="1"/>
  <c r="BA392" i="3"/>
  <c r="AZ392" i="3" s="1"/>
  <c r="BL216" i="3"/>
  <c r="G238" i="3"/>
  <c r="G271" i="3"/>
  <c r="G279" i="3"/>
  <c r="G282" i="3"/>
  <c r="G286" i="3"/>
  <c r="G127" i="3"/>
  <c r="BA145" i="3"/>
  <c r="BA157" i="3"/>
  <c r="BL161" i="3"/>
  <c r="G164" i="3"/>
  <c r="BL169" i="3"/>
  <c r="BL171" i="3"/>
  <c r="AZ171" i="3" s="1"/>
  <c r="G206" i="3"/>
  <c r="G72" i="3"/>
  <c r="BA72" i="3"/>
  <c r="BA78" i="3"/>
  <c r="G79" i="3"/>
  <c r="BL86" i="3"/>
  <c r="G87" i="3"/>
  <c r="G88" i="3"/>
  <c r="BL91" i="3"/>
  <c r="G95" i="3"/>
  <c r="BA95" i="3"/>
  <c r="BA100" i="3"/>
  <c r="G103" i="3"/>
  <c r="BL105" i="3"/>
  <c r="G107" i="3"/>
  <c r="BL107" i="3"/>
  <c r="BL110" i="3"/>
  <c r="BL111" i="3"/>
  <c r="AC21" i="33"/>
  <c r="B39" i="71"/>
  <c r="B40" i="71" s="1"/>
  <c r="S40" i="71" s="1"/>
  <c r="F23" i="71"/>
  <c r="F22" i="71" s="1"/>
  <c r="F21" i="71" s="1"/>
  <c r="F20" i="71" s="1"/>
  <c r="F19" i="71" s="1"/>
  <c r="F18" i="71" s="1"/>
  <c r="F17" i="71" s="1"/>
  <c r="BA413" i="3"/>
  <c r="BL413" i="3"/>
  <c r="G415" i="3"/>
  <c r="G416" i="3"/>
  <c r="G445" i="3"/>
  <c r="BL455" i="3"/>
  <c r="BL469" i="3"/>
  <c r="G470" i="3"/>
  <c r="G471" i="3"/>
  <c r="BA471" i="3"/>
  <c r="BA476" i="3"/>
  <c r="G482" i="3"/>
  <c r="BA485" i="3"/>
  <c r="G486" i="3"/>
  <c r="BA319" i="3"/>
  <c r="AZ319" i="3" s="1"/>
  <c r="G380" i="3"/>
  <c r="G384" i="3"/>
  <c r="BA385" i="3"/>
  <c r="G397" i="3"/>
  <c r="BA214" i="3"/>
  <c r="G215" i="3"/>
  <c r="BL227" i="3"/>
  <c r="G228" i="3"/>
  <c r="G232" i="3"/>
  <c r="BA233" i="3"/>
  <c r="G244" i="3"/>
  <c r="G249" i="3"/>
  <c r="G253" i="3"/>
  <c r="BL259" i="3"/>
  <c r="G260" i="3"/>
  <c r="G261" i="3"/>
  <c r="BL261" i="3"/>
  <c r="G264" i="3"/>
  <c r="BA267" i="3"/>
  <c r="G289" i="3"/>
  <c r="G126" i="3"/>
  <c r="BL135" i="3"/>
  <c r="AZ135" i="3" s="1"/>
  <c r="G167" i="3"/>
  <c r="G176" i="3"/>
  <c r="BA194" i="3"/>
  <c r="BL195" i="3"/>
  <c r="AZ195" i="3" s="1"/>
  <c r="BA201" i="3"/>
  <c r="BA67" i="3"/>
  <c r="BL67" i="3"/>
  <c r="AC21" i="21"/>
  <c r="U21" i="34"/>
  <c r="C75" i="71"/>
  <c r="AA13" i="21"/>
  <c r="S13" i="21"/>
  <c r="AA13" i="40"/>
  <c r="S13" i="40"/>
  <c r="AC39" i="34"/>
  <c r="W20" i="36"/>
  <c r="AC20" i="36"/>
  <c r="U31" i="37"/>
  <c r="AB31" i="37"/>
  <c r="AC25" i="21"/>
  <c r="W25" i="21"/>
  <c r="AA40" i="37"/>
  <c r="S40" i="37"/>
  <c r="AA45" i="21"/>
  <c r="S45" i="21"/>
  <c r="AC29" i="35"/>
  <c r="W29" i="35"/>
  <c r="AC16" i="35"/>
  <c r="W16" i="35"/>
  <c r="S41" i="39"/>
  <c r="AA41" i="39"/>
  <c r="AC43" i="21"/>
  <c r="W43" i="21"/>
  <c r="F44" i="21"/>
  <c r="J44" i="21"/>
  <c r="H44" i="21"/>
  <c r="B90" i="43"/>
  <c r="C21" i="40"/>
  <c r="S30" i="33"/>
  <c r="AA30" i="33"/>
  <c r="AB12" i="36"/>
  <c r="U12" i="36"/>
  <c r="J13" i="40"/>
  <c r="H13" i="40"/>
  <c r="W17" i="21"/>
  <c r="AB45" i="34"/>
  <c r="S14" i="39"/>
  <c r="AA17" i="33"/>
  <c r="S22" i="36"/>
  <c r="AA22" i="36"/>
  <c r="AB29" i="34"/>
  <c r="U29" i="34"/>
  <c r="AA23" i="34"/>
  <c r="S23" i="34"/>
  <c r="W36" i="34"/>
  <c r="AC36" i="34"/>
  <c r="S15" i="40"/>
  <c r="AA15" i="40"/>
  <c r="AB32" i="37"/>
  <c r="U32" i="37"/>
  <c r="AB12" i="40"/>
  <c r="U12" i="40"/>
  <c r="S38" i="37"/>
  <c r="AA38" i="37"/>
  <c r="H13" i="21"/>
  <c r="J13" i="21"/>
  <c r="J27" i="34"/>
  <c r="H27" i="34"/>
  <c r="AC32" i="39"/>
  <c r="D6" i="52"/>
  <c r="AA23" i="37"/>
  <c r="S27" i="21"/>
  <c r="W9" i="33"/>
  <c r="AA27" i="40"/>
  <c r="AA20" i="35"/>
  <c r="S20" i="35"/>
  <c r="U35" i="37"/>
  <c r="AB35" i="37"/>
  <c r="AA24" i="35"/>
  <c r="S24" i="35"/>
  <c r="AZ543" i="3"/>
  <c r="W41" i="39"/>
  <c r="AC41" i="39"/>
  <c r="W13" i="37"/>
  <c r="AC13" i="37"/>
  <c r="W25" i="35"/>
  <c r="AC25" i="35"/>
  <c r="S34" i="33"/>
  <c r="AA34" i="33"/>
  <c r="J29" i="21"/>
  <c r="H29" i="21"/>
  <c r="F29" i="21"/>
  <c r="AA29" i="21" s="1"/>
  <c r="AB46" i="33"/>
  <c r="U46" i="33"/>
  <c r="S42" i="34"/>
  <c r="AA42" i="34"/>
  <c r="AB14" i="40"/>
  <c r="U14" i="40"/>
  <c r="AC40" i="37"/>
  <c r="W40" i="37"/>
  <c r="S14" i="34"/>
  <c r="AA14" i="34"/>
  <c r="S13" i="33"/>
  <c r="AA13" i="33"/>
  <c r="U34" i="39"/>
  <c r="AB34" i="39"/>
  <c r="BA586" i="3"/>
  <c r="F9" i="34"/>
  <c r="AA9" i="34" s="1"/>
  <c r="J9" i="34"/>
  <c r="AC9" i="34" s="1"/>
  <c r="H9" i="34"/>
  <c r="AA27" i="35"/>
  <c r="S27" i="35"/>
  <c r="J31" i="40"/>
  <c r="W31" i="40" s="1"/>
  <c r="H31" i="40"/>
  <c r="BL549" i="3"/>
  <c r="BA549" i="3"/>
  <c r="BA546" i="3"/>
  <c r="AZ546" i="3" s="1"/>
  <c r="BA545" i="3"/>
  <c r="BL544" i="3"/>
  <c r="AZ544" i="3" s="1"/>
  <c r="BL542" i="3"/>
  <c r="AZ542" i="3" s="1"/>
  <c r="BA541" i="3"/>
  <c r="AZ541" i="3" s="1"/>
  <c r="BA540" i="3"/>
  <c r="BL537" i="3"/>
  <c r="BA537" i="3"/>
  <c r="AZ537" i="3" s="1"/>
  <c r="BL536" i="3"/>
  <c r="BA536" i="3"/>
  <c r="BL534" i="3"/>
  <c r="BA534" i="3"/>
  <c r="AZ534" i="3" s="1"/>
  <c r="BA533" i="3"/>
  <c r="BL532" i="3"/>
  <c r="AZ532" i="3" s="1"/>
  <c r="BA530" i="3"/>
  <c r="BA529" i="3"/>
  <c r="BL528" i="3"/>
  <c r="AZ528" i="3" s="1"/>
  <c r="BL526" i="3"/>
  <c r="AZ526" i="3" s="1"/>
  <c r="BA526" i="3"/>
  <c r="BA525" i="3"/>
  <c r="BL524" i="3"/>
  <c r="AZ524" i="3" s="1"/>
  <c r="BA522" i="3"/>
  <c r="AZ522" i="3" s="1"/>
  <c r="BA521" i="3"/>
  <c r="BL520" i="3"/>
  <c r="AZ520" i="3" s="1"/>
  <c r="BA519" i="3"/>
  <c r="BA518" i="3"/>
  <c r="AZ518" i="3" s="1"/>
  <c r="BL516" i="3"/>
  <c r="AZ516" i="3" s="1"/>
  <c r="BA515" i="3"/>
  <c r="BL514" i="3"/>
  <c r="BA514" i="3"/>
  <c r="BA511" i="3"/>
  <c r="BA510" i="3"/>
  <c r="BL508" i="3"/>
  <c r="BA508" i="3"/>
  <c r="BL506" i="3"/>
  <c r="AZ506" i="3" s="1"/>
  <c r="BA505" i="3"/>
  <c r="BL504" i="3"/>
  <c r="BA504" i="3"/>
  <c r="BA502" i="3"/>
  <c r="BA501" i="3"/>
  <c r="BL498" i="3"/>
  <c r="BA498" i="3"/>
  <c r="BA497" i="3"/>
  <c r="BL496" i="3"/>
  <c r="BJ5" i="3"/>
  <c r="BF5" i="3"/>
  <c r="BA496" i="3"/>
  <c r="BL495" i="3"/>
  <c r="AZ495" i="3" s="1"/>
  <c r="BA493" i="3"/>
  <c r="AZ493" i="3" s="1"/>
  <c r="AZ553" i="3"/>
  <c r="F44" i="33"/>
  <c r="H44" i="33"/>
  <c r="F13" i="34"/>
  <c r="H13" i="34"/>
  <c r="U13" i="34" s="1"/>
  <c r="J31" i="34"/>
  <c r="H31" i="34"/>
  <c r="AB31" i="34" s="1"/>
  <c r="BA569" i="3"/>
  <c r="BA568" i="3"/>
  <c r="AZ568" i="3" s="1"/>
  <c r="BL566" i="3"/>
  <c r="BA565" i="3"/>
  <c r="BL564" i="3"/>
  <c r="BA564" i="3"/>
  <c r="AZ564" i="3" s="1"/>
  <c r="BL561" i="3"/>
  <c r="BA561" i="3"/>
  <c r="AZ561" i="3" s="1"/>
  <c r="BA560" i="3"/>
  <c r="AZ560" i="3" s="1"/>
  <c r="BA557" i="3"/>
  <c r="BL556" i="3"/>
  <c r="BA556" i="3"/>
  <c r="AZ556" i="3" s="1"/>
  <c r="BA555" i="3"/>
  <c r="BL554" i="3"/>
  <c r="BA554" i="3"/>
  <c r="AC15" i="21"/>
  <c r="S43" i="34"/>
  <c r="AB27" i="40"/>
  <c r="S15" i="37"/>
  <c r="AZ371" i="3"/>
  <c r="AZ552" i="3"/>
  <c r="AA14" i="40"/>
  <c r="S14" i="40"/>
  <c r="S14" i="37"/>
  <c r="AA14" i="37"/>
  <c r="W40" i="33"/>
  <c r="BA587" i="3"/>
  <c r="J38" i="37"/>
  <c r="H38" i="37"/>
  <c r="AA40" i="39"/>
  <c r="S40" i="39"/>
  <c r="J12" i="39"/>
  <c r="F12" i="39"/>
  <c r="J37" i="39"/>
  <c r="F37" i="39"/>
  <c r="AA38" i="39"/>
  <c r="S38" i="39"/>
  <c r="F36" i="39"/>
  <c r="H36" i="39"/>
  <c r="J36" i="39"/>
  <c r="AC36" i="39" s="1"/>
  <c r="BA584" i="3"/>
  <c r="AZ584" i="3" s="1"/>
  <c r="BL582" i="3"/>
  <c r="AZ582" i="3" s="1"/>
  <c r="BA581" i="3"/>
  <c r="BL580" i="3"/>
  <c r="BA580" i="3"/>
  <c r="BL579" i="3"/>
  <c r="BA577" i="3"/>
  <c r="BA576" i="3"/>
  <c r="AZ576" i="3" s="1"/>
  <c r="BL574" i="3"/>
  <c r="AZ574" i="3" s="1"/>
  <c r="BA573" i="3"/>
  <c r="BL572" i="3"/>
  <c r="BA572" i="3"/>
  <c r="AZ572" i="3" s="1"/>
  <c r="AA3" i="71"/>
  <c r="AZ378" i="3"/>
  <c r="AZ360" i="3"/>
  <c r="BL497" i="3"/>
  <c r="AZ497" i="3" s="1"/>
  <c r="BL511" i="3"/>
  <c r="AZ511" i="3" s="1"/>
  <c r="BL519" i="3"/>
  <c r="BL525" i="3"/>
  <c r="BL531" i="3"/>
  <c r="AZ531" i="3" s="1"/>
  <c r="BL555" i="3"/>
  <c r="AZ555" i="3" s="1"/>
  <c r="BL565" i="3"/>
  <c r="BL573" i="3"/>
  <c r="BL557" i="3"/>
  <c r="H13" i="35"/>
  <c r="F45" i="34"/>
  <c r="H30" i="33"/>
  <c r="U34" i="34"/>
  <c r="U31" i="35"/>
  <c r="J38" i="40"/>
  <c r="G556" i="3"/>
  <c r="G14" i="3"/>
  <c r="BI5" i="3"/>
  <c r="BK5" i="3"/>
  <c r="BG5" i="3"/>
  <c r="BP5" i="3"/>
  <c r="G29" i="6" s="1"/>
  <c r="BM5" i="3"/>
  <c r="F29" i="6" s="1"/>
  <c r="BR5" i="3"/>
  <c r="BS5" i="3"/>
  <c r="G399" i="3"/>
  <c r="G586" i="3"/>
  <c r="BA400" i="3"/>
  <c r="G401" i="3"/>
  <c r="BA407" i="3"/>
  <c r="G410" i="3"/>
  <c r="G411" i="3"/>
  <c r="BL411" i="3"/>
  <c r="BL419" i="3"/>
  <c r="G420" i="3"/>
  <c r="BL423" i="3"/>
  <c r="G430" i="3"/>
  <c r="BL430" i="3"/>
  <c r="BL433" i="3"/>
  <c r="BA443" i="3"/>
  <c r="BA444" i="3"/>
  <c r="AZ377" i="3"/>
  <c r="AZ361" i="3"/>
  <c r="AZ334" i="3"/>
  <c r="AZ310" i="3"/>
  <c r="BL505" i="3"/>
  <c r="AZ505" i="3" s="1"/>
  <c r="BL515" i="3"/>
  <c r="BL527" i="3"/>
  <c r="AZ527" i="3" s="1"/>
  <c r="BL539" i="3"/>
  <c r="BL545" i="3"/>
  <c r="BL563" i="3"/>
  <c r="AZ563" i="3" s="1"/>
  <c r="BL569" i="3"/>
  <c r="BL581" i="3"/>
  <c r="U33" i="33"/>
  <c r="BL586" i="3"/>
  <c r="J25" i="37"/>
  <c r="BL399" i="3"/>
  <c r="G400" i="3"/>
  <c r="G404" i="3"/>
  <c r="BL440" i="3"/>
  <c r="G441" i="3"/>
  <c r="G466" i="3"/>
  <c r="BA450" i="3"/>
  <c r="G453" i="3"/>
  <c r="BA453" i="3"/>
  <c r="BA455" i="3"/>
  <c r="AZ455" i="3" s="1"/>
  <c r="BL458" i="3"/>
  <c r="BL462" i="3"/>
  <c r="BA466" i="3"/>
  <c r="BA469" i="3"/>
  <c r="BA470" i="3"/>
  <c r="G474" i="3"/>
  <c r="BA489" i="3"/>
  <c r="BL350" i="3"/>
  <c r="BA353" i="3"/>
  <c r="BL353" i="3"/>
  <c r="BL359" i="3"/>
  <c r="AZ359" i="3" s="1"/>
  <c r="BA367" i="3"/>
  <c r="BA370" i="3"/>
  <c r="AZ370" i="3" s="1"/>
  <c r="BA219" i="3"/>
  <c r="BL220" i="3"/>
  <c r="BL221" i="3"/>
  <c r="G223" i="3"/>
  <c r="BA223" i="3"/>
  <c r="BA402" i="3"/>
  <c r="G409" i="3"/>
  <c r="BL409" i="3"/>
  <c r="BL412" i="3"/>
  <c r="G419" i="3"/>
  <c r="BA419" i="3"/>
  <c r="AZ419" i="3" s="1"/>
  <c r="BL427" i="3"/>
  <c r="G428" i="3"/>
  <c r="BL428" i="3"/>
  <c r="BL429" i="3"/>
  <c r="BA439" i="3"/>
  <c r="BA440" i="3"/>
  <c r="AZ440" i="3" s="1"/>
  <c r="BA442" i="3"/>
  <c r="BL443" i="3"/>
  <c r="BA448" i="3"/>
  <c r="BA451" i="3"/>
  <c r="AZ451" i="3" s="1"/>
  <c r="BA452" i="3"/>
  <c r="BA458" i="3"/>
  <c r="BA462" i="3"/>
  <c r="AZ462" i="3" s="1"/>
  <c r="BL465" i="3"/>
  <c r="G467" i="3"/>
  <c r="G472" i="3"/>
  <c r="BA473" i="3"/>
  <c r="BL484" i="3"/>
  <c r="BL488" i="3"/>
  <c r="G491" i="3"/>
  <c r="BA331" i="3"/>
  <c r="AZ331" i="3" s="1"/>
  <c r="BA349" i="3"/>
  <c r="AZ349" i="3" s="1"/>
  <c r="BA388" i="3"/>
  <c r="AZ388" i="3" s="1"/>
  <c r="BL395" i="3"/>
  <c r="G212" i="3"/>
  <c r="BA216" i="3"/>
  <c r="BL217" i="3"/>
  <c r="BL230" i="3"/>
  <c r="BL252" i="3"/>
  <c r="BA263" i="3"/>
  <c r="BA288" i="3"/>
  <c r="BL137" i="3"/>
  <c r="BA156" i="3"/>
  <c r="AZ156" i="3" s="1"/>
  <c r="BL400" i="3"/>
  <c r="G405" i="3"/>
  <c r="BL408" i="3"/>
  <c r="BL416" i="3"/>
  <c r="G417" i="3"/>
  <c r="BL417" i="3"/>
  <c r="BL418" i="3"/>
  <c r="BA420" i="3"/>
  <c r="BL420" i="3"/>
  <c r="AZ420" i="3" s="1"/>
  <c r="G422" i="3"/>
  <c r="G423" i="3"/>
  <c r="G431" i="3"/>
  <c r="G432" i="3"/>
  <c r="BL432" i="3"/>
  <c r="BA437" i="3"/>
  <c r="G442" i="3"/>
  <c r="BL447" i="3"/>
  <c r="G449" i="3"/>
  <c r="G454" i="3"/>
  <c r="BL457" i="3"/>
  <c r="G460" i="3"/>
  <c r="BL460" i="3"/>
  <c r="BL461" i="3"/>
  <c r="BA463" i="3"/>
  <c r="BL463" i="3"/>
  <c r="G465" i="3"/>
  <c r="BL472" i="3"/>
  <c r="G475" i="3"/>
  <c r="BA480" i="3"/>
  <c r="BL487" i="3"/>
  <c r="G488" i="3"/>
  <c r="BL308" i="3"/>
  <c r="AZ308" i="3" s="1"/>
  <c r="BL317" i="3"/>
  <c r="G318" i="3"/>
  <c r="G349" i="3"/>
  <c r="G358" i="3"/>
  <c r="G362" i="3"/>
  <c r="G366" i="3"/>
  <c r="BL386" i="3"/>
  <c r="BA225" i="3"/>
  <c r="BA227" i="3"/>
  <c r="AZ227" i="3" s="1"/>
  <c r="BL228" i="3"/>
  <c r="BA235" i="3"/>
  <c r="BL237" i="3"/>
  <c r="BL238" i="3"/>
  <c r="BA249" i="3"/>
  <c r="BL249" i="3"/>
  <c r="BA255" i="3"/>
  <c r="BL269" i="3"/>
  <c r="BA271" i="3"/>
  <c r="BL271" i="3"/>
  <c r="BA275" i="3"/>
  <c r="BA279" i="3"/>
  <c r="BA291" i="3"/>
  <c r="BA296" i="3"/>
  <c r="BA301" i="3"/>
  <c r="BL122" i="3"/>
  <c r="BL123" i="3"/>
  <c r="AZ123" i="3" s="1"/>
  <c r="BL125" i="3"/>
  <c r="BL126" i="3"/>
  <c r="BA134" i="3"/>
  <c r="AZ134" i="3" s="1"/>
  <c r="BL134" i="3"/>
  <c r="U21" i="33"/>
  <c r="AB21" i="33"/>
  <c r="B59" i="71"/>
  <c r="B60" i="71" s="1"/>
  <c r="S60" i="71" s="1"/>
  <c r="BL208" i="3"/>
  <c r="G210" i="3"/>
  <c r="G217" i="3"/>
  <c r="G224" i="3"/>
  <c r="G225" i="3"/>
  <c r="BA230" i="3"/>
  <c r="AZ230" i="3" s="1"/>
  <c r="BL231" i="3"/>
  <c r="G233" i="3"/>
  <c r="G234" i="3"/>
  <c r="BL234" i="3"/>
  <c r="G237" i="3"/>
  <c r="BA245" i="3"/>
  <c r="BA248" i="3"/>
  <c r="G252" i="3"/>
  <c r="G258" i="3"/>
  <c r="BA260" i="3"/>
  <c r="BA265" i="3"/>
  <c r="G268" i="3"/>
  <c r="BA270" i="3"/>
  <c r="G273" i="3"/>
  <c r="BA274" i="3"/>
  <c r="BL274" i="3"/>
  <c r="G277" i="3"/>
  <c r="BA283" i="3"/>
  <c r="BL289" i="3"/>
  <c r="G290" i="3"/>
  <c r="G291" i="3"/>
  <c r="G300" i="3"/>
  <c r="G130" i="3"/>
  <c r="G144" i="3"/>
  <c r="BA146" i="3"/>
  <c r="BA150" i="3"/>
  <c r="BL158" i="3"/>
  <c r="G159" i="3"/>
  <c r="BA168" i="3"/>
  <c r="AZ168" i="3" s="1"/>
  <c r="BL175" i="3"/>
  <c r="AZ175" i="3" s="1"/>
  <c r="G178" i="3"/>
  <c r="BA178" i="3"/>
  <c r="BL189" i="3"/>
  <c r="BL190" i="3"/>
  <c r="BA192" i="3"/>
  <c r="AZ192" i="3" s="1"/>
  <c r="G195" i="3"/>
  <c r="BL198" i="3"/>
  <c r="BL199" i="3"/>
  <c r="AZ199" i="3" s="1"/>
  <c r="BA200" i="3"/>
  <c r="AZ200" i="3" s="1"/>
  <c r="BL207" i="3"/>
  <c r="BL18" i="3"/>
  <c r="BL19" i="3"/>
  <c r="BA20" i="3"/>
  <c r="BA32" i="3"/>
  <c r="BA42" i="3"/>
  <c r="G48" i="3"/>
  <c r="BA55" i="3"/>
  <c r="G61" i="3"/>
  <c r="BA65" i="3"/>
  <c r="BL65" i="3"/>
  <c r="BL66" i="3"/>
  <c r="BA75" i="3"/>
  <c r="BA98" i="3"/>
  <c r="BL100" i="3"/>
  <c r="AA30" i="71"/>
  <c r="Y35" i="71"/>
  <c r="Z35" i="71" s="1"/>
  <c r="C55" i="71"/>
  <c r="D55" i="71" s="1"/>
  <c r="C59" i="71"/>
  <c r="B63" i="71"/>
  <c r="B64" i="71" s="1"/>
  <c r="S64" i="71" s="1"/>
  <c r="BL197" i="3"/>
  <c r="BL205" i="3"/>
  <c r="G23" i="3"/>
  <c r="BA31" i="3"/>
  <c r="BA41" i="3"/>
  <c r="BA48" i="3"/>
  <c r="BA49" i="3"/>
  <c r="G51" i="3"/>
  <c r="G56" i="3"/>
  <c r="BL64" i="3"/>
  <c r="G65" i="3"/>
  <c r="G73" i="3"/>
  <c r="BL73" i="3"/>
  <c r="BA74" i="3"/>
  <c r="BL93" i="3"/>
  <c r="BA97" i="3"/>
  <c r="Y30" i="71"/>
  <c r="Z30" i="71" s="1"/>
  <c r="B35" i="71"/>
  <c r="B36" i="71" s="1"/>
  <c r="S36" i="71" s="1"/>
  <c r="B47" i="71"/>
  <c r="B48" i="71" s="1"/>
  <c r="S48" i="71" s="1"/>
  <c r="B23" i="71"/>
  <c r="B22" i="71" s="1"/>
  <c r="B21" i="71" s="1"/>
  <c r="B20" i="71" s="1"/>
  <c r="G235" i="3"/>
  <c r="G236" i="3"/>
  <c r="BA236" i="3"/>
  <c r="G241" i="3"/>
  <c r="BA250" i="3"/>
  <c r="BL254" i="3"/>
  <c r="G256" i="3"/>
  <c r="BA259" i="3"/>
  <c r="BA269" i="3"/>
  <c r="G276" i="3"/>
  <c r="BA276" i="3"/>
  <c r="BL278" i="3"/>
  <c r="BL286" i="3"/>
  <c r="G294" i="3"/>
  <c r="G299" i="3"/>
  <c r="G302" i="3"/>
  <c r="G134" i="3"/>
  <c r="BL146" i="3"/>
  <c r="G147" i="3"/>
  <c r="BA148" i="3"/>
  <c r="AZ148" i="3" s="1"/>
  <c r="BL154" i="3"/>
  <c r="G155" i="3"/>
  <c r="BL166" i="3"/>
  <c r="BL173" i="3"/>
  <c r="G174" i="3"/>
  <c r="G179" i="3"/>
  <c r="G184" i="3"/>
  <c r="BA184" i="3"/>
  <c r="AZ184" i="3" s="1"/>
  <c r="BL187" i="3"/>
  <c r="AZ187" i="3" s="1"/>
  <c r="G188" i="3"/>
  <c r="BA189" i="3"/>
  <c r="G202" i="3"/>
  <c r="BA202" i="3"/>
  <c r="BA207" i="3"/>
  <c r="G21" i="3"/>
  <c r="BA30" i="3"/>
  <c r="G32" i="3"/>
  <c r="G33" i="3"/>
  <c r="G42" i="3"/>
  <c r="BA47" i="3"/>
  <c r="BA62" i="3"/>
  <c r="BL62" i="3"/>
  <c r="BL63" i="3"/>
  <c r="G71" i="3"/>
  <c r="BL76" i="3"/>
  <c r="BA77" i="3"/>
  <c r="G80" i="3"/>
  <c r="G84" i="3"/>
  <c r="G89" i="3"/>
  <c r="BA90" i="3"/>
  <c r="BA92" i="3"/>
  <c r="AZ92" i="3" s="1"/>
  <c r="BL103" i="3"/>
  <c r="BA109" i="3"/>
  <c r="E51" i="71"/>
  <c r="E52" i="71" s="1"/>
  <c r="U52" i="71" s="1"/>
  <c r="BC5" i="3"/>
  <c r="AP7" i="1"/>
  <c r="BA15" i="3"/>
  <c r="AP8" i="1"/>
  <c r="C40" i="69"/>
  <c r="D23" i="15"/>
  <c r="G1" i="15"/>
  <c r="BA14" i="3"/>
  <c r="AZ14" i="3" s="1"/>
  <c r="C7" i="40"/>
  <c r="C63" i="40" s="1"/>
  <c r="C65" i="40" s="1"/>
  <c r="C7" i="39"/>
  <c r="C67" i="39" s="1"/>
  <c r="C69" i="39" s="1"/>
  <c r="C7" i="34"/>
  <c r="C59" i="34" s="1"/>
  <c r="D59" i="34" s="1"/>
  <c r="E59" i="34" s="1"/>
  <c r="F59" i="34" s="1"/>
  <c r="G59" i="34" s="1"/>
  <c r="H59" i="34" s="1"/>
  <c r="I59" i="34" s="1"/>
  <c r="J59" i="34" s="1"/>
  <c r="K59" i="34" s="1"/>
  <c r="L59" i="34" s="1"/>
  <c r="M59" i="34" s="1"/>
  <c r="N59" i="34" s="1"/>
  <c r="O59" i="34" s="1"/>
  <c r="C7" i="21"/>
  <c r="C42" i="1"/>
  <c r="C24" i="12" s="1"/>
  <c r="C7" i="37"/>
  <c r="C52" i="37" s="1"/>
  <c r="D52" i="37" s="1"/>
  <c r="E52" i="37" s="1"/>
  <c r="F52" i="37" s="1"/>
  <c r="G52" i="37" s="1"/>
  <c r="H52" i="37" s="1"/>
  <c r="I52" i="37" s="1"/>
  <c r="J52" i="37" s="1"/>
  <c r="K52" i="37" s="1"/>
  <c r="L52" i="37" s="1"/>
  <c r="M52" i="37" s="1"/>
  <c r="N52" i="37" s="1"/>
  <c r="O52" i="37" s="1"/>
  <c r="G23" i="43"/>
  <c r="C23" i="43" s="1"/>
  <c r="W23" i="21"/>
  <c r="U19" i="33"/>
  <c r="S30" i="40"/>
  <c r="AZ345" i="3"/>
  <c r="AZ372" i="3"/>
  <c r="AZ347" i="3"/>
  <c r="AZ337" i="3"/>
  <c r="AZ376" i="3"/>
  <c r="AZ309" i="3"/>
  <c r="AA11" i="39"/>
  <c r="AZ533" i="3"/>
  <c r="AZ569" i="3"/>
  <c r="F9" i="33"/>
  <c r="AA9" i="33" s="1"/>
  <c r="H9" i="33"/>
  <c r="AC22" i="35"/>
  <c r="W22" i="35"/>
  <c r="U12" i="39"/>
  <c r="AZ539" i="3"/>
  <c r="AA29" i="35"/>
  <c r="B97" i="43"/>
  <c r="B75" i="43"/>
  <c r="AB35" i="33"/>
  <c r="U35" i="33"/>
  <c r="J23" i="35"/>
  <c r="H23" i="35"/>
  <c r="F32" i="36"/>
  <c r="H32" i="36"/>
  <c r="AB30" i="37"/>
  <c r="U30" i="37"/>
  <c r="AB36" i="33"/>
  <c r="AC11" i="39"/>
  <c r="AZ391" i="3"/>
  <c r="AZ318" i="3"/>
  <c r="AZ364" i="3"/>
  <c r="AZ329" i="3"/>
  <c r="AZ304" i="3"/>
  <c r="AZ306" i="3"/>
  <c r="AZ513" i="3"/>
  <c r="AZ566" i="3"/>
  <c r="AZ540" i="3"/>
  <c r="AZ502" i="3"/>
  <c r="AC11" i="35"/>
  <c r="F26" i="33"/>
  <c r="H26" i="33"/>
  <c r="J26" i="33"/>
  <c r="F12" i="35"/>
  <c r="S12" i="35" s="1"/>
  <c r="J12" i="35"/>
  <c r="BL587" i="3"/>
  <c r="AZ587" i="3" s="1"/>
  <c r="AA38" i="33"/>
  <c r="S38" i="33"/>
  <c r="AC27" i="35"/>
  <c r="W27" i="35"/>
  <c r="F12" i="36"/>
  <c r="J34" i="36"/>
  <c r="W34" i="36" s="1"/>
  <c r="H39" i="37"/>
  <c r="W28" i="36"/>
  <c r="J45" i="39"/>
  <c r="W45" i="39" s="1"/>
  <c r="BL585" i="3"/>
  <c r="AZ585" i="3" s="1"/>
  <c r="H24" i="36"/>
  <c r="J12" i="36"/>
  <c r="J24" i="36"/>
  <c r="H38" i="40"/>
  <c r="BL398" i="3"/>
  <c r="G402" i="3"/>
  <c r="BL403" i="3"/>
  <c r="G406" i="3"/>
  <c r="BA408" i="3"/>
  <c r="BA409" i="3"/>
  <c r="AZ409" i="3" s="1"/>
  <c r="BA411" i="3"/>
  <c r="AZ411" i="3" s="1"/>
  <c r="BL414" i="3"/>
  <c r="BL415" i="3"/>
  <c r="BA417" i="3"/>
  <c r="AZ417" i="3" s="1"/>
  <c r="BL421" i="3"/>
  <c r="BL422" i="3"/>
  <c r="BL425" i="3"/>
  <c r="BL426" i="3"/>
  <c r="BA428" i="3"/>
  <c r="AZ428" i="3" s="1"/>
  <c r="BA429" i="3"/>
  <c r="BA430" i="3"/>
  <c r="BA432" i="3"/>
  <c r="AZ432" i="3" s="1"/>
  <c r="BA434" i="3"/>
  <c r="BA436" i="3"/>
  <c r="BA438" i="3"/>
  <c r="G443" i="3"/>
  <c r="AZ487" i="3"/>
  <c r="AA34" i="39"/>
  <c r="G551" i="3"/>
  <c r="BL550" i="3"/>
  <c r="G542" i="3"/>
  <c r="BL15" i="3"/>
  <c r="BA398" i="3"/>
  <c r="AZ398" i="3" s="1"/>
  <c r="BA399" i="3"/>
  <c r="AZ399" i="3" s="1"/>
  <c r="BL401" i="3"/>
  <c r="BL404" i="3"/>
  <c r="BL405" i="3"/>
  <c r="BL407" i="3"/>
  <c r="BA412" i="3"/>
  <c r="AZ412" i="3" s="1"/>
  <c r="BA414" i="3"/>
  <c r="BA415" i="3"/>
  <c r="BA416" i="3"/>
  <c r="AZ416" i="3" s="1"/>
  <c r="BA418" i="3"/>
  <c r="BA421" i="3"/>
  <c r="BA423" i="3"/>
  <c r="BA425" i="3"/>
  <c r="BA426" i="3"/>
  <c r="BA427" i="3"/>
  <c r="BA433" i="3"/>
  <c r="BA435" i="3"/>
  <c r="AZ435" i="3" s="1"/>
  <c r="BL437" i="3"/>
  <c r="G440" i="3"/>
  <c r="BL441" i="3"/>
  <c r="BL442" i="3"/>
  <c r="AZ442" i="3" s="1"/>
  <c r="BL444" i="3"/>
  <c r="AZ444" i="3" s="1"/>
  <c r="G446" i="3"/>
  <c r="G447" i="3"/>
  <c r="BL448" i="3"/>
  <c r="AZ448" i="3" s="1"/>
  <c r="G450" i="3"/>
  <c r="G451" i="3"/>
  <c r="BA454" i="3"/>
  <c r="BA457" i="3"/>
  <c r="AZ457" i="3" s="1"/>
  <c r="BA459" i="3"/>
  <c r="BA460" i="3"/>
  <c r="AZ460" i="3" s="1"/>
  <c r="BA461" i="3"/>
  <c r="BL464" i="3"/>
  <c r="BL466" i="3"/>
  <c r="AZ466" i="3" s="1"/>
  <c r="G469" i="3"/>
  <c r="BL476" i="3"/>
  <c r="BL477" i="3"/>
  <c r="BL478" i="3"/>
  <c r="BL480" i="3"/>
  <c r="AZ480" i="3" s="1"/>
  <c r="BA483" i="3"/>
  <c r="BL483" i="3"/>
  <c r="BA486" i="3"/>
  <c r="BL489" i="3"/>
  <c r="BL491" i="3"/>
  <c r="BL492" i="3"/>
  <c r="BA315" i="3"/>
  <c r="AZ315" i="3" s="1"/>
  <c r="BA333" i="3"/>
  <c r="BL346" i="3"/>
  <c r="AZ346" i="3" s="1"/>
  <c r="G574" i="3"/>
  <c r="BL16" i="3"/>
  <c r="AZ16" i="3" s="1"/>
  <c r="BA401" i="3"/>
  <c r="BA403" i="3"/>
  <c r="BA404" i="3"/>
  <c r="BA405" i="3"/>
  <c r="BL410" i="3"/>
  <c r="G412" i="3"/>
  <c r="G418" i="3"/>
  <c r="BA422" i="3"/>
  <c r="AZ422" i="3" s="1"/>
  <c r="G429" i="3"/>
  <c r="BL431" i="3"/>
  <c r="AZ431" i="3" s="1"/>
  <c r="G433" i="3"/>
  <c r="BL434" i="3"/>
  <c r="G436" i="3"/>
  <c r="BL438" i="3"/>
  <c r="BL439" i="3"/>
  <c r="BA441" i="3"/>
  <c r="BL445" i="3"/>
  <c r="BL446" i="3"/>
  <c r="AZ446" i="3" s="1"/>
  <c r="BL449" i="3"/>
  <c r="BL450" i="3"/>
  <c r="BL452" i="3"/>
  <c r="G455" i="3"/>
  <c r="BL456" i="3"/>
  <c r="AZ456" i="3" s="1"/>
  <c r="BA464" i="3"/>
  <c r="BL467" i="3"/>
  <c r="BL468" i="3"/>
  <c r="BL470" i="3"/>
  <c r="BL473" i="3"/>
  <c r="BL474" i="3"/>
  <c r="BA482" i="3"/>
  <c r="BA484" i="3"/>
  <c r="BA303" i="3"/>
  <c r="AZ303" i="3" s="1"/>
  <c r="BA307" i="3"/>
  <c r="AZ307" i="3" s="1"/>
  <c r="BL314" i="3"/>
  <c r="AZ314" i="3" s="1"/>
  <c r="BA332" i="3"/>
  <c r="BL332" i="3"/>
  <c r="G339" i="3"/>
  <c r="BA366" i="3"/>
  <c r="AZ366" i="3" s="1"/>
  <c r="BL375" i="3"/>
  <c r="AZ375" i="3" s="1"/>
  <c r="BA209" i="3"/>
  <c r="BA220" i="3"/>
  <c r="BA221" i="3"/>
  <c r="BL224" i="3"/>
  <c r="BA231" i="3"/>
  <c r="BL232" i="3"/>
  <c r="BL235" i="3"/>
  <c r="BL236" i="3"/>
  <c r="BA247" i="3"/>
  <c r="BL247" i="3"/>
  <c r="BL250" i="3"/>
  <c r="BL262" i="3"/>
  <c r="BL280" i="3"/>
  <c r="BA286" i="3"/>
  <c r="S31" i="35"/>
  <c r="F39" i="37"/>
  <c r="S39" i="37" s="1"/>
  <c r="J44" i="39"/>
  <c r="G587" i="3"/>
  <c r="BA551" i="3"/>
  <c r="BA550" i="3"/>
  <c r="BL548" i="3"/>
  <c r="AZ548" i="3" s="1"/>
  <c r="BA445" i="3"/>
  <c r="AZ445" i="3" s="1"/>
  <c r="BA447" i="3"/>
  <c r="AZ447" i="3" s="1"/>
  <c r="BA449" i="3"/>
  <c r="BL453" i="3"/>
  <c r="AZ453" i="3" s="1"/>
  <c r="BL454" i="3"/>
  <c r="G458" i="3"/>
  <c r="BL459" i="3"/>
  <c r="G461" i="3"/>
  <c r="G462" i="3"/>
  <c r="BA465" i="3"/>
  <c r="AZ465" i="3" s="1"/>
  <c r="BA467" i="3"/>
  <c r="BA468" i="3"/>
  <c r="BL471" i="3"/>
  <c r="AZ471" i="3" s="1"/>
  <c r="BL475" i="3"/>
  <c r="BA477" i="3"/>
  <c r="BA478" i="3"/>
  <c r="BA481" i="3"/>
  <c r="G484" i="3"/>
  <c r="BA488" i="3"/>
  <c r="AZ488" i="3" s="1"/>
  <c r="BA491" i="3"/>
  <c r="BL324" i="3"/>
  <c r="AZ324" i="3" s="1"/>
  <c r="BL328" i="3"/>
  <c r="AZ328" i="3" s="1"/>
  <c r="G329" i="3"/>
  <c r="BA335" i="3"/>
  <c r="AZ335" i="3" s="1"/>
  <c r="BA339" i="3"/>
  <c r="AZ339" i="3" s="1"/>
  <c r="G343" i="3"/>
  <c r="G347" i="3"/>
  <c r="BA348" i="3"/>
  <c r="BA350" i="3"/>
  <c r="BA354" i="3"/>
  <c r="BL365" i="3"/>
  <c r="AZ365" i="3" s="1"/>
  <c r="BA368" i="3"/>
  <c r="BL368" i="3"/>
  <c r="BA374" i="3"/>
  <c r="AZ374" i="3" s="1"/>
  <c r="BA386" i="3"/>
  <c r="BA396" i="3"/>
  <c r="BL211" i="3"/>
  <c r="BA217" i="3"/>
  <c r="AZ217" i="3" s="1"/>
  <c r="BA218" i="3"/>
  <c r="BL218" i="3"/>
  <c r="BL222" i="3"/>
  <c r="BL223" i="3"/>
  <c r="BA228" i="3"/>
  <c r="AZ228" i="3" s="1"/>
  <c r="BA229" i="3"/>
  <c r="BL229" i="3"/>
  <c r="BL233" i="3"/>
  <c r="BA238" i="3"/>
  <c r="BL242" i="3"/>
  <c r="BL243" i="3"/>
  <c r="AZ243" i="3" s="1"/>
  <c r="BL248" i="3"/>
  <c r="AZ248" i="3" s="1"/>
  <c r="BL298" i="3"/>
  <c r="G374" i="3"/>
  <c r="BA384" i="3"/>
  <c r="AZ384" i="3" s="1"/>
  <c r="BA395" i="3"/>
  <c r="BA208" i="3"/>
  <c r="AZ208" i="3" s="1"/>
  <c r="BA211" i="3"/>
  <c r="BL213" i="3"/>
  <c r="BL215" i="3"/>
  <c r="BA222" i="3"/>
  <c r="BA224" i="3"/>
  <c r="BA226" i="3"/>
  <c r="BA237" i="3"/>
  <c r="BL240" i="3"/>
  <c r="AZ240" i="3" s="1"/>
  <c r="BA242" i="3"/>
  <c r="BL245" i="3"/>
  <c r="AZ245" i="3" s="1"/>
  <c r="G247" i="3"/>
  <c r="BL255" i="3"/>
  <c r="G257" i="3"/>
  <c r="BL257" i="3"/>
  <c r="BL258" i="3"/>
  <c r="G259" i="3"/>
  <c r="BA262" i="3"/>
  <c r="G265" i="3"/>
  <c r="BL265" i="3"/>
  <c r="AZ265" i="3" s="1"/>
  <c r="G267" i="3"/>
  <c r="G269" i="3"/>
  <c r="BA273" i="3"/>
  <c r="BA278" i="3"/>
  <c r="BA280" i="3"/>
  <c r="G283" i="3"/>
  <c r="BL283" i="3"/>
  <c r="AZ283" i="3" s="1"/>
  <c r="BL284" i="3"/>
  <c r="G285" i="3"/>
  <c r="G288" i="3"/>
  <c r="BL292" i="3"/>
  <c r="BA294" i="3"/>
  <c r="BL295" i="3"/>
  <c r="BA298" i="3"/>
  <c r="BL301" i="3"/>
  <c r="BL302" i="3"/>
  <c r="BA114" i="3"/>
  <c r="G128" i="3"/>
  <c r="BA129" i="3"/>
  <c r="BL133" i="3"/>
  <c r="AZ133" i="3" s="1"/>
  <c r="BL139" i="3"/>
  <c r="AZ139" i="3" s="1"/>
  <c r="G140" i="3"/>
  <c r="BL141" i="3"/>
  <c r="BL143" i="3"/>
  <c r="AZ143" i="3" s="1"/>
  <c r="G146" i="3"/>
  <c r="G150" i="3"/>
  <c r="BL155" i="3"/>
  <c r="AZ155" i="3" s="1"/>
  <c r="BA162" i="3"/>
  <c r="BL167" i="3"/>
  <c r="AZ167" i="3" s="1"/>
  <c r="BA169" i="3"/>
  <c r="BA251" i="3"/>
  <c r="BL251" i="3"/>
  <c r="BA253" i="3"/>
  <c r="BL260" i="3"/>
  <c r="BL263" i="3"/>
  <c r="AZ263" i="3" s="1"/>
  <c r="BL270" i="3"/>
  <c r="BA272" i="3"/>
  <c r="BL275" i="3"/>
  <c r="BL285" i="3"/>
  <c r="BL287" i="3"/>
  <c r="BA290" i="3"/>
  <c r="BL299" i="3"/>
  <c r="BL113" i="3"/>
  <c r="BL115" i="3"/>
  <c r="AZ115" i="3" s="1"/>
  <c r="BA118" i="3"/>
  <c r="BL118" i="3"/>
  <c r="BA122" i="3"/>
  <c r="AZ122" i="3" s="1"/>
  <c r="BA125" i="3"/>
  <c r="BA126" i="3"/>
  <c r="AZ126" i="3" s="1"/>
  <c r="BL163" i="3"/>
  <c r="AZ163" i="3" s="1"/>
  <c r="BL385" i="3"/>
  <c r="AZ385" i="3" s="1"/>
  <c r="G392" i="3"/>
  <c r="BA397" i="3"/>
  <c r="BL397" i="3"/>
  <c r="BA210" i="3"/>
  <c r="BL210" i="3"/>
  <c r="BL212" i="3"/>
  <c r="AZ212" i="3" s="1"/>
  <c r="G214" i="3"/>
  <c r="BL214" i="3"/>
  <c r="AZ214" i="3" s="1"/>
  <c r="G216" i="3"/>
  <c r="BL225" i="3"/>
  <c r="BL226" i="3"/>
  <c r="G227" i="3"/>
  <c r="BA239" i="3"/>
  <c r="BL239" i="3"/>
  <c r="BA241" i="3"/>
  <c r="BL241" i="3"/>
  <c r="BA244" i="3"/>
  <c r="BL244" i="3"/>
  <c r="BA246" i="3"/>
  <c r="BA252" i="3"/>
  <c r="BA254" i="3"/>
  <c r="BA256" i="3"/>
  <c r="BL256" i="3"/>
  <c r="BA258" i="3"/>
  <c r="BL264" i="3"/>
  <c r="BL266" i="3"/>
  <c r="BA268" i="3"/>
  <c r="BL273" i="3"/>
  <c r="G274" i="3"/>
  <c r="BA277" i="3"/>
  <c r="BL277" i="3"/>
  <c r="BA282" i="3"/>
  <c r="BL282" i="3"/>
  <c r="BA284" i="3"/>
  <c r="BL290" i="3"/>
  <c r="AZ290" i="3" s="1"/>
  <c r="BL291" i="3"/>
  <c r="AZ291" i="3" s="1"/>
  <c r="BL293" i="3"/>
  <c r="BL294" i="3"/>
  <c r="BA297" i="3"/>
  <c r="BL297" i="3"/>
  <c r="BL300" i="3"/>
  <c r="BA302" i="3"/>
  <c r="G115" i="3"/>
  <c r="BA117" i="3"/>
  <c r="G123" i="3"/>
  <c r="BA124" i="3"/>
  <c r="AZ124" i="3" s="1"/>
  <c r="BA144" i="3"/>
  <c r="AZ144" i="3" s="1"/>
  <c r="BA149" i="3"/>
  <c r="BA153" i="3"/>
  <c r="G158" i="3"/>
  <c r="G163" i="3"/>
  <c r="BA164" i="3"/>
  <c r="AZ164" i="3" s="1"/>
  <c r="BA166" i="3"/>
  <c r="AZ166" i="3" s="1"/>
  <c r="G175" i="3"/>
  <c r="BA176" i="3"/>
  <c r="AZ176" i="3" s="1"/>
  <c r="BA40" i="3"/>
  <c r="F40" i="68"/>
  <c r="C21" i="68"/>
  <c r="O65" i="71"/>
  <c r="O66" i="71"/>
  <c r="D66" i="71"/>
  <c r="B27" i="71"/>
  <c r="B26" i="71" s="1"/>
  <c r="S28" i="71"/>
  <c r="C31" i="71"/>
  <c r="D30" i="71"/>
  <c r="C56" i="71"/>
  <c r="D84" i="71"/>
  <c r="C83" i="71"/>
  <c r="BA130" i="3"/>
  <c r="BL130" i="3"/>
  <c r="BA137" i="3"/>
  <c r="BL138" i="3"/>
  <c r="BA140" i="3"/>
  <c r="AZ140" i="3" s="1"/>
  <c r="BA142" i="3"/>
  <c r="BL149" i="3"/>
  <c r="BL150" i="3"/>
  <c r="AZ150" i="3" s="1"/>
  <c r="G151" i="3"/>
  <c r="BA152" i="3"/>
  <c r="AZ152" i="3" s="1"/>
  <c r="BA154" i="3"/>
  <c r="BA160" i="3"/>
  <c r="AZ160" i="3" s="1"/>
  <c r="G162" i="3"/>
  <c r="BL162" i="3"/>
  <c r="BL165" i="3"/>
  <c r="G166" i="3"/>
  <c r="BL170" i="3"/>
  <c r="G171" i="3"/>
  <c r="BA173" i="3"/>
  <c r="BA174" i="3"/>
  <c r="BL179" i="3"/>
  <c r="AZ179" i="3" s="1"/>
  <c r="G180" i="3"/>
  <c r="BA181" i="3"/>
  <c r="AZ181" i="3" s="1"/>
  <c r="BA182" i="3"/>
  <c r="BL185" i="3"/>
  <c r="G186" i="3"/>
  <c r="G187" i="3"/>
  <c r="BL193" i="3"/>
  <c r="G194" i="3"/>
  <c r="BL194" i="3"/>
  <c r="AZ194" i="3" s="1"/>
  <c r="BA198" i="3"/>
  <c r="G199" i="3"/>
  <c r="G204" i="3"/>
  <c r="G205" i="3"/>
  <c r="BL206" i="3"/>
  <c r="BA19" i="3"/>
  <c r="AZ19" i="3" s="1"/>
  <c r="G22" i="3"/>
  <c r="G24" i="3"/>
  <c r="G25" i="3"/>
  <c r="G27" i="3"/>
  <c r="BA27" i="3"/>
  <c r="AZ27" i="3" s="1"/>
  <c r="G30" i="3"/>
  <c r="BL30" i="3"/>
  <c r="BL31" i="3"/>
  <c r="G35" i="3"/>
  <c r="G36" i="3"/>
  <c r="G37" i="3"/>
  <c r="G40" i="3"/>
  <c r="BL40" i="3"/>
  <c r="BL41" i="3"/>
  <c r="BA52" i="3"/>
  <c r="AZ52" i="3" s="1"/>
  <c r="BA53" i="3"/>
  <c r="BA54" i="3"/>
  <c r="G67" i="3"/>
  <c r="BL68" i="3"/>
  <c r="BA69" i="3"/>
  <c r="C40" i="68"/>
  <c r="E28" i="71"/>
  <c r="AA28" i="71"/>
  <c r="AA27" i="71"/>
  <c r="Y27" i="71"/>
  <c r="Z27" i="71" s="1"/>
  <c r="Y25" i="71"/>
  <c r="Z25" i="71" s="1"/>
  <c r="Y28" i="71"/>
  <c r="Z28" i="71" s="1"/>
  <c r="C28" i="71"/>
  <c r="Y26" i="71"/>
  <c r="Z26" i="71" s="1"/>
  <c r="D38" i="71"/>
  <c r="C39" i="71"/>
  <c r="X39" i="71"/>
  <c r="X36" i="71"/>
  <c r="X34" i="71"/>
  <c r="T72" i="71"/>
  <c r="C71" i="71"/>
  <c r="V76" i="71"/>
  <c r="F75" i="71"/>
  <c r="F74" i="71" s="1"/>
  <c r="G154" i="3"/>
  <c r="G156" i="3"/>
  <c r="BL157" i="3"/>
  <c r="AZ157" i="3" s="1"/>
  <c r="BL159" i="3"/>
  <c r="AZ159" i="3" s="1"/>
  <c r="G160" i="3"/>
  <c r="BL177" i="3"/>
  <c r="AZ177" i="3" s="1"/>
  <c r="BL183" i="3"/>
  <c r="AZ183" i="3" s="1"/>
  <c r="BA186" i="3"/>
  <c r="BA190" i="3"/>
  <c r="BA197" i="3"/>
  <c r="BL201" i="3"/>
  <c r="AZ201" i="3" s="1"/>
  <c r="BL203" i="3"/>
  <c r="AZ203" i="3" s="1"/>
  <c r="BA204" i="3"/>
  <c r="AZ204" i="3" s="1"/>
  <c r="BA18" i="3"/>
  <c r="BL21" i="3"/>
  <c r="BL29" i="3"/>
  <c r="BA37" i="3"/>
  <c r="G39" i="3"/>
  <c r="BL39" i="3"/>
  <c r="BA43" i="3"/>
  <c r="BL47" i="3"/>
  <c r="G49" i="3"/>
  <c r="BL54" i="3"/>
  <c r="BL55" i="3"/>
  <c r="G57" i="3"/>
  <c r="G58" i="3"/>
  <c r="BA59" i="3"/>
  <c r="BL61" i="3"/>
  <c r="G64" i="3"/>
  <c r="BA64" i="3"/>
  <c r="BL74" i="3"/>
  <c r="G75" i="3"/>
  <c r="BL75" i="3"/>
  <c r="BL82" i="3"/>
  <c r="AB29" i="39"/>
  <c r="U29" i="39"/>
  <c r="X31" i="71"/>
  <c r="AB31" i="71"/>
  <c r="AB35" i="71"/>
  <c r="AB28" i="71"/>
  <c r="AB36" i="71"/>
  <c r="AA36" i="71"/>
  <c r="E38" i="71"/>
  <c r="E39" i="71" s="1"/>
  <c r="E40" i="71" s="1"/>
  <c r="U40" i="71" s="1"/>
  <c r="AA37" i="71"/>
  <c r="Y38" i="71"/>
  <c r="Z38" i="71" s="1"/>
  <c r="Y37" i="71"/>
  <c r="Z37" i="71" s="1"/>
  <c r="B75" i="71"/>
  <c r="B74" i="71" s="1"/>
  <c r="S76" i="71"/>
  <c r="BL178" i="3"/>
  <c r="BA180" i="3"/>
  <c r="AZ180" i="3" s="1"/>
  <c r="BL182" i="3"/>
  <c r="G183" i="3"/>
  <c r="BA185" i="3"/>
  <c r="BL191" i="3"/>
  <c r="AZ191" i="3" s="1"/>
  <c r="G192" i="3"/>
  <c r="BA193" i="3"/>
  <c r="AZ193" i="3" s="1"/>
  <c r="BA196" i="3"/>
  <c r="AZ196" i="3" s="1"/>
  <c r="G203" i="3"/>
  <c r="BA205" i="3"/>
  <c r="G20" i="3"/>
  <c r="BL20" i="3"/>
  <c r="AZ20" i="3" s="1"/>
  <c r="BA21" i="3"/>
  <c r="BA25" i="3"/>
  <c r="BA26" i="3"/>
  <c r="G28" i="3"/>
  <c r="BL28" i="3"/>
  <c r="AZ28" i="3" s="1"/>
  <c r="BA29" i="3"/>
  <c r="BA36" i="3"/>
  <c r="BL38" i="3"/>
  <c r="AZ38" i="3" s="1"/>
  <c r="BA39" i="3"/>
  <c r="G46" i="3"/>
  <c r="BL48" i="3"/>
  <c r="BA51" i="3"/>
  <c r="BL56" i="3"/>
  <c r="BA58" i="3"/>
  <c r="BL59" i="3"/>
  <c r="BL60" i="3"/>
  <c r="AZ60" i="3" s="1"/>
  <c r="BL69" i="3"/>
  <c r="G70" i="3"/>
  <c r="BL70" i="3"/>
  <c r="AZ70" i="3" s="1"/>
  <c r="BL71" i="3"/>
  <c r="BL72" i="3"/>
  <c r="AZ72" i="3" s="1"/>
  <c r="G74" i="3"/>
  <c r="BL79" i="3"/>
  <c r="BL96" i="3"/>
  <c r="B100" i="43"/>
  <c r="B77" i="43"/>
  <c r="B57" i="43"/>
  <c r="B68" i="43"/>
  <c r="C29" i="39"/>
  <c r="C47" i="71"/>
  <c r="D47" i="71" s="1"/>
  <c r="Q67" i="71"/>
  <c r="P68" i="71"/>
  <c r="U68" i="71"/>
  <c r="E67" i="71"/>
  <c r="BA61" i="3"/>
  <c r="AZ61" i="3" s="1"/>
  <c r="BA68" i="3"/>
  <c r="BA73" i="3"/>
  <c r="BA80" i="3"/>
  <c r="BL84" i="3"/>
  <c r="BA89" i="3"/>
  <c r="BL92" i="3"/>
  <c r="BL94" i="3"/>
  <c r="BL99" i="3"/>
  <c r="G101" i="3"/>
  <c r="BA101" i="3"/>
  <c r="BA102" i="3"/>
  <c r="AA21" i="37"/>
  <c r="S21" i="37"/>
  <c r="B88" i="43"/>
  <c r="D67" i="71"/>
  <c r="O67" i="71"/>
  <c r="B32" i="71"/>
  <c r="S32" i="71" s="1"/>
  <c r="D42" i="71"/>
  <c r="C43" i="71"/>
  <c r="B51" i="71"/>
  <c r="B52" i="71" s="1"/>
  <c r="S52" i="71" s="1"/>
  <c r="B71" i="71"/>
  <c r="B70" i="71" s="1"/>
  <c r="AB27" i="71"/>
  <c r="V24" i="71"/>
  <c r="E23" i="71"/>
  <c r="E22" i="71" s="1"/>
  <c r="E21" i="71" s="1"/>
  <c r="E20" i="71" s="1"/>
  <c r="V20" i="71" s="1"/>
  <c r="G43" i="3"/>
  <c r="G44" i="3"/>
  <c r="BA45" i="3"/>
  <c r="AZ45" i="3" s="1"/>
  <c r="BA46" i="3"/>
  <c r="BL49" i="3"/>
  <c r="AZ49" i="3" s="1"/>
  <c r="BL50" i="3"/>
  <c r="AZ50" i="3" s="1"/>
  <c r="BL51" i="3"/>
  <c r="G53" i="3"/>
  <c r="BL53" i="3"/>
  <c r="BA56" i="3"/>
  <c r="AZ56" i="3" s="1"/>
  <c r="BA57" i="3"/>
  <c r="BL58" i="3"/>
  <c r="G60" i="3"/>
  <c r="BA60" i="3"/>
  <c r="BA63" i="3"/>
  <c r="BA66" i="3"/>
  <c r="BA71" i="3"/>
  <c r="G76" i="3"/>
  <c r="BL77" i="3"/>
  <c r="BA79" i="3"/>
  <c r="G82" i="3"/>
  <c r="G83" i="3"/>
  <c r="BA84" i="3"/>
  <c r="BL88" i="3"/>
  <c r="AZ88" i="3" s="1"/>
  <c r="G90" i="3"/>
  <c r="BL90" i="3"/>
  <c r="G98" i="3"/>
  <c r="G99" i="3"/>
  <c r="BA105" i="3"/>
  <c r="BA106" i="3"/>
  <c r="BL108" i="3"/>
  <c r="G110" i="3"/>
  <c r="BL112" i="3"/>
  <c r="S18" i="35"/>
  <c r="AA18" i="35"/>
  <c r="AB26" i="71"/>
  <c r="AB33" i="71"/>
  <c r="AB32" i="71"/>
  <c r="AA35" i="71"/>
  <c r="F40" i="71"/>
  <c r="V40" i="71" s="1"/>
  <c r="AB38" i="71"/>
  <c r="C51" i="71"/>
  <c r="B55" i="71"/>
  <c r="B56" i="71" s="1"/>
  <c r="S56" i="71" s="1"/>
  <c r="B67" i="71"/>
  <c r="N68" i="71"/>
  <c r="F71" i="71"/>
  <c r="F70" i="71" s="1"/>
  <c r="U76" i="71"/>
  <c r="BL81" i="3"/>
  <c r="BA82" i="3"/>
  <c r="BL83" i="3"/>
  <c r="BA94" i="3"/>
  <c r="AZ100" i="3"/>
  <c r="G102" i="3"/>
  <c r="BA103" i="3"/>
  <c r="BA104" i="3"/>
  <c r="G108" i="3"/>
  <c r="BA111" i="3"/>
  <c r="K13" i="1"/>
  <c r="M13" i="1" s="1"/>
  <c r="O13" i="1" s="1"/>
  <c r="P13" i="1" s="1"/>
  <c r="AC29" i="39"/>
  <c r="W29" i="39"/>
  <c r="AA25" i="40"/>
  <c r="S25" i="40"/>
  <c r="P27" i="6"/>
  <c r="D34" i="71"/>
  <c r="C35" i="71"/>
  <c r="X26" i="71"/>
  <c r="Y29" i="71"/>
  <c r="Z29" i="71" s="1"/>
  <c r="X28" i="71"/>
  <c r="X32" i="71"/>
  <c r="AA34" i="71"/>
  <c r="X38" i="71"/>
  <c r="U80" i="71"/>
  <c r="E79" i="71"/>
  <c r="E78" i="71" s="1"/>
  <c r="G85" i="3"/>
  <c r="BL85" i="3"/>
  <c r="BA86" i="3"/>
  <c r="AZ86" i="3" s="1"/>
  <c r="BA87" i="3"/>
  <c r="BA91" i="3"/>
  <c r="AZ91" i="3" s="1"/>
  <c r="G96" i="3"/>
  <c r="BL97" i="3"/>
  <c r="BL101" i="3"/>
  <c r="BL102" i="3"/>
  <c r="G104" i="3"/>
  <c r="G105" i="3"/>
  <c r="BL106" i="3"/>
  <c r="AZ106" i="3" s="1"/>
  <c r="BA108" i="3"/>
  <c r="BA110" i="3"/>
  <c r="AZ110" i="3" s="1"/>
  <c r="F3" i="35"/>
  <c r="C87" i="71"/>
  <c r="AB25" i="71"/>
  <c r="X33" i="71"/>
  <c r="AB37" i="71"/>
  <c r="F9" i="1"/>
  <c r="F10" i="1"/>
  <c r="G10" i="1" s="1"/>
  <c r="F8" i="1"/>
  <c r="G8" i="1" s="1"/>
  <c r="H69" i="43"/>
  <c r="S23" i="33"/>
  <c r="AA23" i="33"/>
  <c r="C20" i="71"/>
  <c r="E19" i="71"/>
  <c r="E18" i="71" s="1"/>
  <c r="E17" i="71" s="1"/>
  <c r="E16" i="71" s="1"/>
  <c r="AB17" i="33"/>
  <c r="AB44" i="34"/>
  <c r="S39" i="34"/>
  <c r="AZ382" i="3"/>
  <c r="AZ321" i="3"/>
  <c r="AZ343" i="3"/>
  <c r="AZ562" i="3"/>
  <c r="AC13" i="36"/>
  <c r="W13" i="36"/>
  <c r="AB31" i="33"/>
  <c r="U31" i="33"/>
  <c r="S15" i="34"/>
  <c r="AB33" i="35"/>
  <c r="U33" i="35"/>
  <c r="AB43" i="33"/>
  <c r="U43" i="33"/>
  <c r="AZ581" i="3"/>
  <c r="AB33" i="37"/>
  <c r="U33" i="37"/>
  <c r="AC19" i="37"/>
  <c r="W23" i="33"/>
  <c r="AB13" i="34"/>
  <c r="S41" i="34"/>
  <c r="AA41" i="34"/>
  <c r="AZ567" i="3"/>
  <c r="AC14" i="37"/>
  <c r="W14" i="37"/>
  <c r="U28" i="37"/>
  <c r="AB28" i="37"/>
  <c r="W30" i="34"/>
  <c r="AC30" i="34"/>
  <c r="AC29" i="33"/>
  <c r="W29" i="33"/>
  <c r="W46" i="21"/>
  <c r="AC46" i="21"/>
  <c r="D19" i="53"/>
  <c r="B38" i="72" s="1"/>
  <c r="D16" i="53"/>
  <c r="B34" i="72" s="1"/>
  <c r="BL507" i="3"/>
  <c r="AZ507" i="3" s="1"/>
  <c r="BQ5" i="3"/>
  <c r="F28" i="6" s="1"/>
  <c r="AB35" i="35"/>
  <c r="U35" i="35"/>
  <c r="S13" i="35"/>
  <c r="AA13" i="35"/>
  <c r="S12" i="21"/>
  <c r="AA12" i="21"/>
  <c r="AA12" i="34"/>
  <c r="S34" i="21"/>
  <c r="J34" i="35"/>
  <c r="F34" i="35"/>
  <c r="J26" i="37"/>
  <c r="F26" i="37"/>
  <c r="F40" i="40"/>
  <c r="G578" i="3"/>
  <c r="AZ449" i="3"/>
  <c r="AZ452" i="3"/>
  <c r="AZ470" i="3"/>
  <c r="W35" i="39"/>
  <c r="F27" i="34"/>
  <c r="C21" i="39"/>
  <c r="U9" i="36"/>
  <c r="U14" i="37"/>
  <c r="H12" i="21"/>
  <c r="G526" i="3"/>
  <c r="AZ424" i="3"/>
  <c r="AZ438" i="3"/>
  <c r="U26" i="21"/>
  <c r="U23" i="40"/>
  <c r="AC16" i="36"/>
  <c r="C27" i="39"/>
  <c r="U40" i="40"/>
  <c r="AC9" i="40"/>
  <c r="J12" i="21"/>
  <c r="B73" i="43"/>
  <c r="B76" i="43"/>
  <c r="F9" i="36"/>
  <c r="J40" i="40"/>
  <c r="G562" i="3"/>
  <c r="AZ489" i="3"/>
  <c r="AZ220" i="3"/>
  <c r="AZ255" i="3"/>
  <c r="BA472" i="3"/>
  <c r="G476" i="3"/>
  <c r="AZ477" i="3"/>
  <c r="BA479" i="3"/>
  <c r="BA490" i="3"/>
  <c r="AZ490" i="3" s="1"/>
  <c r="BL312" i="3"/>
  <c r="AZ312" i="3" s="1"/>
  <c r="G313" i="3"/>
  <c r="BA316" i="3"/>
  <c r="BA317" i="3"/>
  <c r="AZ317" i="3" s="1"/>
  <c r="BA323" i="3"/>
  <c r="AZ323" i="3" s="1"/>
  <c r="G327" i="3"/>
  <c r="BL330" i="3"/>
  <c r="AZ330" i="3" s="1"/>
  <c r="G331" i="3"/>
  <c r="BL333" i="3"/>
  <c r="G334" i="3"/>
  <c r="G345" i="3"/>
  <c r="BL348" i="3"/>
  <c r="AZ348" i="3" s="1"/>
  <c r="BA352" i="3"/>
  <c r="AZ352" i="3" s="1"/>
  <c r="BL354" i="3"/>
  <c r="AZ354" i="3" s="1"/>
  <c r="G378" i="3"/>
  <c r="G395" i="3"/>
  <c r="G208" i="3"/>
  <c r="G211" i="3"/>
  <c r="BA213" i="3"/>
  <c r="BA215" i="3"/>
  <c r="AZ215" i="3" s="1"/>
  <c r="G219" i="3"/>
  <c r="G230" i="3"/>
  <c r="BA232" i="3"/>
  <c r="AZ232" i="3" s="1"/>
  <c r="BA234" i="3"/>
  <c r="G248" i="3"/>
  <c r="BL268" i="3"/>
  <c r="AZ268" i="3" s="1"/>
  <c r="G278" i="3"/>
  <c r="BA474" i="3"/>
  <c r="AZ474" i="3" s="1"/>
  <c r="BA475" i="3"/>
  <c r="BL481" i="3"/>
  <c r="BL482" i="3"/>
  <c r="G483" i="3"/>
  <c r="BL485" i="3"/>
  <c r="BL486" i="3"/>
  <c r="AZ486" i="3" s="1"/>
  <c r="G487" i="3"/>
  <c r="BA492" i="3"/>
  <c r="BL363" i="3"/>
  <c r="AZ363" i="3" s="1"/>
  <c r="G369" i="3"/>
  <c r="BL393" i="3"/>
  <c r="AZ393" i="3" s="1"/>
  <c r="BL396" i="3"/>
  <c r="BL209" i="3"/>
  <c r="G240" i="3"/>
  <c r="G242" i="3"/>
  <c r="G245" i="3"/>
  <c r="BL246" i="3"/>
  <c r="BL253" i="3"/>
  <c r="BA261" i="3"/>
  <c r="AZ261" i="3" s="1"/>
  <c r="BA264" i="3"/>
  <c r="AZ264" i="3" s="1"/>
  <c r="BA266" i="3"/>
  <c r="G272" i="3"/>
  <c r="G275" i="3"/>
  <c r="BL276" i="3"/>
  <c r="AZ276" i="3" s="1"/>
  <c r="BL279" i="3"/>
  <c r="AZ279" i="3" s="1"/>
  <c r="BL281" i="3"/>
  <c r="BA285" i="3"/>
  <c r="BA287" i="3"/>
  <c r="AZ287" i="3" s="1"/>
  <c r="BA289" i="3"/>
  <c r="AZ289" i="3" s="1"/>
  <c r="G293" i="3"/>
  <c r="G296" i="3"/>
  <c r="BL296" i="3"/>
  <c r="AZ296" i="3" s="1"/>
  <c r="G301" i="3"/>
  <c r="G114" i="3"/>
  <c r="BL114" i="3"/>
  <c r="BL117" i="3"/>
  <c r="G118" i="3"/>
  <c r="BL119" i="3"/>
  <c r="AZ119" i="3" s="1"/>
  <c r="G120" i="3"/>
  <c r="G124" i="3"/>
  <c r="BL129" i="3"/>
  <c r="BL131" i="3"/>
  <c r="AZ131" i="3" s="1"/>
  <c r="G132" i="3"/>
  <c r="G139" i="3"/>
  <c r="G142" i="3"/>
  <c r="BL142" i="3"/>
  <c r="AZ142" i="3" s="1"/>
  <c r="BL153" i="3"/>
  <c r="AZ153" i="3" s="1"/>
  <c r="BA158" i="3"/>
  <c r="AZ158" i="3" s="1"/>
  <c r="BA161" i="3"/>
  <c r="AZ161" i="3" s="1"/>
  <c r="BA172" i="3"/>
  <c r="AZ172" i="3" s="1"/>
  <c r="BL288" i="3"/>
  <c r="AZ288" i="3" s="1"/>
  <c r="BA292" i="3"/>
  <c r="BA295" i="3"/>
  <c r="G298" i="3"/>
  <c r="BA299" i="3"/>
  <c r="BA300" i="3"/>
  <c r="BA113" i="3"/>
  <c r="G119" i="3"/>
  <c r="G122" i="3"/>
  <c r="G131" i="3"/>
  <c r="BA136" i="3"/>
  <c r="AZ136" i="3" s="1"/>
  <c r="BA138" i="3"/>
  <c r="BA141" i="3"/>
  <c r="BL145" i="3"/>
  <c r="AZ145" i="3" s="1"/>
  <c r="BL147" i="3"/>
  <c r="AZ147" i="3" s="1"/>
  <c r="G148" i="3"/>
  <c r="BL151" i="3"/>
  <c r="AZ151" i="3" s="1"/>
  <c r="BA165" i="3"/>
  <c r="G168" i="3"/>
  <c r="BA170" i="3"/>
  <c r="BL174" i="3"/>
  <c r="AZ174" i="3" s="1"/>
  <c r="BL202" i="3"/>
  <c r="BL36" i="3"/>
  <c r="G200" i="3"/>
  <c r="G207" i="3"/>
  <c r="BA23" i="3"/>
  <c r="BA24" i="3"/>
  <c r="AZ24" i="3" s="1"/>
  <c r="BL26" i="3"/>
  <c r="BL32" i="3"/>
  <c r="BA34" i="3"/>
  <c r="AZ34" i="3" s="1"/>
  <c r="BA35" i="3"/>
  <c r="AZ35" i="3" s="1"/>
  <c r="BL37" i="3"/>
  <c r="BL42" i="3"/>
  <c r="AZ42" i="3" s="1"/>
  <c r="BA44" i="3"/>
  <c r="BA206" i="3"/>
  <c r="BL22" i="3"/>
  <c r="BL33" i="3"/>
  <c r="BL43" i="3"/>
  <c r="AZ43" i="3" s="1"/>
  <c r="BL46" i="3"/>
  <c r="BL78" i="3"/>
  <c r="BA83" i="3"/>
  <c r="AZ83" i="3" s="1"/>
  <c r="G91" i="3"/>
  <c r="BL95" i="3"/>
  <c r="AZ95" i="3" s="1"/>
  <c r="BL98" i="3"/>
  <c r="AZ98" i="3" s="1"/>
  <c r="BL109" i="3"/>
  <c r="AB21" i="21"/>
  <c r="G77" i="3"/>
  <c r="BA81" i="3"/>
  <c r="BA85" i="3"/>
  <c r="BL89" i="3"/>
  <c r="AZ89" i="3" s="1"/>
  <c r="G94" i="3"/>
  <c r="G97" i="3"/>
  <c r="G100" i="3"/>
  <c r="BA107" i="3"/>
  <c r="BA112" i="3"/>
  <c r="AC21" i="34"/>
  <c r="E27" i="71"/>
  <c r="E26" i="71" s="1"/>
  <c r="V28" i="71"/>
  <c r="BA76" i="3"/>
  <c r="BL80" i="3"/>
  <c r="BL87" i="3"/>
  <c r="BA93" i="3"/>
  <c r="AZ93" i="3" s="1"/>
  <c r="BA96" i="3"/>
  <c r="BA99" i="3"/>
  <c r="BL104" i="3"/>
  <c r="U18" i="35"/>
  <c r="Y32" i="71"/>
  <c r="Z32" i="71" s="1"/>
  <c r="Y33" i="71"/>
  <c r="Z33" i="71" s="1"/>
  <c r="Y22" i="71"/>
  <c r="Z22" i="71" s="1"/>
  <c r="X24" i="71"/>
  <c r="AA22" i="71"/>
  <c r="X21" i="71"/>
  <c r="X17" i="71"/>
  <c r="AA17" i="71"/>
  <c r="Y11" i="71"/>
  <c r="Z11" i="71" s="1"/>
  <c r="S21" i="21"/>
  <c r="U18" i="36"/>
  <c r="X27" i="71"/>
  <c r="Y31" i="71"/>
  <c r="Z31" i="71" s="1"/>
  <c r="X10"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D102" i="9"/>
  <c r="C102" i="9"/>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AC11" i="34"/>
  <c r="U33" i="21"/>
  <c r="AB13" i="33"/>
  <c r="S9" i="33"/>
  <c r="S8" i="33"/>
  <c r="U8" i="33"/>
  <c r="W8" i="21"/>
  <c r="S8" i="21"/>
  <c r="AA11" i="21"/>
  <c r="AC11" i="21"/>
  <c r="AB11" i="21"/>
  <c r="F53" i="9"/>
  <c r="C5" i="11"/>
  <c r="C4" i="12"/>
  <c r="C31" i="12" s="1"/>
  <c r="I4" i="6"/>
  <c r="G3" i="43" s="1"/>
  <c r="H26" i="43" s="1"/>
  <c r="L19" i="6"/>
  <c r="L27" i="6" s="1"/>
  <c r="M6" i="1"/>
  <c r="O6" i="1" s="1"/>
  <c r="T13" i="1"/>
  <c r="C58" i="21"/>
  <c r="D58" i="21" s="1"/>
  <c r="C58" i="33"/>
  <c r="D58" i="33" s="1"/>
  <c r="E58" i="33" s="1"/>
  <c r="F58" i="33" s="1"/>
  <c r="G58" i="33" s="1"/>
  <c r="H58" i="33" s="1"/>
  <c r="I58" i="33" s="1"/>
  <c r="J58" i="33" s="1"/>
  <c r="K58" i="33" s="1"/>
  <c r="L58" i="33" s="1"/>
  <c r="M58" i="33" s="1"/>
  <c r="N58" i="33" s="1"/>
  <c r="O58" i="33" s="1"/>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0" i="68"/>
  <c r="C30" i="11"/>
  <c r="C21" i="69"/>
  <c r="J84" i="43"/>
  <c r="J85" i="43"/>
  <c r="J86" i="43"/>
  <c r="J87" i="43"/>
  <c r="J88" i="43"/>
  <c r="J89" i="43"/>
  <c r="J90" i="43"/>
  <c r="D83" i="43"/>
  <c r="E83" i="43" s="1"/>
  <c r="B81" i="43" s="1"/>
  <c r="D66" i="43"/>
  <c r="D64" i="43"/>
  <c r="D62" i="43"/>
  <c r="D67" i="43"/>
  <c r="D65" i="43"/>
  <c r="D63" i="43"/>
  <c r="D69" i="43"/>
  <c r="D73" i="43"/>
  <c r="D75" i="43"/>
  <c r="D79" i="43"/>
  <c r="D22" i="67"/>
  <c r="AQ13" i="1"/>
  <c r="P11" i="1"/>
  <c r="AZ13" i="3"/>
  <c r="O9" i="1"/>
  <c r="P9" i="1" s="1"/>
  <c r="O12" i="1"/>
  <c r="P12" i="1" s="1"/>
  <c r="O8" i="1"/>
  <c r="P8" i="1" s="1"/>
  <c r="H73" i="43"/>
  <c r="H90" i="43"/>
  <c r="I18" i="43"/>
  <c r="E17" i="43" s="1"/>
  <c r="C17" i="43" s="1"/>
  <c r="H55" i="43"/>
  <c r="H86" i="43"/>
  <c r="H87" i="43"/>
  <c r="H89" i="43"/>
  <c r="H88" i="43"/>
  <c r="H84" i="43"/>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48" i="35"/>
  <c r="D63" i="40"/>
  <c r="K4" i="4"/>
  <c r="B46" i="48" s="1"/>
  <c r="B4" i="72" s="1"/>
  <c r="B4" i="62"/>
  <c r="B71" i="72" s="1"/>
  <c r="D9" i="53"/>
  <c r="B25" i="72" s="1"/>
  <c r="B24" i="72"/>
  <c r="K120" i="9"/>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D22" i="9"/>
  <c r="G19" i="9"/>
  <c r="I1" i="73"/>
  <c r="B39" i="1" s="1"/>
  <c r="F66" i="67"/>
  <c r="D103" i="9"/>
  <c r="G20" i="9"/>
  <c r="C103" i="9"/>
  <c r="B13" i="70"/>
  <c r="D9" i="91"/>
  <c r="M8" i="67"/>
  <c r="J15" i="67"/>
  <c r="F7" i="15"/>
  <c r="F6" i="67"/>
  <c r="M29" i="67"/>
  <c r="M24" i="67"/>
  <c r="D7" i="73"/>
  <c r="L48" i="67"/>
  <c r="C36" i="69"/>
  <c r="F27" i="91"/>
  <c r="M6" i="67"/>
  <c r="F13" i="67"/>
  <c r="F37" i="15"/>
  <c r="D3" i="73"/>
  <c r="F40" i="67"/>
  <c r="M6" i="15"/>
  <c r="F9" i="67"/>
  <c r="M26" i="67"/>
  <c r="F8" i="67"/>
  <c r="M23" i="67"/>
  <c r="C76" i="67"/>
  <c r="F37" i="67"/>
  <c r="D5" i="73"/>
  <c r="C36" i="91"/>
  <c r="M9" i="67"/>
  <c r="D4" i="73"/>
  <c r="F36" i="67"/>
  <c r="F43" i="67"/>
  <c r="F26" i="67"/>
  <c r="L47" i="67"/>
  <c r="F42" i="67"/>
  <c r="F7" i="67"/>
  <c r="M28" i="67"/>
  <c r="F16" i="67"/>
  <c r="E5" i="6" l="1"/>
  <c r="D9" i="11" s="1"/>
  <c r="C9" i="11" s="1"/>
  <c r="F71" i="67"/>
  <c r="AZ316" i="3"/>
  <c r="AZ190" i="3"/>
  <c r="AZ260" i="3"/>
  <c r="AZ247" i="3"/>
  <c r="AZ238" i="3"/>
  <c r="AZ550" i="3"/>
  <c r="AZ236" i="3"/>
  <c r="AZ557" i="3"/>
  <c r="AB14" i="34"/>
  <c r="W46" i="34"/>
  <c r="AC46" i="34"/>
  <c r="B20" i="31"/>
  <c r="B21" i="31" s="1"/>
  <c r="AZ266" i="3"/>
  <c r="AZ74" i="3"/>
  <c r="AZ423" i="3"/>
  <c r="AC12" i="33"/>
  <c r="AA33" i="36"/>
  <c r="S33" i="36"/>
  <c r="AC23" i="36"/>
  <c r="W23" i="36"/>
  <c r="AZ267" i="3"/>
  <c r="AZ169" i="3"/>
  <c r="AA36" i="35"/>
  <c r="AZ484" i="3"/>
  <c r="AZ269" i="3"/>
  <c r="AZ333" i="3"/>
  <c r="AZ94" i="3"/>
  <c r="AZ63" i="3"/>
  <c r="AZ278" i="3"/>
  <c r="AZ223" i="3"/>
  <c r="AZ415" i="3"/>
  <c r="U40" i="37"/>
  <c r="AB40" i="37"/>
  <c r="AZ141" i="3"/>
  <c r="AZ242" i="3"/>
  <c r="AZ478" i="3"/>
  <c r="AZ463" i="3"/>
  <c r="AZ503" i="3"/>
  <c r="AZ272" i="3"/>
  <c r="AZ545" i="3"/>
  <c r="AA35" i="39"/>
  <c r="S35" i="39"/>
  <c r="AZ117" i="3"/>
  <c r="AZ402" i="3"/>
  <c r="AZ530" i="3"/>
  <c r="G28" i="6"/>
  <c r="E28" i="6" s="1"/>
  <c r="K14" i="1" s="1"/>
  <c r="M14" i="1" s="1"/>
  <c r="AZ571" i="3"/>
  <c r="W13" i="33"/>
  <c r="AC13" i="33"/>
  <c r="C77" i="9"/>
  <c r="C74" i="9" s="1"/>
  <c r="C28" i="15"/>
  <c r="AZ87" i="3"/>
  <c r="AZ170" i="3"/>
  <c r="AC45" i="39"/>
  <c r="AZ103" i="3"/>
  <c r="AZ31" i="3"/>
  <c r="AZ185" i="3"/>
  <c r="AZ47" i="3"/>
  <c r="AZ68" i="3"/>
  <c r="AZ30" i="3"/>
  <c r="AZ173" i="3"/>
  <c r="AZ434" i="3"/>
  <c r="AZ293" i="3"/>
  <c r="AZ436" i="3"/>
  <c r="AZ410" i="3"/>
  <c r="C48" i="95"/>
  <c r="C48" i="68"/>
  <c r="C30" i="69"/>
  <c r="C28" i="67"/>
  <c r="AZ112" i="3"/>
  <c r="AZ165" i="3"/>
  <c r="AZ300" i="3"/>
  <c r="AZ475" i="3"/>
  <c r="AZ97" i="3"/>
  <c r="AZ66" i="3"/>
  <c r="AZ55" i="3"/>
  <c r="AZ302" i="3"/>
  <c r="AZ284" i="3"/>
  <c r="AZ425" i="3"/>
  <c r="AZ221" i="3"/>
  <c r="U12" i="34"/>
  <c r="AB12" i="34"/>
  <c r="S14" i="21"/>
  <c r="AA14" i="21"/>
  <c r="C30" i="95"/>
  <c r="D9" i="68"/>
  <c r="C9" i="68" s="1"/>
  <c r="E13" i="6"/>
  <c r="F48" i="92"/>
  <c r="C48" i="92"/>
  <c r="C30" i="92"/>
  <c r="AB36" i="35"/>
  <c r="U36" i="35"/>
  <c r="W31" i="39"/>
  <c r="AC31" i="39"/>
  <c r="AZ44" i="3"/>
  <c r="AZ23" i="3"/>
  <c r="AZ299" i="3"/>
  <c r="AZ246" i="3"/>
  <c r="AZ209" i="3"/>
  <c r="AZ485" i="3"/>
  <c r="AZ479" i="3"/>
  <c r="AZ186" i="3"/>
  <c r="AZ277" i="3"/>
  <c r="AZ256" i="3"/>
  <c r="AZ397" i="3"/>
  <c r="AZ280" i="3"/>
  <c r="AZ218" i="3"/>
  <c r="AZ467" i="3"/>
  <c r="AZ404" i="3"/>
  <c r="AZ426" i="3"/>
  <c r="AZ259" i="3"/>
  <c r="AZ510" i="3"/>
  <c r="C30" i="93"/>
  <c r="C48" i="93"/>
  <c r="F48" i="93"/>
  <c r="AB13" i="36"/>
  <c r="U13" i="36"/>
  <c r="S25" i="36"/>
  <c r="AA25" i="36"/>
  <c r="AA12" i="33"/>
  <c r="S12" i="33"/>
  <c r="U13" i="39"/>
  <c r="AB13" i="39"/>
  <c r="AC30" i="21"/>
  <c r="W30" i="21"/>
  <c r="AB31" i="39"/>
  <c r="U31" i="39"/>
  <c r="AC43" i="39"/>
  <c r="W43" i="39"/>
  <c r="AB34" i="36"/>
  <c r="U34" i="36"/>
  <c r="W32" i="34"/>
  <c r="AC32" i="34"/>
  <c r="AB25" i="35"/>
  <c r="U25" i="35"/>
  <c r="W33" i="40"/>
  <c r="AC33" i="40"/>
  <c r="S30" i="21"/>
  <c r="AA30" i="21"/>
  <c r="AZ22" i="3"/>
  <c r="AZ32" i="3"/>
  <c r="AZ396" i="3"/>
  <c r="AZ54" i="3"/>
  <c r="AZ233" i="3"/>
  <c r="AZ551" i="3"/>
  <c r="AZ250" i="3"/>
  <c r="AZ235" i="3"/>
  <c r="AZ461" i="3"/>
  <c r="AC31" i="40"/>
  <c r="AA14" i="33"/>
  <c r="AZ521" i="3"/>
  <c r="AZ78" i="3"/>
  <c r="AZ535" i="3"/>
  <c r="AB35" i="39"/>
  <c r="U35" i="39"/>
  <c r="S13" i="36"/>
  <c r="AA13" i="36"/>
  <c r="AC24" i="35"/>
  <c r="W24" i="35"/>
  <c r="S29" i="33"/>
  <c r="AA29" i="33"/>
  <c r="W14" i="40"/>
  <c r="AC14" i="40"/>
  <c r="W45" i="21"/>
  <c r="AC45" i="21"/>
  <c r="W45" i="34"/>
  <c r="AC45" i="34"/>
  <c r="AA46" i="21"/>
  <c r="S46" i="21"/>
  <c r="S13" i="39"/>
  <c r="AA13" i="39"/>
  <c r="AC13" i="35"/>
  <c r="W13" i="35"/>
  <c r="AC9" i="21"/>
  <c r="W9" i="21"/>
  <c r="W30" i="33"/>
  <c r="AC30" i="33"/>
  <c r="AZ206" i="3"/>
  <c r="AZ37" i="3"/>
  <c r="AZ234" i="3"/>
  <c r="AB12" i="33"/>
  <c r="AZ111" i="3"/>
  <c r="AZ105" i="3"/>
  <c r="AZ197" i="3"/>
  <c r="AZ257" i="3"/>
  <c r="AZ350" i="3"/>
  <c r="AZ286" i="3"/>
  <c r="AZ90" i="3"/>
  <c r="AZ207" i="3"/>
  <c r="AZ231" i="3"/>
  <c r="AZ225" i="3"/>
  <c r="AZ439" i="3"/>
  <c r="AZ450" i="3"/>
  <c r="AZ515" i="3"/>
  <c r="AZ580" i="3"/>
  <c r="AZ577" i="3"/>
  <c r="C30" i="91"/>
  <c r="C48" i="91"/>
  <c r="F48" i="91"/>
  <c r="U43" i="39"/>
  <c r="AB43" i="39"/>
  <c r="S34" i="36"/>
  <c r="AA34" i="36"/>
  <c r="AA32" i="34"/>
  <c r="S32" i="34"/>
  <c r="AA31" i="39"/>
  <c r="S31" i="39"/>
  <c r="W45" i="33"/>
  <c r="AC45" i="33"/>
  <c r="W13" i="39"/>
  <c r="AC13" i="39"/>
  <c r="E12" i="6"/>
  <c r="E57" i="40" s="1"/>
  <c r="F45" i="91"/>
  <c r="C29" i="91"/>
  <c r="D27" i="91" s="1"/>
  <c r="C47" i="91"/>
  <c r="D45" i="91" s="1"/>
  <c r="C9" i="91"/>
  <c r="F65" i="67"/>
  <c r="C27" i="67"/>
  <c r="F68" i="67"/>
  <c r="M7" i="67"/>
  <c r="J6" i="67" s="1"/>
  <c r="J18" i="67" s="1"/>
  <c r="F50" i="67"/>
  <c r="Q71" i="67"/>
  <c r="T64" i="71"/>
  <c r="D64" i="71"/>
  <c r="AB28" i="21"/>
  <c r="U28" i="21"/>
  <c r="U31" i="21"/>
  <c r="AB31" i="21"/>
  <c r="A1" i="79"/>
  <c r="E15" i="6"/>
  <c r="E64" i="39" s="1"/>
  <c r="AZ107" i="3"/>
  <c r="AZ295" i="3"/>
  <c r="AZ492" i="3"/>
  <c r="W36" i="35"/>
  <c r="AA12" i="35"/>
  <c r="U31" i="34"/>
  <c r="AZ77" i="3"/>
  <c r="AZ57" i="3"/>
  <c r="AZ48" i="3"/>
  <c r="D63" i="71"/>
  <c r="AZ64" i="3"/>
  <c r="AZ18" i="3"/>
  <c r="AZ254" i="3"/>
  <c r="AZ270" i="3"/>
  <c r="AZ237" i="3"/>
  <c r="AZ476" i="3"/>
  <c r="AZ433" i="3"/>
  <c r="W9" i="34"/>
  <c r="AZ62" i="3"/>
  <c r="AZ458" i="3"/>
  <c r="AZ367" i="3"/>
  <c r="AZ469" i="3"/>
  <c r="AZ501" i="3"/>
  <c r="AZ529" i="3"/>
  <c r="AC9" i="36"/>
  <c r="W9" i="36"/>
  <c r="AC46" i="33"/>
  <c r="W46" i="33"/>
  <c r="W39" i="40"/>
  <c r="AC39" i="40"/>
  <c r="S47" i="34"/>
  <c r="AA47" i="34"/>
  <c r="S32" i="40"/>
  <c r="AA32" i="40"/>
  <c r="D17" i="53"/>
  <c r="B36" i="72" s="1"/>
  <c r="AZ33" i="3"/>
  <c r="F30" i="6"/>
  <c r="AZ25" i="3"/>
  <c r="AZ205" i="3"/>
  <c r="AZ198" i="3"/>
  <c r="AZ258" i="3"/>
  <c r="AZ252" i="3"/>
  <c r="AZ301" i="3"/>
  <c r="AZ427" i="3"/>
  <c r="AB39" i="40"/>
  <c r="AA29" i="34"/>
  <c r="AZ413" i="3"/>
  <c r="C78" i="71"/>
  <c r="D78" i="71" s="1"/>
  <c r="D79" i="71"/>
  <c r="AA25" i="37"/>
  <c r="S25" i="37"/>
  <c r="AA28" i="21"/>
  <c r="S28" i="21"/>
  <c r="W47" i="34"/>
  <c r="AC47" i="34"/>
  <c r="O23" i="43"/>
  <c r="AZ114" i="3"/>
  <c r="AZ281" i="3"/>
  <c r="AZ253" i="3"/>
  <c r="AA39" i="37"/>
  <c r="AZ275" i="3"/>
  <c r="AZ473" i="3"/>
  <c r="E14" i="6"/>
  <c r="E63" i="39" s="1"/>
  <c r="AZ216" i="3"/>
  <c r="AZ219" i="3"/>
  <c r="AZ519" i="3"/>
  <c r="AZ498" i="3"/>
  <c r="AZ504" i="3"/>
  <c r="AZ508" i="3"/>
  <c r="AZ514" i="3"/>
  <c r="AZ536" i="3"/>
  <c r="AZ121" i="3"/>
  <c r="U25" i="37"/>
  <c r="AB25" i="37"/>
  <c r="AC28" i="37"/>
  <c r="W28" i="37"/>
  <c r="AB32" i="40"/>
  <c r="U32" i="40"/>
  <c r="AA39" i="40"/>
  <c r="S39" i="40"/>
  <c r="AA28" i="37"/>
  <c r="S28" i="37"/>
  <c r="W28" i="21"/>
  <c r="AC28" i="21"/>
  <c r="U14" i="33"/>
  <c r="AB14" i="33"/>
  <c r="S31" i="21"/>
  <c r="AA31" i="21"/>
  <c r="AZ523" i="3"/>
  <c r="N59" i="67"/>
  <c r="M59" i="67"/>
  <c r="L59" i="67"/>
  <c r="Q61" i="67" s="1"/>
  <c r="C6" i="67"/>
  <c r="F31" i="67"/>
  <c r="F51" i="67"/>
  <c r="F64" i="67"/>
  <c r="AZ99" i="3"/>
  <c r="AZ81" i="3"/>
  <c r="AZ40" i="3"/>
  <c r="AZ282" i="3"/>
  <c r="AZ226" i="3"/>
  <c r="AZ421" i="3"/>
  <c r="AZ73" i="3"/>
  <c r="AZ443" i="3"/>
  <c r="AA23" i="36"/>
  <c r="S23" i="36"/>
  <c r="AZ96" i="3"/>
  <c r="AZ46" i="3"/>
  <c r="AZ262" i="3"/>
  <c r="AZ224" i="3"/>
  <c r="AZ464" i="3"/>
  <c r="D75" i="71"/>
  <c r="C74" i="71"/>
  <c r="D74" i="71" s="1"/>
  <c r="AZ67" i="3"/>
  <c r="AZ565" i="3"/>
  <c r="AZ468" i="3"/>
  <c r="AZ403" i="3"/>
  <c r="AZ65" i="3"/>
  <c r="AZ353" i="3"/>
  <c r="J53" i="67"/>
  <c r="F1" i="67" s="1"/>
  <c r="J57" i="67"/>
  <c r="J55" i="67" s="1"/>
  <c r="J58" i="67" s="1"/>
  <c r="Q50" i="67" s="1"/>
  <c r="L58" i="67"/>
  <c r="Q73" i="67" s="1"/>
  <c r="I54" i="67"/>
  <c r="L56" i="67"/>
  <c r="E29" i="6"/>
  <c r="K15" i="1" s="1"/>
  <c r="W12" i="39"/>
  <c r="AC12" i="39"/>
  <c r="AC38" i="37"/>
  <c r="W38" i="37"/>
  <c r="U44" i="33"/>
  <c r="AB44" i="33"/>
  <c r="AB27" i="34"/>
  <c r="U27" i="34"/>
  <c r="AB13" i="40"/>
  <c r="U13" i="40"/>
  <c r="U44" i="21"/>
  <c r="AB44" i="21"/>
  <c r="D67" i="39"/>
  <c r="D69" i="39" s="1"/>
  <c r="E11" i="6"/>
  <c r="E60" i="39" s="1"/>
  <c r="AZ104" i="3"/>
  <c r="AZ85" i="3"/>
  <c r="AZ26" i="3"/>
  <c r="AZ202" i="3"/>
  <c r="AZ138" i="3"/>
  <c r="AZ285" i="3"/>
  <c r="S29" i="21"/>
  <c r="AZ108" i="3"/>
  <c r="AZ29" i="3"/>
  <c r="AZ75" i="3"/>
  <c r="AZ154" i="3"/>
  <c r="AZ137" i="3"/>
  <c r="AZ211" i="3"/>
  <c r="AZ229" i="3"/>
  <c r="AZ368" i="3"/>
  <c r="AZ491" i="3"/>
  <c r="AZ414" i="3"/>
  <c r="AZ15" i="3"/>
  <c r="AZ430" i="3"/>
  <c r="AZ408" i="3"/>
  <c r="B19" i="71"/>
  <c r="B18" i="71" s="1"/>
  <c r="B17" i="71" s="1"/>
  <c r="B16" i="71" s="1"/>
  <c r="B15" i="71" s="1"/>
  <c r="B14" i="71" s="1"/>
  <c r="B13" i="71" s="1"/>
  <c r="B12" i="71" s="1"/>
  <c r="S20" i="71"/>
  <c r="AZ274" i="3"/>
  <c r="AZ271" i="3"/>
  <c r="AZ249" i="3"/>
  <c r="U30" i="33"/>
  <c r="AB30" i="33"/>
  <c r="AZ573" i="3"/>
  <c r="AZ525" i="3"/>
  <c r="U36" i="39"/>
  <c r="AB36" i="39"/>
  <c r="AA37" i="39"/>
  <c r="S37" i="39"/>
  <c r="AZ554" i="3"/>
  <c r="AC31" i="34"/>
  <c r="W31" i="34"/>
  <c r="S44" i="33"/>
  <c r="AA44" i="33"/>
  <c r="AZ496" i="3"/>
  <c r="AZ549" i="3"/>
  <c r="AZ586" i="3"/>
  <c r="U29" i="21"/>
  <c r="AB29" i="21"/>
  <c r="W27" i="34"/>
  <c r="AC27" i="34"/>
  <c r="W13" i="40"/>
  <c r="AC13" i="40"/>
  <c r="AC44" i="21"/>
  <c r="W44" i="21"/>
  <c r="J7" i="36"/>
  <c r="AC7" i="36" s="1"/>
  <c r="V36" i="36" s="1"/>
  <c r="I36" i="36" s="1"/>
  <c r="S9" i="34"/>
  <c r="Q65" i="71"/>
  <c r="AZ80" i="3"/>
  <c r="AZ109" i="3"/>
  <c r="AZ113" i="3"/>
  <c r="AZ482" i="3"/>
  <c r="G9" i="1"/>
  <c r="G16" i="1" s="1"/>
  <c r="F10" i="39" s="1"/>
  <c r="S10" i="39" s="1"/>
  <c r="AZ82" i="3"/>
  <c r="AZ41" i="3"/>
  <c r="AZ222" i="3"/>
  <c r="AZ386" i="3"/>
  <c r="AZ441" i="3"/>
  <c r="AZ405" i="3"/>
  <c r="AZ437" i="3"/>
  <c r="AZ418" i="3"/>
  <c r="AZ429" i="3"/>
  <c r="AZ189" i="3"/>
  <c r="D59" i="71"/>
  <c r="C60" i="71"/>
  <c r="AC25" i="37"/>
  <c r="W25" i="37"/>
  <c r="AZ400" i="3"/>
  <c r="AC38" i="40"/>
  <c r="W38" i="40"/>
  <c r="S45" i="34"/>
  <c r="AA45" i="34"/>
  <c r="S36" i="39"/>
  <c r="AA36" i="39"/>
  <c r="AC37" i="39"/>
  <c r="W37" i="39"/>
  <c r="U31" i="40"/>
  <c r="AB31" i="40"/>
  <c r="U9" i="34"/>
  <c r="AB9" i="34"/>
  <c r="AC29" i="21"/>
  <c r="W29" i="21"/>
  <c r="AC13" i="21"/>
  <c r="W13" i="21"/>
  <c r="AA44" i="21"/>
  <c r="S44" i="21"/>
  <c r="AZ76" i="3"/>
  <c r="AZ36" i="3"/>
  <c r="AZ292" i="3"/>
  <c r="AZ129" i="3"/>
  <c r="AZ481" i="3"/>
  <c r="AZ213" i="3"/>
  <c r="AZ472" i="3"/>
  <c r="W36" i="39"/>
  <c r="AZ79" i="3"/>
  <c r="AZ51" i="3"/>
  <c r="AZ178" i="3"/>
  <c r="AZ59" i="3"/>
  <c r="AZ130" i="3"/>
  <c r="AZ125" i="3"/>
  <c r="AZ162" i="3"/>
  <c r="AZ395" i="3"/>
  <c r="AZ483" i="3"/>
  <c r="AZ407" i="3"/>
  <c r="AZ146" i="3"/>
  <c r="U13" i="35"/>
  <c r="AB13" i="35"/>
  <c r="S12" i="39"/>
  <c r="AA12" i="39"/>
  <c r="AB38" i="37"/>
  <c r="U38" i="37"/>
  <c r="AA13" i="34"/>
  <c r="S13" i="34"/>
  <c r="U13" i="21"/>
  <c r="AB13" i="21"/>
  <c r="C36" i="68"/>
  <c r="E10" i="6"/>
  <c r="D19" i="12"/>
  <c r="C19" i="12" s="1"/>
  <c r="E59" i="40"/>
  <c r="F65" i="15"/>
  <c r="M7" i="15"/>
  <c r="F50" i="15"/>
  <c r="Q16" i="1"/>
  <c r="H16" i="1"/>
  <c r="P6" i="1"/>
  <c r="C13" i="12" s="1"/>
  <c r="G26" i="43"/>
  <c r="N94" i="46"/>
  <c r="N370" i="46"/>
  <c r="F26" i="43"/>
  <c r="J26" i="43"/>
  <c r="E26" i="43"/>
  <c r="C86" i="71"/>
  <c r="D86" i="71" s="1"/>
  <c r="D87" i="71"/>
  <c r="C36" i="71"/>
  <c r="D35" i="71"/>
  <c r="AZ71" i="3"/>
  <c r="AZ39" i="3"/>
  <c r="AZ21" i="3"/>
  <c r="AZ297" i="3"/>
  <c r="AZ241" i="3"/>
  <c r="AZ251" i="3"/>
  <c r="AC44" i="39"/>
  <c r="W44" i="39"/>
  <c r="AZ401" i="3"/>
  <c r="AC24" i="36"/>
  <c r="W24" i="36"/>
  <c r="AC23" i="35"/>
  <c r="W23" i="35"/>
  <c r="G5" i="3"/>
  <c r="B3" i="3" s="1"/>
  <c r="B66" i="71"/>
  <c r="N67" i="71"/>
  <c r="D56" i="71"/>
  <c r="T56" i="71"/>
  <c r="AZ294" i="3"/>
  <c r="AZ459" i="3"/>
  <c r="W12" i="36"/>
  <c r="AC12" i="36"/>
  <c r="S12" i="36"/>
  <c r="AA12" i="36"/>
  <c r="W12" i="35"/>
  <c r="AC12" i="35"/>
  <c r="W26" i="33"/>
  <c r="AC26" i="33"/>
  <c r="AB32" i="36"/>
  <c r="U32" i="36"/>
  <c r="AZ84" i="3"/>
  <c r="D43" i="71"/>
  <c r="C44" i="71"/>
  <c r="AZ102" i="3"/>
  <c r="E66" i="71"/>
  <c r="P67" i="71"/>
  <c r="D71" i="71"/>
  <c r="C70" i="71"/>
  <c r="D70" i="71" s="1"/>
  <c r="C27" i="71"/>
  <c r="D28" i="71"/>
  <c r="U28" i="71" s="1"/>
  <c r="T28" i="71"/>
  <c r="AZ69" i="3"/>
  <c r="AZ53" i="3"/>
  <c r="AZ182" i="3"/>
  <c r="D83" i="71"/>
  <c r="C82" i="71"/>
  <c r="D82" i="71" s="1"/>
  <c r="AZ244" i="3"/>
  <c r="AZ239" i="3"/>
  <c r="AZ118" i="3"/>
  <c r="AZ273" i="3"/>
  <c r="AZ332" i="3"/>
  <c r="AB24" i="36"/>
  <c r="U24" i="36"/>
  <c r="AB39" i="37"/>
  <c r="U39" i="37"/>
  <c r="AB26" i="33"/>
  <c r="U26" i="33"/>
  <c r="AA32" i="36"/>
  <c r="S32" i="36"/>
  <c r="D51" i="71"/>
  <c r="C52" i="71"/>
  <c r="AZ101" i="3"/>
  <c r="AZ58" i="3"/>
  <c r="C40" i="71"/>
  <c r="D39" i="71"/>
  <c r="C32" i="71"/>
  <c r="D31" i="71"/>
  <c r="AZ149" i="3"/>
  <c r="AZ210" i="3"/>
  <c r="AZ298" i="3"/>
  <c r="AZ454" i="3"/>
  <c r="AB38" i="40"/>
  <c r="U38" i="40"/>
  <c r="S26" i="33"/>
  <c r="AA26" i="33"/>
  <c r="U23" i="35"/>
  <c r="AB23" i="35"/>
  <c r="AB9" i="33"/>
  <c r="U9" i="33"/>
  <c r="J7" i="37"/>
  <c r="K1" i="73"/>
  <c r="AA26" i="37"/>
  <c r="S26" i="37"/>
  <c r="BA5" i="3"/>
  <c r="E27" i="6" s="1"/>
  <c r="K26" i="6" s="1"/>
  <c r="M26" i="6" s="1"/>
  <c r="I26" i="6" s="1"/>
  <c r="S26" i="6" s="1"/>
  <c r="C19" i="71"/>
  <c r="T20" i="71"/>
  <c r="D20" i="71"/>
  <c r="U20" i="71" s="1"/>
  <c r="W40" i="40"/>
  <c r="AC40" i="40"/>
  <c r="AC12" i="21"/>
  <c r="W12" i="21"/>
  <c r="AB12" i="21"/>
  <c r="U12" i="21"/>
  <c r="AA27" i="34"/>
  <c r="S27" i="34"/>
  <c r="AC26" i="37"/>
  <c r="W26" i="37"/>
  <c r="BL5" i="3"/>
  <c r="S16" i="71"/>
  <c r="F7" i="36"/>
  <c r="S7" i="36" s="1"/>
  <c r="H7" i="36"/>
  <c r="AB7" i="36" s="1"/>
  <c r="T36" i="36" s="1"/>
  <c r="G36" i="36" s="1"/>
  <c r="AA9" i="36"/>
  <c r="S9" i="36"/>
  <c r="AA34" i="35"/>
  <c r="S34" i="35"/>
  <c r="E15" i="71"/>
  <c r="E14" i="71" s="1"/>
  <c r="E13" i="71" s="1"/>
  <c r="E12" i="71" s="1"/>
  <c r="V16" i="71"/>
  <c r="S40" i="40"/>
  <c r="AA40" i="40"/>
  <c r="AC34" i="35"/>
  <c r="W34" i="35"/>
  <c r="E61" i="43"/>
  <c r="B59" i="43" s="1"/>
  <c r="C28" i="43" s="1"/>
  <c r="B116" i="43"/>
  <c r="Z7" i="43"/>
  <c r="E56" i="39"/>
  <c r="H7" i="34"/>
  <c r="AB7" i="34" s="1"/>
  <c r="T49" i="34" s="1"/>
  <c r="G49" i="34" s="1"/>
  <c r="E67" i="39"/>
  <c r="E69" i="39" s="1"/>
  <c r="J7" i="34"/>
  <c r="W7" i="34" s="1"/>
  <c r="F7" i="34"/>
  <c r="S7" i="34" s="1"/>
  <c r="AA26" i="35"/>
  <c r="S26" i="35"/>
  <c r="AC26" i="35"/>
  <c r="W26" i="35"/>
  <c r="AB26" i="35"/>
  <c r="U26" i="35"/>
  <c r="E56" i="40"/>
  <c r="E72" i="43"/>
  <c r="B70" i="43" s="1"/>
  <c r="F31" i="6"/>
  <c r="E51" i="40"/>
  <c r="E58" i="40"/>
  <c r="E62" i="39"/>
  <c r="D5" i="43"/>
  <c r="C7" i="43"/>
  <c r="C5" i="43" s="1"/>
  <c r="D10" i="52"/>
  <c r="D125" i="9"/>
  <c r="D11" i="52" s="1"/>
  <c r="B7" i="74"/>
  <c r="C7" i="74" s="1"/>
  <c r="H7" i="37"/>
  <c r="AB7" i="37" s="1"/>
  <c r="T42" i="37" s="1"/>
  <c r="G42" i="37" s="1"/>
  <c r="H7" i="33"/>
  <c r="J7" i="33"/>
  <c r="D65" i="40"/>
  <c r="E63" i="40"/>
  <c r="F48" i="35"/>
  <c r="AC7" i="37"/>
  <c r="W7" i="37"/>
  <c r="F7" i="33"/>
  <c r="E58" i="21"/>
  <c r="W7" i="36"/>
  <c r="F7" i="37"/>
  <c r="P28" i="43"/>
  <c r="B66" i="40" s="1"/>
  <c r="P25" i="43"/>
  <c r="P29" i="43"/>
  <c r="P27" i="43"/>
  <c r="B70" i="39" s="1"/>
  <c r="C32" i="67"/>
  <c r="C32" i="9"/>
  <c r="M11" i="67"/>
  <c r="J10" i="67" s="1"/>
  <c r="F11" i="15"/>
  <c r="M11" i="15"/>
  <c r="J10" i="15" s="1"/>
  <c r="F11" i="67"/>
  <c r="C32" i="15"/>
  <c r="AE11" i="1"/>
  <c r="AE6" i="1"/>
  <c r="AE9" i="1"/>
  <c r="AE7" i="1"/>
  <c r="AE8" i="1"/>
  <c r="AE12" i="1"/>
  <c r="AE10" i="1"/>
  <c r="C76" i="15"/>
  <c r="M9" i="15"/>
  <c r="M29" i="15"/>
  <c r="F13" i="15"/>
  <c r="D9" i="93"/>
  <c r="L48" i="15"/>
  <c r="D9" i="69"/>
  <c r="F43" i="15"/>
  <c r="M22" i="15"/>
  <c r="C36" i="93"/>
  <c r="J15" i="15"/>
  <c r="C16" i="67"/>
  <c r="F42" i="15"/>
  <c r="F26" i="15"/>
  <c r="F27" i="69"/>
  <c r="F41" i="67"/>
  <c r="F9" i="15"/>
  <c r="D9" i="92"/>
  <c r="F38" i="15"/>
  <c r="C36" i="92"/>
  <c r="F27" i="92"/>
  <c r="F36" i="15"/>
  <c r="M8" i="15"/>
  <c r="F27" i="93"/>
  <c r="M24" i="15"/>
  <c r="M23" i="15"/>
  <c r="F8" i="15"/>
  <c r="M28" i="15"/>
  <c r="F40" i="15"/>
  <c r="L47" i="15"/>
  <c r="F6" i="15"/>
  <c r="F16" i="15"/>
  <c r="M26" i="15"/>
  <c r="G1" i="73"/>
  <c r="E60" i="40" l="1"/>
  <c r="K16" i="1"/>
  <c r="G30" i="6"/>
  <c r="G31" i="6" s="1"/>
  <c r="F67" i="39"/>
  <c r="C9" i="93"/>
  <c r="F66" i="15"/>
  <c r="F64" i="15"/>
  <c r="J53" i="15"/>
  <c r="L56" i="15" s="1"/>
  <c r="J57" i="15"/>
  <c r="J55" i="15" s="1"/>
  <c r="J58" i="15" s="1"/>
  <c r="Q50" i="15" s="1"/>
  <c r="I54" i="15"/>
  <c r="F45" i="93"/>
  <c r="C29" i="93"/>
  <c r="D27" i="93" s="1"/>
  <c r="C47" i="93"/>
  <c r="D45" i="93" s="1"/>
  <c r="F45" i="92"/>
  <c r="C29" i="92"/>
  <c r="D27" i="92" s="1"/>
  <c r="C47" i="92"/>
  <c r="D45" i="92" s="1"/>
  <c r="C9" i="92"/>
  <c r="E61" i="39"/>
  <c r="E65" i="39" s="1"/>
  <c r="E30" i="6"/>
  <c r="AA7" i="36"/>
  <c r="R36" i="36" s="1"/>
  <c r="C49" i="67"/>
  <c r="J5" i="67"/>
  <c r="J24" i="67" s="1"/>
  <c r="M17" i="67"/>
  <c r="E16" i="6"/>
  <c r="F59" i="67"/>
  <c r="F45" i="69"/>
  <c r="C9" i="69"/>
  <c r="Q74" i="67"/>
  <c r="U7" i="36"/>
  <c r="Q60" i="67"/>
  <c r="Q52" i="67"/>
  <c r="C27" i="15"/>
  <c r="F68" i="15"/>
  <c r="L59" i="15"/>
  <c r="Q61" i="15" s="1"/>
  <c r="N59" i="15"/>
  <c r="L58" i="15"/>
  <c r="Q73" i="15" s="1"/>
  <c r="M59" i="15"/>
  <c r="Q71" i="15"/>
  <c r="F71" i="15"/>
  <c r="F51" i="15"/>
  <c r="F59" i="15" s="1"/>
  <c r="F31" i="15"/>
  <c r="C6" i="15"/>
  <c r="AZ5" i="3"/>
  <c r="E3" i="6" s="1"/>
  <c r="E6" i="6" s="1"/>
  <c r="D60" i="71"/>
  <c r="T60" i="71"/>
  <c r="J6" i="15"/>
  <c r="J18" i="15" s="1"/>
  <c r="C47" i="69"/>
  <c r="D45" i="69" s="1"/>
  <c r="C29" i="69"/>
  <c r="D27" i="69" s="1"/>
  <c r="F27" i="11"/>
  <c r="C29" i="11" s="1"/>
  <c r="D27" i="11" s="1"/>
  <c r="M17" i="15"/>
  <c r="F27" i="68"/>
  <c r="F45" i="68" s="1"/>
  <c r="F28" i="12"/>
  <c r="C29" i="12" s="1"/>
  <c r="D28" i="12" s="1"/>
  <c r="E510" i="3"/>
  <c r="E539" i="3"/>
  <c r="E499" i="3"/>
  <c r="E255" i="3"/>
  <c r="E417" i="3"/>
  <c r="E258" i="3"/>
  <c r="E59" i="3"/>
  <c r="E46" i="3"/>
  <c r="E310" i="3"/>
  <c r="E233" i="3"/>
  <c r="E264" i="3"/>
  <c r="E494" i="3"/>
  <c r="E42" i="3"/>
  <c r="E129" i="3"/>
  <c r="E86" i="3"/>
  <c r="E113" i="3"/>
  <c r="E140" i="3"/>
  <c r="T6" i="3"/>
  <c r="E451" i="3"/>
  <c r="E452" i="3"/>
  <c r="E41" i="3"/>
  <c r="E428" i="3"/>
  <c r="E220" i="3"/>
  <c r="E49" i="3"/>
  <c r="E158" i="3"/>
  <c r="E16" i="3"/>
  <c r="E105" i="3"/>
  <c r="E543" i="3"/>
  <c r="E422" i="3"/>
  <c r="AH6" i="3"/>
  <c r="E401" i="3"/>
  <c r="E108" i="3"/>
  <c r="E276" i="3"/>
  <c r="L6" i="3"/>
  <c r="E473" i="3"/>
  <c r="E38" i="3"/>
  <c r="E234" i="3"/>
  <c r="E392" i="3"/>
  <c r="E112" i="3"/>
  <c r="E340" i="3"/>
  <c r="E62" i="3"/>
  <c r="E365" i="3"/>
  <c r="E141" i="3"/>
  <c r="E460" i="3"/>
  <c r="E58" i="3"/>
  <c r="E24" i="3"/>
  <c r="E244" i="3"/>
  <c r="E500" i="3"/>
  <c r="E446" i="3"/>
  <c r="E48" i="3"/>
  <c r="E149" i="3"/>
  <c r="E297" i="3"/>
  <c r="E584" i="3"/>
  <c r="E374" i="3"/>
  <c r="E163" i="3"/>
  <c r="AD6" i="3"/>
  <c r="E87" i="3"/>
  <c r="E187" i="3"/>
  <c r="E127" i="3"/>
  <c r="E136" i="3"/>
  <c r="E224" i="3"/>
  <c r="E474" i="3"/>
  <c r="E537" i="3"/>
  <c r="E168" i="3"/>
  <c r="E14" i="3"/>
  <c r="E207" i="3"/>
  <c r="E411" i="3"/>
  <c r="E547" i="3"/>
  <c r="E92" i="3"/>
  <c r="E317" i="3"/>
  <c r="E319" i="3"/>
  <c r="E328" i="3"/>
  <c r="E285" i="3"/>
  <c r="E523" i="3"/>
  <c r="E321" i="3"/>
  <c r="E304" i="3"/>
  <c r="E302" i="3"/>
  <c r="E303" i="3"/>
  <c r="E280" i="3"/>
  <c r="E434" i="3"/>
  <c r="E177" i="3"/>
  <c r="E481" i="3"/>
  <c r="E429" i="3"/>
  <c r="E203" i="3"/>
  <c r="E580" i="3"/>
  <c r="E252" i="3"/>
  <c r="E536" i="3"/>
  <c r="E442" i="3"/>
  <c r="AP6" i="3"/>
  <c r="E479" i="3"/>
  <c r="E292" i="3"/>
  <c r="E409" i="3"/>
  <c r="E160" i="3"/>
  <c r="E84" i="3"/>
  <c r="E355" i="3"/>
  <c r="E283" i="3"/>
  <c r="E281" i="3"/>
  <c r="E75" i="3"/>
  <c r="E174" i="3"/>
  <c r="E206" i="3"/>
  <c r="E287" i="3"/>
  <c r="E197" i="3"/>
  <c r="E456" i="3"/>
  <c r="E360" i="3"/>
  <c r="E470" i="3"/>
  <c r="E225" i="3"/>
  <c r="E412" i="3"/>
  <c r="E324" i="3"/>
  <c r="E232" i="3"/>
  <c r="E326" i="3"/>
  <c r="E188" i="3"/>
  <c r="E393" i="3"/>
  <c r="E427" i="3"/>
  <c r="E440" i="3"/>
  <c r="J6" i="3"/>
  <c r="E463" i="3"/>
  <c r="E178" i="3"/>
  <c r="E346" i="3"/>
  <c r="E60" i="3"/>
  <c r="E15" i="3"/>
  <c r="E170" i="3"/>
  <c r="E299" i="3"/>
  <c r="AQ6" i="3"/>
  <c r="E123" i="3"/>
  <c r="E364" i="3"/>
  <c r="E176" i="3"/>
  <c r="E524" i="3"/>
  <c r="E552" i="3"/>
  <c r="E90" i="3"/>
  <c r="E521" i="3"/>
  <c r="E250" i="3"/>
  <c r="E312" i="3"/>
  <c r="E520" i="3"/>
  <c r="E138" i="3"/>
  <c r="E284" i="3"/>
  <c r="E464" i="3"/>
  <c r="E375" i="3"/>
  <c r="E341" i="3"/>
  <c r="E39" i="3"/>
  <c r="E66" i="3"/>
  <c r="E459" i="3"/>
  <c r="E154" i="3"/>
  <c r="E504" i="3"/>
  <c r="E82" i="3"/>
  <c r="E352" i="3"/>
  <c r="E313" i="3"/>
  <c r="E438" i="3"/>
  <c r="E471" i="3"/>
  <c r="E208" i="3"/>
  <c r="E93" i="3"/>
  <c r="E145" i="3"/>
  <c r="E548" i="3"/>
  <c r="E403" i="3"/>
  <c r="E126" i="3"/>
  <c r="AM6" i="3"/>
  <c r="E501" i="3"/>
  <c r="O6" i="3"/>
  <c r="E97" i="3"/>
  <c r="E506" i="3"/>
  <c r="E298" i="3"/>
  <c r="E565" i="3"/>
  <c r="E221" i="3"/>
  <c r="E402" i="3"/>
  <c r="AA6" i="3"/>
  <c r="E128" i="3"/>
  <c r="E330" i="3"/>
  <c r="E424" i="3"/>
  <c r="E496" i="3"/>
  <c r="E256" i="3"/>
  <c r="E32" i="3"/>
  <c r="E164" i="3"/>
  <c r="E286" i="3"/>
  <c r="E554" i="3"/>
  <c r="E349" i="3"/>
  <c r="E249" i="3"/>
  <c r="E68" i="3"/>
  <c r="E332" i="3"/>
  <c r="E383" i="3"/>
  <c r="E308" i="3"/>
  <c r="E469" i="3"/>
  <c r="E26" i="3"/>
  <c r="E78" i="3"/>
  <c r="E370" i="3"/>
  <c r="E223" i="3"/>
  <c r="E486" i="3"/>
  <c r="E498" i="3"/>
  <c r="E202" i="3"/>
  <c r="E43" i="3"/>
  <c r="E137" i="3"/>
  <c r="E52" i="3"/>
  <c r="E50" i="3"/>
  <c r="E101" i="3"/>
  <c r="E155" i="3"/>
  <c r="E51" i="3"/>
  <c r="E57" i="3"/>
  <c r="E19" i="3"/>
  <c r="E47" i="3"/>
  <c r="E259" i="3"/>
  <c r="E488" i="3"/>
  <c r="E98" i="3"/>
  <c r="E306" i="3"/>
  <c r="E288" i="3"/>
  <c r="E257" i="3"/>
  <c r="E379" i="3"/>
  <c r="E546" i="3"/>
  <c r="E29" i="3"/>
  <c r="E574" i="3"/>
  <c r="E418" i="3"/>
  <c r="E213" i="3"/>
  <c r="AN6" i="3"/>
  <c r="E262" i="3"/>
  <c r="E344" i="3"/>
  <c r="E274" i="3"/>
  <c r="E576" i="3"/>
  <c r="E443" i="3"/>
  <c r="E404" i="3"/>
  <c r="E295" i="3"/>
  <c r="E480" i="3"/>
  <c r="E282" i="3"/>
  <c r="E569" i="3"/>
  <c r="E358" i="3"/>
  <c r="E407" i="3"/>
  <c r="E130" i="3"/>
  <c r="E260" i="3"/>
  <c r="E61" i="3"/>
  <c r="E518" i="3"/>
  <c r="E253" i="3"/>
  <c r="E511" i="3"/>
  <c r="E519" i="3"/>
  <c r="E457" i="3"/>
  <c r="E433" i="3"/>
  <c r="E279" i="3"/>
  <c r="E567" i="3"/>
  <c r="E107" i="3"/>
  <c r="E414" i="3"/>
  <c r="E476" i="3"/>
  <c r="E186" i="3"/>
  <c r="E44" i="3"/>
  <c r="E343" i="3"/>
  <c r="E555" i="3"/>
  <c r="E270" i="3"/>
  <c r="E538" i="3"/>
  <c r="E216" i="3"/>
  <c r="E183" i="3"/>
  <c r="E91" i="3"/>
  <c r="E586" i="3"/>
  <c r="E347" i="3"/>
  <c r="E545" i="3"/>
  <c r="E133" i="3"/>
  <c r="E406" i="3"/>
  <c r="E468" i="3"/>
  <c r="E171" i="3"/>
  <c r="E74" i="3"/>
  <c r="E204" i="3"/>
  <c r="E485" i="3"/>
  <c r="E531" i="3"/>
  <c r="E182" i="3"/>
  <c r="E575" i="3"/>
  <c r="E491" i="3"/>
  <c r="E389" i="3"/>
  <c r="E371" i="3"/>
  <c r="E81" i="3"/>
  <c r="E391" i="3"/>
  <c r="E522" i="3"/>
  <c r="E205" i="3"/>
  <c r="E512" i="3"/>
  <c r="E104" i="3"/>
  <c r="E190" i="3"/>
  <c r="E80" i="3"/>
  <c r="E116" i="3"/>
  <c r="E507" i="3"/>
  <c r="E419" i="3"/>
  <c r="E226" i="3"/>
  <c r="E540" i="3"/>
  <c r="E194" i="3"/>
  <c r="E36" i="3"/>
  <c r="E20" i="3"/>
  <c r="E165" i="3"/>
  <c r="E348" i="3"/>
  <c r="E222" i="3"/>
  <c r="E110" i="3"/>
  <c r="E323" i="3"/>
  <c r="E266" i="3"/>
  <c r="E462" i="3"/>
  <c r="E195" i="3"/>
  <c r="E307" i="3"/>
  <c r="E157" i="3"/>
  <c r="W6" i="3"/>
  <c r="E357" i="3"/>
  <c r="U6" i="3"/>
  <c r="E71" i="3"/>
  <c r="E53" i="3"/>
  <c r="E359" i="3"/>
  <c r="E338" i="3"/>
  <c r="E17" i="3"/>
  <c r="E353" i="3"/>
  <c r="E120" i="3"/>
  <c r="AE6" i="3"/>
  <c r="E394" i="3"/>
  <c r="AG6" i="3"/>
  <c r="E558" i="3"/>
  <c r="E88" i="3"/>
  <c r="E316" i="3"/>
  <c r="E125" i="3"/>
  <c r="N6" i="3"/>
  <c r="E396" i="3"/>
  <c r="E559" i="3"/>
  <c r="E320" i="3"/>
  <c r="E114" i="3"/>
  <c r="E550" i="3"/>
  <c r="E245" i="3"/>
  <c r="E293" i="3"/>
  <c r="E453" i="3"/>
  <c r="E99" i="3"/>
  <c r="E573" i="3"/>
  <c r="E562" i="3"/>
  <c r="E72" i="3"/>
  <c r="E351" i="3"/>
  <c r="E549" i="3"/>
  <c r="E585" i="3"/>
  <c r="E477" i="3"/>
  <c r="E447" i="3"/>
  <c r="E210" i="3"/>
  <c r="E441" i="3"/>
  <c r="E305" i="3"/>
  <c r="E410" i="3"/>
  <c r="E533" i="3"/>
  <c r="E439" i="3"/>
  <c r="E185" i="3"/>
  <c r="E361" i="3"/>
  <c r="E134" i="3"/>
  <c r="E495" i="3"/>
  <c r="E77" i="3"/>
  <c r="AK6" i="3"/>
  <c r="K6" i="3"/>
  <c r="E465" i="3"/>
  <c r="E454" i="3"/>
  <c r="E214" i="3"/>
  <c r="E227" i="3"/>
  <c r="E327" i="3"/>
  <c r="E400" i="3"/>
  <c r="E489" i="3"/>
  <c r="E466" i="3"/>
  <c r="E95" i="3"/>
  <c r="E484" i="3"/>
  <c r="E67" i="3"/>
  <c r="E513" i="3"/>
  <c r="E482" i="3"/>
  <c r="E251" i="3"/>
  <c r="E525" i="3"/>
  <c r="E556" i="3"/>
  <c r="E243" i="3"/>
  <c r="E342" i="3"/>
  <c r="E83" i="3"/>
  <c r="E493" i="3"/>
  <c r="E490" i="3"/>
  <c r="E40" i="3"/>
  <c r="E333" i="3"/>
  <c r="E455" i="3"/>
  <c r="E339" i="3"/>
  <c r="E147" i="3"/>
  <c r="E218" i="3"/>
  <c r="E398" i="3"/>
  <c r="E65" i="3"/>
  <c r="E421" i="3"/>
  <c r="E209" i="3"/>
  <c r="E582" i="3"/>
  <c r="E373" i="3"/>
  <c r="Y6" i="3"/>
  <c r="E167" i="3"/>
  <c r="E122" i="3"/>
  <c r="E532" i="3"/>
  <c r="E475" i="3"/>
  <c r="E397" i="3"/>
  <c r="E432" i="3"/>
  <c r="E272" i="3"/>
  <c r="E153" i="3"/>
  <c r="E390" i="3"/>
  <c r="E169" i="3"/>
  <c r="E254" i="3"/>
  <c r="E156" i="3"/>
  <c r="Q6" i="3"/>
  <c r="E55" i="3"/>
  <c r="I6" i="3"/>
  <c r="E448" i="3"/>
  <c r="E581" i="3"/>
  <c r="E121" i="3"/>
  <c r="E334" i="3"/>
  <c r="E366" i="3"/>
  <c r="E239" i="3"/>
  <c r="E229" i="3"/>
  <c r="E551" i="3"/>
  <c r="E294" i="3"/>
  <c r="E415" i="3"/>
  <c r="E117" i="3"/>
  <c r="E382" i="3"/>
  <c r="E336" i="3"/>
  <c r="E85" i="3"/>
  <c r="E45" i="3"/>
  <c r="E458" i="3"/>
  <c r="E571" i="3"/>
  <c r="E111" i="3"/>
  <c r="E318" i="3"/>
  <c r="E269" i="3"/>
  <c r="E515" i="3"/>
  <c r="E505" i="3"/>
  <c r="E27" i="3"/>
  <c r="E331" i="3"/>
  <c r="E175" i="3"/>
  <c r="E508" i="3"/>
  <c r="E337" i="3"/>
  <c r="AR6" i="3"/>
  <c r="E380" i="3"/>
  <c r="E261" i="3"/>
  <c r="E503" i="3"/>
  <c r="E301" i="3"/>
  <c r="E124" i="3"/>
  <c r="E568" i="3"/>
  <c r="E228" i="3"/>
  <c r="E560" i="3"/>
  <c r="E587" i="3"/>
  <c r="E106" i="3"/>
  <c r="E315" i="3"/>
  <c r="E368" i="3"/>
  <c r="Z6" i="3"/>
  <c r="E345" i="3"/>
  <c r="E28" i="3"/>
  <c r="E378" i="3"/>
  <c r="E248" i="3"/>
  <c r="E131" i="3"/>
  <c r="E275" i="3"/>
  <c r="E148" i="3"/>
  <c r="E246" i="3"/>
  <c r="E263" i="3"/>
  <c r="E535" i="3"/>
  <c r="E278" i="3"/>
  <c r="E335" i="3"/>
  <c r="E570" i="3"/>
  <c r="E247" i="3"/>
  <c r="AJ6" i="3"/>
  <c r="E217" i="3"/>
  <c r="E273" i="3"/>
  <c r="AO6" i="3"/>
  <c r="E577" i="3"/>
  <c r="E399" i="3"/>
  <c r="E231" i="3"/>
  <c r="E530" i="3"/>
  <c r="E478" i="3"/>
  <c r="E450" i="3"/>
  <c r="E583" i="3"/>
  <c r="E230" i="3"/>
  <c r="E553" i="3"/>
  <c r="P6" i="3"/>
  <c r="E238" i="3"/>
  <c r="E426" i="3"/>
  <c r="E54" i="3"/>
  <c r="E179" i="3"/>
  <c r="E416" i="3"/>
  <c r="E289" i="3"/>
  <c r="E25" i="3"/>
  <c r="E35" i="3"/>
  <c r="AF6" i="3"/>
  <c r="E64" i="3"/>
  <c r="E119" i="3"/>
  <c r="X6" i="3"/>
  <c r="E161" i="3"/>
  <c r="E215" i="3"/>
  <c r="M6" i="3"/>
  <c r="E509" i="3"/>
  <c r="E377" i="3"/>
  <c r="E146" i="3"/>
  <c r="E528" i="3"/>
  <c r="E150" i="3"/>
  <c r="E395" i="3"/>
  <c r="E444" i="3"/>
  <c r="E437" i="3"/>
  <c r="E196" i="3"/>
  <c r="E413" i="3"/>
  <c r="E354" i="3"/>
  <c r="E265" i="3"/>
  <c r="E372" i="3"/>
  <c r="E329" i="3"/>
  <c r="E534" i="3"/>
  <c r="E33" i="3"/>
  <c r="E139" i="3"/>
  <c r="E369" i="3"/>
  <c r="E94" i="3"/>
  <c r="E219" i="3"/>
  <c r="E296" i="3"/>
  <c r="E200" i="3"/>
  <c r="E385" i="3"/>
  <c r="E191" i="3"/>
  <c r="E445" i="3"/>
  <c r="E69" i="3"/>
  <c r="E387" i="3"/>
  <c r="E514" i="3"/>
  <c r="E431" i="3"/>
  <c r="E322" i="3"/>
  <c r="E109" i="3"/>
  <c r="E211" i="3"/>
  <c r="E89" i="3"/>
  <c r="E472" i="3"/>
  <c r="E350" i="3"/>
  <c r="E561" i="3"/>
  <c r="E384" i="3"/>
  <c r="E271" i="3"/>
  <c r="E527" i="3"/>
  <c r="E578" i="3"/>
  <c r="V6" i="3"/>
  <c r="E30" i="3"/>
  <c r="E236" i="3"/>
  <c r="E159" i="3"/>
  <c r="E291" i="3"/>
  <c r="E529" i="3"/>
  <c r="E542" i="3"/>
  <c r="E386" i="3"/>
  <c r="E325" i="3"/>
  <c r="E376" i="3"/>
  <c r="E356" i="3"/>
  <c r="E96" i="3"/>
  <c r="E152" i="3"/>
  <c r="E142" i="3"/>
  <c r="E240" i="3"/>
  <c r="E242" i="3"/>
  <c r="E423" i="3"/>
  <c r="E563" i="3"/>
  <c r="E201" i="3"/>
  <c r="E526" i="3"/>
  <c r="E557" i="3"/>
  <c r="E181" i="3"/>
  <c r="E388" i="3"/>
  <c r="AS6" i="3"/>
  <c r="E314" i="3"/>
  <c r="E516" i="3"/>
  <c r="S6" i="3"/>
  <c r="E118" i="3"/>
  <c r="E487" i="3"/>
  <c r="E483" i="3"/>
  <c r="E132" i="3"/>
  <c r="E100" i="3"/>
  <c r="AI6" i="3"/>
  <c r="E135" i="3"/>
  <c r="E172" i="3"/>
  <c r="E189" i="3"/>
  <c r="AB6" i="3"/>
  <c r="E311" i="3"/>
  <c r="E579" i="3"/>
  <c r="E268" i="3"/>
  <c r="E572" i="3"/>
  <c r="E70" i="3"/>
  <c r="E362" i="3"/>
  <c r="E277" i="3"/>
  <c r="E180" i="3"/>
  <c r="E143" i="3"/>
  <c r="E162" i="3"/>
  <c r="E31" i="3"/>
  <c r="E193" i="3"/>
  <c r="E290" i="3"/>
  <c r="E151" i="3"/>
  <c r="E166" i="3"/>
  <c r="E73" i="3"/>
  <c r="E237" i="3"/>
  <c r="E367" i="3"/>
  <c r="E461" i="3"/>
  <c r="E436" i="3"/>
  <c r="E566" i="3"/>
  <c r="E79" i="3"/>
  <c r="E564" i="3"/>
  <c r="E13" i="3"/>
  <c r="E21" i="3"/>
  <c r="E430" i="3"/>
  <c r="D26" i="43"/>
  <c r="C25" i="43" s="1"/>
  <c r="C33" i="43" s="1"/>
  <c r="E115" i="3"/>
  <c r="E420" i="3"/>
  <c r="E497" i="3"/>
  <c r="E408" i="3"/>
  <c r="E405" i="3"/>
  <c r="E173" i="3"/>
  <c r="E22" i="3"/>
  <c r="E102" i="3"/>
  <c r="E34" i="3"/>
  <c r="E235" i="3"/>
  <c r="E18" i="3"/>
  <c r="AL6" i="3"/>
  <c r="E198" i="3"/>
  <c r="E309" i="3"/>
  <c r="E63" i="3"/>
  <c r="E184" i="3"/>
  <c r="E492" i="3"/>
  <c r="E267" i="3"/>
  <c r="E467" i="3"/>
  <c r="E544" i="3"/>
  <c r="E241" i="3"/>
  <c r="E37" i="3"/>
  <c r="E517" i="3"/>
  <c r="E449" i="3"/>
  <c r="E502" i="3"/>
  <c r="E212" i="3"/>
  <c r="J10" i="39"/>
  <c r="W10" i="39" s="1"/>
  <c r="AA10" i="39"/>
  <c r="F10" i="40"/>
  <c r="S10" i="40" s="1"/>
  <c r="H10" i="39"/>
  <c r="U10" i="39" s="1"/>
  <c r="H10" i="40"/>
  <c r="AB10" i="40" s="1"/>
  <c r="J10" i="40"/>
  <c r="AC10" i="40" s="1"/>
  <c r="AY6" i="3"/>
  <c r="AY276" i="3" s="1"/>
  <c r="E381" i="3"/>
  <c r="E144" i="3"/>
  <c r="E23" i="3"/>
  <c r="E300" i="3"/>
  <c r="E103" i="3"/>
  <c r="E425" i="3"/>
  <c r="E76" i="3"/>
  <c r="E363" i="3"/>
  <c r="E192" i="3"/>
  <c r="E56" i="3"/>
  <c r="E435" i="3"/>
  <c r="I3" i="6"/>
  <c r="E541" i="3"/>
  <c r="R6" i="3"/>
  <c r="E199" i="3"/>
  <c r="T32" i="71"/>
  <c r="D32" i="71"/>
  <c r="N66" i="71"/>
  <c r="N65" i="71"/>
  <c r="D36" i="71"/>
  <c r="T36" i="71"/>
  <c r="T52" i="71"/>
  <c r="D52" i="71"/>
  <c r="T44" i="71"/>
  <c r="D44" i="71"/>
  <c r="C26" i="71"/>
  <c r="D26" i="71" s="1"/>
  <c r="D27" i="71"/>
  <c r="P65" i="71"/>
  <c r="P66" i="71"/>
  <c r="T40" i="71"/>
  <c r="D40" i="71"/>
  <c r="B40" i="1"/>
  <c r="F22" i="95" s="1"/>
  <c r="V42" i="37"/>
  <c r="I42" i="37" s="1"/>
  <c r="G47" i="37" s="1"/>
  <c r="H47" i="37" s="1"/>
  <c r="B11" i="71"/>
  <c r="B10" i="71" s="1"/>
  <c r="B9" i="71" s="1"/>
  <c r="B8" i="71" s="1"/>
  <c r="B7" i="71" s="1"/>
  <c r="B6" i="71" s="1"/>
  <c r="B5" i="71" s="1"/>
  <c r="S12" i="71"/>
  <c r="E11" i="71"/>
  <c r="E10" i="71" s="1"/>
  <c r="E9" i="71" s="1"/>
  <c r="E8" i="71" s="1"/>
  <c r="E7" i="71" s="1"/>
  <c r="E6" i="71" s="1"/>
  <c r="E5" i="71" s="1"/>
  <c r="V12" i="71"/>
  <c r="C18" i="71"/>
  <c r="D19" i="71"/>
  <c r="AC7" i="34"/>
  <c r="V49" i="34" s="1"/>
  <c r="I49" i="34" s="1"/>
  <c r="G54" i="34" s="1"/>
  <c r="H54"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K25" i="6"/>
  <c r="K20" i="6"/>
  <c r="K23" i="6"/>
  <c r="K22" i="6"/>
  <c r="E31" i="6"/>
  <c r="K24" i="6"/>
  <c r="K19" i="6"/>
  <c r="S6" i="1" s="1"/>
  <c r="O14" i="1"/>
  <c r="O16" i="1" s="1"/>
  <c r="M16" i="1"/>
  <c r="AY73" i="3"/>
  <c r="AY129" i="3"/>
  <c r="AY218" i="3"/>
  <c r="AY440" i="3"/>
  <c r="AY337" i="3"/>
  <c r="AY547" i="3"/>
  <c r="D3" i="21"/>
  <c r="M18" i="9"/>
  <c r="B118" i="9" s="1"/>
  <c r="B1" i="74" s="1"/>
  <c r="C17" i="4"/>
  <c r="B4" i="52" s="1"/>
  <c r="B43" i="72" s="1"/>
  <c r="C39" i="43"/>
  <c r="C42" i="43"/>
  <c r="E42" i="43" s="1"/>
  <c r="C38" i="43"/>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8" i="35"/>
  <c r="U7" i="33"/>
  <c r="AB7" i="33"/>
  <c r="T48" i="33" s="1"/>
  <c r="G48" i="33" s="1"/>
  <c r="C53" i="67"/>
  <c r="C10" i="67"/>
  <c r="C5" i="67" s="1"/>
  <c r="C38" i="67" s="1"/>
  <c r="C53" i="15"/>
  <c r="C10" i="15"/>
  <c r="C35" i="9"/>
  <c r="F41" i="15"/>
  <c r="C34" i="92"/>
  <c r="C34" i="91"/>
  <c r="C34" i="95"/>
  <c r="D10" i="91"/>
  <c r="M27" i="15"/>
  <c r="C16" i="15"/>
  <c r="M27" i="67"/>
  <c r="D10" i="92"/>
  <c r="D10" i="93"/>
  <c r="C34" i="93"/>
  <c r="D10" i="95"/>
  <c r="AY172" i="3" l="1"/>
  <c r="AY15" i="3"/>
  <c r="AY47" i="3"/>
  <c r="AY550" i="3"/>
  <c r="AY536" i="3"/>
  <c r="AY409" i="3"/>
  <c r="AY400" i="3"/>
  <c r="AY493" i="3"/>
  <c r="AY322" i="3"/>
  <c r="AY530" i="3"/>
  <c r="AY306" i="3"/>
  <c r="AY556" i="3"/>
  <c r="AY54" i="3"/>
  <c r="AY476" i="3"/>
  <c r="AY576" i="3"/>
  <c r="AY336" i="3"/>
  <c r="AY424" i="3"/>
  <c r="AY475" i="3"/>
  <c r="AY127" i="3"/>
  <c r="AY186" i="3"/>
  <c r="AY335" i="3"/>
  <c r="C10" i="95"/>
  <c r="C8" i="95" s="1"/>
  <c r="C5" i="95" s="1"/>
  <c r="C20" i="95" s="1"/>
  <c r="C28" i="95" s="1"/>
  <c r="C27" i="95" s="1"/>
  <c r="D19" i="95"/>
  <c r="D37" i="95" s="1"/>
  <c r="C37" i="95" s="1"/>
  <c r="C38" i="95"/>
  <c r="C35" i="95"/>
  <c r="AY351" i="3"/>
  <c r="AY485" i="3"/>
  <c r="AY515" i="3"/>
  <c r="AY267" i="3"/>
  <c r="AY272" i="3"/>
  <c r="AY383" i="3"/>
  <c r="AY17" i="3"/>
  <c r="AY142" i="3"/>
  <c r="AY391" i="3"/>
  <c r="BR6" i="3"/>
  <c r="AY384" i="3"/>
  <c r="AY89" i="3"/>
  <c r="AY118" i="3"/>
  <c r="AY23" i="3"/>
  <c r="AY293" i="3"/>
  <c r="AY248" i="3"/>
  <c r="AY415" i="3"/>
  <c r="AY21" i="3"/>
  <c r="AY195" i="3"/>
  <c r="AY120" i="3"/>
  <c r="AY450" i="3"/>
  <c r="AY586" i="3"/>
  <c r="AY179" i="3"/>
  <c r="AY442" i="3"/>
  <c r="AY478" i="3"/>
  <c r="AY98" i="3"/>
  <c r="AY533" i="3"/>
  <c r="F41" i="95"/>
  <c r="C26" i="95"/>
  <c r="D22" i="95" s="1"/>
  <c r="C24" i="95"/>
  <c r="C44" i="95"/>
  <c r="D41" i="95" s="1"/>
  <c r="Q52" i="15"/>
  <c r="F1" i="15"/>
  <c r="C48" i="67"/>
  <c r="C66" i="67" s="1"/>
  <c r="C38" i="93"/>
  <c r="C35" i="93"/>
  <c r="C38" i="92"/>
  <c r="C35" i="92"/>
  <c r="C10" i="92"/>
  <c r="C8" i="92" s="1"/>
  <c r="C5" i="92" s="1"/>
  <c r="C20" i="92" s="1"/>
  <c r="C28" i="92" s="1"/>
  <c r="C27" i="92" s="1"/>
  <c r="D19" i="92"/>
  <c r="D37" i="92" s="1"/>
  <c r="C37" i="92" s="1"/>
  <c r="C10" i="93"/>
  <c r="C8" i="93" s="1"/>
  <c r="C5" i="93" s="1"/>
  <c r="C20" i="93" s="1"/>
  <c r="C28" i="93" s="1"/>
  <c r="C27" i="93" s="1"/>
  <c r="D19" i="93"/>
  <c r="D37" i="93" s="1"/>
  <c r="C37" i="93" s="1"/>
  <c r="F22" i="92"/>
  <c r="F41" i="92" s="1"/>
  <c r="F22" i="93"/>
  <c r="C35" i="91"/>
  <c r="C38" i="91"/>
  <c r="C10" i="91"/>
  <c r="C8" i="91" s="1"/>
  <c r="C5" i="91" s="1"/>
  <c r="D19" i="91"/>
  <c r="D37" i="91" s="1"/>
  <c r="C37" i="91" s="1"/>
  <c r="E8" i="70"/>
  <c r="L36" i="43"/>
  <c r="L37" i="43" s="1"/>
  <c r="M37" i="43" s="1"/>
  <c r="F22" i="91"/>
  <c r="L18" i="9"/>
  <c r="D14" i="12"/>
  <c r="D17" i="12" s="1"/>
  <c r="C17" i="12" s="1"/>
  <c r="BT6" i="3"/>
  <c r="AY443" i="3"/>
  <c r="AY386" i="3"/>
  <c r="AY143" i="3"/>
  <c r="AY71" i="3"/>
  <c r="AY500" i="3"/>
  <c r="AY315" i="3"/>
  <c r="AY265" i="3"/>
  <c r="AY19" i="3"/>
  <c r="BP6" i="3"/>
  <c r="AY522" i="3"/>
  <c r="AY402" i="3"/>
  <c r="AY479" i="3"/>
  <c r="AY361" i="3"/>
  <c r="AY113" i="3"/>
  <c r="AY64" i="3"/>
  <c r="AY413" i="3"/>
  <c r="AY339" i="3"/>
  <c r="AY288" i="3"/>
  <c r="AY22" i="3"/>
  <c r="AY528" i="3"/>
  <c r="AY482" i="3"/>
  <c r="AY216" i="3"/>
  <c r="AY140" i="3"/>
  <c r="AY110" i="3"/>
  <c r="AY537" i="3"/>
  <c r="AY399" i="3"/>
  <c r="AY461" i="3"/>
  <c r="AY321" i="3"/>
  <c r="AY235" i="3"/>
  <c r="AY205" i="3"/>
  <c r="AY504" i="3"/>
  <c r="AY416" i="3"/>
  <c r="AY338" i="3"/>
  <c r="AY213" i="3"/>
  <c r="AY70" i="3"/>
  <c r="AY314" i="3"/>
  <c r="AY187" i="3"/>
  <c r="AY502" i="3"/>
  <c r="AY487" i="3"/>
  <c r="AY189" i="3"/>
  <c r="AY449" i="3"/>
  <c r="AY286" i="3"/>
  <c r="AY43" i="3"/>
  <c r="BN6" i="3"/>
  <c r="AY389" i="3"/>
  <c r="AY447" i="3"/>
  <c r="AY495" i="3"/>
  <c r="AY349" i="3"/>
  <c r="AY360" i="3"/>
  <c r="AY185" i="3"/>
  <c r="AY433" i="3"/>
  <c r="AY473" i="3"/>
  <c r="AY253" i="3"/>
  <c r="D19" i="11"/>
  <c r="C19" i="11" s="1"/>
  <c r="C20" i="11" s="1"/>
  <c r="C28" i="11" s="1"/>
  <c r="C27" i="11" s="1"/>
  <c r="AY240" i="3"/>
  <c r="AY408" i="3"/>
  <c r="AY62" i="3"/>
  <c r="AY538" i="3"/>
  <c r="AY320" i="3"/>
  <c r="AY153" i="3"/>
  <c r="AY432" i="3"/>
  <c r="AY375" i="3"/>
  <c r="AY136" i="3"/>
  <c r="AY39" i="3"/>
  <c r="AY330" i="3"/>
  <c r="AY233" i="3"/>
  <c r="AY203" i="3"/>
  <c r="AY563" i="3"/>
  <c r="AY575" i="3"/>
  <c r="AY431" i="3"/>
  <c r="AY492" i="3"/>
  <c r="AY352" i="3"/>
  <c r="AY298" i="3"/>
  <c r="AY32" i="3"/>
  <c r="BC6" i="3"/>
  <c r="AY448" i="3"/>
  <c r="AY323" i="3"/>
  <c r="AY256" i="3"/>
  <c r="AY587" i="3"/>
  <c r="AY376" i="3"/>
  <c r="AY78" i="3"/>
  <c r="AY313" i="3"/>
  <c r="AY96" i="3"/>
  <c r="AY215" i="3"/>
  <c r="AY198" i="3"/>
  <c r="AY350" i="3"/>
  <c r="AY464" i="3"/>
  <c r="AY302" i="3"/>
  <c r="AY199" i="3"/>
  <c r="BM6" i="3"/>
  <c r="AY242" i="3"/>
  <c r="AY214" i="3"/>
  <c r="AY44" i="3"/>
  <c r="AY327" i="3"/>
  <c r="AY204" i="3"/>
  <c r="AY83" i="3"/>
  <c r="AY87" i="3"/>
  <c r="AY176" i="3"/>
  <c r="AY59" i="3"/>
  <c r="AY111" i="3"/>
  <c r="AY225" i="3"/>
  <c r="AY303" i="3"/>
  <c r="AY289" i="3"/>
  <c r="AY284" i="3"/>
  <c r="AY470" i="3"/>
  <c r="AY26" i="3"/>
  <c r="AY228" i="3"/>
  <c r="AY310" i="3"/>
  <c r="AY401" i="3"/>
  <c r="AY541" i="3"/>
  <c r="AY61" i="3"/>
  <c r="AY28" i="3"/>
  <c r="AY154" i="3"/>
  <c r="AY125" i="3"/>
  <c r="AY231" i="3"/>
  <c r="AY397" i="3"/>
  <c r="AY554" i="3"/>
  <c r="AY56" i="3"/>
  <c r="AY145" i="3"/>
  <c r="AY210" i="3"/>
  <c r="AY348" i="3"/>
  <c r="AY488" i="3"/>
  <c r="AY398" i="3"/>
  <c r="AY585" i="3"/>
  <c r="AY510" i="3"/>
  <c r="AY90" i="3"/>
  <c r="AY334" i="3"/>
  <c r="AY244" i="3"/>
  <c r="AY404" i="3"/>
  <c r="AY85" i="3"/>
  <c r="AY146" i="3"/>
  <c r="AY271" i="3"/>
  <c r="BS6" i="3"/>
  <c r="AY150" i="3"/>
  <c r="AY325" i="3"/>
  <c r="AY435" i="3"/>
  <c r="AY527" i="3"/>
  <c r="AY577" i="3"/>
  <c r="AY191" i="3"/>
  <c r="AY489" i="3"/>
  <c r="AY212" i="3"/>
  <c r="AY436" i="3"/>
  <c r="AY100" i="3"/>
  <c r="AY193" i="3"/>
  <c r="AY255" i="3"/>
  <c r="AY507" i="3"/>
  <c r="AY181" i="3"/>
  <c r="AY341" i="3"/>
  <c r="AY438" i="3"/>
  <c r="AY520" i="3"/>
  <c r="AY494" i="3"/>
  <c r="AY65" i="3"/>
  <c r="AY158" i="3"/>
  <c r="AY287" i="3"/>
  <c r="AY380" i="3"/>
  <c r="AY344" i="3"/>
  <c r="AY471" i="3"/>
  <c r="AY426" i="3"/>
  <c r="AY407" i="3"/>
  <c r="AY14" i="3"/>
  <c r="AY565" i="3"/>
  <c r="AY570" i="3"/>
  <c r="AY99" i="3"/>
  <c r="AY46" i="3"/>
  <c r="AY156" i="3"/>
  <c r="AY285" i="3"/>
  <c r="AY232" i="3"/>
  <c r="AY362" i="3"/>
  <c r="AY469" i="3"/>
  <c r="AY437" i="3"/>
  <c r="AY560" i="3"/>
  <c r="AY91" i="3"/>
  <c r="AY38" i="3"/>
  <c r="AY148" i="3"/>
  <c r="AY277" i="3"/>
  <c r="AY224" i="3"/>
  <c r="AY354" i="3"/>
  <c r="AY490" i="3"/>
  <c r="AY429" i="3"/>
  <c r="AY511" i="3"/>
  <c r="AY66" i="3"/>
  <c r="AY144" i="3"/>
  <c r="AY188" i="3"/>
  <c r="AY58" i="3"/>
  <c r="AY382" i="3"/>
  <c r="AY50" i="3"/>
  <c r="AY74" i="3"/>
  <c r="AY209" i="3"/>
  <c r="AY460" i="3"/>
  <c r="AY180" i="3"/>
  <c r="AY372" i="3"/>
  <c r="AY465" i="3"/>
  <c r="AY549" i="3"/>
  <c r="BE6" i="3"/>
  <c r="AY45" i="3"/>
  <c r="AY190" i="3"/>
  <c r="AY138" i="3"/>
  <c r="AY283" i="3"/>
  <c r="AY262" i="3"/>
  <c r="AY381" i="3"/>
  <c r="AY109" i="3"/>
  <c r="AY24" i="3"/>
  <c r="AY295" i="3"/>
  <c r="AY388" i="3"/>
  <c r="AY332" i="3"/>
  <c r="AY462" i="3"/>
  <c r="AY427" i="3"/>
  <c r="AY534" i="3"/>
  <c r="BG6" i="3"/>
  <c r="AY163" i="3"/>
  <c r="AY425" i="3"/>
  <c r="AY390" i="3"/>
  <c r="AY562" i="3"/>
  <c r="AY53" i="3"/>
  <c r="AY157" i="3"/>
  <c r="AY222" i="3"/>
  <c r="BI6" i="3"/>
  <c r="AY279" i="3"/>
  <c r="AY340" i="3"/>
  <c r="AY403" i="3"/>
  <c r="AY508" i="3"/>
  <c r="AY523" i="3"/>
  <c r="AY31" i="3"/>
  <c r="AY455" i="3"/>
  <c r="AY379" i="3"/>
  <c r="AY573" i="3"/>
  <c r="AY69" i="3"/>
  <c r="AY173" i="3"/>
  <c r="AY270" i="3"/>
  <c r="BB6" i="3"/>
  <c r="AY275" i="3"/>
  <c r="AY309" i="3"/>
  <c r="AY419" i="3"/>
  <c r="AY552" i="3"/>
  <c r="AY519" i="3"/>
  <c r="AY80" i="3"/>
  <c r="AY169" i="3"/>
  <c r="AY266" i="3"/>
  <c r="AY369" i="3"/>
  <c r="AY328" i="3"/>
  <c r="AY453" i="3"/>
  <c r="AY410" i="3"/>
  <c r="AY579" i="3"/>
  <c r="D3" i="6"/>
  <c r="D22" i="6" s="1"/>
  <c r="AY509" i="3"/>
  <c r="AY531" i="3"/>
  <c r="AY94" i="3"/>
  <c r="AY35" i="3"/>
  <c r="AY167" i="3"/>
  <c r="AY280" i="3"/>
  <c r="AY221" i="3"/>
  <c r="AY331" i="3"/>
  <c r="AY466" i="3"/>
  <c r="AY405" i="3"/>
  <c r="AY512" i="3"/>
  <c r="AY86" i="3"/>
  <c r="AY27" i="3"/>
  <c r="AY159" i="3"/>
  <c r="AY273" i="3"/>
  <c r="AY34" i="3"/>
  <c r="AY115" i="3"/>
  <c r="AY152" i="3"/>
  <c r="AY297" i="3"/>
  <c r="AY371" i="3"/>
  <c r="AY196" i="3"/>
  <c r="AY261" i="3"/>
  <c r="AY363" i="3"/>
  <c r="AY441" i="3"/>
  <c r="AY300" i="3"/>
  <c r="AY358" i="3"/>
  <c r="AY420" i="3"/>
  <c r="BK6" i="3"/>
  <c r="AY97" i="3"/>
  <c r="AY76" i="3"/>
  <c r="AY201" i="3"/>
  <c r="AY133" i="3"/>
  <c r="AY294" i="3"/>
  <c r="AY230" i="3"/>
  <c r="AY374" i="3"/>
  <c r="AY104" i="3"/>
  <c r="AY166" i="3"/>
  <c r="AY290" i="3"/>
  <c r="AY353" i="3"/>
  <c r="AY316" i="3"/>
  <c r="AY446" i="3"/>
  <c r="BQ6" i="3"/>
  <c r="BF6" i="3"/>
  <c r="AY501" i="3"/>
  <c r="AY75" i="3"/>
  <c r="AY526" i="3"/>
  <c r="AY481" i="3"/>
  <c r="AY574" i="3"/>
  <c r="AY36" i="3"/>
  <c r="AY126" i="3"/>
  <c r="AY211" i="3"/>
  <c r="AY40" i="3"/>
  <c r="AY243" i="3"/>
  <c r="AY467" i="3"/>
  <c r="AY525" i="3"/>
  <c r="AY532" i="3"/>
  <c r="AY49" i="3"/>
  <c r="AY292" i="3"/>
  <c r="AY497" i="3"/>
  <c r="AY343" i="3"/>
  <c r="AY540" i="3"/>
  <c r="AY20" i="3"/>
  <c r="AY141" i="3"/>
  <c r="AY227" i="3"/>
  <c r="AY88" i="3"/>
  <c r="AY258" i="3"/>
  <c r="AY480" i="3"/>
  <c r="AY503" i="3"/>
  <c r="AY543" i="3"/>
  <c r="AY101" i="3"/>
  <c r="AY48" i="3"/>
  <c r="AY137" i="3"/>
  <c r="AY234" i="3"/>
  <c r="AY364" i="3"/>
  <c r="AY312" i="3"/>
  <c r="AY458" i="3"/>
  <c r="AY439" i="3"/>
  <c r="AY506" i="3"/>
  <c r="AY524" i="3"/>
  <c r="AY542" i="3"/>
  <c r="AY578" i="3"/>
  <c r="AY63" i="3"/>
  <c r="AY192" i="3"/>
  <c r="AY135" i="3"/>
  <c r="AY249" i="3"/>
  <c r="AY378" i="3"/>
  <c r="AY346" i="3"/>
  <c r="AY456" i="3"/>
  <c r="AY558" i="3"/>
  <c r="BL6" i="3"/>
  <c r="AY55" i="3"/>
  <c r="AY184" i="3"/>
  <c r="AY128" i="3"/>
  <c r="AY241" i="3"/>
  <c r="D3" i="37"/>
  <c r="D37" i="11"/>
  <c r="AY566" i="3"/>
  <c r="AY477" i="3"/>
  <c r="AY164" i="3"/>
  <c r="AY107" i="3"/>
  <c r="AY359" i="3"/>
  <c r="AY301" i="3"/>
  <c r="AY545" i="3"/>
  <c r="AY434" i="3"/>
  <c r="AY396" i="3"/>
  <c r="AY567" i="3"/>
  <c r="AY13" i="3"/>
  <c r="AY499" i="3"/>
  <c r="D3" i="33"/>
  <c r="D3" i="34"/>
  <c r="AY521" i="3"/>
  <c r="AY307" i="3"/>
  <c r="AY257" i="3"/>
  <c r="AY200" i="3"/>
  <c r="AY568" i="3"/>
  <c r="AY451" i="3"/>
  <c r="AY394" i="3"/>
  <c r="AY151" i="3"/>
  <c r="AY79" i="3"/>
  <c r="AY551" i="3"/>
  <c r="AY505" i="3"/>
  <c r="AY445" i="3"/>
  <c r="AY305" i="3"/>
  <c r="AY250" i="3"/>
  <c r="AY174" i="3"/>
  <c r="AY583" i="3"/>
  <c r="AY474" i="3"/>
  <c r="AY208" i="3"/>
  <c r="AY175" i="3"/>
  <c r="AY102" i="3"/>
  <c r="AY421" i="3"/>
  <c r="AY347" i="3"/>
  <c r="AY296" i="3"/>
  <c r="AY30" i="3"/>
  <c r="AY548" i="3"/>
  <c r="AY564" i="3"/>
  <c r="AY418" i="3"/>
  <c r="AY304" i="3"/>
  <c r="AY385" i="3"/>
  <c r="AY122" i="3"/>
  <c r="AY498" i="3"/>
  <c r="BD6" i="3"/>
  <c r="AY459" i="3"/>
  <c r="AY367" i="3"/>
  <c r="AY119" i="3"/>
  <c r="AY517" i="3"/>
  <c r="AY264" i="3"/>
  <c r="BA6" i="3"/>
  <c r="AY423" i="3"/>
  <c r="AY223" i="3"/>
  <c r="AY584" i="3"/>
  <c r="AY29" i="3"/>
  <c r="AY539" i="3"/>
  <c r="AY82" i="3"/>
  <c r="AY356" i="3"/>
  <c r="AY25" i="3"/>
  <c r="AY387" i="3"/>
  <c r="AY430" i="3"/>
  <c r="AY177" i="3"/>
  <c r="AY247" i="3"/>
  <c r="AY108" i="3"/>
  <c r="AY260" i="3"/>
  <c r="AY160" i="3"/>
  <c r="AY95" i="3"/>
  <c r="AA10" i="40"/>
  <c r="C5" i="15"/>
  <c r="C38" i="15" s="1"/>
  <c r="C49" i="15"/>
  <c r="C48" i="15" s="1"/>
  <c r="C66" i="15" s="1"/>
  <c r="Q60" i="15"/>
  <c r="Q74" i="15"/>
  <c r="J5" i="15"/>
  <c r="J24" i="15" s="1"/>
  <c r="C47" i="11"/>
  <c r="D45" i="11" s="1"/>
  <c r="AC6" i="3"/>
  <c r="C29" i="68"/>
  <c r="D27" i="68" s="1"/>
  <c r="C47" i="68"/>
  <c r="D45" i="68" s="1"/>
  <c r="AY406" i="3"/>
  <c r="AY370" i="3"/>
  <c r="AY72" i="3"/>
  <c r="AY238" i="3"/>
  <c r="AY162" i="3"/>
  <c r="AY105" i="3"/>
  <c r="AY326" i="3"/>
  <c r="AY412" i="3"/>
  <c r="AY132" i="3"/>
  <c r="AY496" i="3"/>
  <c r="AY516" i="3"/>
  <c r="AY308" i="3"/>
  <c r="AY130" i="3"/>
  <c r="AY365" i="3"/>
  <c r="AY117" i="3"/>
  <c r="AY68" i="3"/>
  <c r="AY535" i="3"/>
  <c r="AY269" i="3"/>
  <c r="AY237" i="3"/>
  <c r="AY16" i="3"/>
  <c r="AY561" i="3"/>
  <c r="AY414" i="3"/>
  <c r="AY491" i="3"/>
  <c r="AY377" i="3"/>
  <c r="AY114" i="3"/>
  <c r="AY41" i="3"/>
  <c r="AY357" i="3"/>
  <c r="AY246" i="3"/>
  <c r="AY299" i="3"/>
  <c r="AY170" i="3"/>
  <c r="AY60" i="3"/>
  <c r="AY553" i="3"/>
  <c r="AY513" i="3"/>
  <c r="AY342" i="3"/>
  <c r="AY245" i="3"/>
  <c r="AY428" i="3"/>
  <c r="AY252" i="3"/>
  <c r="AY139" i="3"/>
  <c r="AY366" i="3"/>
  <c r="AY168" i="3"/>
  <c r="AY42" i="3"/>
  <c r="AY207" i="3"/>
  <c r="AY468" i="3"/>
  <c r="AY329" i="3"/>
  <c r="AY251" i="3"/>
  <c r="AY194" i="3"/>
  <c r="AY582" i="3"/>
  <c r="AY572" i="3"/>
  <c r="AY483" i="3"/>
  <c r="AY121" i="3"/>
  <c r="AY368" i="3"/>
  <c r="AY291" i="3"/>
  <c r="AY52" i="3"/>
  <c r="AY557" i="3"/>
  <c r="AY229" i="3"/>
  <c r="AY220" i="3"/>
  <c r="AY81" i="3"/>
  <c r="AY559" i="3"/>
  <c r="AY422" i="3"/>
  <c r="AY393" i="3"/>
  <c r="AY57" i="3"/>
  <c r="AY254" i="3"/>
  <c r="AY178" i="3"/>
  <c r="AY555" i="3"/>
  <c r="AY311" i="3"/>
  <c r="AY444" i="3"/>
  <c r="AY171" i="3"/>
  <c r="AY546" i="3"/>
  <c r="AY581" i="3"/>
  <c r="AY457" i="3"/>
  <c r="AY317" i="3"/>
  <c r="AY274" i="3"/>
  <c r="AY197" i="3"/>
  <c r="BJ6" i="3"/>
  <c r="AY392" i="3"/>
  <c r="AY263" i="3"/>
  <c r="AY149" i="3"/>
  <c r="AY206" i="3"/>
  <c r="AY77" i="3"/>
  <c r="AY569" i="3"/>
  <c r="AY452" i="3"/>
  <c r="AY395" i="3"/>
  <c r="AY106" i="3"/>
  <c r="AY318" i="3"/>
  <c r="AY123" i="3"/>
  <c r="AY67" i="3"/>
  <c r="AY236" i="3"/>
  <c r="AY281" i="3"/>
  <c r="AY124" i="3"/>
  <c r="AY51" i="3"/>
  <c r="AY484" i="3"/>
  <c r="AY345" i="3"/>
  <c r="AY282" i="3"/>
  <c r="AY37" i="3"/>
  <c r="AY514" i="3"/>
  <c r="AY580" i="3"/>
  <c r="AY324" i="3"/>
  <c r="AY161" i="3"/>
  <c r="AY373" i="3"/>
  <c r="AY134" i="3"/>
  <c r="AY84" i="3"/>
  <c r="AY417" i="3"/>
  <c r="AY116" i="3"/>
  <c r="AY147" i="3"/>
  <c r="AY112" i="3"/>
  <c r="AY518" i="3"/>
  <c r="AY454" i="3"/>
  <c r="AY226" i="3"/>
  <c r="AY93" i="3"/>
  <c r="AY239" i="3"/>
  <c r="AY182" i="3"/>
  <c r="BO6" i="3"/>
  <c r="AY355" i="3"/>
  <c r="AY486" i="3"/>
  <c r="AY18" i="3"/>
  <c r="AY571" i="3"/>
  <c r="AY411" i="3"/>
  <c r="AY472" i="3"/>
  <c r="AY333" i="3"/>
  <c r="AY259" i="3"/>
  <c r="AY202" i="3"/>
  <c r="BH6" i="3"/>
  <c r="AY219" i="3"/>
  <c r="AY278" i="3"/>
  <c r="AY165" i="3"/>
  <c r="AY33" i="3"/>
  <c r="AY92" i="3"/>
  <c r="AY544" i="3"/>
  <c r="AY463" i="3"/>
  <c r="AY217" i="3"/>
  <c r="AY529" i="3"/>
  <c r="AY319" i="3"/>
  <c r="AY183" i="3"/>
  <c r="AY103" i="3"/>
  <c r="AY268" i="3"/>
  <c r="AY131" i="3"/>
  <c r="AY155" i="3"/>
  <c r="AB10" i="39"/>
  <c r="H6" i="3"/>
  <c r="W10" i="40"/>
  <c r="D116" i="43"/>
  <c r="F25" i="12"/>
  <c r="C26" i="12" s="1"/>
  <c r="D25" i="12" s="1"/>
  <c r="I53" i="34"/>
  <c r="J53" i="34" s="1"/>
  <c r="AC10" i="39"/>
  <c r="I46" i="37"/>
  <c r="J46" i="37" s="1"/>
  <c r="U10" i="40"/>
  <c r="F22" i="68"/>
  <c r="F22" i="11"/>
  <c r="C23" i="11" s="1"/>
  <c r="F24" i="67"/>
  <c r="C24" i="67" s="1"/>
  <c r="F24" i="15"/>
  <c r="C24" i="15" s="1"/>
  <c r="F22" i="69"/>
  <c r="F41" i="69" s="1"/>
  <c r="E49" i="34"/>
  <c r="E54" i="34" s="1"/>
  <c r="F54" i="34" s="1"/>
  <c r="C17" i="71"/>
  <c r="D18" i="71"/>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D10" i="11"/>
  <c r="C10" i="11" s="1"/>
  <c r="D20" i="12"/>
  <c r="C20" i="12" s="1"/>
  <c r="D14" i="6"/>
  <c r="L19" i="9"/>
  <c r="P14" i="1"/>
  <c r="P16" i="1" s="1"/>
  <c r="C11" i="12" s="1"/>
  <c r="N16" i="1"/>
  <c r="F50" i="95" s="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34" i="9"/>
  <c r="C60" i="67"/>
  <c r="D10" i="68"/>
  <c r="D10" i="69"/>
  <c r="C14" i="67"/>
  <c r="C17" i="15"/>
  <c r="C17" i="67"/>
  <c r="C34" i="69"/>
  <c r="D13" i="6" l="1"/>
  <c r="D20" i="6"/>
  <c r="D23" i="6"/>
  <c r="D15" i="6"/>
  <c r="C23" i="95"/>
  <c r="C25" i="95"/>
  <c r="C33" i="95"/>
  <c r="C33" i="93"/>
  <c r="C39" i="93" s="1"/>
  <c r="C46" i="93" s="1"/>
  <c r="C45" i="93" s="1"/>
  <c r="C33" i="92"/>
  <c r="C39" i="92" s="1"/>
  <c r="C46" i="92" s="1"/>
  <c r="C45" i="92" s="1"/>
  <c r="H26" i="6"/>
  <c r="R26" i="6" s="1"/>
  <c r="D11" i="6"/>
  <c r="C18" i="4"/>
  <c r="C4" i="52" s="1"/>
  <c r="B45" i="72" s="1"/>
  <c r="D10" i="6"/>
  <c r="D8" i="6"/>
  <c r="D24" i="6"/>
  <c r="D25" i="6"/>
  <c r="E61" i="40"/>
  <c r="D12" i="6"/>
  <c r="D19" i="6"/>
  <c r="D9" i="6"/>
  <c r="D26" i="6"/>
  <c r="D21" i="6"/>
  <c r="F50" i="91"/>
  <c r="F50" i="93"/>
  <c r="F50" i="92"/>
  <c r="D28" i="6"/>
  <c r="D5" i="6"/>
  <c r="D29" i="6"/>
  <c r="D6" i="6"/>
  <c r="M19" i="9"/>
  <c r="C118" i="9" s="1"/>
  <c r="B2" i="74" s="1"/>
  <c r="C25" i="92"/>
  <c r="C44" i="92"/>
  <c r="D41" i="92" s="1"/>
  <c r="C26" i="92"/>
  <c r="D22" i="92" s="1"/>
  <c r="C24" i="92"/>
  <c r="C23" i="92"/>
  <c r="F41" i="93"/>
  <c r="C26" i="93"/>
  <c r="D22" i="93" s="1"/>
  <c r="C24" i="93"/>
  <c r="C44" i="93"/>
  <c r="D41" i="93" s="1"/>
  <c r="C23" i="93"/>
  <c r="C25" i="93"/>
  <c r="N36" i="43"/>
  <c r="P37" i="43"/>
  <c r="N37" i="43"/>
  <c r="Q37" i="43"/>
  <c r="M36" i="43"/>
  <c r="Q36" i="43"/>
  <c r="O37" i="43"/>
  <c r="C33" i="91"/>
  <c r="C39" i="91" s="1"/>
  <c r="C46" i="91" s="1"/>
  <c r="C45" i="91" s="1"/>
  <c r="C20" i="91"/>
  <c r="C28" i="91" s="1"/>
  <c r="C27" i="91" s="1"/>
  <c r="P36" i="43"/>
  <c r="O36" i="43"/>
  <c r="F41" i="91"/>
  <c r="C24" i="91"/>
  <c r="C26" i="91"/>
  <c r="D22" i="91" s="1"/>
  <c r="C23" i="91"/>
  <c r="C44" i="91"/>
  <c r="D41" i="91" s="1"/>
  <c r="H24" i="6"/>
  <c r="E6" i="3"/>
  <c r="H22" i="6"/>
  <c r="R22" i="6" s="1"/>
  <c r="R9" i="1" s="1"/>
  <c r="H21" i="6"/>
  <c r="H25" i="6"/>
  <c r="C44" i="68"/>
  <c r="D41" i="68" s="1"/>
  <c r="E53" i="34"/>
  <c r="F53" i="34" s="1"/>
  <c r="C44" i="11"/>
  <c r="D41" i="11" s="1"/>
  <c r="C26" i="68"/>
  <c r="D22" i="68" s="1"/>
  <c r="F41" i="68"/>
  <c r="C26" i="11"/>
  <c r="D22" i="11" s="1"/>
  <c r="C25" i="11"/>
  <c r="C24" i="11"/>
  <c r="C44" i="69"/>
  <c r="D41" i="69" s="1"/>
  <c r="C26" i="69"/>
  <c r="D22" i="69" s="1"/>
  <c r="C16" i="71"/>
  <c r="D17" i="71"/>
  <c r="C18" i="67"/>
  <c r="C15" i="67"/>
  <c r="H23" i="6"/>
  <c r="C30" i="43"/>
  <c r="B2" i="43" s="1"/>
  <c r="B3" i="43" s="1"/>
  <c r="C31" i="43"/>
  <c r="H20" i="6"/>
  <c r="C38" i="69"/>
  <c r="C35" i="69"/>
  <c r="E12" i="70"/>
  <c r="F34" i="11"/>
  <c r="F11" i="12"/>
  <c r="S16" i="1"/>
  <c r="E9" i="70"/>
  <c r="AR9" i="1"/>
  <c r="AQ9" i="1"/>
  <c r="T9" i="1"/>
  <c r="AQ11" i="1"/>
  <c r="AR11" i="1"/>
  <c r="T11" i="1"/>
  <c r="AR12" i="1"/>
  <c r="T12" i="1"/>
  <c r="AQ12" i="1"/>
  <c r="AQ10" i="1"/>
  <c r="T10" i="1"/>
  <c r="AR10" i="1"/>
  <c r="AR7" i="1"/>
  <c r="AQ7" i="1"/>
  <c r="T7" i="1"/>
  <c r="M27" i="6"/>
  <c r="I19" i="6"/>
  <c r="C15" i="12"/>
  <c r="C12" i="12"/>
  <c r="D8" i="74"/>
  <c r="D7" i="74"/>
  <c r="C10" i="69"/>
  <c r="C8" i="69" s="1"/>
  <c r="D19" i="69"/>
  <c r="F50" i="69"/>
  <c r="F50" i="11"/>
  <c r="F50" i="68"/>
  <c r="A7" i="51"/>
  <c r="B7" i="72" s="1"/>
  <c r="C21" i="9"/>
  <c r="D21" i="9"/>
  <c r="G21" i="9"/>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B6" i="76"/>
  <c r="C14" i="15"/>
  <c r="E6" i="76"/>
  <c r="R20" i="6" l="1"/>
  <c r="R7" i="1" s="1"/>
  <c r="D30" i="6"/>
  <c r="R23" i="6"/>
  <c r="R10" i="1" s="1"/>
  <c r="R21" i="6"/>
  <c r="R8" i="1" s="1"/>
  <c r="A10" i="51"/>
  <c r="B9" i="72" s="1"/>
  <c r="C22" i="95"/>
  <c r="C31" i="95" s="1"/>
  <c r="D27" i="6"/>
  <c r="D31" i="6" s="1"/>
  <c r="I6" i="6" s="1"/>
  <c r="D16" i="6"/>
  <c r="R25" i="6"/>
  <c r="R12" i="1" s="1"/>
  <c r="R24" i="6"/>
  <c r="R11" i="1" s="1"/>
  <c r="C39" i="95"/>
  <c r="C43" i="95" s="1"/>
  <c r="C42" i="95"/>
  <c r="C43" i="92"/>
  <c r="C43" i="93"/>
  <c r="C42" i="93"/>
  <c r="C42" i="92"/>
  <c r="C22" i="92"/>
  <c r="C31" i="92" s="1"/>
  <c r="C22" i="93"/>
  <c r="C31" i="93" s="1"/>
  <c r="C42" i="91"/>
  <c r="C43" i="91"/>
  <c r="C25" i="91"/>
  <c r="C22" i="91" s="1"/>
  <c r="C31" i="91" s="1"/>
  <c r="C5" i="69"/>
  <c r="C23" i="69" s="1"/>
  <c r="B29" i="1"/>
  <c r="E2" i="70"/>
  <c r="C22" i="11"/>
  <c r="C31" i="11" s="1"/>
  <c r="C15" i="71"/>
  <c r="T16" i="71"/>
  <c r="D16" i="71"/>
  <c r="U16" i="7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E2" i="76"/>
  <c r="B2" i="76"/>
  <c r="I69" i="39"/>
  <c r="J67" i="39"/>
  <c r="I63" i="40"/>
  <c r="H65" i="40"/>
  <c r="I58" i="21"/>
  <c r="J58" i="21" s="1"/>
  <c r="K58" i="21" s="1"/>
  <c r="L58" i="21" s="1"/>
  <c r="M58" i="21" s="1"/>
  <c r="N58" i="21" s="1"/>
  <c r="O58" i="21" s="1"/>
  <c r="H7" i="21" s="1"/>
  <c r="J48" i="35"/>
  <c r="I5" i="6" l="1"/>
  <c r="C41" i="95"/>
  <c r="C46" i="95"/>
  <c r="C45" i="95" s="1"/>
  <c r="C41" i="92"/>
  <c r="C49" i="92" s="1"/>
  <c r="C51" i="92" s="1"/>
  <c r="C52" i="92" s="1"/>
  <c r="B2" i="92" s="1"/>
  <c r="C41" i="93"/>
  <c r="C49" i="93" s="1"/>
  <c r="C51" i="93" s="1"/>
  <c r="C52" i="93" s="1"/>
  <c r="B2" i="93" s="1"/>
  <c r="C41" i="91"/>
  <c r="C49" i="91" s="1"/>
  <c r="C51" i="91" s="1"/>
  <c r="C52" i="91" s="1"/>
  <c r="B2" i="91" s="1"/>
  <c r="C8" i="68"/>
  <c r="C5" i="68" s="1"/>
  <c r="C23" i="68" s="1"/>
  <c r="C18" i="12"/>
  <c r="C21" i="12" s="1"/>
  <c r="C14" i="71"/>
  <c r="D15" i="71"/>
  <c r="F7" i="21"/>
  <c r="S7" i="21" s="1"/>
  <c r="J7" i="21"/>
  <c r="AC7" i="21" s="1"/>
  <c r="V48" i="21" s="1"/>
  <c r="I48" i="21" s="1"/>
  <c r="C23" i="67"/>
  <c r="C29" i="67" s="1"/>
  <c r="J59" i="67" s="1"/>
  <c r="J60" i="67" s="1"/>
  <c r="Q48" i="67" s="1"/>
  <c r="C19" i="15"/>
  <c r="C20" i="15" s="1"/>
  <c r="C26" i="15" s="1"/>
  <c r="C33" i="68"/>
  <c r="C39" i="68" s="1"/>
  <c r="C38" i="11"/>
  <c r="C35" i="11"/>
  <c r="H27" i="6"/>
  <c r="R19" i="6"/>
  <c r="C20" i="69"/>
  <c r="C28" i="69" s="1"/>
  <c r="C27" i="69" s="1"/>
  <c r="C24" i="68"/>
  <c r="C39" i="69"/>
  <c r="C43" i="69" s="1"/>
  <c r="C42" i="69"/>
  <c r="B3" i="76"/>
  <c r="J69" i="39"/>
  <c r="K67" i="39"/>
  <c r="U7" i="21"/>
  <c r="AB7" i="21"/>
  <c r="T48" i="21" s="1"/>
  <c r="G48" i="21" s="1"/>
  <c r="J63" i="40"/>
  <c r="I65" i="40"/>
  <c r="K48" i="35"/>
  <c r="L48" i="35" s="1"/>
  <c r="M48" i="35" s="1"/>
  <c r="N48" i="35" s="1"/>
  <c r="O48" i="35" s="1"/>
  <c r="H7" i="35" s="1"/>
  <c r="B3" i="92"/>
  <c r="B3" i="93"/>
  <c r="B3" i="91"/>
  <c r="C49" i="95" l="1"/>
  <c r="C51" i="95" s="1"/>
  <c r="E54" i="91"/>
  <c r="R18" i="82"/>
  <c r="R17" i="82"/>
  <c r="C57" i="92"/>
  <c r="C56" i="92" s="1"/>
  <c r="R16" i="82"/>
  <c r="C57" i="93"/>
  <c r="C56" i="93" s="1"/>
  <c r="C57" i="91"/>
  <c r="C56" i="91" s="1"/>
  <c r="C20" i="68"/>
  <c r="C28" i="68" s="1"/>
  <c r="C27" i="68" s="1"/>
  <c r="C22" i="12"/>
  <c r="C30" i="12" s="1"/>
  <c r="C28" i="12" s="1"/>
  <c r="D14" i="71"/>
  <c r="C13" i="71"/>
  <c r="W7" i="21"/>
  <c r="AA7" i="21"/>
  <c r="R48" i="21" s="1"/>
  <c r="R49" i="21" s="1"/>
  <c r="J7" i="35"/>
  <c r="W7"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L67" i="39"/>
  <c r="K69" i="39"/>
  <c r="J65" i="40"/>
  <c r="K63" i="40"/>
  <c r="I52" i="21"/>
  <c r="J52" i="21" s="1"/>
  <c r="U7" i="35"/>
  <c r="AB7" i="35"/>
  <c r="T38" i="35" s="1"/>
  <c r="G38" i="35" s="1"/>
  <c r="G52" i="21"/>
  <c r="H52" i="21" s="1"/>
  <c r="G53" i="21"/>
  <c r="H53" i="21" s="1"/>
  <c r="F7" i="35"/>
  <c r="F35" i="67"/>
  <c r="M21" i="15"/>
  <c r="M21" i="67"/>
  <c r="F35" i="15"/>
  <c r="C52" i="95" l="1"/>
  <c r="B2" i="95" s="1"/>
  <c r="C25" i="68"/>
  <c r="C22" i="68" s="1"/>
  <c r="C31" i="68" s="1"/>
  <c r="C27" i="12"/>
  <c r="C25" i="12" s="1"/>
  <c r="C32" i="12" s="1"/>
  <c r="B2" i="12" s="1"/>
  <c r="B3" i="12" s="1"/>
  <c r="E48" i="21"/>
  <c r="AC7" i="35"/>
  <c r="V38" i="35" s="1"/>
  <c r="I38" i="35" s="1"/>
  <c r="G43" i="35" s="1"/>
  <c r="H43"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I53" i="21"/>
  <c r="J53" i="21" s="1"/>
  <c r="K65" i="40"/>
  <c r="L63" i="40"/>
  <c r="B3" i="95"/>
  <c r="B3" i="69"/>
  <c r="R19" i="82" l="1"/>
  <c r="C57" i="95"/>
  <c r="C56" i="95" s="1"/>
  <c r="AA23" i="88"/>
  <c r="AB23" i="88" s="1"/>
  <c r="B41" i="88"/>
  <c r="A41" i="88" s="1"/>
  <c r="A42" i="88" s="1"/>
  <c r="C52" i="68"/>
  <c r="B2" i="68" s="1"/>
  <c r="B3" i="68" s="1"/>
  <c r="I42" i="35"/>
  <c r="J42" i="35" s="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AF23" i="90" l="1"/>
  <c r="AF38" i="90"/>
  <c r="AI38" i="90" s="1"/>
  <c r="AF2" i="90"/>
  <c r="AF11" i="90"/>
  <c r="AI11" i="90" s="1"/>
  <c r="AF20" i="90"/>
  <c r="AF35" i="90"/>
  <c r="AF17" i="90"/>
  <c r="AF5" i="90"/>
  <c r="AI5" i="90" s="1"/>
  <c r="AF32" i="90"/>
  <c r="AF47" i="90"/>
  <c r="AF29" i="90"/>
  <c r="AF14" i="90"/>
  <c r="AF44" i="90"/>
  <c r="AF26" i="90"/>
  <c r="AF41" i="90"/>
  <c r="AI41" i="90" s="1"/>
  <c r="AF8" i="90"/>
  <c r="C57" i="68"/>
  <c r="C56" i="68" s="1"/>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AI47" i="90" l="1"/>
  <c r="AJ47" i="90" s="1"/>
  <c r="AI32" i="90"/>
  <c r="AJ32" i="90" s="1"/>
  <c r="AI23" i="90"/>
  <c r="AJ23" i="90" s="1"/>
  <c r="AI8" i="90"/>
  <c r="AJ8" i="90" s="1"/>
  <c r="AI14" i="90"/>
  <c r="AJ14" i="90" s="1"/>
  <c r="AI26" i="90"/>
  <c r="AJ26" i="90" s="1"/>
  <c r="AK26" i="90" s="1"/>
  <c r="AI35" i="90"/>
  <c r="AJ35" i="90" s="1"/>
  <c r="AI44" i="90"/>
  <c r="AJ44" i="90" s="1"/>
  <c r="AI20" i="90"/>
  <c r="AJ20" i="90" s="1"/>
  <c r="AI29" i="90"/>
  <c r="AJ29" i="90" s="1"/>
  <c r="AI17" i="90"/>
  <c r="AJ17" i="90" s="1"/>
  <c r="AI2" i="90"/>
  <c r="AJ2" i="90" s="1"/>
  <c r="AJ38" i="90"/>
  <c r="AK38" i="90" s="1"/>
  <c r="AJ5" i="90"/>
  <c r="AK5" i="90" s="1"/>
  <c r="D10" i="7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6"/>
  <c r="D2" i="35"/>
  <c r="D2" i="37"/>
  <c r="D2" i="34"/>
  <c r="L51" i="15"/>
  <c r="R11" i="96" l="1"/>
  <c r="U11" i="96" s="1"/>
  <c r="AO5" i="90"/>
  <c r="R16" i="96"/>
  <c r="T16" i="96" s="1"/>
  <c r="AO38" i="90"/>
  <c r="R16" i="94"/>
  <c r="U16" i="94" s="1"/>
  <c r="R11" i="94"/>
  <c r="U11" i="94" s="1"/>
  <c r="AL5" i="90"/>
  <c r="AL38" i="90"/>
  <c r="AJ11" i="90"/>
  <c r="AK11" i="90" s="1"/>
  <c r="AJ41" i="90"/>
  <c r="AK41" i="90" s="1"/>
  <c r="X14" i="85"/>
  <c r="X5" i="85"/>
  <c r="X3" i="85"/>
  <c r="X15" i="85"/>
  <c r="C8" i="7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1" i="1"/>
  <c r="AO12" i="1"/>
  <c r="AO10" i="1"/>
  <c r="AO9" i="1"/>
  <c r="AO7" i="1"/>
  <c r="AO8" i="1"/>
  <c r="AO6" i="1"/>
  <c r="S11" i="96" l="1"/>
  <c r="S16" i="96"/>
  <c r="U16" i="96"/>
  <c r="R14" i="96"/>
  <c r="U14" i="96" s="1"/>
  <c r="AO41" i="90"/>
  <c r="R9" i="96"/>
  <c r="S9" i="96" s="1"/>
  <c r="AO11" i="90"/>
  <c r="T11" i="96"/>
  <c r="R14" i="94"/>
  <c r="U14" i="94" s="1"/>
  <c r="R9" i="94"/>
  <c r="U9" i="94" s="1"/>
  <c r="S11" i="94"/>
  <c r="T11" i="94"/>
  <c r="S16" i="94"/>
  <c r="T16" i="94"/>
  <c r="AL11" i="90"/>
  <c r="AL41" i="90"/>
  <c r="C7" i="7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S14" i="96" l="1"/>
  <c r="T14" i="96"/>
  <c r="U9" i="96"/>
  <c r="T9" i="96"/>
  <c r="S14" i="94"/>
  <c r="T14" i="94"/>
  <c r="S9" i="94"/>
  <c r="T9" i="94"/>
  <c r="D7" i="7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6" i="71" l="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E14" i="74" l="1"/>
  <c r="F14" i="74"/>
  <c r="B5" i="74"/>
  <c r="D5" i="74" s="1"/>
  <c r="B6" i="74" l="1"/>
  <c r="D6" i="74" s="1"/>
  <c r="H17" i="85"/>
  <c r="W17" i="85" s="1"/>
  <c r="AK44" i="90"/>
  <c r="H6" i="85"/>
  <c r="M6" i="85" s="1"/>
  <c r="H13" i="85"/>
  <c r="V13" i="85" s="1"/>
  <c r="AK23" i="90"/>
  <c r="H8" i="85"/>
  <c r="M8" i="85" s="1"/>
  <c r="AK29" i="90"/>
  <c r="H10" i="85"/>
  <c r="M10" i="85" s="1"/>
  <c r="H4" i="85"/>
  <c r="M4" i="85" s="1"/>
  <c r="H7" i="85"/>
  <c r="V7" i="85" s="1"/>
  <c r="AK32" i="90"/>
  <c r="R3" i="96" l="1"/>
  <c r="T3" i="96" s="1"/>
  <c r="AO32" i="90"/>
  <c r="R4" i="96"/>
  <c r="U4" i="96" s="1"/>
  <c r="AO29" i="90"/>
  <c r="R7" i="96"/>
  <c r="S7" i="96" s="1"/>
  <c r="AO44" i="90"/>
  <c r="R15" i="96"/>
  <c r="S15" i="96" s="1"/>
  <c r="AO23" i="90"/>
  <c r="W10" i="85"/>
  <c r="V10" i="85"/>
  <c r="R7" i="94"/>
  <c r="U7" i="94" s="1"/>
  <c r="R4" i="94"/>
  <c r="R15" i="94"/>
  <c r="R3" i="94"/>
  <c r="W7" i="85"/>
  <c r="W13" i="85"/>
  <c r="X16" i="85"/>
  <c r="X12" i="85"/>
  <c r="X9" i="85"/>
  <c r="X11" i="85"/>
  <c r="AL44" i="90"/>
  <c r="AK2" i="90"/>
  <c r="AO2" i="90" s="1"/>
  <c r="AL32" i="90"/>
  <c r="AL23" i="90"/>
  <c r="AL29" i="90"/>
  <c r="AK35" i="90"/>
  <c r="AM36" i="90" s="1"/>
  <c r="AO26" i="90"/>
  <c r="V4" i="85"/>
  <c r="W4" i="85"/>
  <c r="W6" i="85"/>
  <c r="M17" i="85"/>
  <c r="AK17" i="90"/>
  <c r="W8" i="85"/>
  <c r="V17" i="85"/>
  <c r="AK47" i="90"/>
  <c r="V6" i="85"/>
  <c r="V8" i="85"/>
  <c r="M13" i="85"/>
  <c r="M7" i="85"/>
  <c r="U7" i="96" l="1"/>
  <c r="S3" i="96"/>
  <c r="U3" i="96"/>
  <c r="U15" i="96"/>
  <c r="T4" i="96"/>
  <c r="T15" i="96"/>
  <c r="T7" i="96"/>
  <c r="R6" i="96"/>
  <c r="U6" i="96" s="1"/>
  <c r="AO47" i="90"/>
  <c r="R5" i="96"/>
  <c r="T5" i="96" s="1"/>
  <c r="AO35" i="90"/>
  <c r="S4" i="96"/>
  <c r="R17" i="96"/>
  <c r="U17" i="96" s="1"/>
  <c r="AO17" i="90"/>
  <c r="R2" i="96"/>
  <c r="S2" i="96" s="1"/>
  <c r="R2" i="94"/>
  <c r="U2" i="94" s="1"/>
  <c r="R8" i="94"/>
  <c r="U8" i="94" s="1"/>
  <c r="R8" i="96"/>
  <c r="R5" i="94"/>
  <c r="U5" i="94" s="1"/>
  <c r="T7" i="94"/>
  <c r="S7" i="94"/>
  <c r="R17" i="94"/>
  <c r="U17" i="94" s="1"/>
  <c r="S4" i="94"/>
  <c r="U4" i="94"/>
  <c r="S3" i="94"/>
  <c r="U3" i="94"/>
  <c r="T15" i="94"/>
  <c r="U15" i="94"/>
  <c r="S15" i="94"/>
  <c r="T3" i="94"/>
  <c r="T4" i="94"/>
  <c r="R6" i="94"/>
  <c r="X10" i="85"/>
  <c r="X13" i="85"/>
  <c r="X7" i="85"/>
  <c r="X2" i="85"/>
  <c r="X17" i="85"/>
  <c r="AL17" i="90"/>
  <c r="AL26" i="90"/>
  <c r="AL35" i="90"/>
  <c r="AL2" i="90"/>
  <c r="AL47" i="90"/>
  <c r="AK20" i="90"/>
  <c r="AK14" i="90"/>
  <c r="AK8" i="90"/>
  <c r="T17" i="96" l="1"/>
  <c r="S6" i="96"/>
  <c r="T6" i="96"/>
  <c r="S17" i="96"/>
  <c r="U5" i="96"/>
  <c r="R12" i="96"/>
  <c r="S12" i="96" s="1"/>
  <c r="AO8" i="90"/>
  <c r="R10" i="96"/>
  <c r="U10" i="96" s="1"/>
  <c r="AO14" i="90"/>
  <c r="S5" i="96"/>
  <c r="R13" i="96"/>
  <c r="S13" i="96" s="1"/>
  <c r="AO20" i="90"/>
  <c r="U2" i="96"/>
  <c r="T2" i="96"/>
  <c r="T8" i="96"/>
  <c r="U8" i="96"/>
  <c r="S8" i="96"/>
  <c r="R10" i="94"/>
  <c r="U10" i="94" s="1"/>
  <c r="T8" i="94"/>
  <c r="R13" i="94"/>
  <c r="U13" i="94" s="1"/>
  <c r="R12" i="94"/>
  <c r="U12" i="94" s="1"/>
  <c r="S6" i="94"/>
  <c r="U6" i="94"/>
  <c r="T6" i="94"/>
  <c r="S5" i="94"/>
  <c r="T5" i="94"/>
  <c r="S2" i="94"/>
  <c r="T2" i="94"/>
  <c r="S8" i="94"/>
  <c r="S17" i="94"/>
  <c r="T17" i="94"/>
  <c r="X4" i="85"/>
  <c r="X6" i="85"/>
  <c r="X8" i="85"/>
  <c r="AL14" i="90"/>
  <c r="AL20" i="90"/>
  <c r="AL8" i="90"/>
  <c r="T12" i="96" l="1"/>
  <c r="U13" i="96"/>
  <c r="T13" i="96"/>
  <c r="U12" i="96"/>
  <c r="S10" i="96"/>
  <c r="T10" i="96"/>
  <c r="T13" i="94"/>
  <c r="S13" i="94"/>
  <c r="S12" i="94"/>
  <c r="T12" i="94"/>
  <c r="S10" i="94"/>
  <c r="T10" i="94"/>
  <c r="D54" i="9" l="1"/>
  <c r="C68" i="9"/>
  <c r="E81" i="9"/>
  <c r="E80" i="9"/>
  <c r="C80" i="9"/>
  <c r="D9" i="52"/>
  <c r="D123" i="9"/>
  <c r="M55" i="9"/>
  <c r="C64" i="9"/>
  <c r="C63" i="9"/>
  <c r="C67" i="9"/>
  <c r="D59" i="9"/>
  <c r="H5" i="52"/>
  <c r="H119" i="9"/>
  <c r="B52" i="72"/>
  <c r="G4" i="52"/>
  <c r="C6" i="74"/>
  <c r="M54" i="9"/>
  <c r="D56" i="9"/>
  <c r="D58" i="9"/>
  <c r="C97" i="9"/>
  <c r="B48" i="72"/>
  <c r="E4" i="52"/>
  <c r="B49" i="72"/>
  <c r="D5" i="52"/>
  <c r="D119" i="9"/>
  <c r="Q5" i="96"/>
  <c r="H5" i="96"/>
  <c r="D122" i="9"/>
  <c r="D8" i="52"/>
  <c r="C85" i="9"/>
  <c r="C95" i="9"/>
  <c r="C96" i="9"/>
  <c r="E96" i="9"/>
  <c r="E97" i="9"/>
  <c r="B30" i="72"/>
  <c r="Q10" i="96"/>
  <c r="H10" i="96"/>
  <c r="Q6" i="94"/>
  <c r="H6" i="94"/>
  <c r="H108" i="9"/>
  <c r="D15" i="53"/>
  <c r="B31" i="72"/>
  <c r="C86" i="9"/>
  <c r="C93" i="9"/>
  <c r="Q13" i="96"/>
  <c r="H13" i="96"/>
  <c r="C73" i="9"/>
  <c r="C78" i="9"/>
  <c r="N61" i="9"/>
  <c r="N59" i="9"/>
  <c r="N60" i="9"/>
  <c r="M48" i="9"/>
  <c r="H12" i="96"/>
  <c r="Q12" i="96"/>
  <c r="C72" i="9"/>
  <c r="C79" i="9"/>
  <c r="C81" i="9"/>
  <c r="H107" i="9"/>
  <c r="D13" i="53"/>
  <c r="D14" i="53"/>
  <c r="B32" i="72"/>
  <c r="F119" i="9"/>
  <c r="F5" i="52"/>
  <c r="B53" i="72"/>
  <c r="Q5" i="94"/>
  <c r="H5" i="94"/>
  <c r="B47" i="72"/>
  <c r="E118" i="9"/>
  <c r="D118" i="9"/>
  <c r="D4" i="52"/>
  <c r="B22" i="72"/>
  <c r="D6" i="53"/>
  <c r="D5" i="53"/>
  <c r="B20" i="72"/>
  <c r="H17" i="96"/>
  <c r="Q17" i="96"/>
  <c r="H10" i="94"/>
  <c r="Q10" i="94"/>
  <c r="C5" i="74"/>
  <c r="C105" i="9"/>
  <c r="I4" i="52"/>
  <c r="N58" i="9"/>
  <c r="D55" i="9"/>
  <c r="M53" i="9"/>
  <c r="N57" i="9"/>
  <c r="P57" i="9"/>
  <c r="H2" i="96"/>
  <c r="Q2" i="96"/>
  <c r="H6" i="96"/>
  <c r="Q6" i="96"/>
  <c r="C104" i="9"/>
  <c r="H4" i="52"/>
  <c r="H102" i="9"/>
  <c r="D7" i="53"/>
  <c r="B21" i="72"/>
  <c r="D53" i="9"/>
  <c r="I118" i="9"/>
  <c r="H118" i="9"/>
  <c r="H101" i="9"/>
  <c r="D45" i="9"/>
  <c r="D52" i="9"/>
  <c r="H12" i="94"/>
  <c r="Q12" i="94"/>
  <c r="H17" i="94"/>
  <c r="Q17" i="94"/>
  <c r="G118" i="9"/>
  <c r="F118" i="9"/>
  <c r="F4" i="52"/>
  <c r="B51" i="72"/>
  <c r="H2" i="94"/>
  <c r="Q2" i="94"/>
  <c r="H13" i="94"/>
  <c r="Q13" i="9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4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4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4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400-000004000000}">
      <text>
        <r>
          <rPr>
            <sz val="11"/>
            <color indexed="81"/>
            <rFont val="宋体"/>
            <family val="3"/>
            <charset val="134"/>
          </rPr>
          <t>在建项目均选择“是”</t>
        </r>
      </text>
    </comment>
    <comment ref="F59" authorId="1" shapeId="0" xr:uid="{00000000-0006-0000-14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400-000006000000}">
      <text>
        <r>
          <rPr>
            <sz val="10"/>
            <color indexed="81"/>
            <rFont val="宋体"/>
            <family val="3"/>
            <charset val="134"/>
          </rPr>
          <t xml:space="preserve">在建
</t>
        </r>
      </text>
    </comment>
    <comment ref="N59" authorId="0" shapeId="0" xr:uid="{00000000-0006-0000-14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8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8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8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C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C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C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C00-000004000000}">
      <text>
        <r>
          <rPr>
            <b/>
            <sz val="12"/>
            <color indexed="81"/>
            <rFont val="宋体"/>
            <family val="3"/>
            <charset val="134"/>
          </rPr>
          <t>所属项目品质或
物业管理</t>
        </r>
      </text>
    </comment>
    <comment ref="B90" authorId="0" shapeId="0" xr:uid="{00000000-0006-0000-1C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D00-000004000000}">
      <text>
        <r>
          <rPr>
            <b/>
            <sz val="12"/>
            <color indexed="81"/>
            <rFont val="宋体"/>
            <family val="3"/>
            <charset val="134"/>
          </rPr>
          <t>所属项目品质或
物业管理</t>
        </r>
      </text>
    </comment>
    <comment ref="B86" authorId="0" shapeId="0" xr:uid="{00000000-0006-0000-1D00-000005000000}">
      <text>
        <r>
          <rPr>
            <b/>
            <sz val="12"/>
            <color indexed="81"/>
            <rFont val="宋体"/>
            <family val="3"/>
            <charset val="134"/>
          </rPr>
          <t>所属项目品质</t>
        </r>
      </text>
    </comment>
    <comment ref="B89" authorId="0" shapeId="0" xr:uid="{00000000-0006-0000-1D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E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E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1F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0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2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200-000002000000}">
      <text>
        <r>
          <rPr>
            <sz val="11"/>
            <color indexed="81"/>
            <rFont val="宋体"/>
            <family val="3"/>
            <charset val="134"/>
          </rPr>
          <t xml:space="preserve">录入层数，将对应的结果录入至左侧相应层的楼层修正系数单元格中
</t>
        </r>
      </text>
    </comment>
    <comment ref="C16" authorId="1" shapeId="0" xr:uid="{00000000-0006-0000-22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200-000004000000}">
      <text>
        <r>
          <rPr>
            <sz val="12"/>
            <color indexed="81"/>
            <rFont val="宋体"/>
            <family val="3"/>
            <charset val="134"/>
          </rPr>
          <t>1.05~1.1</t>
        </r>
        <r>
          <rPr>
            <sz val="9"/>
            <color indexed="81"/>
            <rFont val="宋体"/>
            <family val="3"/>
            <charset val="134"/>
          </rPr>
          <t xml:space="preserve">
</t>
        </r>
      </text>
    </comment>
    <comment ref="E16" authorId="1" shapeId="0" xr:uid="{00000000-0006-0000-22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2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2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2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200-000009000000}">
      <text>
        <r>
          <rPr>
            <sz val="9"/>
            <color indexed="81"/>
            <rFont val="宋体"/>
            <family val="3"/>
            <charset val="134"/>
          </rPr>
          <t xml:space="preserve">需在此处填写剩余土地年限
</t>
        </r>
      </text>
    </comment>
    <comment ref="C111" authorId="0" shapeId="0" xr:uid="{00000000-0006-0000-22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2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2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2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2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2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2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2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2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2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2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2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2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<sst xmlns="http://schemas.openxmlformats.org/spreadsheetml/2006/main" count="10104" uniqueCount="4005">
  <si>
    <t>——</t>
    <phoneticPr fontId="5" type="noConversion"/>
  </si>
  <si>
    <t>——</t>
    <phoneticPr fontId="5" type="noConversion"/>
  </si>
  <si>
    <t>——</t>
    <phoneticPr fontId="5" type="noConversion"/>
  </si>
  <si>
    <t>工业</t>
  </si>
  <si>
    <t>1-2.1</t>
  </si>
  <si>
    <t>1-2.2</t>
  </si>
  <si>
    <t>1-2.3</t>
  </si>
  <si>
    <t>1-2.4</t>
  </si>
  <si>
    <t>1-3.1</t>
  </si>
  <si>
    <t>1-3.2</t>
  </si>
  <si>
    <t>1-3.3</t>
  </si>
  <si>
    <t>1-3.4</t>
    <phoneticPr fontId="18" type="noConversion"/>
  </si>
  <si>
    <t>v</t>
    <phoneticPr fontId="18" type="noConversion"/>
  </si>
  <si>
    <t>——</t>
    <phoneticPr fontId="18" type="noConversion"/>
  </si>
  <si>
    <t>100/</t>
    <phoneticPr fontId="5" type="noConversion"/>
  </si>
  <si>
    <t>——</t>
    <phoneticPr fontId="5" type="noConversion"/>
  </si>
  <si>
    <t>——</t>
    <phoneticPr fontId="5" type="noConversion"/>
  </si>
  <si>
    <t>100/</t>
    <phoneticPr fontId="5" type="noConversion"/>
  </si>
  <si>
    <t>100/</t>
    <phoneticPr fontId="5" type="noConversion"/>
  </si>
  <si>
    <t>——</t>
    <phoneticPr fontId="18" type="noConversion"/>
  </si>
  <si>
    <t>100/</t>
    <phoneticPr fontId="5" type="noConversion"/>
  </si>
  <si>
    <t>办公</t>
  </si>
  <si>
    <t>-</t>
    <phoneticPr fontId="32" type="noConversion"/>
  </si>
  <si>
    <t>-</t>
    <phoneticPr fontId="32" type="noConversion"/>
  </si>
  <si>
    <t>五级</t>
    <phoneticPr fontId="5" type="noConversion"/>
  </si>
  <si>
    <t>六级</t>
    <phoneticPr fontId="5" type="noConversion"/>
  </si>
  <si>
    <t>——</t>
    <phoneticPr fontId="39" type="noConversion"/>
  </si>
  <si>
    <t>——</t>
    <phoneticPr fontId="26" type="noConversion"/>
  </si>
  <si>
    <t>——</t>
    <phoneticPr fontId="10"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</si>
  <si>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</si>
  <si>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</si>
  <si>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</si>
  <si>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</si>
  <si>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</si>
  <si>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</si>
  <si>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</si>
  <si>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</si>
  <si>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8" type="noConversion"/>
  </si>
  <si>
    <r>
      <t>3.</t>
    </r>
    <r>
      <rPr>
        <b/>
        <sz val="12"/>
        <rFont val="楷体_GB2312"/>
        <family val="3"/>
        <charset val="134"/>
      </rPr>
      <t>成本价值</t>
    </r>
    <phoneticPr fontId="18" type="noConversion"/>
  </si>
  <si>
    <r>
      <rPr>
        <b/>
        <sz val="10"/>
        <color indexed="10"/>
        <rFont val="楷体_GB2312"/>
        <family val="3"/>
        <charset val="134"/>
      </rPr>
      <t>成本比率</t>
    </r>
    <phoneticPr fontId="5" type="noConversion"/>
  </si>
  <si>
    <r>
      <rPr>
        <sz val="10"/>
        <color indexed="8"/>
        <rFont val="楷体_GB2312"/>
        <family val="3"/>
        <charset val="134"/>
      </rPr>
      <t>建筑物价值比率</t>
    </r>
    <phoneticPr fontId="5" type="noConversion"/>
  </si>
  <si>
    <r>
      <rPr>
        <sz val="10"/>
        <color indexed="8"/>
        <rFont val="楷体_GB2312"/>
        <family val="3"/>
        <charset val="134"/>
      </rPr>
      <t>土地价值比率</t>
    </r>
    <phoneticPr fontId="5" type="noConversion"/>
  </si>
  <si>
    <t>项目基本情况</t>
    <phoneticPr fontId="5" type="noConversion"/>
  </si>
  <si>
    <t>——</t>
  </si>
  <si>
    <t>用途类型</t>
    <phoneticPr fontId="18"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</si>
  <si>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</si>
  <si>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</si>
  <si>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</si>
  <si>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</si>
  <si>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</si>
  <si>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5" type="noConversion"/>
  </si>
  <si>
    <t>2.在抵押物范围的先录,以便核对</t>
    <phoneticPr fontId="5"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</si>
  <si>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5" type="noConversion"/>
  </si>
  <si>
    <t>4.未注明用途的计入非经营性用途——"未注明"一项，单独录入，计算时按设备用房处理</t>
    <phoneticPr fontId="5" type="noConversion"/>
  </si>
  <si>
    <t>5.面积依据不同时，以每部分取得的最新数据文件为依据。</t>
    <phoneticPr fontId="5" type="noConversion"/>
  </si>
  <si>
    <t>录入项</t>
    <phoneticPr fontId="5" type="noConversion"/>
  </si>
  <si>
    <r>
      <rPr>
        <b/>
        <sz val="16"/>
        <color indexed="10"/>
        <rFont val="楷体_GB2312"/>
        <family val="3"/>
        <charset val="134"/>
      </rPr>
      <t>成本法</t>
    </r>
    <phoneticPr fontId="18" type="noConversion"/>
  </si>
  <si>
    <r>
      <rPr>
        <b/>
        <sz val="12"/>
        <rFont val="楷体_GB2312"/>
        <family val="3"/>
        <charset val="134"/>
      </rPr>
      <t>总价</t>
    </r>
    <phoneticPr fontId="20" type="noConversion"/>
  </si>
  <si>
    <r>
      <rPr>
        <b/>
        <sz val="12"/>
        <rFont val="楷体_GB2312"/>
        <family val="3"/>
        <charset val="134"/>
      </rPr>
      <t>楼面单价</t>
    </r>
    <phoneticPr fontId="20" type="noConversion"/>
  </si>
  <si>
    <r>
      <t>1.</t>
    </r>
    <r>
      <rPr>
        <b/>
        <sz val="12"/>
        <rFont val="楷体_GB2312"/>
        <family val="3"/>
        <charset val="134"/>
      </rPr>
      <t>土地价值</t>
    </r>
    <phoneticPr fontId="18" type="noConversion"/>
  </si>
  <si>
    <r>
      <rPr>
        <b/>
        <sz val="10"/>
        <rFont val="楷体_GB2312"/>
        <family val="3"/>
        <charset val="134"/>
      </rPr>
      <t>土地取得成本</t>
    </r>
    <phoneticPr fontId="18" type="noConversion"/>
  </si>
  <si>
    <r>
      <rPr>
        <b/>
        <sz val="10"/>
        <rFont val="楷体_GB2312"/>
        <family val="3"/>
        <charset val="134"/>
      </rPr>
      <t>面积</t>
    </r>
    <phoneticPr fontId="18" type="noConversion"/>
  </si>
  <si>
    <r>
      <rPr>
        <b/>
        <sz val="10"/>
        <rFont val="楷体_GB2312"/>
        <family val="3"/>
        <charset val="134"/>
      </rPr>
      <t>单价</t>
    </r>
    <phoneticPr fontId="18" type="noConversion"/>
  </si>
  <si>
    <r>
      <rPr>
        <b/>
        <sz val="10"/>
        <rFont val="楷体_GB2312"/>
        <family val="3"/>
        <charset val="134"/>
      </rPr>
      <t>系数</t>
    </r>
    <phoneticPr fontId="18" type="noConversion"/>
  </si>
  <si>
    <r>
      <rPr>
        <sz val="10"/>
        <rFont val="楷体_GB2312"/>
        <family val="3"/>
        <charset val="134"/>
      </rPr>
      <t>土地购买价格</t>
    </r>
    <phoneticPr fontId="20" type="noConversion"/>
  </si>
  <si>
    <r>
      <rPr>
        <sz val="10"/>
        <rFont val="楷体_GB2312"/>
        <family val="3"/>
        <charset val="134"/>
      </rPr>
      <t>城市基础设施建设费（行政收费）</t>
    </r>
    <phoneticPr fontId="18" type="noConversion"/>
  </si>
  <si>
    <r>
      <rPr>
        <i/>
        <sz val="10"/>
        <rFont val="楷体_GB2312"/>
        <family val="3"/>
        <charset val="134"/>
      </rPr>
      <t>住宅</t>
    </r>
    <phoneticPr fontId="18" type="noConversion"/>
  </si>
  <si>
    <r>
      <rPr>
        <i/>
        <sz val="10"/>
        <rFont val="楷体_GB2312"/>
        <family val="3"/>
        <charset val="134"/>
      </rPr>
      <t>非住宅</t>
    </r>
    <phoneticPr fontId="18" type="noConversion"/>
  </si>
  <si>
    <r>
      <rPr>
        <sz val="10"/>
        <rFont val="楷体_GB2312"/>
        <family val="3"/>
        <charset val="134"/>
      </rPr>
      <t>土地使用权出让金</t>
    </r>
    <phoneticPr fontId="18" type="noConversion"/>
  </si>
  <si>
    <r>
      <rPr>
        <sz val="10"/>
        <rFont val="楷体_GB2312"/>
        <family val="3"/>
        <charset val="134"/>
      </rPr>
      <t>相关税费</t>
    </r>
    <phoneticPr fontId="18" type="noConversion"/>
  </si>
  <si>
    <r>
      <rPr>
        <sz val="10"/>
        <rFont val="楷体_GB2312"/>
        <family val="3"/>
        <charset val="134"/>
      </rPr>
      <t>征地补偿安置费及其相关税费</t>
    </r>
    <phoneticPr fontId="18" type="noConversion"/>
  </si>
  <si>
    <r>
      <rPr>
        <sz val="10"/>
        <rFont val="楷体_GB2312"/>
        <family val="3"/>
        <charset val="134"/>
      </rPr>
      <t>以建筑面积为计算基数，按各区发文标准</t>
    </r>
    <phoneticPr fontId="18" type="noConversion"/>
  </si>
  <si>
    <r>
      <rPr>
        <sz val="10"/>
        <rFont val="楷体_GB2312"/>
        <family val="3"/>
        <charset val="134"/>
      </rPr>
      <t>出让金</t>
    </r>
    <phoneticPr fontId="18" type="noConversion"/>
  </si>
  <si>
    <r>
      <rPr>
        <sz val="10"/>
        <rFont val="楷体_GB2312"/>
        <family val="3"/>
        <charset val="134"/>
      </rPr>
      <t>采用比较法求取</t>
    </r>
    <phoneticPr fontId="18" type="noConversion"/>
  </si>
  <si>
    <r>
      <rPr>
        <sz val="10"/>
        <rFont val="楷体_GB2312"/>
        <family val="3"/>
        <charset val="134"/>
      </rPr>
      <t>开发补偿费用</t>
    </r>
    <phoneticPr fontId="18" type="noConversion"/>
  </si>
  <si>
    <r>
      <rPr>
        <sz val="10"/>
        <rFont val="楷体_GB2312"/>
        <family val="3"/>
        <charset val="134"/>
      </rPr>
      <t>契税及印花税</t>
    </r>
    <phoneticPr fontId="18" type="noConversion"/>
  </si>
  <si>
    <r>
      <rPr>
        <sz val="10"/>
        <rFont val="楷体_GB2312"/>
        <family val="3"/>
        <charset val="134"/>
      </rPr>
      <t>以上述三项为基数计算</t>
    </r>
    <phoneticPr fontId="18" type="noConversion"/>
  </si>
  <si>
    <r>
      <rPr>
        <b/>
        <sz val="10"/>
        <rFont val="楷体_GB2312"/>
        <family val="3"/>
        <charset val="134"/>
      </rPr>
      <t>管理费用</t>
    </r>
    <phoneticPr fontId="18" type="noConversion"/>
  </si>
  <si>
    <r>
      <rPr>
        <b/>
        <sz val="10"/>
        <rFont val="楷体_GB2312"/>
        <family val="3"/>
        <charset val="134"/>
      </rPr>
      <t>销售费用</t>
    </r>
    <phoneticPr fontId="18" type="noConversion"/>
  </si>
  <si>
    <r>
      <rPr>
        <b/>
        <sz val="10"/>
        <rFont val="楷体_GB2312"/>
        <family val="3"/>
        <charset val="134"/>
      </rPr>
      <t>以土地价值为基数</t>
    </r>
    <phoneticPr fontId="18" type="noConversion"/>
  </si>
  <si>
    <r>
      <rPr>
        <b/>
        <sz val="10"/>
        <rFont val="楷体_GB2312"/>
        <family val="3"/>
        <charset val="134"/>
      </rPr>
      <t>贷款利息</t>
    </r>
    <phoneticPr fontId="18" type="noConversion"/>
  </si>
  <si>
    <r>
      <rPr>
        <sz val="10"/>
        <rFont val="楷体_GB2312"/>
        <family val="3"/>
        <charset val="134"/>
      </rPr>
      <t>计项目已运行全期</t>
    </r>
    <phoneticPr fontId="18" type="noConversion"/>
  </si>
  <si>
    <r>
      <rPr>
        <sz val="10"/>
        <rFont val="楷体_GB2312"/>
        <family val="3"/>
        <charset val="134"/>
      </rPr>
      <t>土地开发期均匀投入、已建工期计全期</t>
    </r>
    <phoneticPr fontId="18" type="noConversion"/>
  </si>
  <si>
    <r>
      <rPr>
        <sz val="10"/>
        <rFont val="楷体_GB2312"/>
        <family val="3"/>
        <charset val="134"/>
      </rPr>
      <t>管理费用及销售费用于项目已运行期内均匀投入</t>
    </r>
    <phoneticPr fontId="18"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</si>
  <si>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8" type="noConversion"/>
  </si>
  <si>
    <r>
      <rPr>
        <b/>
        <sz val="10"/>
        <rFont val="楷体_GB2312"/>
        <family val="3"/>
        <charset val="134"/>
      </rPr>
      <t>利润</t>
    </r>
    <phoneticPr fontId="18" type="noConversion"/>
  </si>
  <si>
    <r>
      <rPr>
        <b/>
        <sz val="10"/>
        <rFont val="楷体_GB2312"/>
        <family val="3"/>
        <charset val="134"/>
      </rPr>
      <t>以房地产价值为基数</t>
    </r>
    <phoneticPr fontId="18"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</si>
  <si>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8" type="noConversion"/>
  </si>
  <si>
    <r>
      <rPr>
        <b/>
        <sz val="10"/>
        <rFont val="楷体_GB2312"/>
        <family val="3"/>
        <charset val="134"/>
      </rPr>
      <t>建筑物建造</t>
    </r>
    <r>
      <rPr>
        <b/>
        <sz val="10"/>
        <rFont val="Arial"/>
        <family val="2"/>
      </rPr>
      <t>/</t>
    </r>
    <r>
      <rPr>
        <b/>
        <sz val="10"/>
        <rFont val="楷体_GB2312"/>
        <family val="3"/>
        <charset val="134"/>
      </rPr>
      <t>已建成本</t>
    </r>
    <phoneticPr fontId="18" type="noConversion"/>
  </si>
  <si>
    <r>
      <rPr>
        <sz val="10"/>
        <rFont val="楷体_GB2312"/>
        <family val="3"/>
        <charset val="134"/>
      </rPr>
      <t>现房</t>
    </r>
    <r>
      <rPr>
        <sz val="10"/>
        <rFont val="Arial"/>
        <family val="2"/>
      </rPr>
      <t>100%</t>
    </r>
    <r>
      <rPr>
        <sz val="10"/>
        <rFont val="楷体_GB2312"/>
        <family val="3"/>
        <charset val="134"/>
      </rPr>
      <t>；在建为综合进度</t>
    </r>
    <phoneticPr fontId="18" type="noConversion"/>
  </si>
  <si>
    <r>
      <rPr>
        <sz val="10"/>
        <rFont val="楷体_GB2312"/>
        <family val="3"/>
        <charset val="134"/>
      </rPr>
      <t>以建安费用为基数计取</t>
    </r>
    <phoneticPr fontId="18" type="noConversion"/>
  </si>
  <si>
    <r>
      <rPr>
        <sz val="10"/>
        <rFont val="楷体_GB2312"/>
        <family val="3"/>
        <charset val="134"/>
      </rPr>
      <t>红线内市政费用</t>
    </r>
    <phoneticPr fontId="18" type="noConversion"/>
  </si>
  <si>
    <r>
      <rPr>
        <sz val="10"/>
        <rFont val="楷体_GB2312"/>
        <family val="3"/>
        <charset val="134"/>
      </rPr>
      <t>按工程进度计取或按实际情况计取</t>
    </r>
    <phoneticPr fontId="18" type="noConversion"/>
  </si>
  <si>
    <r>
      <rPr>
        <b/>
        <sz val="10"/>
        <rFont val="楷体_GB2312"/>
        <family val="3"/>
        <charset val="134"/>
      </rPr>
      <t>以</t>
    </r>
    <r>
      <rPr>
        <b/>
        <sz val="10"/>
        <rFont val="Arial"/>
        <family val="2"/>
      </rPr>
      <t>V</t>
    </r>
    <r>
      <rPr>
        <b/>
        <sz val="10"/>
        <rFont val="楷体_GB2312"/>
        <family val="3"/>
        <charset val="134"/>
      </rPr>
      <t>建为基数</t>
    </r>
    <phoneticPr fontId="18" type="noConversion"/>
  </si>
  <si>
    <r>
      <rPr>
        <sz val="10"/>
        <rFont val="楷体_GB2312"/>
        <family val="3"/>
        <charset val="134"/>
      </rPr>
      <t>已建工期均匀投入</t>
    </r>
    <phoneticPr fontId="18" type="noConversion"/>
  </si>
  <si>
    <r>
      <rPr>
        <b/>
        <sz val="10"/>
        <rFont val="楷体_GB2312"/>
        <family val="3"/>
        <charset val="134"/>
      </rPr>
      <t>销售税费</t>
    </r>
    <phoneticPr fontId="18" type="noConversion"/>
  </si>
  <si>
    <r>
      <rPr>
        <b/>
        <sz val="10"/>
        <rFont val="楷体_GB2312"/>
        <family val="3"/>
        <charset val="134"/>
      </rPr>
      <t>以成本价值为基数</t>
    </r>
    <phoneticPr fontId="18" type="noConversion"/>
  </si>
  <si>
    <r>
      <rPr>
        <b/>
        <sz val="10"/>
        <rFont val="楷体_GB2312"/>
        <family val="3"/>
        <charset val="134"/>
      </rPr>
      <t>成新率</t>
    </r>
    <phoneticPr fontId="18" type="noConversion"/>
  </si>
  <si>
    <r>
      <rPr>
        <b/>
        <sz val="10"/>
        <rFont val="楷体_GB2312"/>
        <family val="3"/>
        <charset val="134"/>
      </rPr>
      <t>现房为成新率，在建依实际情况（停工）记取</t>
    </r>
    <phoneticPr fontId="20" type="noConversion"/>
  </si>
  <si>
    <r>
      <t>V</t>
    </r>
    <r>
      <rPr>
        <b/>
        <vertAlign val="subscript"/>
        <sz val="10"/>
        <rFont val="楷体_GB2312"/>
        <family val="3"/>
        <charset val="134"/>
      </rPr>
      <t>土</t>
    </r>
    <phoneticPr fontId="18" type="noConversion"/>
  </si>
  <si>
    <r>
      <t>V</t>
    </r>
    <r>
      <rPr>
        <b/>
        <vertAlign val="subscript"/>
        <sz val="10"/>
        <rFont val="楷体_GB2312"/>
        <family val="3"/>
        <charset val="134"/>
      </rPr>
      <t>土</t>
    </r>
    <r>
      <rPr>
        <b/>
        <sz val="10"/>
        <rFont val="Arial"/>
        <family val="2"/>
      </rPr>
      <t>/(1+5%)</t>
    </r>
    <phoneticPr fontId="18"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</si>
  <si>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8" type="noConversion"/>
  </si>
  <si>
    <r>
      <t>V</t>
    </r>
    <r>
      <rPr>
        <b/>
        <vertAlign val="subscript"/>
        <sz val="10"/>
        <rFont val="楷体_GB2312"/>
        <family val="3"/>
        <charset val="134"/>
      </rPr>
      <t>建</t>
    </r>
    <phoneticPr fontId="18" type="noConversion"/>
  </si>
  <si>
    <r>
      <t>V</t>
    </r>
    <r>
      <rPr>
        <b/>
        <vertAlign val="subscript"/>
        <sz val="10"/>
        <rFont val="楷体_GB2312"/>
        <family val="3"/>
        <charset val="134"/>
      </rPr>
      <t>建</t>
    </r>
    <r>
      <rPr>
        <b/>
        <sz val="10"/>
        <rFont val="Arial"/>
        <family val="2"/>
      </rPr>
      <t>/(1+5%)</t>
    </r>
    <phoneticPr fontId="18"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</si>
  <si>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8"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</si>
  <si>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8" type="noConversion"/>
  </si>
  <si>
    <t>万元</t>
    <phoneticPr fontId="20" type="noConversion"/>
  </si>
  <si>
    <t>元/平方米</t>
    <phoneticPr fontId="20" type="noConversion"/>
  </si>
  <si>
    <t>锁定项</t>
    <phoneticPr fontId="5" type="noConversion"/>
  </si>
  <si>
    <t>定义</t>
    <phoneticPr fontId="5" type="noConversion"/>
  </si>
  <si>
    <t>四级</t>
  </si>
  <si>
    <t>Ⅱ—03</t>
  </si>
  <si>
    <t>A1</t>
    <phoneticPr fontId="5"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</si>
  <si>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</si>
  <si>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</si>
  <si>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</si>
  <si>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</si>
  <si>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</si>
  <si>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</si>
  <si>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</si>
  <si>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</si>
  <si>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</si>
  <si>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</si>
  <si>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</si>
  <si>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</si>
  <si>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</si>
  <si>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</si>
  <si>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</si>
  <si>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</si>
  <si>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</si>
  <si>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</si>
  <si>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</si>
  <si>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</si>
  <si>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</si>
  <si>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</si>
  <si>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</si>
  <si>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</si>
  <si>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</si>
  <si>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</si>
  <si>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</si>
  <si>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</si>
  <si>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</si>
  <si>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</si>
  <si>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</si>
  <si>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</si>
  <si>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</si>
  <si>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</si>
  <si>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</si>
  <si>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</si>
  <si>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</si>
  <si>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</si>
  <si>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</si>
  <si>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</si>
  <si>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</si>
  <si>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</si>
  <si>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</si>
  <si>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</si>
  <si>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</si>
  <si>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</si>
  <si>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</si>
  <si>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</si>
  <si>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</si>
  <si>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</si>
  <si>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</si>
  <si>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</si>
  <si>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</si>
  <si>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</si>
  <si>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</si>
  <si>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</si>
  <si>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</si>
  <si>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</si>
  <si>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</si>
  <si>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</si>
  <si>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</si>
  <si>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</si>
  <si>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</si>
  <si>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</si>
  <si>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</si>
  <si>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</si>
  <si>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</si>
  <si>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</si>
  <si>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</si>
  <si>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</si>
  <si>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</si>
  <si>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</si>
  <si>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</si>
  <si>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</si>
  <si>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</si>
  <si>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</si>
  <si>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</si>
  <si>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</si>
  <si>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</si>
  <si>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</si>
  <si>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</si>
  <si>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</si>
  <si>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</si>
  <si>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</si>
  <si>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</si>
  <si>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</si>
  <si>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</si>
  <si>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</si>
  <si>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</si>
  <si>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</si>
  <si>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</si>
  <si>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</si>
  <si>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</si>
  <si>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</si>
  <si>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</si>
  <si>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</si>
  <si>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</si>
  <si>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</si>
  <si>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</si>
  <si>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</si>
  <si>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</si>
  <si>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</si>
  <si>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</si>
  <si>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</si>
  <si>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</si>
  <si>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</si>
  <si>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</si>
  <si>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</si>
  <si>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</si>
  <si>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</si>
  <si>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</si>
  <si>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</si>
  <si>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</si>
  <si>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</si>
  <si>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</si>
  <si>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</si>
  <si>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</si>
  <si>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</si>
  <si>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</si>
  <si>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</si>
  <si>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</si>
  <si>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</si>
  <si>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</si>
  <si>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</si>
  <si>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</si>
  <si>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</si>
  <si>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</si>
  <si>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</si>
  <si>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</si>
  <si>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</si>
  <si>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</si>
  <si>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</si>
  <si>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</si>
  <si>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</si>
  <si>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</si>
  <si>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</si>
  <si>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</si>
  <si>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</si>
  <si>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</si>
  <si>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</si>
  <si>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</si>
  <si>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</si>
  <si>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</si>
  <si>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</si>
  <si>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</si>
  <si>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</si>
  <si>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</si>
  <si>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</si>
  <si>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</si>
  <si>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</si>
  <si>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</si>
  <si>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</si>
  <si>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</si>
  <si>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</si>
  <si>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</si>
  <si>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</si>
  <si>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</si>
  <si>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</si>
  <si>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</si>
  <si>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</si>
  <si>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</si>
  <si>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</si>
  <si>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</si>
  <si>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</si>
  <si>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</si>
  <si>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</si>
  <si>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</si>
  <si>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</si>
  <si>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</si>
  <si>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</si>
  <si>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</si>
  <si>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</si>
  <si>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</si>
  <si>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</si>
  <si>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</si>
  <si>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</si>
  <si>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</si>
  <si>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</si>
  <si>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</si>
  <si>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</si>
  <si>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</si>
  <si>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</si>
  <si>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</si>
  <si>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</si>
  <si>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</si>
  <si>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</si>
  <si>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</si>
  <si>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</si>
  <si>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</si>
  <si>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</si>
  <si>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</si>
  <si>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</si>
  <si>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</si>
  <si>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</si>
  <si>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</si>
  <si>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5" type="noConversion"/>
  </si>
  <si>
    <t>区域土地利用方向</t>
    <phoneticPr fontId="45" type="noConversion"/>
  </si>
  <si>
    <r>
      <rPr>
        <sz val="10"/>
        <color indexed="8"/>
        <rFont val="宋体"/>
        <family val="3"/>
        <charset val="134"/>
      </rPr>
      <t>修正系数</t>
    </r>
    <phoneticPr fontId="78" type="noConversion"/>
  </si>
  <si>
    <t>五等判定</t>
    <phoneticPr fontId="18" type="noConversion"/>
  </si>
  <si>
    <t>基准地价修正</t>
    <phoneticPr fontId="18" type="noConversion"/>
  </si>
  <si>
    <t>*</t>
    <phoneticPr fontId="18" type="noConversion"/>
  </si>
  <si>
    <t>土地级别</t>
    <phoneticPr fontId="18" type="noConversion"/>
  </si>
  <si>
    <t>一级</t>
    <phoneticPr fontId="5" type="noConversion"/>
  </si>
  <si>
    <t>二级</t>
    <phoneticPr fontId="5" type="noConversion"/>
  </si>
  <si>
    <t>三级</t>
    <phoneticPr fontId="5" type="noConversion"/>
  </si>
  <si>
    <t>四级</t>
    <phoneticPr fontId="5" type="noConversion"/>
  </si>
  <si>
    <t>七级</t>
    <phoneticPr fontId="5" type="noConversion"/>
  </si>
  <si>
    <t>八级</t>
    <phoneticPr fontId="5" type="noConversion"/>
  </si>
  <si>
    <t>九级</t>
    <phoneticPr fontId="5" type="noConversion"/>
  </si>
  <si>
    <t>十级</t>
    <phoneticPr fontId="5" type="noConversion"/>
  </si>
  <si>
    <t>十一级</t>
    <phoneticPr fontId="5" type="noConversion"/>
  </si>
  <si>
    <t>十二级</t>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</si>
  <si>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</si>
  <si>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</si>
  <si>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</si>
  <si>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</si>
  <si>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</si>
  <si>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</si>
  <si>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</si>
  <si>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</si>
  <si>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</si>
  <si>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</si>
  <si>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</si>
  <si>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</si>
  <si>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20" type="noConversion"/>
  </si>
  <si>
    <t>（2）</t>
    <phoneticPr fontId="20" type="noConversion"/>
  </si>
  <si>
    <t>（3）</t>
    <phoneticPr fontId="20" type="noConversion"/>
  </si>
  <si>
    <t>（4）</t>
    <phoneticPr fontId="20" type="noConversion"/>
  </si>
  <si>
    <t>（5）</t>
    <phoneticPr fontId="20" type="noConversion"/>
  </si>
  <si>
    <t>（6）</t>
    <phoneticPr fontId="20" type="noConversion"/>
  </si>
  <si>
    <t>（7）</t>
    <phoneticPr fontId="20" type="noConversion"/>
  </si>
  <si>
    <t>（8）</t>
    <phoneticPr fontId="20" type="noConversion"/>
  </si>
  <si>
    <t>（9）</t>
    <phoneticPr fontId="20" type="noConversion"/>
  </si>
  <si>
    <r>
      <t>1</t>
    </r>
    <r>
      <rPr>
        <sz val="10"/>
        <rFont val="宋体"/>
        <family val="3"/>
        <charset val="134"/>
      </rPr>
      <t>）</t>
    </r>
    <phoneticPr fontId="18" type="noConversion"/>
  </si>
  <si>
    <r>
      <t>2</t>
    </r>
    <r>
      <rPr>
        <sz val="10"/>
        <rFont val="宋体"/>
        <family val="3"/>
        <charset val="134"/>
      </rPr>
      <t>）</t>
    </r>
    <phoneticPr fontId="18" type="noConversion"/>
  </si>
  <si>
    <r>
      <t>3</t>
    </r>
    <r>
      <rPr>
        <sz val="10"/>
        <rFont val="宋体"/>
        <family val="3"/>
        <charset val="134"/>
      </rPr>
      <t>）</t>
    </r>
    <phoneticPr fontId="18" type="noConversion"/>
  </si>
  <si>
    <r>
      <t>1</t>
    </r>
    <r>
      <rPr>
        <sz val="10"/>
        <rFont val="宋体"/>
        <family val="3"/>
        <charset val="134"/>
      </rPr>
      <t>）</t>
    </r>
    <phoneticPr fontId="18" type="noConversion"/>
  </si>
  <si>
    <r>
      <t>4</t>
    </r>
    <r>
      <rPr>
        <sz val="10"/>
        <rFont val="宋体"/>
        <family val="3"/>
        <charset val="134"/>
      </rPr>
      <t>）</t>
    </r>
    <phoneticPr fontId="18" type="noConversion"/>
  </si>
  <si>
    <r>
      <t>2</t>
    </r>
    <r>
      <rPr>
        <sz val="10"/>
        <rFont val="宋体"/>
        <family val="3"/>
        <charset val="134"/>
      </rPr>
      <t>）</t>
    </r>
    <phoneticPr fontId="20" type="noConversion"/>
  </si>
  <si>
    <r>
      <t>3</t>
    </r>
    <r>
      <rPr>
        <sz val="10"/>
        <rFont val="宋体"/>
        <family val="3"/>
        <charset val="134"/>
      </rPr>
      <t>）</t>
    </r>
    <phoneticPr fontId="20" type="noConversion"/>
  </si>
  <si>
    <r>
      <t>4</t>
    </r>
    <r>
      <rPr>
        <sz val="10"/>
        <rFont val="宋体"/>
        <family val="3"/>
        <charset val="134"/>
      </rPr>
      <t>）</t>
    </r>
    <phoneticPr fontId="20" type="noConversion"/>
  </si>
  <si>
    <r>
      <t>5</t>
    </r>
    <r>
      <rPr>
        <sz val="10"/>
        <rFont val="宋体"/>
        <family val="3"/>
        <charset val="134"/>
      </rPr>
      <t>）</t>
    </r>
    <phoneticPr fontId="20" type="noConversion"/>
  </si>
  <si>
    <t>A</t>
    <phoneticPr fontId="18" type="noConversion"/>
  </si>
  <si>
    <t>B</t>
    <phoneticPr fontId="18" type="noConversion"/>
  </si>
  <si>
    <r>
      <rPr>
        <sz val="10"/>
        <color indexed="8"/>
        <rFont val="宋体"/>
        <family val="3"/>
        <charset val="134"/>
      </rPr>
      <t>（</t>
    </r>
    <r>
      <rPr>
        <sz val="10"/>
        <color indexed="8"/>
        <rFont val="Arial"/>
        <family val="2"/>
      </rPr>
      <t>1</t>
    </r>
    <r>
      <rPr>
        <sz val="10"/>
        <color indexed="8"/>
        <rFont val="宋体"/>
        <family val="3"/>
        <charset val="134"/>
      </rPr>
      <t>）</t>
    </r>
    <phoneticPr fontId="20" type="noConversion"/>
  </si>
  <si>
    <r>
      <t>1</t>
    </r>
    <r>
      <rPr>
        <sz val="10"/>
        <color indexed="8"/>
        <rFont val="宋体"/>
        <family val="3"/>
        <charset val="134"/>
      </rPr>
      <t>）</t>
    </r>
    <phoneticPr fontId="18" type="noConversion"/>
  </si>
  <si>
    <r>
      <t>2</t>
    </r>
    <r>
      <rPr>
        <sz val="10"/>
        <color indexed="8"/>
        <rFont val="宋体"/>
        <family val="3"/>
        <charset val="134"/>
      </rPr>
      <t>）</t>
    </r>
    <phoneticPr fontId="18" type="noConversion"/>
  </si>
  <si>
    <t>A</t>
    <phoneticPr fontId="20" type="noConversion"/>
  </si>
  <si>
    <t>B</t>
    <phoneticPr fontId="20" type="noConversion"/>
  </si>
  <si>
    <t>1.</t>
    <phoneticPr fontId="78" type="noConversion"/>
  </si>
  <si>
    <t>2.</t>
    <phoneticPr fontId="78" type="noConversion"/>
  </si>
  <si>
    <t>3.</t>
    <phoneticPr fontId="78" type="noConversion"/>
  </si>
  <si>
    <t>4.</t>
    <phoneticPr fontId="5" type="noConversion"/>
  </si>
  <si>
    <t>5.</t>
    <phoneticPr fontId="5" type="noConversion"/>
  </si>
  <si>
    <t>6.</t>
    <phoneticPr fontId="5" type="noConversion"/>
  </si>
  <si>
    <t>7.</t>
    <phoneticPr fontId="5" type="noConversion"/>
  </si>
  <si>
    <t>十一级</t>
  </si>
  <si>
    <t>十二级</t>
  </si>
  <si>
    <t xml:space="preserve">— </t>
    <phoneticPr fontId="83" type="noConversion"/>
  </si>
  <si>
    <t>估价项目名称：</t>
    <phoneticPr fontId="83" type="noConversion"/>
  </si>
  <si>
    <t>估价委托人：</t>
    <phoneticPr fontId="83" type="noConversion"/>
  </si>
  <si>
    <t>房地产估价机构：</t>
    <phoneticPr fontId="83" type="noConversion"/>
  </si>
  <si>
    <t>北京康正宏基房地产评估有限公司</t>
    <phoneticPr fontId="83" type="noConversion"/>
  </si>
  <si>
    <t>注册房地产估价师：</t>
    <phoneticPr fontId="83" type="noConversion"/>
  </si>
  <si>
    <t>估价报告编号：</t>
    <phoneticPr fontId="83" type="noConversion"/>
  </si>
  <si>
    <t>估价目的</t>
    <phoneticPr fontId="85" type="noConversion"/>
  </si>
  <si>
    <t>优先受偿</t>
    <phoneticPr fontId="85" type="noConversion"/>
  </si>
  <si>
    <t>抵押</t>
    <phoneticPr fontId="85" type="noConversion"/>
  </si>
  <si>
    <t>2.估价师所知悉的法定优先受偿款</t>
    <phoneticPr fontId="85" type="noConversion"/>
  </si>
  <si>
    <t>2.估价师所知悉的除抵押担保权以外的法定优先受偿款</t>
    <phoneticPr fontId="85" type="noConversion"/>
  </si>
  <si>
    <t>价值类型及定义</t>
    <phoneticPr fontId="85" type="noConversion"/>
  </si>
  <si>
    <t>房地产价值</t>
    <phoneticPr fontId="85" type="noConversion"/>
  </si>
  <si>
    <t>房地产抵押价值</t>
    <phoneticPr fontId="85" type="noConversion"/>
  </si>
  <si>
    <t>已注销</t>
    <phoneticPr fontId="85" type="noConversion"/>
  </si>
  <si>
    <t>已注销及未注销</t>
    <phoneticPr fontId="85" type="noConversion"/>
  </si>
  <si>
    <t>抵押净值</t>
    <phoneticPr fontId="85" type="noConversion"/>
  </si>
  <si>
    <t>——</t>
    <phoneticPr fontId="18" type="noConversion"/>
  </si>
  <si>
    <t>XX</t>
  </si>
  <si>
    <t>附表：</t>
    <phoneticPr fontId="93" type="noConversion"/>
  </si>
  <si>
    <t>-</t>
    <phoneticPr fontId="5" type="noConversion"/>
  </si>
  <si>
    <t>3</t>
    <phoneticPr fontId="5" type="noConversion"/>
  </si>
  <si>
    <t>4</t>
    <phoneticPr fontId="5" type="noConversion"/>
  </si>
  <si>
    <t>5</t>
    <phoneticPr fontId="5" type="noConversion"/>
  </si>
  <si>
    <t>6</t>
    <phoneticPr fontId="5" type="noConversion"/>
  </si>
  <si>
    <r>
      <t>1</t>
    </r>
    <r>
      <rPr>
        <sz val="10"/>
        <color indexed="8"/>
        <rFont val="宋体"/>
        <family val="3"/>
        <charset val="134"/>
      </rPr>
      <t>）</t>
    </r>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</si>
  <si>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5" type="noConversion"/>
  </si>
  <si>
    <r>
      <t>2</t>
    </r>
    <r>
      <rPr>
        <sz val="10"/>
        <color indexed="8"/>
        <rFont val="宋体"/>
        <family val="3"/>
        <charset val="134"/>
      </rPr>
      <t>）</t>
    </r>
    <phoneticPr fontId="5" type="noConversion"/>
  </si>
  <si>
    <r>
      <rPr>
        <sz val="10"/>
        <color indexed="8"/>
        <rFont val="宋体"/>
        <family val="3"/>
        <charset val="134"/>
      </rPr>
      <t>（</t>
    </r>
    <r>
      <rPr>
        <sz val="10"/>
        <color indexed="8"/>
        <rFont val="Arial"/>
        <family val="2"/>
      </rPr>
      <t>6</t>
    </r>
    <r>
      <rPr>
        <sz val="10"/>
        <color indexed="8"/>
        <rFont val="宋体"/>
        <family val="3"/>
        <charset val="134"/>
      </rPr>
      <t>）</t>
    </r>
    <phoneticPr fontId="5" type="noConversion"/>
  </si>
  <si>
    <r>
      <rPr>
        <sz val="10"/>
        <color indexed="8"/>
        <rFont val="宋体"/>
        <family val="3"/>
        <charset val="134"/>
      </rPr>
      <t>（</t>
    </r>
    <r>
      <rPr>
        <sz val="10"/>
        <color indexed="8"/>
        <rFont val="Arial"/>
        <family val="2"/>
      </rPr>
      <t>7</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</si>
  <si>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</si>
  <si>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t>A</t>
  </si>
  <si>
    <t>B</t>
  </si>
  <si>
    <t>(A)</t>
  </si>
  <si>
    <t>(B)</t>
  </si>
  <si>
    <t>(C)</t>
  </si>
  <si>
    <t>(D)</t>
  </si>
  <si>
    <t>C</t>
  </si>
  <si>
    <t>A+B</t>
  </si>
  <si>
    <t>a</t>
  </si>
  <si>
    <t>b</t>
  </si>
  <si>
    <t>c</t>
  </si>
  <si>
    <t>a-b×c</t>
    <phoneticPr fontId="5" type="noConversion"/>
  </si>
  <si>
    <t>(E)</t>
    <phoneticPr fontId="5" type="noConversion"/>
  </si>
  <si>
    <r>
      <rPr>
        <b/>
        <sz val="10"/>
        <rFont val="宋体"/>
        <family val="3"/>
        <charset val="134"/>
      </rPr>
      <t>（</t>
    </r>
    <r>
      <rPr>
        <b/>
        <sz val="10"/>
        <rFont val="Arial"/>
        <family val="2"/>
      </rPr>
      <t>1</t>
    </r>
    <r>
      <rPr>
        <b/>
        <sz val="10"/>
        <rFont val="宋体"/>
        <family val="3"/>
        <charset val="134"/>
      </rPr>
      <t>）</t>
    </r>
    <phoneticPr fontId="20" type="noConversion"/>
  </si>
  <si>
    <t>（2）</t>
    <phoneticPr fontId="20"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</si>
  <si>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8" type="noConversion"/>
  </si>
  <si>
    <t>（3）</t>
    <phoneticPr fontId="20"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</si>
  <si>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8" type="noConversion"/>
  </si>
  <si>
    <t>（4）</t>
    <phoneticPr fontId="20"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</si>
  <si>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</si>
  <si>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1</t>
    </r>
    <r>
      <rPr>
        <sz val="10"/>
        <rFont val="楷体_GB2312"/>
        <family val="3"/>
        <charset val="134"/>
      </rPr>
      <t>）项产生的利息</t>
    </r>
    <phoneticPr fontId="18"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</si>
  <si>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8" type="noConversion"/>
  </si>
  <si>
    <r>
      <rPr>
        <sz val="10"/>
        <rFont val="楷体_GB2312"/>
        <family val="3"/>
        <charset val="134"/>
      </rPr>
      <t>（</t>
    </r>
    <r>
      <rPr>
        <sz val="10"/>
        <rFont val="Arial"/>
        <family val="2"/>
      </rPr>
      <t>4</t>
    </r>
    <r>
      <rPr>
        <sz val="10"/>
        <rFont val="楷体_GB2312"/>
        <family val="3"/>
        <charset val="134"/>
      </rPr>
      <t>）项产生的利润</t>
    </r>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</si>
  <si>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</si>
  <si>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</si>
  <si>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</si>
  <si>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3</t>
    </r>
    <r>
      <rPr>
        <sz val="10"/>
        <rFont val="楷体_GB2312"/>
        <family val="3"/>
        <charset val="134"/>
      </rPr>
      <t>）项产生的利润</t>
    </r>
    <phoneticPr fontId="18" type="noConversion"/>
  </si>
  <si>
    <t>以前述2项为基数</t>
    <phoneticPr fontId="18"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</si>
  <si>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8" type="noConversion"/>
  </si>
  <si>
    <r>
      <rPr>
        <b/>
        <sz val="10"/>
        <rFont val="楷体_GB2312"/>
        <family val="3"/>
        <charset val="134"/>
      </rPr>
      <t>前述</t>
    </r>
    <r>
      <rPr>
        <b/>
        <sz val="10"/>
        <rFont val="Arial"/>
        <family val="2"/>
      </rPr>
      <t>7</t>
    </r>
    <r>
      <rPr>
        <b/>
        <sz val="10"/>
        <rFont val="楷体_GB2312"/>
        <family val="3"/>
        <charset val="134"/>
      </rPr>
      <t>项相加</t>
    </r>
    <phoneticPr fontId="18" type="noConversion"/>
  </si>
  <si>
    <t>以（1）为基数</t>
    <phoneticPr fontId="18"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</si>
  <si>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8" type="noConversion"/>
  </si>
  <si>
    <r>
      <rPr>
        <b/>
        <sz val="10"/>
        <rFont val="楷体_GB2312"/>
        <family val="3"/>
        <charset val="134"/>
      </rPr>
      <t>前述</t>
    </r>
    <r>
      <rPr>
        <b/>
        <sz val="10"/>
        <rFont val="Arial"/>
        <family val="2"/>
      </rPr>
      <t>6</t>
    </r>
    <r>
      <rPr>
        <b/>
        <sz val="10"/>
        <rFont val="楷体_GB2312"/>
        <family val="3"/>
        <charset val="134"/>
      </rPr>
      <t>项相加</t>
    </r>
    <phoneticPr fontId="18"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</si>
  <si>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</si>
  <si>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5" type="noConversion"/>
  </si>
  <si>
    <t>1</t>
    <phoneticPr fontId="5" type="noConversion"/>
  </si>
  <si>
    <r>
      <rPr>
        <b/>
        <sz val="10"/>
        <color indexed="8"/>
        <rFont val="宋体"/>
        <family val="3"/>
        <charset val="134"/>
      </rPr>
      <t>（</t>
    </r>
    <r>
      <rPr>
        <b/>
        <sz val="10"/>
        <color indexed="8"/>
        <rFont val="Arial"/>
        <family val="2"/>
      </rPr>
      <t>1</t>
    </r>
    <r>
      <rPr>
        <b/>
        <sz val="10"/>
        <color indexed="8"/>
        <rFont val="宋体"/>
        <family val="3"/>
        <charset val="134"/>
      </rPr>
      <t>）</t>
    </r>
    <phoneticPr fontId="5" type="noConversion"/>
  </si>
  <si>
    <r>
      <rPr>
        <b/>
        <sz val="10"/>
        <color indexed="8"/>
        <rFont val="宋体"/>
        <family val="3"/>
        <charset val="134"/>
      </rPr>
      <t>（</t>
    </r>
    <r>
      <rPr>
        <b/>
        <sz val="10"/>
        <color indexed="8"/>
        <rFont val="Arial"/>
        <family val="2"/>
      </rPr>
      <t>2</t>
    </r>
    <r>
      <rPr>
        <b/>
        <sz val="10"/>
        <color indexed="8"/>
        <rFont val="宋体"/>
        <family val="3"/>
        <charset val="134"/>
      </rPr>
      <t>）</t>
    </r>
    <phoneticPr fontId="5" type="noConversion"/>
  </si>
  <si>
    <t>基础设施水平</t>
    <phoneticPr fontId="18" type="noConversion"/>
  </si>
  <si>
    <t>六通</t>
    <phoneticPr fontId="18" type="noConversion"/>
  </si>
  <si>
    <t>七通</t>
    <phoneticPr fontId="18" type="noConversion"/>
  </si>
  <si>
    <t>五通</t>
    <phoneticPr fontId="18" type="noConversion"/>
  </si>
  <si>
    <t>四通</t>
    <phoneticPr fontId="18" type="noConversion"/>
  </si>
  <si>
    <t>三通</t>
    <phoneticPr fontId="18" type="noConversion"/>
  </si>
  <si>
    <t>公共配套设施</t>
    <phoneticPr fontId="18" type="noConversion"/>
  </si>
  <si>
    <t>成本法 (元)</t>
    <phoneticPr fontId="18" type="noConversion"/>
  </si>
  <si>
    <t>收益法 (元)</t>
    <phoneticPr fontId="18" type="noConversion"/>
  </si>
  <si>
    <t>收益法（汇总）</t>
    <phoneticPr fontId="18" type="noConversion"/>
  </si>
  <si>
    <t>已包含在土地购买价格中</t>
  </si>
  <si>
    <t>公示地价指数</t>
    <phoneticPr fontId="144" type="noConversion"/>
  </si>
  <si>
    <r>
      <rPr>
        <b/>
        <sz val="10"/>
        <color theme="1"/>
        <rFont val="楷体_GB2312"/>
        <family val="2"/>
        <charset val="134"/>
      </rPr>
      <t>公示增长率</t>
    </r>
    <phoneticPr fontId="144" type="noConversion"/>
  </si>
  <si>
    <r>
      <rPr>
        <b/>
        <sz val="10"/>
        <color theme="1"/>
        <rFont val="楷体_GB2312"/>
        <family val="2"/>
        <charset val="134"/>
      </rPr>
      <t>核算至百分数</t>
    </r>
    <phoneticPr fontId="144" type="noConversion"/>
  </si>
  <si>
    <r>
      <rPr>
        <b/>
        <sz val="10"/>
        <color theme="1"/>
        <rFont val="楷体_GB2312"/>
        <family val="2"/>
        <charset val="134"/>
      </rPr>
      <t>验证</t>
    </r>
    <phoneticPr fontId="144" type="noConversion"/>
  </si>
  <si>
    <t>季度连乘</t>
    <phoneticPr fontId="136" type="noConversion"/>
  </si>
  <si>
    <t>平均增幅</t>
    <phoneticPr fontId="136" type="noConversion"/>
  </si>
  <si>
    <t>综合</t>
    <phoneticPr fontId="5" type="noConversion"/>
  </si>
  <si>
    <r>
      <rPr>
        <sz val="11"/>
        <color indexed="8"/>
        <rFont val="楷体_GB2312"/>
        <family val="3"/>
        <charset val="134"/>
      </rPr>
      <t>商业</t>
    </r>
    <phoneticPr fontId="5" type="noConversion"/>
  </si>
  <si>
    <t>办公</t>
    <phoneticPr fontId="5" type="noConversion"/>
  </si>
  <si>
    <t>住宅</t>
    <phoneticPr fontId="5" type="noConversion"/>
  </si>
  <si>
    <r>
      <rPr>
        <sz val="11"/>
        <color indexed="8"/>
        <rFont val="楷体_GB2312"/>
        <family val="3"/>
        <charset val="134"/>
      </rPr>
      <t>工业</t>
    </r>
    <phoneticPr fontId="5" type="noConversion"/>
  </si>
  <si>
    <t>2017-1</t>
    <phoneticPr fontId="5" type="noConversion"/>
  </si>
  <si>
    <t>基准季度</t>
    <phoneticPr fontId="136" type="noConversion"/>
  </si>
  <si>
    <t>2013-4</t>
    <phoneticPr fontId="136" type="noConversion"/>
  </si>
  <si>
    <t>2013-3</t>
    <phoneticPr fontId="136" type="noConversion"/>
  </si>
  <si>
    <t>2013-2</t>
    <phoneticPr fontId="136" type="noConversion"/>
  </si>
  <si>
    <t>2013-1</t>
    <phoneticPr fontId="136" type="noConversion"/>
  </si>
  <si>
    <r>
      <t>2</t>
    </r>
    <r>
      <rPr>
        <sz val="10"/>
        <color theme="1"/>
        <rFont val="Arial"/>
        <family val="2"/>
      </rPr>
      <t>012-4</t>
    </r>
    <phoneticPr fontId="136" type="noConversion"/>
  </si>
  <si>
    <r>
      <t>2</t>
    </r>
    <r>
      <rPr>
        <sz val="10"/>
        <color theme="1"/>
        <rFont val="Arial"/>
        <family val="2"/>
      </rPr>
      <t>012-3</t>
    </r>
    <phoneticPr fontId="136" type="noConversion"/>
  </si>
  <si>
    <r>
      <t>2</t>
    </r>
    <r>
      <rPr>
        <sz val="10"/>
        <color theme="1"/>
        <rFont val="Arial"/>
        <family val="2"/>
      </rPr>
      <t>012-2</t>
    </r>
    <phoneticPr fontId="136" type="noConversion"/>
  </si>
  <si>
    <r>
      <t>2</t>
    </r>
    <r>
      <rPr>
        <sz val="10"/>
        <color theme="1"/>
        <rFont val="Arial"/>
        <family val="2"/>
      </rPr>
      <t>012-1</t>
    </r>
    <phoneticPr fontId="136" type="noConversion"/>
  </si>
  <si>
    <r>
      <t>2</t>
    </r>
    <r>
      <rPr>
        <sz val="10"/>
        <color theme="1"/>
        <rFont val="Arial"/>
        <family val="2"/>
      </rPr>
      <t>011-4</t>
    </r>
    <phoneticPr fontId="136" type="noConversion"/>
  </si>
  <si>
    <r>
      <t>2</t>
    </r>
    <r>
      <rPr>
        <sz val="10"/>
        <color theme="1"/>
        <rFont val="Arial"/>
        <family val="2"/>
      </rPr>
      <t>011-3</t>
    </r>
    <phoneticPr fontId="136" type="noConversion"/>
  </si>
  <si>
    <r>
      <t>2</t>
    </r>
    <r>
      <rPr>
        <sz val="10"/>
        <color theme="1"/>
        <rFont val="Arial"/>
        <family val="2"/>
      </rPr>
      <t>011-2</t>
    </r>
    <phoneticPr fontId="136" type="noConversion"/>
  </si>
  <si>
    <r>
      <t>2</t>
    </r>
    <r>
      <rPr>
        <sz val="10"/>
        <color theme="1"/>
        <rFont val="Arial"/>
        <family val="2"/>
      </rPr>
      <t>011-1</t>
    </r>
    <phoneticPr fontId="136" type="noConversion"/>
  </si>
  <si>
    <r>
      <t>2</t>
    </r>
    <r>
      <rPr>
        <sz val="10"/>
        <color theme="1"/>
        <rFont val="Arial"/>
        <family val="2"/>
      </rPr>
      <t>010-4</t>
    </r>
    <phoneticPr fontId="136" type="noConversion"/>
  </si>
  <si>
    <r>
      <t>2</t>
    </r>
    <r>
      <rPr>
        <sz val="10"/>
        <color theme="1"/>
        <rFont val="Arial"/>
        <family val="2"/>
      </rPr>
      <t>010-3</t>
    </r>
    <phoneticPr fontId="136" type="noConversion"/>
  </si>
  <si>
    <r>
      <t>2</t>
    </r>
    <r>
      <rPr>
        <sz val="10"/>
        <color theme="1"/>
        <rFont val="Arial"/>
        <family val="2"/>
      </rPr>
      <t>010-2</t>
    </r>
    <phoneticPr fontId="136" type="noConversion"/>
  </si>
  <si>
    <r>
      <t>2</t>
    </r>
    <r>
      <rPr>
        <sz val="10"/>
        <color theme="1"/>
        <rFont val="Arial"/>
        <family val="2"/>
      </rPr>
      <t>010-1</t>
    </r>
    <phoneticPr fontId="136" type="noConversion"/>
  </si>
  <si>
    <r>
      <t>2</t>
    </r>
    <r>
      <rPr>
        <sz val="10"/>
        <color theme="1"/>
        <rFont val="Arial"/>
        <family val="2"/>
      </rPr>
      <t>009-4</t>
    </r>
    <phoneticPr fontId="136" type="noConversion"/>
  </si>
  <si>
    <r>
      <t>2</t>
    </r>
    <r>
      <rPr>
        <sz val="10"/>
        <color theme="1"/>
        <rFont val="Arial"/>
        <family val="2"/>
      </rPr>
      <t>009-3</t>
    </r>
    <phoneticPr fontId="136" type="noConversion"/>
  </si>
  <si>
    <r>
      <t>2</t>
    </r>
    <r>
      <rPr>
        <sz val="10"/>
        <color theme="1"/>
        <rFont val="Arial"/>
        <family val="2"/>
      </rPr>
      <t>009-2</t>
    </r>
    <phoneticPr fontId="136" type="noConversion"/>
  </si>
  <si>
    <r>
      <t>2</t>
    </r>
    <r>
      <rPr>
        <sz val="10"/>
        <color theme="1"/>
        <rFont val="Arial"/>
        <family val="2"/>
      </rPr>
      <t>009-1</t>
    </r>
    <phoneticPr fontId="136" type="noConversion"/>
  </si>
  <si>
    <r>
      <t>2</t>
    </r>
    <r>
      <rPr>
        <sz val="10"/>
        <color theme="1"/>
        <rFont val="Arial"/>
        <family val="2"/>
      </rPr>
      <t>008-4</t>
    </r>
    <phoneticPr fontId="136" type="noConversion"/>
  </si>
  <si>
    <r>
      <t>2</t>
    </r>
    <r>
      <rPr>
        <sz val="10"/>
        <color theme="1"/>
        <rFont val="Arial"/>
        <family val="2"/>
      </rPr>
      <t>008-3</t>
    </r>
    <phoneticPr fontId="136" type="noConversion"/>
  </si>
  <si>
    <r>
      <t>2</t>
    </r>
    <r>
      <rPr>
        <sz val="10"/>
        <color theme="1"/>
        <rFont val="Arial"/>
        <family val="2"/>
      </rPr>
      <t>008-2</t>
    </r>
    <phoneticPr fontId="136" type="noConversion"/>
  </si>
  <si>
    <r>
      <t>2</t>
    </r>
    <r>
      <rPr>
        <sz val="10"/>
        <color theme="1"/>
        <rFont val="Arial"/>
        <family val="2"/>
      </rPr>
      <t>008-1</t>
    </r>
    <phoneticPr fontId="136" type="noConversion"/>
  </si>
  <si>
    <r>
      <t>2</t>
    </r>
    <r>
      <rPr>
        <sz val="10"/>
        <color theme="1"/>
        <rFont val="Arial"/>
        <family val="2"/>
      </rPr>
      <t>007-4</t>
    </r>
    <phoneticPr fontId="136" type="noConversion"/>
  </si>
  <si>
    <r>
      <t>2</t>
    </r>
    <r>
      <rPr>
        <sz val="10"/>
        <color theme="1"/>
        <rFont val="Arial"/>
        <family val="2"/>
      </rPr>
      <t>007-3</t>
    </r>
    <phoneticPr fontId="136" type="noConversion"/>
  </si>
  <si>
    <r>
      <t>2</t>
    </r>
    <r>
      <rPr>
        <sz val="10"/>
        <color theme="1"/>
        <rFont val="Arial"/>
        <family val="2"/>
      </rPr>
      <t>007-2</t>
    </r>
    <phoneticPr fontId="136" type="noConversion"/>
  </si>
  <si>
    <r>
      <t>2</t>
    </r>
    <r>
      <rPr>
        <sz val="10"/>
        <color theme="1"/>
        <rFont val="Arial"/>
        <family val="2"/>
      </rPr>
      <t>007-1</t>
    </r>
    <phoneticPr fontId="136" type="noConversion"/>
  </si>
  <si>
    <r>
      <t>2</t>
    </r>
    <r>
      <rPr>
        <sz val="10"/>
        <color theme="1"/>
        <rFont val="Arial"/>
        <family val="2"/>
      </rPr>
      <t>006-4</t>
    </r>
    <phoneticPr fontId="136" type="noConversion"/>
  </si>
  <si>
    <t>2006-3</t>
    <phoneticPr fontId="136" type="noConversion"/>
  </si>
  <si>
    <t>2006-2</t>
    <phoneticPr fontId="136" type="noConversion"/>
  </si>
  <si>
    <t>2006-1</t>
    <phoneticPr fontId="136" type="noConversion"/>
  </si>
  <si>
    <r>
      <t>2</t>
    </r>
    <r>
      <rPr>
        <sz val="10"/>
        <color theme="1"/>
        <rFont val="Arial"/>
        <family val="2"/>
      </rPr>
      <t>005-4</t>
    </r>
    <phoneticPr fontId="136" type="noConversion"/>
  </si>
  <si>
    <r>
      <t>2</t>
    </r>
    <r>
      <rPr>
        <sz val="10"/>
        <color theme="1"/>
        <rFont val="Arial"/>
        <family val="2"/>
      </rPr>
      <t>005-3</t>
    </r>
    <phoneticPr fontId="136" type="noConversion"/>
  </si>
  <si>
    <r>
      <t>2</t>
    </r>
    <r>
      <rPr>
        <sz val="10"/>
        <color theme="1"/>
        <rFont val="Arial"/>
        <family val="2"/>
      </rPr>
      <t>005-2</t>
    </r>
    <phoneticPr fontId="136" type="noConversion"/>
  </si>
  <si>
    <r>
      <t>2</t>
    </r>
    <r>
      <rPr>
        <sz val="10"/>
        <color theme="1"/>
        <rFont val="Arial"/>
        <family val="2"/>
      </rPr>
      <t>005-1</t>
    </r>
    <phoneticPr fontId="136" type="noConversion"/>
  </si>
  <si>
    <r>
      <t>2</t>
    </r>
    <r>
      <rPr>
        <sz val="10"/>
        <color theme="1"/>
        <rFont val="Arial"/>
        <family val="2"/>
      </rPr>
      <t>004-4</t>
    </r>
    <phoneticPr fontId="136" type="noConversion"/>
  </si>
  <si>
    <r>
      <t>2</t>
    </r>
    <r>
      <rPr>
        <sz val="10"/>
        <color theme="1"/>
        <rFont val="Arial"/>
        <family val="2"/>
      </rPr>
      <t>004-3</t>
    </r>
    <phoneticPr fontId="136" type="noConversion"/>
  </si>
  <si>
    <r>
      <t>2</t>
    </r>
    <r>
      <rPr>
        <sz val="10"/>
        <color theme="1"/>
        <rFont val="Arial"/>
        <family val="2"/>
      </rPr>
      <t>004-2</t>
    </r>
    <phoneticPr fontId="136" type="noConversion"/>
  </si>
  <si>
    <r>
      <t>2</t>
    </r>
    <r>
      <rPr>
        <sz val="10"/>
        <color theme="1"/>
        <rFont val="Arial"/>
        <family val="2"/>
      </rPr>
      <t>004-1</t>
    </r>
    <phoneticPr fontId="136" type="noConversion"/>
  </si>
  <si>
    <r>
      <t>2</t>
    </r>
    <r>
      <rPr>
        <sz val="10"/>
        <color theme="1"/>
        <rFont val="Arial"/>
        <family val="2"/>
      </rPr>
      <t>003-4</t>
    </r>
    <phoneticPr fontId="136" type="noConversion"/>
  </si>
  <si>
    <r>
      <t>2</t>
    </r>
    <r>
      <rPr>
        <sz val="10"/>
        <color theme="1"/>
        <rFont val="Arial"/>
        <family val="2"/>
      </rPr>
      <t>003-3</t>
    </r>
    <phoneticPr fontId="136" type="noConversion"/>
  </si>
  <si>
    <r>
      <t>2</t>
    </r>
    <r>
      <rPr>
        <sz val="10"/>
        <color theme="1"/>
        <rFont val="Arial"/>
        <family val="2"/>
      </rPr>
      <t>003-2</t>
    </r>
    <phoneticPr fontId="136" type="noConversion"/>
  </si>
  <si>
    <r>
      <t>2</t>
    </r>
    <r>
      <rPr>
        <sz val="10"/>
        <color theme="1"/>
        <rFont val="Arial"/>
        <family val="2"/>
      </rPr>
      <t>003-1</t>
    </r>
    <phoneticPr fontId="136" type="noConversion"/>
  </si>
  <si>
    <r>
      <t>2</t>
    </r>
    <r>
      <rPr>
        <sz val="10"/>
        <color theme="1"/>
        <rFont val="Arial"/>
        <family val="2"/>
      </rPr>
      <t>002-4</t>
    </r>
    <phoneticPr fontId="136" type="noConversion"/>
  </si>
  <si>
    <r>
      <t>2</t>
    </r>
    <r>
      <rPr>
        <sz val="10"/>
        <color theme="1"/>
        <rFont val="Arial"/>
        <family val="2"/>
      </rPr>
      <t>002-3</t>
    </r>
    <phoneticPr fontId="136" type="noConversion"/>
  </si>
  <si>
    <r>
      <t>2</t>
    </r>
    <r>
      <rPr>
        <sz val="10"/>
        <color theme="1"/>
        <rFont val="Arial"/>
        <family val="2"/>
      </rPr>
      <t>002-2</t>
    </r>
    <phoneticPr fontId="136" type="noConversion"/>
  </si>
  <si>
    <r>
      <t>2</t>
    </r>
    <r>
      <rPr>
        <sz val="10"/>
        <color theme="1"/>
        <rFont val="Arial"/>
        <family val="2"/>
      </rPr>
      <t>002-1</t>
    </r>
    <phoneticPr fontId="136" type="noConversion"/>
  </si>
  <si>
    <t>说明</t>
    <phoneticPr fontId="13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</si>
  <si>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</si>
  <si>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</si>
  <si>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</si>
  <si>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</si>
  <si>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</si>
  <si>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</si>
  <si>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</si>
  <si>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6" type="noConversion"/>
  </si>
  <si>
    <t>封皮-估价项目名称</t>
    <phoneticPr fontId="136" type="noConversion"/>
  </si>
  <si>
    <t>封皮-估价委托人</t>
    <phoneticPr fontId="136" type="noConversion"/>
  </si>
  <si>
    <t>封皮-注册房地产估价师</t>
    <phoneticPr fontId="136" type="noConversion"/>
  </si>
  <si>
    <t>封皮-估价报告编号</t>
    <phoneticPr fontId="136" type="noConversion"/>
  </si>
  <si>
    <t>致函-委托事项</t>
    <phoneticPr fontId="136" type="noConversion"/>
  </si>
  <si>
    <t>致函-估价目的</t>
    <phoneticPr fontId="136" type="noConversion"/>
  </si>
  <si>
    <t>致函-价值时点</t>
    <phoneticPr fontId="136" type="noConversion"/>
  </si>
  <si>
    <t>致函-价值类型-房地产</t>
    <phoneticPr fontId="136" type="noConversion"/>
  </si>
  <si>
    <t>致函-价值类型-建筑物/土地</t>
    <phoneticPr fontId="144" type="noConversion"/>
  </si>
  <si>
    <t>致函-价值类型-抵押</t>
    <phoneticPr fontId="144" type="noConversion"/>
  </si>
  <si>
    <t>致函-价值类型-优先受偿</t>
    <phoneticPr fontId="144" type="noConversion"/>
  </si>
  <si>
    <t>致函-价值类型-净值</t>
    <phoneticPr fontId="144" type="noConversion"/>
  </si>
  <si>
    <t>致函-估价方法</t>
    <phoneticPr fontId="144" type="noConversion"/>
  </si>
  <si>
    <t>致函-估价结果</t>
    <phoneticPr fontId="136" type="noConversion"/>
  </si>
  <si>
    <t>致函-估价结果-表1-总</t>
    <phoneticPr fontId="144" type="noConversion"/>
  </si>
  <si>
    <t>致函-估价结果-表1-单</t>
    <phoneticPr fontId="144" type="noConversion"/>
  </si>
  <si>
    <t>致函-估价结果-表1-大</t>
    <phoneticPr fontId="144" type="noConversion"/>
  </si>
  <si>
    <t>致函-估价结果-表1-优先（大）</t>
    <phoneticPr fontId="144" type="noConversion"/>
  </si>
  <si>
    <t>致函-估价结果-表1-优先-抵押</t>
    <phoneticPr fontId="144" type="noConversion"/>
  </si>
  <si>
    <t>致函-估价结果-表1-优先-工程</t>
    <phoneticPr fontId="144" type="noConversion"/>
  </si>
  <si>
    <t>致函-估价结果-表1-优先-其他</t>
    <phoneticPr fontId="144" type="noConversion"/>
  </si>
  <si>
    <t>致函-估价结果-表1-抵押（大）</t>
    <phoneticPr fontId="144" type="noConversion"/>
  </si>
  <si>
    <t>致函-估价结果-表1-已注（大）</t>
    <phoneticPr fontId="144" type="noConversion"/>
  </si>
  <si>
    <t>致函-估价结果-表1-净值（单）</t>
    <phoneticPr fontId="144" type="noConversion"/>
  </si>
  <si>
    <t>致函-估价结果-表1-净值（大）</t>
    <phoneticPr fontId="144" type="noConversion"/>
  </si>
  <si>
    <t>致函-估价结果-表2-土地面积</t>
    <phoneticPr fontId="144" type="noConversion"/>
  </si>
  <si>
    <t>致函-估价结果-表2-地（总）</t>
    <phoneticPr fontId="144" type="noConversion"/>
  </si>
  <si>
    <t>致函-估价结果-表2-地（单）</t>
    <phoneticPr fontId="144" type="noConversion"/>
  </si>
  <si>
    <t>致函-估价结果-表2-地（大）</t>
    <phoneticPr fontId="144" type="noConversion"/>
  </si>
  <si>
    <t>致函-估价结果-表2-建（总）</t>
    <phoneticPr fontId="144" type="noConversion"/>
  </si>
  <si>
    <t>致函-估价结果-表2-建（单）</t>
    <phoneticPr fontId="144" type="noConversion"/>
  </si>
  <si>
    <t>致函-特别提示-1</t>
    <phoneticPr fontId="144" type="noConversion"/>
  </si>
  <si>
    <t>致函-特别提示-2</t>
  </si>
  <si>
    <t>致函-特别提示-优先受偿-1</t>
    <phoneticPr fontId="144" type="noConversion"/>
  </si>
  <si>
    <t>致函-特别提示-优先受偿-2</t>
  </si>
  <si>
    <t>致函-特别提示-优先受偿-3</t>
  </si>
  <si>
    <t>致函-特别提示-优先受偿-4</t>
  </si>
  <si>
    <t>致函-特别提示-4</t>
    <phoneticPr fontId="144" type="noConversion"/>
  </si>
  <si>
    <t>致函-特别提示-5</t>
  </si>
  <si>
    <t>致函-出具日期</t>
    <phoneticPr fontId="136" type="noConversion"/>
  </si>
  <si>
    <t>致函-估价师1</t>
    <phoneticPr fontId="136" type="noConversion"/>
  </si>
  <si>
    <t>致函-估价师1-证号</t>
    <phoneticPr fontId="136" type="noConversion"/>
  </si>
  <si>
    <t>致函-估价师2</t>
    <phoneticPr fontId="136" type="noConversion"/>
  </si>
  <si>
    <t>致函-估价师2-证号</t>
    <phoneticPr fontId="136" type="noConversion"/>
  </si>
  <si>
    <t>致函-估价对象-现房-1</t>
    <phoneticPr fontId="136" type="noConversion"/>
  </si>
  <si>
    <t>致函-估价对象-现房-2</t>
  </si>
  <si>
    <t>致函-估价对象-在建-1</t>
    <phoneticPr fontId="136" type="noConversion"/>
  </si>
  <si>
    <t>致函-估价对象-在建-2</t>
  </si>
  <si>
    <t>致函-特别提示-优先受偿-5</t>
  </si>
  <si>
    <t>致函-特别提示-6</t>
  </si>
  <si>
    <t>致函-特别提示-7</t>
  </si>
  <si>
    <t>致函-估价结果-表2-地（名称）</t>
    <phoneticPr fontId="144" type="noConversion"/>
  </si>
  <si>
    <t>致函-估价结果-表2-建（名称）</t>
    <phoneticPr fontId="144" type="noConversion"/>
  </si>
  <si>
    <t>致函-估价结果-表2-土地面积（名称）</t>
    <phoneticPr fontId="144" type="noConversion"/>
  </si>
  <si>
    <t>致函-估价结果-表1-抵押（单）</t>
    <phoneticPr fontId="144" type="noConversion"/>
  </si>
  <si>
    <t>致函-估价结果-表1-已注（单）</t>
    <phoneticPr fontId="144" type="noConversion"/>
  </si>
  <si>
    <t>致函-估价结果-表1-已注（名称）</t>
    <phoneticPr fontId="144" type="noConversion"/>
  </si>
  <si>
    <t>致函-估价结果-表1-净值（名称）</t>
    <phoneticPr fontId="144" type="noConversion"/>
  </si>
  <si>
    <t>致函-估价结果-表2-建（大）</t>
  </si>
  <si>
    <t>致函-估价结果-表2-已注（名称）</t>
    <phoneticPr fontId="144" type="noConversion"/>
  </si>
  <si>
    <t>致函-估价结果-表2-净值（名称）</t>
    <phoneticPr fontId="144" type="noConversion"/>
  </si>
  <si>
    <t>本次估价的“房地产抵押价值”是指估价对象在价值时点的“房地产价值”扣减估价师于价值时点所知悉的法定优先受偿款后的余额。</t>
    <phoneticPr fontId="85" type="noConversion"/>
  </si>
  <si>
    <t>本次估价的“抵押担保权已注销时的房地产抵押价值”是指估价对象在价值时点的“房地产价值”扣减估价师于价值时点所知悉的除抵押担保权以外的其他法定优先受偿款后的余额。</t>
    <phoneticPr fontId="85" type="noConversion"/>
  </si>
  <si>
    <t>本次估价的“抵押净值”是指估价对象“房地产抵押价值”减去估价对象在价值时点以“房地产销售收入”为基数计算的预计抵押权实现进行处置时需缴纳的各项费用、税金等相关费用后的价值。</t>
    <phoneticPr fontId="85" type="noConversion"/>
  </si>
  <si>
    <t>为估价委托人了解估价对象房地产市场价值提供参考依据。</t>
    <phoneticPr fontId="18"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</si>
  <si>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</si>
  <si>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5" type="noConversion"/>
  </si>
  <si>
    <t>致函-估价结果-表1-优先（名称）</t>
    <phoneticPr fontId="144" type="noConversion"/>
  </si>
  <si>
    <t>致函-估价结果-表2-建筑面积（名称）</t>
    <phoneticPr fontId="144" type="noConversion"/>
  </si>
  <si>
    <t>致函-估价结果-表2-建筑面积</t>
    <phoneticPr fontId="144" type="noConversion"/>
  </si>
  <si>
    <t>致函-估价结果-表2-项目名称</t>
    <phoneticPr fontId="144" type="noConversion"/>
  </si>
  <si>
    <t>致函-估价结果-表1-抵押（名称）</t>
    <phoneticPr fontId="144" type="noConversion"/>
  </si>
  <si>
    <t>致函-估价结果-表1-抵押（总）</t>
    <phoneticPr fontId="144" type="noConversion"/>
  </si>
  <si>
    <t>致函-估价结果-表1-优先（总）</t>
    <phoneticPr fontId="144" type="noConversion"/>
  </si>
  <si>
    <t>致函-估价结果-表1-已注（总）</t>
    <phoneticPr fontId="144" type="noConversion"/>
  </si>
  <si>
    <t>致函-估价结果-表1-净值（总）</t>
    <phoneticPr fontId="144" type="noConversion"/>
  </si>
  <si>
    <t>致函-估价结果-表2-抵押（名称）</t>
    <phoneticPr fontId="136" type="noConversion"/>
  </si>
  <si>
    <t>致函-估价结果-表2-优先（名称）</t>
    <phoneticPr fontId="14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</si>
  <si>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4" type="noConversion"/>
  </si>
  <si>
    <t>致函-其他专业人员</t>
    <phoneticPr fontId="136" type="noConversion"/>
  </si>
  <si>
    <t>价值时点</t>
    <phoneticPr fontId="5" type="noConversion"/>
  </si>
  <si>
    <t>开发期</t>
    <phoneticPr fontId="136" type="noConversion"/>
  </si>
  <si>
    <t>贷款利率</t>
    <phoneticPr fontId="5" type="noConversion"/>
  </si>
  <si>
    <t>贷款利率</t>
    <phoneticPr fontId="136" type="noConversion"/>
  </si>
  <si>
    <t>存款利率</t>
    <phoneticPr fontId="136" type="noConversion"/>
  </si>
  <si>
    <t>半年以内（含）</t>
    <phoneticPr fontId="5" type="noConversion"/>
  </si>
  <si>
    <t>0.5-1年（含）</t>
    <phoneticPr fontId="5" type="noConversion"/>
  </si>
  <si>
    <t>1-3年（含）</t>
    <phoneticPr fontId="5" type="noConversion"/>
  </si>
  <si>
    <t>3-5年（含）</t>
    <phoneticPr fontId="5" type="noConversion"/>
  </si>
  <si>
    <t>5年以上</t>
    <phoneticPr fontId="5" type="noConversion"/>
  </si>
  <si>
    <t>更新利率时，不要插入或删减行，会影响公式判断。当期行（13行）为固定行，只录入当期数据，如有更新，需要将历史数据从第14行起复制黏贴</t>
    <phoneticPr fontId="13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</si>
  <si>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</si>
  <si>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</si>
  <si>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5" type="noConversion"/>
  </si>
  <si>
    <t>日期</t>
  </si>
  <si>
    <t>短期</t>
  </si>
  <si>
    <t>中长期</t>
  </si>
  <si>
    <t>个人住房公积金</t>
  </si>
  <si>
    <t>活期</t>
  </si>
  <si>
    <t>整存整取</t>
  </si>
  <si>
    <t>零存整取</t>
    <phoneticPr fontId="5" type="noConversion"/>
  </si>
  <si>
    <t>协定</t>
  </si>
  <si>
    <t>一天通</t>
  </si>
  <si>
    <t>七天通</t>
  </si>
  <si>
    <t>0半年以内（含）</t>
    <phoneticPr fontId="5" type="noConversion"/>
  </si>
  <si>
    <t>0.5-1年（含）</t>
    <phoneticPr fontId="5" type="noConversion"/>
  </si>
  <si>
    <t>1-3年（含）</t>
    <phoneticPr fontId="5" type="noConversion"/>
  </si>
  <si>
    <t>3-5年（含）</t>
    <phoneticPr fontId="5" type="noConversion"/>
  </si>
  <si>
    <t>5年以</t>
  </si>
  <si>
    <t>3个月</t>
  </si>
  <si>
    <t>当期</t>
  </si>
  <si>
    <t>--</t>
  </si>
  <si>
    <t>1年期存款利率</t>
    <phoneticPr fontId="5" type="noConversion"/>
  </si>
  <si>
    <t>A</t>
    <phoneticPr fontId="18" type="noConversion"/>
  </si>
  <si>
    <t>B</t>
    <phoneticPr fontId="18" type="noConversion"/>
  </si>
  <si>
    <t>C</t>
    <phoneticPr fontId="20" type="noConversion"/>
  </si>
  <si>
    <t>D</t>
    <phoneticPr fontId="20" type="noConversion"/>
  </si>
  <si>
    <t>E</t>
    <phoneticPr fontId="20" type="noConversion"/>
  </si>
  <si>
    <r>
      <t>3</t>
    </r>
    <r>
      <rPr>
        <sz val="11"/>
        <color theme="1"/>
        <rFont val="宋体"/>
        <family val="3"/>
        <charset val="134"/>
      </rPr>
      <t>）</t>
    </r>
    <phoneticPr fontId="18" type="noConversion"/>
  </si>
  <si>
    <t>估价对象10</t>
  </si>
  <si>
    <t>估价对象9</t>
  </si>
  <si>
    <t>估价对象8</t>
  </si>
  <si>
    <t>估价对象7</t>
  </si>
  <si>
    <t>估价对象6</t>
  </si>
  <si>
    <t>估价对象5</t>
  </si>
  <si>
    <t>估价对象4</t>
  </si>
  <si>
    <t>估价对象3</t>
  </si>
  <si>
    <t>估价对象2</t>
    <phoneticPr fontId="136" type="noConversion"/>
  </si>
  <si>
    <t>估价对象1（本表）</t>
    <phoneticPr fontId="136" type="noConversion"/>
  </si>
  <si>
    <t>抵押净值（万元）</t>
    <phoneticPr fontId="136" type="noConversion"/>
  </si>
  <si>
    <t>抵押价值（万元）</t>
    <phoneticPr fontId="136"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</si>
  <si>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6" type="noConversion"/>
  </si>
  <si>
    <t>租金</t>
    <phoneticPr fontId="136" type="noConversion"/>
  </si>
  <si>
    <t>总投</t>
    <phoneticPr fontId="136" type="noConversion"/>
  </si>
  <si>
    <t>抵押价值</t>
  </si>
  <si>
    <t>市场价值</t>
  </si>
  <si>
    <t>地面单价（元/平方米）</t>
    <phoneticPr fontId="136" type="noConversion"/>
  </si>
  <si>
    <t>楼面单价（元/平方米）</t>
  </si>
  <si>
    <t>总价（万元）</t>
  </si>
  <si>
    <t>价值类型</t>
  </si>
  <si>
    <t>价值时点/估价期日</t>
    <phoneticPr fontId="136" type="noConversion"/>
  </si>
  <si>
    <t>抵押价值-已注销（万元）</t>
    <phoneticPr fontId="136" type="noConversion"/>
  </si>
  <si>
    <t>抵押价值-已注销</t>
    <phoneticPr fontId="136"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</si>
  <si>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6"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</si>
  <si>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6" type="noConversion"/>
  </si>
  <si>
    <t>市场价值（万元）</t>
    <phoneticPr fontId="136"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</si>
  <si>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6" type="noConversion"/>
  </si>
  <si>
    <t>项目名称</t>
    <phoneticPr fontId="136" type="noConversion"/>
  </si>
  <si>
    <t>重置成新价</t>
    <phoneticPr fontId="136"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</si>
  <si>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5" type="noConversion"/>
  </si>
  <si>
    <t>用途</t>
  </si>
  <si>
    <t>商业</t>
  </si>
  <si>
    <t>居住</t>
  </si>
  <si>
    <t>土地级别</t>
  </si>
  <si>
    <t>商服</t>
    <phoneticPr fontId="5" type="noConversion"/>
  </si>
  <si>
    <t>2017-2</t>
    <phoneticPr fontId="5"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</si>
  <si>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5" type="noConversion"/>
  </si>
  <si>
    <r>
      <rPr>
        <i/>
        <sz val="10"/>
        <color indexed="8"/>
        <rFont val="宋体"/>
        <family val="3"/>
        <charset val="134"/>
      </rPr>
      <t>（自定义押金）</t>
    </r>
    <r>
      <rPr>
        <b/>
        <i/>
        <sz val="10"/>
        <color rgb="FFFF0000"/>
        <rFont val="宋体"/>
        <family val="3"/>
        <charset val="134"/>
      </rPr>
      <t>单位：元</t>
    </r>
    <phoneticPr fontId="5" type="noConversion"/>
  </si>
  <si>
    <r>
      <t>3</t>
    </r>
    <r>
      <rPr>
        <sz val="10"/>
        <color indexed="8"/>
        <rFont val="宋体"/>
        <family val="3"/>
        <charset val="134"/>
      </rPr>
      <t>）</t>
    </r>
    <phoneticPr fontId="5" type="noConversion"/>
  </si>
  <si>
    <r>
      <t>4</t>
    </r>
    <r>
      <rPr>
        <sz val="10"/>
        <color indexed="8"/>
        <rFont val="宋体"/>
        <family val="3"/>
        <charset val="134"/>
      </rPr>
      <t>）</t>
    </r>
    <phoneticPr fontId="5" type="noConversion"/>
  </si>
  <si>
    <r>
      <t>5</t>
    </r>
    <r>
      <rPr>
        <sz val="10"/>
        <color indexed="8"/>
        <rFont val="宋体"/>
        <family val="3"/>
        <charset val="134"/>
      </rPr>
      <t>）</t>
    </r>
    <phoneticPr fontId="5" type="noConversion"/>
  </si>
  <si>
    <r>
      <rPr>
        <sz val="10"/>
        <color indexed="8"/>
        <rFont val="宋体"/>
        <family val="3"/>
        <charset val="134"/>
      </rPr>
      <t>（</t>
    </r>
    <r>
      <rPr>
        <sz val="10"/>
        <color indexed="8"/>
        <rFont val="Arial"/>
        <family val="2"/>
      </rPr>
      <t>4</t>
    </r>
    <r>
      <rPr>
        <sz val="10"/>
        <color indexed="8"/>
        <rFont val="宋体"/>
        <family val="3"/>
        <charset val="134"/>
      </rPr>
      <t>）</t>
    </r>
    <phoneticPr fontId="5" type="noConversion"/>
  </si>
  <si>
    <r>
      <rPr>
        <sz val="10"/>
        <color indexed="8"/>
        <rFont val="宋体"/>
        <family val="3"/>
        <charset val="134"/>
      </rPr>
      <t>（</t>
    </r>
    <r>
      <rPr>
        <sz val="10"/>
        <color indexed="8"/>
        <rFont val="Arial"/>
        <family val="2"/>
      </rPr>
      <t>4</t>
    </r>
    <r>
      <rPr>
        <sz val="10"/>
        <color indexed="8"/>
        <rFont val="宋体"/>
        <family val="3"/>
        <charset val="134"/>
      </rPr>
      <t>）</t>
    </r>
    <phoneticPr fontId="5" type="noConversion"/>
  </si>
  <si>
    <r>
      <rPr>
        <b/>
        <sz val="12"/>
        <rFont val="宋体"/>
        <family val="3"/>
        <charset val="134"/>
      </rPr>
      <t>总价</t>
    </r>
    <phoneticPr fontId="20" type="noConversion"/>
  </si>
  <si>
    <r>
      <rPr>
        <b/>
        <sz val="12"/>
        <rFont val="宋体"/>
        <family val="3"/>
        <charset val="134"/>
      </rPr>
      <t>楼面单价</t>
    </r>
    <phoneticPr fontId="20" type="noConversion"/>
  </si>
  <si>
    <r>
      <rPr>
        <sz val="10"/>
        <color indexed="8"/>
        <rFont val="宋体"/>
        <family val="3"/>
        <charset val="134"/>
      </rPr>
      <t>序号</t>
    </r>
    <phoneticPr fontId="5" type="noConversion"/>
  </si>
  <si>
    <r>
      <rPr>
        <sz val="10"/>
        <color indexed="8"/>
        <rFont val="宋体"/>
        <family val="3"/>
        <charset val="134"/>
      </rPr>
      <t>项目</t>
    </r>
    <phoneticPr fontId="5" type="noConversion"/>
  </si>
  <si>
    <r>
      <rPr>
        <sz val="10"/>
        <color indexed="8"/>
        <rFont val="宋体"/>
        <family val="3"/>
        <charset val="134"/>
      </rPr>
      <t>数额</t>
    </r>
    <phoneticPr fontId="5" type="noConversion"/>
  </si>
  <si>
    <r>
      <rPr>
        <sz val="10"/>
        <color indexed="8"/>
        <rFont val="宋体"/>
        <family val="3"/>
        <charset val="134"/>
      </rPr>
      <t>计算公式</t>
    </r>
    <phoneticPr fontId="5" type="noConversion"/>
  </si>
  <si>
    <r>
      <rPr>
        <sz val="10"/>
        <color indexed="8"/>
        <rFont val="宋体"/>
        <family val="3"/>
        <charset val="134"/>
      </rPr>
      <t>取费标准</t>
    </r>
    <phoneticPr fontId="5" type="noConversion"/>
  </si>
  <si>
    <r>
      <rPr>
        <b/>
        <sz val="10"/>
        <color indexed="8"/>
        <rFont val="宋体"/>
        <family val="3"/>
        <charset val="134"/>
      </rPr>
      <t>未来第一年年总收益</t>
    </r>
    <phoneticPr fontId="5"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</si>
  <si>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5" type="noConversion"/>
  </si>
  <si>
    <r>
      <rPr>
        <sz val="10"/>
        <color indexed="8"/>
        <rFont val="宋体"/>
        <family val="3"/>
        <charset val="134"/>
      </rPr>
      <t>年租金收入（年经营收入）</t>
    </r>
    <phoneticPr fontId="5"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</si>
  <si>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</si>
  <si>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t>
    </r>
    <phoneticPr fontId="5"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</si>
  <si>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5" type="noConversion"/>
  </si>
  <si>
    <r>
      <rPr>
        <sz val="10"/>
        <color indexed="8"/>
        <rFont val="宋体"/>
        <family val="3"/>
        <charset val="134"/>
      </rPr>
      <t>天</t>
    </r>
    <r>
      <rPr>
        <sz val="10"/>
        <color indexed="8"/>
        <rFont val="Arial"/>
        <family val="2"/>
      </rPr>
      <t>/</t>
    </r>
    <r>
      <rPr>
        <sz val="10"/>
        <color indexed="8"/>
        <rFont val="宋体"/>
        <family val="3"/>
        <charset val="134"/>
      </rPr>
      <t>月</t>
    </r>
    <phoneticPr fontId="5"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</si>
  <si>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5" type="noConversion"/>
  </si>
  <si>
    <r>
      <rPr>
        <sz val="10"/>
        <color indexed="8"/>
        <rFont val="宋体"/>
        <family val="3"/>
        <charset val="134"/>
      </rPr>
      <t>押金利息收入</t>
    </r>
    <phoneticPr fontId="5" type="noConversion"/>
  </si>
  <si>
    <r>
      <rPr>
        <sz val="10"/>
        <color indexed="8"/>
        <rFont val="宋体"/>
        <family val="3"/>
        <charset val="134"/>
      </rPr>
      <t>押金方式</t>
    </r>
    <phoneticPr fontId="5" type="noConversion"/>
  </si>
  <si>
    <r>
      <rPr>
        <sz val="10"/>
        <color indexed="8"/>
        <rFont val="宋体"/>
        <family val="3"/>
        <charset val="134"/>
      </rPr>
      <t>一年期存款利率</t>
    </r>
    <phoneticPr fontId="5" type="noConversion"/>
  </si>
  <si>
    <r>
      <rPr>
        <sz val="10"/>
        <color indexed="8"/>
        <rFont val="宋体"/>
        <family val="3"/>
        <charset val="134"/>
      </rPr>
      <t>其他收入</t>
    </r>
    <phoneticPr fontId="5" type="noConversion"/>
  </si>
  <si>
    <r>
      <rPr>
        <b/>
        <sz val="10"/>
        <color indexed="8"/>
        <rFont val="宋体"/>
        <family val="3"/>
        <charset val="134"/>
      </rPr>
      <t>建筑物现值</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</si>
  <si>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5"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</si>
  <si>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5"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</si>
  <si>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</si>
  <si>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</si>
  <si>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建筑物重置价值</t>
    </r>
    <phoneticPr fontId="5"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</si>
  <si>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</si>
  <si>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</si>
  <si>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</si>
  <si>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rPr>
        <sz val="10"/>
        <color indexed="8"/>
        <rFont val="宋体"/>
        <family val="3"/>
        <charset val="134"/>
      </rPr>
      <t>公共配套设施费用</t>
    </r>
  </si>
  <si>
    <r>
      <rPr>
        <b/>
        <sz val="10"/>
        <color indexed="8"/>
        <rFont val="宋体"/>
        <family val="3"/>
        <charset val="134"/>
      </rPr>
      <t>年经营费用</t>
    </r>
    <phoneticPr fontId="5"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</si>
  <si>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5"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</si>
  <si>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</si>
  <si>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</si>
  <si>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5"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</si>
  <si>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</si>
  <si>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5" type="noConversion"/>
  </si>
  <si>
    <r>
      <rPr>
        <sz val="10"/>
        <color indexed="8"/>
        <rFont val="宋体"/>
        <family val="3"/>
        <charset val="134"/>
      </rPr>
      <t>综合税率</t>
    </r>
    <phoneticPr fontId="5" type="noConversion"/>
  </si>
  <si>
    <r>
      <rPr>
        <sz val="10"/>
        <color indexed="8"/>
        <rFont val="宋体"/>
        <family val="3"/>
        <charset val="134"/>
      </rPr>
      <t>相关税费</t>
    </r>
  </si>
  <si>
    <r>
      <rPr>
        <sz val="10"/>
        <color indexed="8"/>
        <rFont val="宋体"/>
        <family val="3"/>
        <charset val="134"/>
      </rPr>
      <t>两税两费</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</si>
  <si>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</si>
  <si>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</si>
  <si>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5" type="noConversion"/>
  </si>
  <si>
    <r>
      <rPr>
        <sz val="10"/>
        <color indexed="8"/>
        <rFont val="宋体"/>
        <family val="3"/>
        <charset val="134"/>
      </rPr>
      <t>房产税</t>
    </r>
    <phoneticPr fontId="5"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</si>
  <si>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</si>
  <si>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5" type="noConversion"/>
  </si>
  <si>
    <r>
      <rPr>
        <sz val="10"/>
        <color indexed="8"/>
        <rFont val="宋体"/>
        <family val="3"/>
        <charset val="134"/>
      </rPr>
      <t>城镇土地使用税</t>
    </r>
    <phoneticPr fontId="5"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</si>
  <si>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</si>
  <si>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5" type="noConversion"/>
  </si>
  <si>
    <r>
      <rPr>
        <sz val="10"/>
        <color indexed="8"/>
        <rFont val="宋体"/>
        <family val="3"/>
        <charset val="134"/>
      </rPr>
      <t>销售费用</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</si>
  <si>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5"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</si>
  <si>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5" type="noConversion"/>
  </si>
  <si>
    <r>
      <rPr>
        <sz val="10"/>
        <color indexed="8"/>
        <rFont val="宋体"/>
        <family val="3"/>
        <charset val="134"/>
      </rPr>
      <t>土地面积（㎡）</t>
    </r>
    <phoneticPr fontId="5" type="noConversion"/>
  </si>
  <si>
    <r>
      <rPr>
        <sz val="10"/>
        <color indexed="8"/>
        <rFont val="宋体"/>
        <family val="3"/>
        <charset val="134"/>
      </rPr>
      <t>贷款利息</t>
    </r>
    <phoneticPr fontId="5" type="noConversion"/>
  </si>
  <si>
    <r>
      <rPr>
        <sz val="10"/>
        <color indexed="8"/>
        <rFont val="宋体"/>
        <family val="3"/>
        <charset val="134"/>
      </rPr>
      <t>维修费</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</si>
  <si>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5"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</si>
  <si>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5" type="noConversion"/>
  </si>
  <si>
    <r>
      <rPr>
        <sz val="10"/>
        <color indexed="8"/>
        <rFont val="宋体"/>
        <family val="3"/>
        <charset val="134"/>
      </rPr>
      <t>建设周期（年）</t>
    </r>
    <phoneticPr fontId="5"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</si>
  <si>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</si>
  <si>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</si>
  <si>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</si>
  <si>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t>2</t>
    </r>
    <r>
      <rPr>
        <sz val="10"/>
        <color indexed="8"/>
        <rFont val="宋体"/>
        <family val="3"/>
        <charset val="134"/>
      </rPr>
      <t>）</t>
    </r>
    <phoneticPr fontId="5" type="noConversion"/>
  </si>
  <si>
    <r>
      <rPr>
        <sz val="10"/>
        <color indexed="8"/>
        <rFont val="宋体"/>
        <family val="3"/>
        <charset val="134"/>
      </rPr>
      <t>销售费用产生的利息</t>
    </r>
    <phoneticPr fontId="5" type="noConversion"/>
  </si>
  <si>
    <r>
      <rPr>
        <sz val="10"/>
        <color indexed="8"/>
        <rFont val="宋体"/>
        <family val="3"/>
        <charset val="134"/>
      </rPr>
      <t>利息（</t>
    </r>
    <r>
      <rPr>
        <sz val="10"/>
        <color indexed="8"/>
        <rFont val="Arial"/>
        <family val="2"/>
      </rPr>
      <t>%</t>
    </r>
    <r>
      <rPr>
        <sz val="10"/>
        <color indexed="8"/>
        <rFont val="宋体"/>
        <family val="3"/>
        <charset val="134"/>
      </rPr>
      <t>）</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</si>
  <si>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5" type="noConversion"/>
  </si>
  <si>
    <r>
      <rPr>
        <sz val="10"/>
        <color indexed="8"/>
        <rFont val="宋体"/>
        <family val="3"/>
        <charset val="134"/>
      </rPr>
      <t>（</t>
    </r>
    <r>
      <rPr>
        <sz val="10"/>
        <color indexed="8"/>
        <rFont val="Arial"/>
        <family val="2"/>
      </rPr>
      <t>5</t>
    </r>
    <r>
      <rPr>
        <sz val="10"/>
        <color indexed="8"/>
        <rFont val="宋体"/>
        <family val="3"/>
        <charset val="134"/>
      </rPr>
      <t>）</t>
    </r>
    <phoneticPr fontId="5"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</si>
  <si>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</si>
  <si>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5" type="noConversion"/>
  </si>
  <si>
    <r>
      <rPr>
        <b/>
        <sz val="10"/>
        <color indexed="8"/>
        <rFont val="宋体"/>
        <family val="3"/>
        <charset val="134"/>
      </rPr>
      <t>房地产未来第一年净收益</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</si>
  <si>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5"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</si>
  <si>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5"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</si>
  <si>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5"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</si>
  <si>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5" type="noConversion"/>
  </si>
  <si>
    <r>
      <rPr>
        <b/>
        <sz val="10"/>
        <color indexed="8"/>
        <rFont val="宋体"/>
        <family val="3"/>
        <charset val="134"/>
      </rPr>
      <t>租约外房地产收益价值</t>
    </r>
    <phoneticPr fontId="5" type="noConversion"/>
  </si>
  <si>
    <r>
      <rPr>
        <sz val="10"/>
        <color indexed="8"/>
        <rFont val="宋体"/>
        <family val="3"/>
        <charset val="134"/>
      </rPr>
      <t>房地产未来第一年净收益</t>
    </r>
    <r>
      <rPr>
        <sz val="10"/>
        <color indexed="8"/>
        <rFont val="Arial"/>
        <family val="2"/>
      </rPr>
      <t>×</t>
    </r>
    <phoneticPr fontId="5"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</si>
  <si>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5"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</si>
  <si>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</si>
  <si>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5"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</si>
  <si>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5" type="noConversion"/>
  </si>
  <si>
    <r>
      <rPr>
        <sz val="10"/>
        <color indexed="8"/>
        <rFont val="宋体"/>
        <family val="3"/>
        <charset val="134"/>
      </rPr>
      <t>收益年期</t>
    </r>
    <r>
      <rPr>
        <sz val="10"/>
        <color indexed="8"/>
        <rFont val="Arial"/>
        <family val="2"/>
      </rPr>
      <t>(n)</t>
    </r>
    <phoneticPr fontId="5"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</si>
  <si>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</si>
  <si>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</si>
  <si>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0"/>
        <color indexed="8"/>
        <rFont val="宋体"/>
        <family val="3"/>
        <charset val="134"/>
      </rPr>
      <t>年增长比率</t>
    </r>
    <r>
      <rPr>
        <sz val="10"/>
        <color indexed="8"/>
        <rFont val="Arial"/>
        <family val="2"/>
      </rPr>
      <t>(g)</t>
    </r>
    <phoneticPr fontId="5"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</si>
  <si>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5" type="noConversion"/>
  </si>
  <si>
    <r>
      <rPr>
        <b/>
        <sz val="10"/>
        <color indexed="8"/>
        <rFont val="宋体"/>
        <family val="3"/>
        <charset val="134"/>
      </rPr>
      <t>折现价值</t>
    </r>
    <phoneticPr fontId="5"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</si>
  <si>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</si>
  <si>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综合税率</t>
    </r>
    <phoneticPr fontId="22"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</si>
  <si>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5" type="noConversion"/>
  </si>
  <si>
    <r>
      <rPr>
        <b/>
        <sz val="10"/>
        <color indexed="8"/>
        <rFont val="宋体"/>
        <family val="3"/>
        <charset val="134"/>
      </rPr>
      <t>房地产未来第一年净收益</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</si>
  <si>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5" type="noConversion"/>
  </si>
  <si>
    <r>
      <rPr>
        <b/>
        <sz val="10"/>
        <color indexed="8"/>
        <rFont val="宋体"/>
        <family val="3"/>
        <charset val="134"/>
      </rPr>
      <t>收益价值</t>
    </r>
    <phoneticPr fontId="5"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</si>
  <si>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2"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</si>
  <si>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5"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</si>
  <si>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</si>
  <si>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建筑面积（㎡）</t>
    </r>
    <phoneticPr fontId="5" type="noConversion"/>
  </si>
  <si>
    <r>
      <rPr>
        <b/>
        <sz val="10"/>
        <color indexed="8"/>
        <rFont val="宋体"/>
        <family val="3"/>
        <charset val="134"/>
      </rPr>
      <t>租金收入</t>
    </r>
    <phoneticPr fontId="5" type="noConversion"/>
  </si>
  <si>
    <r>
      <rPr>
        <sz val="10"/>
        <color indexed="8"/>
        <rFont val="宋体"/>
        <family val="3"/>
        <charset val="134"/>
      </rPr>
      <t>市场租金</t>
    </r>
    <phoneticPr fontId="5" type="noConversion"/>
  </si>
  <si>
    <r>
      <t>2</t>
    </r>
    <r>
      <rPr>
        <sz val="10"/>
        <color indexed="8"/>
        <rFont val="宋体"/>
        <family val="3"/>
        <charset val="134"/>
      </rPr>
      <t>）</t>
    </r>
  </si>
  <si>
    <r>
      <rPr>
        <sz val="10"/>
        <color indexed="8"/>
        <rFont val="宋体"/>
        <family val="3"/>
        <charset val="134"/>
      </rPr>
      <t>房产税</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</si>
  <si>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</si>
  <si>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t>3</t>
    </r>
    <r>
      <rPr>
        <sz val="10"/>
        <color indexed="8"/>
        <rFont val="宋体"/>
        <family val="3"/>
        <charset val="134"/>
      </rPr>
      <t>）</t>
    </r>
  </si>
  <si>
    <r>
      <rPr>
        <sz val="10"/>
        <color indexed="8"/>
        <rFont val="宋体"/>
        <family val="3"/>
        <charset val="134"/>
      </rPr>
      <t>城镇土地使用税</t>
    </r>
    <phoneticPr fontId="5"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</si>
  <si>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</si>
  <si>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5" type="noConversion"/>
  </si>
  <si>
    <r>
      <rPr>
        <sz val="10"/>
        <color indexed="8"/>
        <rFont val="宋体"/>
        <family val="3"/>
        <charset val="134"/>
      </rPr>
      <t>土地面积（㎡）</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</si>
  <si>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</si>
  <si>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r>
      <rPr>
        <sz val="10"/>
        <color indexed="8"/>
        <rFont val="宋体"/>
        <family val="3"/>
        <charset val="134"/>
      </rPr>
      <t>维修费</t>
    </r>
    <phoneticPr fontId="5"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</si>
  <si>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5"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</si>
  <si>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</si>
  <si>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</si>
  <si>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5" type="noConversion"/>
  </si>
  <si>
    <r>
      <rPr>
        <sz val="10"/>
        <rFont val="宋体"/>
        <family val="3"/>
        <charset val="134"/>
      </rPr>
      <t>房屋年纯收益</t>
    </r>
    <phoneticPr fontId="5" type="noConversion"/>
  </si>
  <si>
    <r>
      <rPr>
        <sz val="10"/>
        <rFont val="宋体"/>
        <family val="3"/>
        <charset val="134"/>
      </rPr>
      <t>建筑物资本化率</t>
    </r>
    <phoneticPr fontId="5" type="noConversion"/>
  </si>
  <si>
    <r>
      <rPr>
        <b/>
        <sz val="10"/>
        <color indexed="8"/>
        <rFont val="宋体"/>
        <family val="3"/>
        <charset val="134"/>
      </rPr>
      <t>确定合理的建筑物与土地价值比例</t>
    </r>
    <phoneticPr fontId="5" type="noConversion"/>
  </si>
  <si>
    <r>
      <t>1.</t>
    </r>
    <r>
      <rPr>
        <b/>
        <sz val="10"/>
        <color indexed="10"/>
        <rFont val="宋体"/>
        <family val="3"/>
        <charset val="134"/>
      </rPr>
      <t>收益比率</t>
    </r>
    <phoneticPr fontId="5" type="noConversion"/>
  </si>
  <si>
    <r>
      <rPr>
        <sz val="10"/>
        <rFont val="宋体"/>
        <family val="3"/>
        <charset val="134"/>
      </rPr>
      <t>土地收益比率</t>
    </r>
    <phoneticPr fontId="5" type="noConversion"/>
  </si>
  <si>
    <r>
      <rPr>
        <sz val="10"/>
        <rFont val="宋体"/>
        <family val="3"/>
        <charset val="134"/>
      </rPr>
      <t>建筑物收益比率</t>
    </r>
    <phoneticPr fontId="5" type="noConversion"/>
  </si>
  <si>
    <r>
      <t>2.</t>
    </r>
    <r>
      <rPr>
        <b/>
        <sz val="10"/>
        <color indexed="10"/>
        <rFont val="宋体"/>
        <family val="3"/>
        <charset val="134"/>
      </rPr>
      <t>成本比率</t>
    </r>
    <phoneticPr fontId="5" type="noConversion"/>
  </si>
  <si>
    <r>
      <rPr>
        <sz val="10"/>
        <color indexed="8"/>
        <rFont val="宋体"/>
        <family val="3"/>
        <charset val="134"/>
      </rPr>
      <t>土地成本比率</t>
    </r>
    <phoneticPr fontId="5" type="noConversion"/>
  </si>
  <si>
    <r>
      <rPr>
        <sz val="10"/>
        <color indexed="8"/>
        <rFont val="宋体"/>
        <family val="3"/>
        <charset val="134"/>
      </rPr>
      <t>建筑物成本比率</t>
    </r>
    <phoneticPr fontId="5" type="noConversion"/>
  </si>
  <si>
    <r>
      <rPr>
        <b/>
        <sz val="10"/>
        <rFont val="宋体"/>
        <family val="3"/>
        <charset val="134"/>
      </rPr>
      <t>总价</t>
    </r>
    <phoneticPr fontId="20" type="noConversion"/>
  </si>
  <si>
    <r>
      <rPr>
        <sz val="10"/>
        <rFont val="宋体"/>
        <family val="3"/>
        <charset val="134"/>
      </rPr>
      <t>万元</t>
    </r>
    <phoneticPr fontId="5" type="noConversion"/>
  </si>
  <si>
    <r>
      <rPr>
        <b/>
        <sz val="10"/>
        <rFont val="宋体"/>
        <family val="3"/>
        <charset val="134"/>
      </rPr>
      <t>楼面单价</t>
    </r>
    <phoneticPr fontId="20" type="noConversion"/>
  </si>
  <si>
    <r>
      <rPr>
        <sz val="10"/>
        <rFont val="宋体"/>
        <family val="3"/>
        <charset val="134"/>
      </rPr>
      <t>元</t>
    </r>
    <r>
      <rPr>
        <sz val="10"/>
        <rFont val="Arial"/>
        <family val="2"/>
      </rPr>
      <t>/</t>
    </r>
    <r>
      <rPr>
        <sz val="10"/>
        <rFont val="宋体"/>
        <family val="3"/>
        <charset val="134"/>
      </rPr>
      <t>平方米</t>
    </r>
    <phoneticPr fontId="5" type="noConversion"/>
  </si>
  <si>
    <r>
      <rPr>
        <b/>
        <sz val="10"/>
        <color rgb="FFFF0000"/>
        <rFont val="宋体"/>
        <family val="3"/>
        <charset val="134"/>
      </rPr>
      <t>计算建筑物剩余价值折现</t>
    </r>
    <phoneticPr fontId="5" type="noConversion"/>
  </si>
  <si>
    <r>
      <rPr>
        <b/>
        <sz val="10"/>
        <color rgb="FFFF0000"/>
        <rFont val="宋体"/>
        <family val="3"/>
        <charset val="134"/>
      </rPr>
      <t>承租人权益价值</t>
    </r>
    <phoneticPr fontId="5" type="noConversion"/>
  </si>
  <si>
    <r>
      <rPr>
        <b/>
        <sz val="10"/>
        <color rgb="FFFF0000"/>
        <rFont val="宋体"/>
        <family val="3"/>
        <charset val="134"/>
      </rPr>
      <t>超出收益期的土地使用年限或建筑物价值折现计算</t>
    </r>
    <phoneticPr fontId="5"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</si>
  <si>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</si>
  <si>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</si>
  <si>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</si>
  <si>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</si>
  <si>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5" type="noConversion"/>
  </si>
  <si>
    <r>
      <rPr>
        <sz val="10"/>
        <rFont val="宋体"/>
        <family val="3"/>
        <charset val="134"/>
      </rPr>
      <t>土地使用年限</t>
    </r>
    <phoneticPr fontId="5" type="noConversion"/>
  </si>
  <si>
    <r>
      <rPr>
        <sz val="10"/>
        <color theme="1"/>
        <rFont val="宋体"/>
        <family val="3"/>
        <charset val="134"/>
      </rPr>
      <t>收益期内收益价值（万元）</t>
    </r>
    <phoneticPr fontId="5" type="noConversion"/>
  </si>
  <si>
    <r>
      <rPr>
        <sz val="10"/>
        <color theme="1"/>
        <rFont val="宋体"/>
        <family val="3"/>
        <charset val="134"/>
      </rPr>
      <t>依前述测算</t>
    </r>
  </si>
  <si>
    <r>
      <rPr>
        <sz val="10"/>
        <rFont val="宋体"/>
        <family val="3"/>
        <charset val="134"/>
      </rPr>
      <t>建筑使用方向</t>
    </r>
    <phoneticPr fontId="5" type="noConversion"/>
  </si>
  <si>
    <r>
      <rPr>
        <sz val="10"/>
        <color theme="1"/>
        <rFont val="宋体"/>
        <family val="3"/>
        <charset val="134"/>
      </rPr>
      <t>剩余土地使用年限</t>
    </r>
    <phoneticPr fontId="5" type="noConversion"/>
  </si>
  <si>
    <r>
      <rPr>
        <sz val="10"/>
        <color theme="1"/>
        <rFont val="宋体"/>
        <family val="3"/>
        <charset val="134"/>
      </rPr>
      <t>建筑物在收益期结束时的价值折现到价值时点的价值（万元）</t>
    </r>
    <phoneticPr fontId="5"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</si>
  <si>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</si>
  <si>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5" type="noConversion"/>
  </si>
  <si>
    <r>
      <rPr>
        <sz val="10"/>
        <color theme="1"/>
        <rFont val="宋体"/>
        <family val="3"/>
        <charset val="134"/>
      </rPr>
      <t>比较法土地结果</t>
    </r>
    <phoneticPr fontId="5" type="noConversion"/>
  </si>
  <si>
    <r>
      <rPr>
        <sz val="10"/>
        <color theme="1"/>
        <rFont val="宋体"/>
        <family val="3"/>
        <charset val="134"/>
      </rPr>
      <t>建筑物重置价值（万元）</t>
    </r>
    <phoneticPr fontId="5" type="noConversion"/>
  </si>
  <si>
    <r>
      <rPr>
        <sz val="10"/>
        <rFont val="宋体"/>
        <family val="3"/>
        <charset val="134"/>
      </rPr>
      <t>建筑物耐用年限</t>
    </r>
    <phoneticPr fontId="5" type="noConversion"/>
  </si>
  <si>
    <r>
      <rPr>
        <sz val="10"/>
        <color theme="1"/>
        <rFont val="宋体"/>
        <family val="3"/>
        <charset val="134"/>
      </rPr>
      <t>基准地价土地结果</t>
    </r>
    <phoneticPr fontId="5" type="noConversion"/>
  </si>
  <si>
    <r>
      <rPr>
        <sz val="10"/>
        <color theme="1"/>
        <rFont val="宋体"/>
        <family val="3"/>
        <charset val="134"/>
      </rPr>
      <t>成新率（</t>
    </r>
    <r>
      <rPr>
        <sz val="10"/>
        <color theme="1"/>
        <rFont val="Arial"/>
        <family val="2"/>
      </rPr>
      <t>%</t>
    </r>
    <r>
      <rPr>
        <sz val="10"/>
        <color theme="1"/>
        <rFont val="宋体"/>
        <family val="3"/>
        <charset val="134"/>
      </rPr>
      <t>）</t>
    </r>
    <phoneticPr fontId="5" type="noConversion"/>
  </si>
  <si>
    <r>
      <rPr>
        <sz val="10"/>
        <rFont val="宋体"/>
        <family val="3"/>
        <charset val="134"/>
      </rPr>
      <t>建筑物剩余耐用年限</t>
    </r>
    <phoneticPr fontId="5" type="noConversion"/>
  </si>
  <si>
    <r>
      <rPr>
        <sz val="10"/>
        <rFont val="宋体"/>
        <family val="3"/>
        <charset val="134"/>
      </rPr>
      <t>收益还原法土地结果</t>
    </r>
    <phoneticPr fontId="5"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</si>
  <si>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5" type="noConversion"/>
  </si>
  <si>
    <r>
      <rPr>
        <sz val="10"/>
        <rFont val="宋体"/>
        <family val="3"/>
        <charset val="134"/>
      </rPr>
      <t>建筑物报酬率</t>
    </r>
    <phoneticPr fontId="5" type="noConversion"/>
  </si>
  <si>
    <r>
      <rPr>
        <sz val="10"/>
        <rFont val="宋体"/>
        <family val="3"/>
        <charset val="134"/>
      </rPr>
      <t>土地报酬率</t>
    </r>
    <phoneticPr fontId="5"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</si>
  <si>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</si>
  <si>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</si>
  <si>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5"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</si>
  <si>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5" type="noConversion"/>
  </si>
  <si>
    <r>
      <rPr>
        <sz val="10"/>
        <color theme="1"/>
        <rFont val="宋体"/>
        <family val="3"/>
        <charset val="134"/>
      </rPr>
      <t>收益价值（万元）</t>
    </r>
    <phoneticPr fontId="5"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</si>
  <si>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5" type="noConversion"/>
  </si>
  <si>
    <r>
      <rPr>
        <b/>
        <sz val="10"/>
        <rFont val="宋体"/>
        <family val="3"/>
        <charset val="134"/>
      </rPr>
      <t>建筑物计算</t>
    </r>
    <phoneticPr fontId="5" type="noConversion"/>
  </si>
  <si>
    <r>
      <rPr>
        <b/>
        <sz val="10"/>
        <rFont val="宋体"/>
        <family val="3"/>
        <charset val="134"/>
      </rPr>
      <t>土地使用权计算</t>
    </r>
    <phoneticPr fontId="5" type="noConversion"/>
  </si>
  <si>
    <r>
      <rPr>
        <sz val="10"/>
        <rFont val="宋体"/>
        <family val="3"/>
        <charset val="134"/>
      </rPr>
      <t>是否约定土地使用期结束后无偿收回房地产（非住宅）</t>
    </r>
    <phoneticPr fontId="5" type="noConversion"/>
  </si>
  <si>
    <r>
      <rPr>
        <sz val="10"/>
        <rFont val="宋体"/>
        <family val="3"/>
        <charset val="134"/>
      </rPr>
      <t>建筑物耐用年限结束后剩余土地使用年限</t>
    </r>
    <phoneticPr fontId="5" type="noConversion"/>
  </si>
  <si>
    <r>
      <rPr>
        <sz val="10"/>
        <rFont val="宋体"/>
        <family val="3"/>
        <charset val="134"/>
      </rPr>
      <t>土地使用年限结束后建筑物耐用年期</t>
    </r>
    <phoneticPr fontId="5" type="noConversion"/>
  </si>
  <si>
    <r>
      <rPr>
        <sz val="10"/>
        <rFont val="宋体"/>
        <family val="3"/>
        <charset val="134"/>
      </rPr>
      <t>价值时点下的土地价值（土地购买价格）</t>
    </r>
    <r>
      <rPr>
        <sz val="10"/>
        <rFont val="Arial"/>
        <family val="2"/>
      </rPr>
      <t>Vn</t>
    </r>
    <phoneticPr fontId="5" type="noConversion"/>
  </si>
  <si>
    <r>
      <rPr>
        <sz val="10"/>
        <color theme="1"/>
        <rFont val="宋体"/>
        <family val="3"/>
        <charset val="134"/>
      </rPr>
      <t>剩余土地价值折现到价值时点的价值（万元）</t>
    </r>
    <phoneticPr fontId="5"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</si>
  <si>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5" type="noConversion"/>
  </si>
  <si>
    <r>
      <rPr>
        <sz val="10"/>
        <rFont val="宋体"/>
        <family val="3"/>
        <charset val="134"/>
      </rPr>
      <t>土地使用年限结束后建筑物成新度</t>
    </r>
    <phoneticPr fontId="5" type="noConversion"/>
  </si>
  <si>
    <r>
      <rPr>
        <sz val="10"/>
        <rFont val="宋体"/>
        <family val="3"/>
        <charset val="134"/>
      </rPr>
      <t>剩余土地使用年期下的土地年期修正系数</t>
    </r>
    <r>
      <rPr>
        <sz val="10"/>
        <rFont val="Arial"/>
        <family val="2"/>
      </rPr>
      <t>KN</t>
    </r>
    <phoneticPr fontId="5"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</si>
  <si>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5" type="noConversion"/>
  </si>
  <si>
    <r>
      <rPr>
        <sz val="10"/>
        <rFont val="宋体"/>
        <family val="3"/>
        <charset val="134"/>
      </rPr>
      <t>土地使用年限结束后建筑物现值</t>
    </r>
    <phoneticPr fontId="5"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</si>
  <si>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5" type="noConversion"/>
  </si>
  <si>
    <r>
      <rPr>
        <b/>
        <sz val="10"/>
        <rFont val="宋体"/>
        <family val="3"/>
        <charset val="134"/>
      </rPr>
      <t>建筑物剩余价值折现值</t>
    </r>
    <phoneticPr fontId="5" type="noConversion"/>
  </si>
  <si>
    <r>
      <rPr>
        <b/>
        <sz val="10"/>
        <rFont val="宋体"/>
        <family val="3"/>
        <charset val="134"/>
      </rPr>
      <t>剩余土地价值折现值</t>
    </r>
    <phoneticPr fontId="5"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</si>
  <si>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</si>
  <si>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</si>
  <si>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</si>
  <si>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</si>
  <si>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</si>
  <si>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</si>
  <si>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</si>
  <si>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5" type="noConversion"/>
  </si>
  <si>
    <r>
      <rPr>
        <sz val="10"/>
        <color theme="1"/>
        <rFont val="宋体"/>
        <family val="3"/>
        <charset val="134"/>
      </rPr>
      <t>收益价值（万元）</t>
    </r>
    <phoneticPr fontId="5" type="noConversion"/>
  </si>
  <si>
    <r>
      <rPr>
        <sz val="10"/>
        <rFont val="宋体"/>
        <family val="3"/>
        <charset val="134"/>
      </rPr>
      <t>钢</t>
    </r>
    <phoneticPr fontId="5"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</si>
  <si>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5" type="noConversion"/>
  </si>
  <si>
    <r>
      <rPr>
        <sz val="10"/>
        <rFont val="宋体"/>
        <family val="3"/>
        <charset val="134"/>
      </rPr>
      <t>钢混</t>
    </r>
    <phoneticPr fontId="5" type="noConversion"/>
  </si>
  <si>
    <r>
      <rPr>
        <sz val="10"/>
        <rFont val="宋体"/>
        <family val="3"/>
        <charset val="134"/>
      </rPr>
      <t>砖混</t>
    </r>
    <phoneticPr fontId="5" type="noConversion"/>
  </si>
  <si>
    <r>
      <rPr>
        <sz val="10"/>
        <color theme="1"/>
        <rFont val="宋体"/>
        <family val="3"/>
        <charset val="134"/>
      </rPr>
      <t>收益期内收益价值（万元）</t>
    </r>
    <phoneticPr fontId="5"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</si>
  <si>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</si>
  <si>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5"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</si>
  <si>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5" type="noConversion"/>
  </si>
  <si>
    <r>
      <rPr>
        <sz val="10"/>
        <color rgb="FF000000"/>
        <rFont val="宋体"/>
        <family val="3"/>
        <charset val="134"/>
      </rPr>
      <t>房地纯收益（万元）</t>
    </r>
    <phoneticPr fontId="5" type="noConversion"/>
  </si>
  <si>
    <r>
      <rPr>
        <sz val="10"/>
        <color rgb="FF000000"/>
        <rFont val="宋体"/>
        <family val="3"/>
        <charset val="134"/>
      </rPr>
      <t>建筑物现值（万元）</t>
    </r>
    <phoneticPr fontId="5"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</si>
  <si>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5"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</si>
  <si>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5" type="noConversion"/>
  </si>
  <si>
    <r>
      <rPr>
        <b/>
        <sz val="12"/>
        <rFont val="宋体"/>
        <family val="3"/>
        <charset val="134"/>
      </rPr>
      <t>租约外</t>
    </r>
    <phoneticPr fontId="5" type="noConversion"/>
  </si>
  <si>
    <r>
      <rPr>
        <b/>
        <sz val="16"/>
        <color indexed="10"/>
        <rFont val="宋体"/>
        <family val="3"/>
        <charset val="134"/>
      </rPr>
      <t>收益法</t>
    </r>
    <r>
      <rPr>
        <b/>
        <sz val="12"/>
        <rFont val="宋体"/>
        <family val="3"/>
        <charset val="134"/>
      </rPr>
      <t>（无租约及租期内）</t>
    </r>
    <phoneticPr fontId="5" type="noConversion"/>
  </si>
  <si>
    <r>
      <rPr>
        <b/>
        <sz val="10"/>
        <rFont val="宋体"/>
        <family val="3"/>
        <charset val="134"/>
      </rPr>
      <t>总价</t>
    </r>
    <phoneticPr fontId="20" type="noConversion"/>
  </si>
  <si>
    <r>
      <rPr>
        <sz val="10"/>
        <rFont val="宋体"/>
        <family val="3"/>
        <charset val="134"/>
      </rPr>
      <t>万元</t>
    </r>
    <phoneticPr fontId="5" type="noConversion"/>
  </si>
  <si>
    <r>
      <rPr>
        <sz val="10"/>
        <rFont val="宋体"/>
        <family val="3"/>
        <charset val="134"/>
      </rPr>
      <t>元</t>
    </r>
    <phoneticPr fontId="139" type="noConversion"/>
  </si>
  <si>
    <r>
      <rPr>
        <b/>
        <sz val="10"/>
        <rFont val="宋体"/>
        <family val="3"/>
        <charset val="134"/>
      </rPr>
      <t>楼面单价</t>
    </r>
    <phoneticPr fontId="20" type="noConversion"/>
  </si>
  <si>
    <r>
      <rPr>
        <sz val="10"/>
        <rFont val="宋体"/>
        <family val="3"/>
        <charset val="134"/>
      </rPr>
      <t>元</t>
    </r>
    <r>
      <rPr>
        <sz val="10"/>
        <rFont val="Arial"/>
        <family val="2"/>
      </rPr>
      <t>/</t>
    </r>
    <r>
      <rPr>
        <sz val="10"/>
        <rFont val="宋体"/>
        <family val="3"/>
        <charset val="134"/>
      </rPr>
      <t>平方米</t>
    </r>
    <phoneticPr fontId="5" type="noConversion"/>
  </si>
  <si>
    <r>
      <rPr>
        <sz val="10"/>
        <color indexed="8"/>
        <rFont val="宋体"/>
        <family val="3"/>
        <charset val="134"/>
      </rPr>
      <t>序号</t>
    </r>
    <phoneticPr fontId="5" type="noConversion"/>
  </si>
  <si>
    <r>
      <rPr>
        <sz val="10"/>
        <color indexed="8"/>
        <rFont val="宋体"/>
        <family val="3"/>
        <charset val="134"/>
      </rPr>
      <t>项目</t>
    </r>
    <phoneticPr fontId="5" type="noConversion"/>
  </si>
  <si>
    <r>
      <rPr>
        <sz val="10"/>
        <color indexed="8"/>
        <rFont val="宋体"/>
        <family val="3"/>
        <charset val="134"/>
      </rPr>
      <t>数额</t>
    </r>
    <phoneticPr fontId="5" type="noConversion"/>
  </si>
  <si>
    <r>
      <rPr>
        <sz val="10"/>
        <color indexed="8"/>
        <rFont val="宋体"/>
        <family val="3"/>
        <charset val="134"/>
      </rPr>
      <t>计算公式</t>
    </r>
    <phoneticPr fontId="5" type="noConversion"/>
  </si>
  <si>
    <r>
      <rPr>
        <sz val="10"/>
        <color indexed="8"/>
        <rFont val="宋体"/>
        <family val="3"/>
        <charset val="134"/>
      </rPr>
      <t>取费标准</t>
    </r>
    <phoneticPr fontId="5" type="noConversion"/>
  </si>
  <si>
    <r>
      <rPr>
        <b/>
        <sz val="10"/>
        <color indexed="8"/>
        <rFont val="宋体"/>
        <family val="3"/>
        <charset val="134"/>
      </rPr>
      <t>未来第一年年总收益</t>
    </r>
    <phoneticPr fontId="5"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</si>
  <si>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5" type="noConversion"/>
  </si>
  <si>
    <r>
      <rPr>
        <i/>
        <sz val="10"/>
        <color indexed="8"/>
        <rFont val="宋体"/>
        <family val="3"/>
        <charset val="134"/>
      </rPr>
      <t>（合同押金）</t>
    </r>
    <phoneticPr fontId="5" type="noConversion"/>
  </si>
  <si>
    <r>
      <rPr>
        <i/>
        <sz val="10"/>
        <color indexed="8"/>
        <rFont val="宋体"/>
        <family val="3"/>
        <charset val="134"/>
      </rPr>
      <t>自定义押金</t>
    </r>
    <phoneticPr fontId="5" type="noConversion"/>
  </si>
  <si>
    <r>
      <rPr>
        <sz val="10"/>
        <rFont val="宋体"/>
        <family val="3"/>
        <charset val="134"/>
      </rPr>
      <t>价值时点下的土地价值（土地购买价格）</t>
    </r>
    <phoneticPr fontId="5" type="noConversion"/>
  </si>
  <si>
    <r>
      <rPr>
        <sz val="10"/>
        <color theme="1"/>
        <rFont val="宋体"/>
        <family val="3"/>
        <charset val="134"/>
      </rPr>
      <t>剩余土地价值折现到价值时点的价值（万元）</t>
    </r>
    <phoneticPr fontId="5"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</si>
  <si>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5" type="noConversion"/>
  </si>
  <si>
    <r>
      <rPr>
        <sz val="10"/>
        <rFont val="宋体"/>
        <family val="3"/>
        <charset val="134"/>
      </rPr>
      <t>剩余土地使用年期下的土地年期修正系数</t>
    </r>
    <phoneticPr fontId="5" type="noConversion"/>
  </si>
  <si>
    <r>
      <rPr>
        <b/>
        <sz val="14"/>
        <color theme="1"/>
        <rFont val="宋体"/>
        <family val="3"/>
        <charset val="134"/>
      </rPr>
      <t>估价方法：</t>
    </r>
    <phoneticPr fontId="85" type="noConversion"/>
  </si>
  <si>
    <r>
      <rPr>
        <sz val="14"/>
        <color theme="9" tint="-0.249977111117893"/>
        <rFont val="宋体"/>
        <family val="3"/>
        <charset val="134"/>
      </rPr>
      <t>（本页下方空白无内容）</t>
    </r>
  </si>
  <si>
    <r>
      <rPr>
        <b/>
        <sz val="18"/>
        <color theme="1"/>
        <rFont val="宋体"/>
        <family val="3"/>
        <charset val="134"/>
      </rPr>
      <t>评估意见函</t>
    </r>
    <phoneticPr fontId="85" type="noConversion"/>
  </si>
  <si>
    <r>
      <rPr>
        <b/>
        <sz val="14"/>
        <color rgb="FF000000"/>
        <rFont val="宋体"/>
        <family val="3"/>
        <charset val="134"/>
      </rPr>
      <t>估价对象：</t>
    </r>
    <phoneticPr fontId="85" type="noConversion"/>
  </si>
  <si>
    <r>
      <rPr>
        <b/>
        <i/>
        <sz val="14"/>
        <color theme="3" tint="0.39997558519241921"/>
        <rFont val="宋体"/>
        <family val="3"/>
        <charset val="134"/>
      </rPr>
      <t>现房：</t>
    </r>
    <phoneticPr fontId="85"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</si>
  <si>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6" type="noConversion"/>
  </si>
  <si>
    <r>
      <rPr>
        <b/>
        <i/>
        <sz val="14"/>
        <color theme="3" tint="0.39997558519241921"/>
        <rFont val="宋体"/>
        <family val="3"/>
        <charset val="134"/>
      </rPr>
      <t>在建：</t>
    </r>
    <phoneticPr fontId="85"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</si>
  <si>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6" type="noConversion"/>
  </si>
  <si>
    <r>
      <rPr>
        <b/>
        <sz val="14"/>
        <color rgb="FF000000"/>
        <rFont val="宋体"/>
        <family val="3"/>
        <charset val="134"/>
      </rPr>
      <t>估价目的：</t>
    </r>
    <phoneticPr fontId="85" type="noConversion"/>
  </si>
  <si>
    <r>
      <rPr>
        <b/>
        <sz val="14"/>
        <color theme="1"/>
        <rFont val="宋体"/>
        <family val="3"/>
        <charset val="134"/>
      </rPr>
      <t>价值时点：</t>
    </r>
    <phoneticPr fontId="85" type="noConversion"/>
  </si>
  <si>
    <r>
      <rPr>
        <b/>
        <sz val="14"/>
        <color theme="1"/>
        <rFont val="宋体"/>
        <family val="3"/>
        <charset val="134"/>
      </rPr>
      <t>价值类型：</t>
    </r>
    <phoneticPr fontId="85"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</si>
  <si>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5" type="noConversion"/>
  </si>
  <si>
    <r>
      <rPr>
        <b/>
        <sz val="14"/>
        <color theme="1"/>
        <rFont val="宋体"/>
        <family val="3"/>
        <charset val="134"/>
      </rPr>
      <t>估价结果：</t>
    </r>
    <phoneticPr fontId="85" type="noConversion"/>
  </si>
  <si>
    <r>
      <t>1.</t>
    </r>
    <r>
      <rPr>
        <b/>
        <sz val="12"/>
        <color indexed="8"/>
        <rFont val="宋体"/>
        <family val="3"/>
        <charset val="134"/>
      </rPr>
      <t>房地产价值</t>
    </r>
    <phoneticPr fontId="85" type="noConversion"/>
  </si>
  <si>
    <r>
      <rPr>
        <b/>
        <sz val="12"/>
        <color theme="1"/>
        <rFont val="宋体"/>
        <family val="3"/>
        <charset val="134"/>
      </rPr>
      <t>总价</t>
    </r>
    <phoneticPr fontId="85" type="noConversion"/>
  </si>
  <si>
    <r>
      <rPr>
        <b/>
        <sz val="12"/>
        <color theme="1"/>
        <rFont val="宋体"/>
        <family val="3"/>
        <charset val="134"/>
      </rPr>
      <t>大写金额</t>
    </r>
    <phoneticPr fontId="87" type="noConversion"/>
  </si>
  <si>
    <r>
      <rPr>
        <sz val="12"/>
        <color theme="1"/>
        <rFont val="宋体"/>
        <family val="3"/>
        <charset val="134"/>
      </rPr>
      <t>单价</t>
    </r>
    <phoneticPr fontId="85" type="noConversion"/>
  </si>
  <si>
    <r>
      <rPr>
        <b/>
        <sz val="12"/>
        <color rgb="FF000000"/>
        <rFont val="宋体"/>
        <family val="3"/>
        <charset val="134"/>
      </rPr>
      <t>总额</t>
    </r>
    <phoneticPr fontId="85" type="noConversion"/>
  </si>
  <si>
    <r>
      <rPr>
        <sz val="12"/>
        <color rgb="FF000000"/>
        <rFont val="宋体"/>
        <family val="3"/>
        <charset val="134"/>
      </rPr>
      <t>总额</t>
    </r>
    <phoneticPr fontId="85" type="noConversion"/>
  </si>
  <si>
    <r>
      <rPr>
        <sz val="14"/>
        <color theme="1"/>
        <rFont val="宋体"/>
        <family val="3"/>
        <charset val="134"/>
      </rPr>
      <t>（转下页）</t>
    </r>
    <phoneticPr fontId="87"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</si>
  <si>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5" type="noConversion"/>
  </si>
  <si>
    <r>
      <rPr>
        <b/>
        <sz val="14"/>
        <color theme="1"/>
        <rFont val="宋体"/>
        <family val="3"/>
        <charset val="134"/>
      </rPr>
      <t>结果表</t>
    </r>
    <r>
      <rPr>
        <b/>
        <sz val="14"/>
        <color theme="1"/>
        <rFont val="Arial"/>
        <family val="2"/>
      </rPr>
      <t>-1</t>
    </r>
    <phoneticPr fontId="87"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</si>
  <si>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5" type="noConversion"/>
  </si>
  <si>
    <r>
      <rPr>
        <sz val="12"/>
        <color rgb="FF000000"/>
        <rFont val="宋体"/>
        <family val="3"/>
        <charset val="134"/>
      </rPr>
      <t>总额</t>
    </r>
    <phoneticPr fontId="85"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</si>
  <si>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5" type="noConversion"/>
  </si>
  <si>
    <r>
      <rPr>
        <sz val="12"/>
        <color theme="1"/>
        <rFont val="宋体"/>
        <family val="3"/>
        <charset val="134"/>
      </rPr>
      <t>单价</t>
    </r>
    <phoneticPr fontId="85" type="noConversion"/>
  </si>
  <si>
    <r>
      <rPr>
        <b/>
        <sz val="12"/>
        <color theme="1"/>
        <rFont val="宋体"/>
        <family val="3"/>
        <charset val="134"/>
      </rPr>
      <t>总价</t>
    </r>
    <phoneticPr fontId="85" type="noConversion"/>
  </si>
  <si>
    <r>
      <rPr>
        <b/>
        <sz val="12"/>
        <color theme="1"/>
        <rFont val="宋体"/>
        <family val="3"/>
        <charset val="134"/>
      </rPr>
      <t>大写金额</t>
    </r>
    <phoneticPr fontId="87"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</si>
  <si>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7"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</si>
  <si>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</si>
  <si>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</si>
  <si>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</si>
  <si>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7" type="noConversion"/>
  </si>
  <si>
    <r>
      <rPr>
        <sz val="12"/>
        <color indexed="8"/>
        <rFont val="宋体"/>
        <family val="3"/>
        <charset val="134"/>
      </rPr>
      <t>建筑面积</t>
    </r>
    <phoneticPr fontId="85"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</si>
  <si>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5" type="noConversion"/>
  </si>
  <si>
    <r>
      <rPr>
        <sz val="12"/>
        <color indexed="8"/>
        <rFont val="宋体"/>
        <family val="3"/>
        <charset val="134"/>
      </rPr>
      <t>楼面单价</t>
    </r>
    <phoneticPr fontId="85"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</si>
  <si>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</si>
  <si>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</si>
  <si>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</si>
  <si>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</si>
  <si>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</si>
  <si>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</si>
  <si>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5" type="noConversion"/>
  </si>
  <si>
    <r>
      <rPr>
        <b/>
        <sz val="14"/>
        <color theme="1"/>
        <rFont val="宋体"/>
        <family val="3"/>
        <charset val="134"/>
      </rPr>
      <t>其他评估专业人员</t>
    </r>
    <phoneticPr fontId="92" type="noConversion"/>
  </si>
  <si>
    <r>
      <rPr>
        <sz val="14"/>
        <color theme="1"/>
        <rFont val="宋体"/>
        <family val="3"/>
        <charset val="134"/>
      </rPr>
      <t>相关资格或职称</t>
    </r>
  </si>
  <si>
    <r>
      <rPr>
        <b/>
        <sz val="14"/>
        <color theme="1"/>
        <rFont val="宋体"/>
        <family val="3"/>
        <charset val="134"/>
      </rPr>
      <t>特别提示：</t>
    </r>
    <phoneticPr fontId="5" type="noConversion"/>
  </si>
  <si>
    <r>
      <t>1.</t>
    </r>
    <r>
      <rPr>
        <sz val="12"/>
        <color indexed="8"/>
        <rFont val="宋体"/>
        <family val="3"/>
        <charset val="134"/>
      </rPr>
      <t>本《评估意见函》中所列估价结果为初评结果，准确金额以本公司出具的正式《房地产评估报告》为准。</t>
    </r>
    <phoneticPr fontId="91"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</si>
  <si>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2"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</si>
  <si>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</si>
  <si>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9" type="noConversion"/>
  </si>
  <si>
    <r>
      <t xml:space="preserve">    </t>
    </r>
    <r>
      <rPr>
        <sz val="14"/>
        <color theme="1"/>
        <rFont val="宋体"/>
        <family val="3"/>
        <charset val="134"/>
      </rPr>
      <t>顺致</t>
    </r>
    <phoneticPr fontId="5" type="noConversion"/>
  </si>
  <si>
    <r>
      <rPr>
        <sz val="14"/>
        <color theme="1"/>
        <rFont val="宋体"/>
        <family val="3"/>
        <charset val="134"/>
      </rPr>
      <t>商祺</t>
    </r>
    <phoneticPr fontId="5" type="noConversion"/>
  </si>
  <si>
    <r>
      <rPr>
        <sz val="14"/>
        <color theme="1"/>
        <rFont val="宋体"/>
        <family val="3"/>
        <charset val="134"/>
      </rPr>
      <t>北京康正宏基房地产评估有限公司</t>
    </r>
    <phoneticPr fontId="5"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</si>
  <si>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5"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</si>
  <si>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</si>
  <si>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</si>
  <si>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</si>
  <si>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</si>
  <si>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</si>
  <si>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</si>
  <si>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5" type="noConversion"/>
  </si>
  <si>
    <r>
      <rPr>
        <sz val="11"/>
        <color indexed="8"/>
        <rFont val="宋体"/>
        <family val="3"/>
        <charset val="134"/>
        <scheme val="minor"/>
      </rPr>
      <t>数据表</t>
    </r>
    <phoneticPr fontId="5" type="noConversion"/>
  </si>
  <si>
    <r>
      <rPr>
        <sz val="11"/>
        <color indexed="8"/>
        <rFont val="宋体"/>
        <family val="3"/>
        <charset val="134"/>
        <scheme val="minor"/>
      </rPr>
      <t>汇总表</t>
    </r>
    <phoneticPr fontId="5" type="noConversion"/>
  </si>
  <si>
    <r>
      <rPr>
        <sz val="11"/>
        <color indexed="8"/>
        <rFont val="宋体"/>
        <family val="3"/>
        <charset val="134"/>
        <scheme val="minor"/>
      </rPr>
      <t>取费表</t>
    </r>
    <phoneticPr fontId="5" type="noConversion"/>
  </si>
  <si>
    <r>
      <rPr>
        <sz val="11"/>
        <color indexed="8"/>
        <rFont val="宋体"/>
        <family val="3"/>
        <charset val="134"/>
        <scheme val="minor"/>
      </rPr>
      <t>房地状况</t>
    </r>
    <phoneticPr fontId="5" type="noConversion"/>
  </si>
  <si>
    <r>
      <rPr>
        <sz val="11"/>
        <color indexed="8"/>
        <rFont val="宋体"/>
        <family val="3"/>
        <charset val="134"/>
        <scheme val="minor"/>
      </rPr>
      <t>结果表</t>
    </r>
    <phoneticPr fontId="5" type="noConversion"/>
  </si>
  <si>
    <r>
      <rPr>
        <sz val="11"/>
        <color indexed="8"/>
        <rFont val="宋体"/>
        <family val="3"/>
        <charset val="134"/>
        <scheme val="minor"/>
      </rPr>
      <t>方法</t>
    </r>
    <phoneticPr fontId="5" type="noConversion"/>
  </si>
  <si>
    <r>
      <rPr>
        <sz val="11"/>
        <color indexed="8"/>
        <rFont val="宋体"/>
        <family val="3"/>
        <charset val="134"/>
        <scheme val="minor"/>
      </rPr>
      <t>成本</t>
    </r>
    <phoneticPr fontId="5" type="noConversion"/>
  </si>
  <si>
    <r>
      <rPr>
        <sz val="11"/>
        <color indexed="8"/>
        <rFont val="宋体"/>
        <family val="3"/>
        <charset val="134"/>
        <scheme val="minor"/>
      </rPr>
      <t>假开</t>
    </r>
    <phoneticPr fontId="5" type="noConversion"/>
  </si>
  <si>
    <r>
      <rPr>
        <sz val="11"/>
        <color indexed="8"/>
        <rFont val="宋体"/>
        <family val="3"/>
        <charset val="134"/>
        <scheme val="minor"/>
      </rPr>
      <t>收益</t>
    </r>
    <phoneticPr fontId="5" type="noConversion"/>
  </si>
  <si>
    <r>
      <rPr>
        <sz val="11"/>
        <color indexed="8"/>
        <rFont val="宋体"/>
        <family val="3"/>
        <charset val="134"/>
        <scheme val="minor"/>
      </rPr>
      <t>比较</t>
    </r>
    <phoneticPr fontId="5" type="noConversion"/>
  </si>
  <si>
    <r>
      <rPr>
        <sz val="11"/>
        <color indexed="8"/>
        <rFont val="宋体"/>
        <family val="3"/>
        <charset val="134"/>
        <scheme val="minor"/>
      </rPr>
      <t>住宅</t>
    </r>
    <phoneticPr fontId="5" type="noConversion"/>
  </si>
  <si>
    <r>
      <rPr>
        <sz val="11"/>
        <color indexed="8"/>
        <rFont val="宋体"/>
        <family val="3"/>
        <charset val="134"/>
        <scheme val="minor"/>
      </rPr>
      <t>商业</t>
    </r>
    <phoneticPr fontId="5" type="noConversion"/>
  </si>
  <si>
    <r>
      <rPr>
        <sz val="11"/>
        <color indexed="8"/>
        <rFont val="宋体"/>
        <family val="3"/>
        <charset val="134"/>
        <scheme val="minor"/>
      </rPr>
      <t>办公</t>
    </r>
    <phoneticPr fontId="5"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</si>
  <si>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</si>
  <si>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</si>
  <si>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</si>
  <si>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</si>
  <si>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</si>
  <si>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</si>
  <si>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</si>
  <si>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8" type="noConversion"/>
  </si>
  <si>
    <r>
      <rPr>
        <sz val="11"/>
        <color indexed="8"/>
        <rFont val="宋体"/>
        <family val="3"/>
        <charset val="134"/>
        <scheme val="minor"/>
      </rPr>
      <t>位置</t>
    </r>
    <phoneticPr fontId="18" type="noConversion"/>
  </si>
  <si>
    <r>
      <rPr>
        <sz val="11"/>
        <color indexed="8"/>
        <rFont val="宋体"/>
        <family val="3"/>
        <charset val="134"/>
        <scheme val="minor"/>
      </rPr>
      <t>主用途</t>
    </r>
    <phoneticPr fontId="18" type="noConversion"/>
  </si>
  <si>
    <r>
      <rPr>
        <sz val="11"/>
        <color indexed="8"/>
        <rFont val="宋体"/>
        <family val="3"/>
        <charset val="134"/>
        <scheme val="minor"/>
      </rPr>
      <t>法定最高年限</t>
    </r>
    <phoneticPr fontId="18" type="noConversion"/>
  </si>
  <si>
    <r>
      <rPr>
        <sz val="11"/>
        <color indexed="8"/>
        <rFont val="宋体"/>
        <family val="3"/>
        <charset val="134"/>
        <scheme val="minor"/>
      </rPr>
      <t>地类判定</t>
    </r>
    <phoneticPr fontId="18" type="noConversion"/>
  </si>
  <si>
    <r>
      <rPr>
        <sz val="11"/>
        <color indexed="8"/>
        <rFont val="宋体"/>
        <family val="3"/>
        <charset val="134"/>
        <scheme val="minor"/>
      </rPr>
      <t>土地年限区间</t>
    </r>
    <phoneticPr fontId="18" type="noConversion"/>
  </si>
  <si>
    <r>
      <rPr>
        <sz val="11"/>
        <color indexed="8"/>
        <rFont val="宋体"/>
        <family val="3"/>
        <charset val="134"/>
        <scheme val="minor"/>
      </rPr>
      <t>类别</t>
    </r>
    <phoneticPr fontId="18" type="noConversion"/>
  </si>
  <si>
    <r>
      <rPr>
        <sz val="11"/>
        <color indexed="8"/>
        <rFont val="宋体"/>
        <family val="3"/>
        <charset val="134"/>
        <scheme val="minor"/>
      </rPr>
      <t>居住社区成熟度</t>
    </r>
    <phoneticPr fontId="18" type="noConversion"/>
  </si>
  <si>
    <r>
      <rPr>
        <sz val="11"/>
        <color indexed="8"/>
        <rFont val="宋体"/>
        <family val="3"/>
        <charset val="134"/>
        <scheme val="minor"/>
      </rPr>
      <t>商业繁华度</t>
    </r>
    <phoneticPr fontId="18" type="noConversion"/>
  </si>
  <si>
    <r>
      <rPr>
        <sz val="11"/>
        <color indexed="8"/>
        <rFont val="宋体"/>
        <family val="3"/>
        <charset val="134"/>
        <scheme val="minor"/>
      </rPr>
      <t>办公集聚程度</t>
    </r>
    <phoneticPr fontId="18" type="noConversion"/>
  </si>
  <si>
    <r>
      <rPr>
        <sz val="11"/>
        <color indexed="8"/>
        <rFont val="宋体"/>
        <family val="3"/>
        <charset val="134"/>
        <scheme val="minor"/>
      </rPr>
      <t>产业集聚程度</t>
    </r>
    <phoneticPr fontId="18" type="noConversion"/>
  </si>
  <si>
    <r>
      <rPr>
        <sz val="11"/>
        <color indexed="8"/>
        <rFont val="宋体"/>
        <family val="3"/>
        <charset val="134"/>
        <scheme val="minor"/>
      </rPr>
      <t>交通便捷度</t>
    </r>
    <phoneticPr fontId="18" type="noConversion"/>
  </si>
  <si>
    <r>
      <rPr>
        <sz val="11"/>
        <color indexed="8"/>
        <rFont val="宋体"/>
        <family val="3"/>
        <charset val="134"/>
        <scheme val="minor"/>
      </rPr>
      <t>环境质量</t>
    </r>
    <phoneticPr fontId="18" type="noConversion"/>
  </si>
  <si>
    <t>临街状况</t>
    <phoneticPr fontId="45" type="noConversion"/>
  </si>
  <si>
    <r>
      <rPr>
        <sz val="11"/>
        <color indexed="8"/>
        <rFont val="宋体"/>
        <family val="3"/>
        <charset val="134"/>
        <scheme val="minor"/>
      </rPr>
      <t>内部装修维护情况</t>
    </r>
    <phoneticPr fontId="18" type="noConversion"/>
  </si>
  <si>
    <r>
      <rPr>
        <sz val="11"/>
        <color indexed="8"/>
        <rFont val="宋体"/>
        <family val="3"/>
        <charset val="134"/>
        <scheme val="minor"/>
      </rPr>
      <t>单价内涵</t>
    </r>
    <phoneticPr fontId="18" type="noConversion"/>
  </si>
  <si>
    <r>
      <rPr>
        <sz val="11"/>
        <color indexed="8"/>
        <rFont val="宋体"/>
        <family val="3"/>
        <charset val="134"/>
        <scheme val="minor"/>
      </rPr>
      <t>成本法</t>
    </r>
    <phoneticPr fontId="18" type="noConversion"/>
  </si>
  <si>
    <r>
      <rPr>
        <sz val="11"/>
        <color indexed="8"/>
        <rFont val="宋体"/>
        <family val="3"/>
        <charset val="134"/>
        <scheme val="minor"/>
      </rPr>
      <t>是</t>
    </r>
    <phoneticPr fontId="18" type="noConversion"/>
  </si>
  <si>
    <r>
      <rPr>
        <sz val="11"/>
        <color indexed="8"/>
        <rFont val="宋体"/>
        <family val="3"/>
        <charset val="134"/>
        <scheme val="minor"/>
      </rPr>
      <t>地上</t>
    </r>
    <phoneticPr fontId="18" type="noConversion"/>
  </si>
  <si>
    <r>
      <rPr>
        <sz val="11"/>
        <color indexed="8"/>
        <rFont val="宋体"/>
        <family val="3"/>
        <charset val="134"/>
        <scheme val="minor"/>
      </rPr>
      <t>住宅</t>
    </r>
    <phoneticPr fontId="18" type="noConversion"/>
  </si>
  <si>
    <r>
      <rPr>
        <sz val="11"/>
        <color indexed="8"/>
        <rFont val="宋体"/>
        <family val="3"/>
        <charset val="134"/>
        <scheme val="minor"/>
      </rPr>
      <t>经营性</t>
    </r>
    <phoneticPr fontId="18"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</si>
  <si>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</si>
  <si>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</si>
  <si>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8" type="noConversion"/>
  </si>
  <si>
    <r>
      <rPr>
        <sz val="11"/>
        <color indexed="8"/>
        <rFont val="宋体"/>
        <family val="3"/>
        <charset val="134"/>
        <scheme val="minor"/>
      </rPr>
      <t>平层住宅</t>
    </r>
    <phoneticPr fontId="18" type="noConversion"/>
  </si>
  <si>
    <r>
      <rPr>
        <sz val="11"/>
        <color indexed="8"/>
        <rFont val="宋体"/>
        <family val="3"/>
        <charset val="134"/>
        <scheme val="minor"/>
      </rPr>
      <t>否</t>
    </r>
    <phoneticPr fontId="18" type="noConversion"/>
  </si>
  <si>
    <r>
      <rPr>
        <sz val="11"/>
        <color indexed="8"/>
        <rFont val="宋体"/>
        <family val="3"/>
        <charset val="134"/>
        <scheme val="minor"/>
      </rPr>
      <t>商业</t>
    </r>
    <phoneticPr fontId="18" type="noConversion"/>
  </si>
  <si>
    <r>
      <rPr>
        <sz val="11"/>
        <color indexed="8"/>
        <rFont val="宋体"/>
        <family val="3"/>
        <charset val="134"/>
        <scheme val="minor"/>
      </rPr>
      <t>非经营性</t>
    </r>
    <phoneticPr fontId="18"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</si>
  <si>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</si>
  <si>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</si>
  <si>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8" type="noConversion"/>
  </si>
  <si>
    <r>
      <t>LOFT</t>
    </r>
    <r>
      <rPr>
        <sz val="11"/>
        <color indexed="8"/>
        <rFont val="宋体"/>
        <family val="3"/>
        <charset val="134"/>
        <scheme val="minor"/>
      </rPr>
      <t>住宅</t>
    </r>
    <phoneticPr fontId="18" type="noConversion"/>
  </si>
  <si>
    <r>
      <rPr>
        <sz val="11"/>
        <color indexed="8"/>
        <rFont val="宋体"/>
        <family val="3"/>
        <charset val="134"/>
        <scheme val="minor"/>
      </rPr>
      <t>假设开发法</t>
    </r>
    <phoneticPr fontId="18" type="noConversion"/>
  </si>
  <si>
    <r>
      <rPr>
        <sz val="11"/>
        <color indexed="8"/>
        <rFont val="宋体"/>
        <family val="3"/>
        <charset val="134"/>
        <scheme val="minor"/>
      </rPr>
      <t>地下</t>
    </r>
    <phoneticPr fontId="18" type="noConversion"/>
  </si>
  <si>
    <r>
      <rPr>
        <sz val="11"/>
        <color indexed="8"/>
        <rFont val="宋体"/>
        <family val="3"/>
        <charset val="134"/>
        <scheme val="minor"/>
      </rPr>
      <t>办公</t>
    </r>
    <phoneticPr fontId="18"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</si>
  <si>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</si>
  <si>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</si>
  <si>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8" type="noConversion"/>
  </si>
  <si>
    <r>
      <rPr>
        <sz val="11"/>
        <color indexed="8"/>
        <rFont val="宋体"/>
        <family val="3"/>
        <charset val="134"/>
        <scheme val="minor"/>
      </rPr>
      <t>收益法</t>
    </r>
    <phoneticPr fontId="18" type="noConversion"/>
  </si>
  <si>
    <r>
      <rPr>
        <sz val="11"/>
        <color indexed="8"/>
        <rFont val="宋体"/>
        <family val="3"/>
        <charset val="134"/>
        <scheme val="minor"/>
      </rPr>
      <t>工业</t>
    </r>
    <phoneticPr fontId="18" type="noConversion"/>
  </si>
  <si>
    <r>
      <rPr>
        <sz val="11"/>
        <color indexed="8"/>
        <rFont val="宋体"/>
        <family val="3"/>
        <charset val="134"/>
        <scheme val="minor"/>
      </rPr>
      <t>车库</t>
    </r>
    <phoneticPr fontId="18"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</si>
  <si>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</si>
  <si>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</si>
  <si>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8" type="noConversion"/>
  </si>
  <si>
    <r>
      <rPr>
        <sz val="11"/>
        <color indexed="8"/>
        <rFont val="宋体"/>
        <family val="3"/>
        <charset val="134"/>
        <scheme val="minor"/>
      </rPr>
      <t>仓储</t>
    </r>
    <phoneticPr fontId="18" type="noConversion"/>
  </si>
  <si>
    <r>
      <rPr>
        <sz val="11"/>
        <color indexed="8"/>
        <rFont val="宋体"/>
        <family val="3"/>
        <charset val="134"/>
        <scheme val="minor"/>
      </rPr>
      <t>差</t>
    </r>
  </si>
  <si>
    <r>
      <rPr>
        <sz val="11"/>
        <color indexed="8"/>
        <rFont val="宋体"/>
        <family val="3"/>
        <charset val="134"/>
        <scheme val="minor"/>
      </rPr>
      <t>洋房</t>
    </r>
    <phoneticPr fontId="18" type="noConversion"/>
  </si>
  <si>
    <r>
      <rPr>
        <sz val="11"/>
        <color indexed="8"/>
        <rFont val="宋体"/>
        <family val="3"/>
        <charset val="134"/>
        <scheme val="minor"/>
      </rPr>
      <t>车库—商业</t>
    </r>
    <phoneticPr fontId="18" type="noConversion"/>
  </si>
  <si>
    <r>
      <rPr>
        <sz val="11"/>
        <color indexed="8"/>
        <rFont val="宋体"/>
        <family val="3"/>
        <charset val="134"/>
        <scheme val="minor"/>
      </rPr>
      <t>工业</t>
    </r>
    <phoneticPr fontId="18" type="noConversion"/>
  </si>
  <si>
    <r>
      <rPr>
        <sz val="11"/>
        <color indexed="8"/>
        <rFont val="宋体"/>
        <family val="3"/>
        <charset val="134"/>
        <scheme val="minor"/>
      </rPr>
      <t>叠拼</t>
    </r>
    <phoneticPr fontId="18" type="noConversion"/>
  </si>
  <si>
    <r>
      <rPr>
        <sz val="11"/>
        <color indexed="8"/>
        <rFont val="宋体"/>
        <family val="3"/>
        <charset val="134"/>
        <scheme val="minor"/>
      </rPr>
      <t>比较法-住宅</t>
    </r>
    <phoneticPr fontId="18" type="noConversion"/>
  </si>
  <si>
    <r>
      <rPr>
        <sz val="11"/>
        <color indexed="8"/>
        <rFont val="宋体"/>
        <family val="3"/>
        <charset val="134"/>
        <scheme val="minor"/>
      </rPr>
      <t>车库—办公</t>
    </r>
    <phoneticPr fontId="18" type="noConversion"/>
  </si>
  <si>
    <r>
      <rPr>
        <sz val="11"/>
        <color indexed="8"/>
        <rFont val="宋体"/>
        <family val="3"/>
        <charset val="134"/>
        <scheme val="minor"/>
      </rPr>
      <t>联排</t>
    </r>
    <phoneticPr fontId="18" type="noConversion"/>
  </si>
  <si>
    <r>
      <rPr>
        <sz val="11"/>
        <color indexed="8"/>
        <rFont val="宋体"/>
        <family val="3"/>
        <charset val="134"/>
        <scheme val="minor"/>
      </rPr>
      <t>比较法-商业</t>
    </r>
    <phoneticPr fontId="18" type="noConversion"/>
  </si>
  <si>
    <r>
      <rPr>
        <sz val="11"/>
        <color indexed="8"/>
        <rFont val="宋体"/>
        <family val="3"/>
        <charset val="134"/>
        <scheme val="minor"/>
      </rPr>
      <t>仓储</t>
    </r>
    <phoneticPr fontId="18" type="noConversion"/>
  </si>
  <si>
    <r>
      <rPr>
        <sz val="11"/>
        <color indexed="8"/>
        <rFont val="宋体"/>
        <family val="3"/>
        <charset val="134"/>
        <scheme val="minor"/>
      </rPr>
      <t>双拼</t>
    </r>
    <phoneticPr fontId="18" type="noConversion"/>
  </si>
  <si>
    <r>
      <rPr>
        <sz val="11"/>
        <color indexed="8"/>
        <rFont val="宋体"/>
        <family val="3"/>
        <charset val="134"/>
        <scheme val="minor"/>
      </rPr>
      <t>比较法-办公</t>
    </r>
    <phoneticPr fontId="18" type="noConversion"/>
  </si>
  <si>
    <r>
      <rPr>
        <sz val="11"/>
        <color indexed="8"/>
        <rFont val="宋体"/>
        <family val="3"/>
        <charset val="134"/>
        <scheme val="minor"/>
      </rPr>
      <t>独栋</t>
    </r>
    <phoneticPr fontId="18" type="noConversion"/>
  </si>
  <si>
    <r>
      <rPr>
        <sz val="11"/>
        <color indexed="8"/>
        <rFont val="宋体"/>
        <family val="3"/>
        <charset val="134"/>
        <scheme val="minor"/>
      </rPr>
      <t>比较法-工业</t>
    </r>
    <phoneticPr fontId="18" type="noConversion"/>
  </si>
  <si>
    <r>
      <rPr>
        <sz val="11"/>
        <color indexed="8"/>
        <rFont val="宋体"/>
        <family val="3"/>
        <charset val="134"/>
        <scheme val="minor"/>
      </rPr>
      <t>底商</t>
    </r>
    <phoneticPr fontId="18" type="noConversion"/>
  </si>
  <si>
    <r>
      <rPr>
        <sz val="11"/>
        <color indexed="8"/>
        <rFont val="宋体"/>
        <family val="3"/>
        <charset val="134"/>
        <scheme val="minor"/>
      </rPr>
      <t>比较法-车位</t>
    </r>
    <phoneticPr fontId="18" type="noConversion"/>
  </si>
  <si>
    <r>
      <rPr>
        <sz val="11"/>
        <color indexed="8"/>
        <rFont val="宋体"/>
        <family val="3"/>
        <charset val="134"/>
        <scheme val="minor"/>
      </rPr>
      <t>独立商业</t>
    </r>
    <phoneticPr fontId="18" type="noConversion"/>
  </si>
  <si>
    <r>
      <rPr>
        <sz val="11"/>
        <color indexed="8"/>
        <rFont val="宋体"/>
        <family val="3"/>
        <charset val="134"/>
        <scheme val="minor"/>
      </rPr>
      <t>比较法-仓储</t>
    </r>
    <phoneticPr fontId="18" type="noConversion"/>
  </si>
  <si>
    <r>
      <rPr>
        <sz val="11"/>
        <color indexed="8"/>
        <rFont val="宋体"/>
        <family val="3"/>
        <charset val="134"/>
        <scheme val="minor"/>
      </rPr>
      <t>商业街</t>
    </r>
    <phoneticPr fontId="18" type="noConversion"/>
  </si>
  <si>
    <r>
      <rPr>
        <sz val="11"/>
        <color indexed="8"/>
        <rFont val="宋体"/>
        <family val="3"/>
        <charset val="134"/>
        <scheme val="minor"/>
      </rPr>
      <t>土地比较法-住宅、综合</t>
    </r>
    <phoneticPr fontId="18" type="noConversion"/>
  </si>
  <si>
    <r>
      <rPr>
        <sz val="11"/>
        <color indexed="8"/>
        <rFont val="宋体"/>
        <family val="3"/>
        <charset val="134"/>
        <scheme val="minor"/>
      </rPr>
      <t>酒店</t>
    </r>
    <phoneticPr fontId="18" type="noConversion"/>
  </si>
  <si>
    <r>
      <rPr>
        <sz val="11"/>
        <color indexed="8"/>
        <rFont val="宋体"/>
        <family val="3"/>
        <charset val="134"/>
        <scheme val="minor"/>
      </rPr>
      <t>土地比较法-工业</t>
    </r>
    <phoneticPr fontId="18" type="noConversion"/>
  </si>
  <si>
    <r>
      <rPr>
        <sz val="11"/>
        <color indexed="8"/>
        <rFont val="宋体"/>
        <family val="3"/>
        <charset val="134"/>
        <scheme val="minor"/>
      </rPr>
      <t>标准厂房</t>
    </r>
    <phoneticPr fontId="18" type="noConversion"/>
  </si>
  <si>
    <r>
      <rPr>
        <sz val="11"/>
        <color indexed="8"/>
        <rFont val="宋体"/>
        <family val="3"/>
        <charset val="134"/>
        <scheme val="minor"/>
      </rPr>
      <t>特殊厂房</t>
    </r>
    <phoneticPr fontId="18" type="noConversion"/>
  </si>
  <si>
    <r>
      <rPr>
        <sz val="11"/>
        <color indexed="8"/>
        <rFont val="宋体"/>
        <family val="3"/>
        <charset val="134"/>
        <scheme val="minor"/>
      </rPr>
      <t>办公楼</t>
    </r>
    <phoneticPr fontId="18" type="noConversion"/>
  </si>
  <si>
    <r>
      <rPr>
        <sz val="11"/>
        <color indexed="8"/>
        <rFont val="宋体"/>
        <family val="3"/>
        <charset val="134"/>
        <scheme val="minor"/>
      </rPr>
      <t>宿舍</t>
    </r>
    <phoneticPr fontId="18" type="noConversion"/>
  </si>
  <si>
    <r>
      <rPr>
        <sz val="11"/>
        <color indexed="8"/>
        <rFont val="宋体"/>
        <family val="3"/>
        <charset val="134"/>
        <scheme val="minor"/>
      </rPr>
      <t>食堂</t>
    </r>
    <phoneticPr fontId="18" type="noConversion"/>
  </si>
  <si>
    <r>
      <rPr>
        <sz val="11"/>
        <color indexed="8"/>
        <rFont val="宋体"/>
        <family val="3"/>
        <charset val="134"/>
        <scheme val="minor"/>
      </rPr>
      <t>车库</t>
    </r>
    <phoneticPr fontId="18" type="noConversion"/>
  </si>
  <si>
    <r>
      <rPr>
        <sz val="11"/>
        <color indexed="8"/>
        <rFont val="宋体"/>
        <family val="3"/>
        <charset val="134"/>
        <scheme val="minor"/>
      </rPr>
      <t>戊类库房</t>
    </r>
    <phoneticPr fontId="18" type="noConversion"/>
  </si>
  <si>
    <r>
      <rPr>
        <sz val="11"/>
        <color indexed="8"/>
        <rFont val="宋体"/>
        <family val="3"/>
        <charset val="134"/>
        <scheme val="minor"/>
      </rPr>
      <t>燃品库房</t>
    </r>
    <phoneticPr fontId="18" type="noConversion"/>
  </si>
  <si>
    <r>
      <rPr>
        <sz val="11"/>
        <color indexed="8"/>
        <rFont val="宋体"/>
        <family val="3"/>
        <charset val="134"/>
        <scheme val="minor"/>
      </rPr>
      <t>非燃品库房</t>
    </r>
    <phoneticPr fontId="18"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</si>
  <si>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</si>
  <si>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</si>
  <si>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0"/>
        <color indexed="8"/>
        <rFont val="宋体"/>
        <family val="3"/>
        <charset val="134"/>
      </rPr>
      <t>权利状况（抵押）</t>
    </r>
    <phoneticPr fontId="85" type="noConversion"/>
  </si>
  <si>
    <r>
      <rPr>
        <sz val="10"/>
        <color indexed="8"/>
        <rFont val="宋体"/>
        <family val="3"/>
        <charset val="134"/>
      </rPr>
      <t>其他资料</t>
    </r>
    <phoneticPr fontId="85"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</si>
  <si>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</si>
  <si>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</si>
  <si>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5" type="noConversion"/>
  </si>
  <si>
    <r>
      <rPr>
        <sz val="10"/>
        <color indexed="8"/>
        <rFont val="宋体"/>
        <family val="3"/>
        <charset val="134"/>
      </rPr>
      <t>权利范围</t>
    </r>
    <phoneticPr fontId="85" type="noConversion"/>
  </si>
  <si>
    <r>
      <rPr>
        <sz val="10"/>
        <color indexed="8"/>
        <rFont val="宋体"/>
        <family val="3"/>
        <charset val="134"/>
      </rPr>
      <t>权利价值</t>
    </r>
    <phoneticPr fontId="85" type="noConversion"/>
  </si>
  <si>
    <r>
      <rPr>
        <b/>
        <sz val="14"/>
        <color rgb="FFFF0000"/>
        <rFont val="宋体"/>
        <family val="3"/>
        <charset val="134"/>
      </rPr>
      <t>数据基础表</t>
    </r>
    <phoneticPr fontId="5" type="noConversion"/>
  </si>
  <si>
    <r>
      <rPr>
        <b/>
        <sz val="16"/>
        <color rgb="FFFF0000"/>
        <rFont val="宋体"/>
        <family val="3"/>
        <charset val="134"/>
      </rPr>
      <t>抵押物清单</t>
    </r>
    <phoneticPr fontId="5" type="noConversion"/>
  </si>
  <si>
    <r>
      <rPr>
        <sz val="10"/>
        <color indexed="8"/>
        <rFont val="宋体"/>
        <family val="3"/>
        <charset val="134"/>
      </rPr>
      <t>土地面积</t>
    </r>
    <phoneticPr fontId="5" type="noConversion"/>
  </si>
  <si>
    <r>
      <rPr>
        <sz val="10"/>
        <color indexed="8"/>
        <rFont val="宋体"/>
        <family val="3"/>
        <charset val="134"/>
      </rPr>
      <t>建筑面积</t>
    </r>
    <phoneticPr fontId="5" type="noConversion"/>
  </si>
  <si>
    <r>
      <rPr>
        <sz val="10"/>
        <color indexed="8"/>
        <rFont val="宋体"/>
        <family val="3"/>
        <charset val="134"/>
      </rPr>
      <t>人防是否参与分摊</t>
    </r>
    <phoneticPr fontId="5" type="noConversion"/>
  </si>
  <si>
    <r>
      <rPr>
        <sz val="10"/>
        <color indexed="8"/>
        <rFont val="宋体"/>
        <family val="3"/>
        <charset val="134"/>
      </rPr>
      <t>测绘分摊土地面积</t>
    </r>
    <phoneticPr fontId="5" type="noConversion"/>
  </si>
  <si>
    <r>
      <rPr>
        <sz val="10"/>
        <color theme="1"/>
        <rFont val="宋体"/>
        <family val="3"/>
        <charset val="134"/>
      </rPr>
      <t>计容建筑面积</t>
    </r>
    <phoneticPr fontId="5" type="noConversion"/>
  </si>
  <si>
    <r>
      <rPr>
        <sz val="10"/>
        <color indexed="8"/>
        <rFont val="宋体"/>
        <family val="3"/>
        <charset val="134"/>
      </rPr>
      <t>计容部位</t>
    </r>
    <phoneticPr fontId="5" type="noConversion"/>
  </si>
  <si>
    <r>
      <rPr>
        <sz val="10"/>
        <color indexed="8"/>
        <rFont val="宋体"/>
        <family val="3"/>
        <charset val="134"/>
      </rPr>
      <t>否</t>
    </r>
  </si>
  <si>
    <r>
      <rPr>
        <sz val="10"/>
        <color indexed="8"/>
        <rFont val="宋体"/>
        <family val="3"/>
        <charset val="134"/>
      </rPr>
      <t>建筑面积合计</t>
    </r>
    <phoneticPr fontId="7" type="noConversion"/>
  </si>
  <si>
    <r>
      <rPr>
        <sz val="10"/>
        <color indexed="8"/>
        <rFont val="宋体"/>
        <family val="3"/>
        <charset val="134"/>
      </rPr>
      <t>（分摊）土地面积</t>
    </r>
    <phoneticPr fontId="7" type="noConversion"/>
  </si>
  <si>
    <r>
      <rPr>
        <sz val="10"/>
        <color indexed="8"/>
        <rFont val="宋体"/>
        <family val="3"/>
        <charset val="134"/>
      </rPr>
      <t>土地使用权证号</t>
    </r>
    <phoneticPr fontId="7" type="noConversion"/>
  </si>
  <si>
    <r>
      <rPr>
        <sz val="10"/>
        <color indexed="8"/>
        <rFont val="宋体"/>
        <family val="3"/>
        <charset val="134"/>
      </rPr>
      <t>建筑面积依据</t>
    </r>
    <phoneticPr fontId="7"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</si>
  <si>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7" type="noConversion"/>
  </si>
  <si>
    <r>
      <rPr>
        <sz val="10"/>
        <color indexed="8"/>
        <rFont val="宋体"/>
        <family val="3"/>
        <charset val="134"/>
      </rPr>
      <t>是否为抵押范围</t>
    </r>
    <phoneticPr fontId="7" type="noConversion"/>
  </si>
  <si>
    <r>
      <rPr>
        <sz val="10"/>
        <color indexed="8"/>
        <rFont val="宋体"/>
        <family val="3"/>
        <charset val="134"/>
      </rPr>
      <t>（分摊）土地面积</t>
    </r>
    <phoneticPr fontId="7" type="noConversion"/>
  </si>
  <si>
    <r>
      <rPr>
        <sz val="10"/>
        <color indexed="8"/>
        <rFont val="宋体"/>
        <family val="3"/>
        <charset val="134"/>
      </rPr>
      <t>楼基面积</t>
    </r>
    <phoneticPr fontId="7" type="noConversion"/>
  </si>
  <si>
    <r>
      <rPr>
        <sz val="10"/>
        <color indexed="8"/>
        <rFont val="宋体"/>
        <family val="3"/>
        <charset val="134"/>
      </rPr>
      <t>建筑面积（含人防）</t>
    </r>
    <phoneticPr fontId="7" type="noConversion"/>
  </si>
  <si>
    <r>
      <rPr>
        <sz val="10"/>
        <color indexed="8"/>
        <rFont val="宋体"/>
        <family val="3"/>
        <charset val="134"/>
      </rPr>
      <t>不在估价范围内的项目</t>
    </r>
    <phoneticPr fontId="5" type="noConversion"/>
  </si>
  <si>
    <r>
      <rPr>
        <sz val="10"/>
        <color indexed="8"/>
        <rFont val="宋体"/>
        <family val="3"/>
        <charset val="134"/>
      </rPr>
      <t>土地使用权证号</t>
    </r>
    <phoneticPr fontId="7" type="noConversion"/>
  </si>
  <si>
    <r>
      <rPr>
        <sz val="10"/>
        <color indexed="8"/>
        <rFont val="宋体"/>
        <family val="3"/>
        <charset val="134"/>
      </rPr>
      <t>建筑面积依据</t>
    </r>
    <phoneticPr fontId="7" type="noConversion"/>
  </si>
  <si>
    <r>
      <rPr>
        <sz val="10"/>
        <color indexed="8"/>
        <rFont val="宋体"/>
        <family val="3"/>
        <charset val="134"/>
      </rPr>
      <t>抵押物</t>
    </r>
    <phoneticPr fontId="5" type="noConversion"/>
  </si>
  <si>
    <r>
      <rPr>
        <sz val="10"/>
        <color indexed="8"/>
        <rFont val="宋体"/>
        <family val="3"/>
        <charset val="134"/>
      </rPr>
      <t>合计</t>
    </r>
    <phoneticPr fontId="5"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</si>
  <si>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7"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</si>
  <si>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7" type="noConversion"/>
  </si>
  <si>
    <r>
      <rPr>
        <sz val="10"/>
        <color indexed="8"/>
        <rFont val="宋体"/>
        <family val="3"/>
        <charset val="134"/>
      </rPr>
      <t>人防</t>
    </r>
    <phoneticPr fontId="5" type="noConversion"/>
  </si>
  <si>
    <r>
      <rPr>
        <sz val="10"/>
        <color indexed="8"/>
        <rFont val="宋体"/>
        <family val="3"/>
        <charset val="134"/>
      </rPr>
      <t>文字说明</t>
    </r>
    <phoneticPr fontId="5" type="noConversion"/>
  </si>
  <si>
    <r>
      <rPr>
        <sz val="10"/>
        <color indexed="8"/>
        <rFont val="宋体"/>
        <family val="3"/>
        <charset val="134"/>
      </rPr>
      <t>（分摊）土地面积</t>
    </r>
    <phoneticPr fontId="5" type="noConversion"/>
  </si>
  <si>
    <r>
      <rPr>
        <sz val="10"/>
        <color indexed="8"/>
        <rFont val="宋体"/>
        <family val="3"/>
        <charset val="134"/>
      </rPr>
      <t>建筑面积</t>
    </r>
    <phoneticPr fontId="5" type="noConversion"/>
  </si>
  <si>
    <r>
      <rPr>
        <sz val="10"/>
        <color indexed="8"/>
        <rFont val="宋体"/>
        <family val="3"/>
        <charset val="134"/>
      </rPr>
      <t>小计</t>
    </r>
    <phoneticPr fontId="5" type="noConversion"/>
  </si>
  <si>
    <r>
      <rPr>
        <sz val="10"/>
        <color indexed="8"/>
        <rFont val="宋体"/>
        <family val="3"/>
        <charset val="134"/>
      </rPr>
      <t>地上</t>
    </r>
    <phoneticPr fontId="5" type="noConversion"/>
  </si>
  <si>
    <r>
      <rPr>
        <sz val="10"/>
        <color indexed="8"/>
        <rFont val="宋体"/>
        <family val="3"/>
        <charset val="134"/>
      </rPr>
      <t>地下</t>
    </r>
    <phoneticPr fontId="5"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</si>
  <si>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5" type="noConversion"/>
  </si>
  <si>
    <r>
      <rPr>
        <sz val="10"/>
        <color indexed="8"/>
        <rFont val="宋体"/>
        <family val="3"/>
        <charset val="134"/>
      </rPr>
      <t>经营性用途</t>
    </r>
    <phoneticPr fontId="7" type="noConversion"/>
  </si>
  <si>
    <r>
      <rPr>
        <sz val="10"/>
        <color indexed="8"/>
        <rFont val="宋体"/>
        <family val="3"/>
        <charset val="134"/>
      </rPr>
      <t>非经营性用途</t>
    </r>
    <phoneticPr fontId="7" type="noConversion"/>
  </si>
  <si>
    <r>
      <rPr>
        <sz val="10"/>
        <color indexed="8"/>
        <rFont val="宋体"/>
        <family val="3"/>
        <charset val="134"/>
      </rPr>
      <t>公共配套设施</t>
    </r>
    <phoneticPr fontId="5" type="noConversion"/>
  </si>
  <si>
    <r>
      <rPr>
        <sz val="10"/>
        <color indexed="8"/>
        <rFont val="宋体"/>
        <family val="3"/>
        <charset val="134"/>
      </rPr>
      <t>物业管理用房</t>
    </r>
    <phoneticPr fontId="5" type="noConversion"/>
  </si>
  <si>
    <r>
      <rPr>
        <sz val="10"/>
        <color indexed="8"/>
        <rFont val="宋体"/>
        <family val="3"/>
        <charset val="134"/>
      </rPr>
      <t>设备及其他</t>
    </r>
    <phoneticPr fontId="5" type="noConversion"/>
  </si>
  <si>
    <r>
      <rPr>
        <sz val="10"/>
        <color indexed="8"/>
        <rFont val="宋体"/>
        <family val="3"/>
        <charset val="134"/>
      </rPr>
      <t>未注明</t>
    </r>
    <phoneticPr fontId="5" type="noConversion"/>
  </si>
  <si>
    <r>
      <rPr>
        <sz val="10"/>
        <color rgb="FFFF0000"/>
        <rFont val="宋体"/>
        <family val="3"/>
        <charset val="134"/>
      </rPr>
      <t>（住宅）</t>
    </r>
    <phoneticPr fontId="5" type="noConversion"/>
  </si>
  <si>
    <r>
      <rPr>
        <sz val="10"/>
        <color rgb="FFFF0000"/>
        <rFont val="宋体"/>
        <family val="3"/>
        <charset val="134"/>
      </rPr>
      <t>（住宅、计出让金）</t>
    </r>
    <phoneticPr fontId="5" type="noConversion"/>
  </si>
  <si>
    <r>
      <rPr>
        <sz val="10"/>
        <color indexed="8"/>
        <rFont val="宋体"/>
        <family val="3"/>
        <charset val="134"/>
      </rPr>
      <t>总值</t>
    </r>
    <phoneticPr fontId="5" type="noConversion"/>
  </si>
  <si>
    <r>
      <rPr>
        <sz val="10"/>
        <color indexed="8"/>
        <rFont val="宋体"/>
        <family val="3"/>
        <charset val="134"/>
      </rPr>
      <t>扣减值</t>
    </r>
    <phoneticPr fontId="5" type="noConversion"/>
  </si>
  <si>
    <r>
      <rPr>
        <b/>
        <sz val="11"/>
        <color indexed="8"/>
        <rFont val="宋体"/>
        <family val="3"/>
        <charset val="134"/>
      </rPr>
      <t>面积总计</t>
    </r>
    <phoneticPr fontId="9" type="noConversion"/>
  </si>
  <si>
    <r>
      <rPr>
        <sz val="11"/>
        <color indexed="8"/>
        <rFont val="宋体"/>
        <family val="3"/>
        <charset val="134"/>
      </rPr>
      <t>总</t>
    </r>
    <phoneticPr fontId="9" type="noConversion"/>
  </si>
  <si>
    <r>
      <rPr>
        <b/>
        <sz val="11"/>
        <color indexed="8"/>
        <rFont val="宋体"/>
        <family val="3"/>
        <charset val="134"/>
      </rPr>
      <t>土地面积</t>
    </r>
    <phoneticPr fontId="12" type="noConversion"/>
  </si>
  <si>
    <r>
      <rPr>
        <b/>
        <sz val="11"/>
        <rFont val="宋体"/>
        <family val="3"/>
        <charset val="134"/>
      </rPr>
      <t>建筑面积</t>
    </r>
    <phoneticPr fontId="12" type="noConversion"/>
  </si>
  <si>
    <r>
      <t>1.</t>
    </r>
    <r>
      <rPr>
        <sz val="11"/>
        <color indexed="8"/>
        <rFont val="宋体"/>
        <family val="3"/>
        <charset val="134"/>
      </rPr>
      <t>其中：</t>
    </r>
    <phoneticPr fontId="9" type="noConversion"/>
  </si>
  <si>
    <r>
      <rPr>
        <sz val="11"/>
        <color indexed="8"/>
        <rFont val="宋体"/>
        <family val="3"/>
        <charset val="134"/>
      </rPr>
      <t>住宅</t>
    </r>
    <phoneticPr fontId="9" type="noConversion"/>
  </si>
  <si>
    <r>
      <rPr>
        <sz val="11"/>
        <color indexed="8"/>
        <rFont val="宋体"/>
        <family val="3"/>
        <charset val="134"/>
      </rPr>
      <t>非住宅</t>
    </r>
    <phoneticPr fontId="9" type="noConversion"/>
  </si>
  <si>
    <r>
      <rPr>
        <sz val="11"/>
        <color indexed="8"/>
        <rFont val="宋体"/>
        <family val="3"/>
        <charset val="134"/>
      </rPr>
      <t>估价对象</t>
    </r>
    <phoneticPr fontId="9" type="noConversion"/>
  </si>
  <si>
    <r>
      <rPr>
        <sz val="11"/>
        <color indexed="8"/>
        <rFont val="宋体"/>
        <family val="3"/>
        <charset val="134"/>
      </rPr>
      <t>地上</t>
    </r>
    <phoneticPr fontId="9" type="noConversion"/>
  </si>
  <si>
    <r>
      <rPr>
        <b/>
        <sz val="11"/>
        <color indexed="8"/>
        <rFont val="宋体"/>
        <family val="3"/>
        <charset val="134"/>
      </rPr>
      <t>建筑面积</t>
    </r>
    <phoneticPr fontId="12" type="noConversion"/>
  </si>
  <si>
    <r>
      <rPr>
        <sz val="11"/>
        <color indexed="8"/>
        <rFont val="宋体"/>
        <family val="3"/>
        <charset val="134"/>
      </rPr>
      <t>自定义容积率</t>
    </r>
    <phoneticPr fontId="9" type="noConversion"/>
  </si>
  <si>
    <r>
      <t>2.</t>
    </r>
    <r>
      <rPr>
        <sz val="11"/>
        <color indexed="8"/>
        <rFont val="宋体"/>
        <family val="3"/>
        <charset val="134"/>
      </rPr>
      <t>其中：</t>
    </r>
    <phoneticPr fontId="9" type="noConversion"/>
  </si>
  <si>
    <r>
      <rPr>
        <sz val="11"/>
        <color indexed="8"/>
        <rFont val="宋体"/>
        <family val="3"/>
        <charset val="134"/>
      </rPr>
      <t>计出让部分</t>
    </r>
    <phoneticPr fontId="12" type="noConversion"/>
  </si>
  <si>
    <r>
      <rPr>
        <sz val="11"/>
        <color indexed="8"/>
        <rFont val="宋体"/>
        <family val="3"/>
        <charset val="134"/>
      </rPr>
      <t>地上经营性用途</t>
    </r>
    <phoneticPr fontId="9" type="noConversion"/>
  </si>
  <si>
    <r>
      <rPr>
        <sz val="11"/>
        <color indexed="8"/>
        <rFont val="宋体"/>
        <family val="3"/>
        <charset val="134"/>
      </rPr>
      <t>地上其他</t>
    </r>
    <phoneticPr fontId="9" type="noConversion"/>
  </si>
  <si>
    <r>
      <rPr>
        <sz val="11"/>
        <color indexed="8"/>
        <rFont val="宋体"/>
        <family val="3"/>
        <charset val="134"/>
      </rPr>
      <t>地下办公（含物业）</t>
    </r>
    <phoneticPr fontId="9" type="noConversion"/>
  </si>
  <si>
    <r>
      <rPr>
        <sz val="11"/>
        <color indexed="8"/>
        <rFont val="宋体"/>
        <family val="3"/>
        <charset val="134"/>
      </rPr>
      <t>地下仓储</t>
    </r>
    <phoneticPr fontId="9" type="noConversion"/>
  </si>
  <si>
    <r>
      <rPr>
        <sz val="11"/>
        <color indexed="8"/>
        <rFont val="宋体"/>
        <family val="3"/>
        <charset val="134"/>
      </rPr>
      <t>地下车库（除商业、办公）</t>
    </r>
    <phoneticPr fontId="9" type="noConversion"/>
  </si>
  <si>
    <r>
      <rPr>
        <sz val="11"/>
        <color indexed="8"/>
        <rFont val="宋体"/>
        <family val="3"/>
        <charset val="134"/>
      </rPr>
      <t>小计</t>
    </r>
    <phoneticPr fontId="9"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</si>
  <si>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</si>
  <si>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</si>
  <si>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2" type="noConversion"/>
  </si>
  <si>
    <r>
      <rPr>
        <b/>
        <sz val="11"/>
        <rFont val="宋体"/>
        <family val="3"/>
        <charset val="134"/>
      </rPr>
      <t>建筑面积</t>
    </r>
    <phoneticPr fontId="12" type="noConversion"/>
  </si>
  <si>
    <r>
      <rPr>
        <sz val="11"/>
        <color indexed="8"/>
        <rFont val="宋体"/>
        <family val="3"/>
        <charset val="134"/>
      </rPr>
      <t>地下商业</t>
    </r>
    <phoneticPr fontId="9"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</si>
  <si>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9" type="noConversion"/>
  </si>
  <si>
    <r>
      <rPr>
        <b/>
        <sz val="14"/>
        <color rgb="FFFF0000"/>
        <rFont val="宋体"/>
        <family val="3"/>
        <charset val="134"/>
      </rPr>
      <t>数据汇总表</t>
    </r>
    <phoneticPr fontId="9" type="noConversion"/>
  </si>
  <si>
    <r>
      <rPr>
        <b/>
        <sz val="11"/>
        <color indexed="8"/>
        <rFont val="宋体"/>
        <family val="3"/>
        <charset val="134"/>
      </rPr>
      <t>估价对象</t>
    </r>
    <phoneticPr fontId="9" type="noConversion"/>
  </si>
  <si>
    <r>
      <rPr>
        <b/>
        <sz val="11"/>
        <color indexed="8"/>
        <rFont val="宋体"/>
        <family val="3"/>
        <charset val="134"/>
      </rPr>
      <t>容积率</t>
    </r>
    <phoneticPr fontId="9" type="noConversion"/>
  </si>
  <si>
    <r>
      <rPr>
        <sz val="11"/>
        <color indexed="8"/>
        <rFont val="宋体"/>
        <family val="3"/>
        <charset val="134"/>
      </rPr>
      <t>项目</t>
    </r>
    <phoneticPr fontId="9"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</si>
  <si>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9" type="noConversion"/>
  </si>
  <si>
    <r>
      <rPr>
        <b/>
        <sz val="11"/>
        <color indexed="8"/>
        <rFont val="宋体"/>
        <family val="3"/>
        <charset val="134"/>
      </rPr>
      <t>分摊非经营性用途用房</t>
    </r>
    <phoneticPr fontId="9" type="noConversion"/>
  </si>
  <si>
    <r>
      <t>3.</t>
    </r>
    <r>
      <rPr>
        <sz val="11"/>
        <color indexed="8"/>
        <rFont val="宋体"/>
        <family val="3"/>
        <charset val="134"/>
      </rPr>
      <t>其中：</t>
    </r>
    <phoneticPr fontId="12" type="noConversion"/>
  </si>
  <si>
    <r>
      <rPr>
        <sz val="11"/>
        <color indexed="8"/>
        <rFont val="宋体"/>
        <family val="3"/>
        <charset val="134"/>
      </rPr>
      <t>类别</t>
    </r>
    <phoneticPr fontId="9" type="noConversion"/>
  </si>
  <si>
    <r>
      <rPr>
        <sz val="11"/>
        <color indexed="8"/>
        <rFont val="宋体"/>
        <family val="3"/>
        <charset val="134"/>
      </rPr>
      <t>项目类型</t>
    </r>
    <phoneticPr fontId="9" type="noConversion"/>
  </si>
  <si>
    <r>
      <rPr>
        <b/>
        <sz val="11"/>
        <color indexed="8"/>
        <rFont val="宋体"/>
        <family val="3"/>
        <charset val="134"/>
      </rPr>
      <t>分摊原则：</t>
    </r>
    <phoneticPr fontId="9" type="noConversion"/>
  </si>
  <si>
    <r>
      <rPr>
        <sz val="11"/>
        <color indexed="8"/>
        <rFont val="宋体"/>
        <family val="3"/>
        <charset val="134"/>
      </rPr>
      <t>按面积比例分摊</t>
    </r>
    <phoneticPr fontId="9" type="noConversion"/>
  </si>
  <si>
    <r>
      <rPr>
        <sz val="11"/>
        <color indexed="8"/>
        <rFont val="宋体"/>
        <family val="3"/>
        <charset val="134"/>
      </rPr>
      <t>自定义分摊</t>
    </r>
    <phoneticPr fontId="9" type="noConversion"/>
  </si>
  <si>
    <r>
      <rPr>
        <sz val="11"/>
        <color indexed="8"/>
        <rFont val="宋体"/>
        <family val="3"/>
        <charset val="134"/>
      </rPr>
      <t>面积加总（含分摊非经营）</t>
    </r>
    <phoneticPr fontId="5" type="noConversion"/>
  </si>
  <si>
    <r>
      <rPr>
        <sz val="11"/>
        <rFont val="宋体"/>
        <family val="3"/>
        <charset val="134"/>
      </rPr>
      <t>合计</t>
    </r>
    <phoneticPr fontId="9" type="noConversion"/>
  </si>
  <si>
    <r>
      <rPr>
        <sz val="11"/>
        <color indexed="8"/>
        <rFont val="宋体"/>
        <family val="3"/>
        <charset val="134"/>
      </rPr>
      <t>地上</t>
    </r>
    <phoneticPr fontId="9" type="noConversion"/>
  </si>
  <si>
    <r>
      <rPr>
        <sz val="11"/>
        <color indexed="8"/>
        <rFont val="宋体"/>
        <family val="3"/>
        <charset val="134"/>
      </rPr>
      <t>地下</t>
    </r>
    <phoneticPr fontId="9" type="noConversion"/>
  </si>
  <si>
    <r>
      <rPr>
        <sz val="11"/>
        <color indexed="8"/>
        <rFont val="宋体"/>
        <family val="3"/>
        <charset val="134"/>
      </rPr>
      <t>土地面积</t>
    </r>
    <phoneticPr fontId="9" type="noConversion"/>
  </si>
  <si>
    <r>
      <rPr>
        <sz val="11"/>
        <color indexed="8"/>
        <rFont val="宋体"/>
        <family val="3"/>
        <charset val="134"/>
      </rPr>
      <t>建筑面积</t>
    </r>
    <phoneticPr fontId="9" type="noConversion"/>
  </si>
  <si>
    <r>
      <rPr>
        <sz val="11"/>
        <color indexed="8"/>
        <rFont val="宋体"/>
        <family val="3"/>
        <charset val="134"/>
      </rPr>
      <t>设备</t>
    </r>
    <phoneticPr fontId="9"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</si>
  <si>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9" type="noConversion"/>
  </si>
  <si>
    <r>
      <rPr>
        <sz val="11"/>
        <color indexed="8"/>
        <rFont val="宋体"/>
        <family val="3"/>
        <charset val="134"/>
      </rPr>
      <t>合</t>
    </r>
    <phoneticPr fontId="9" type="noConversion"/>
  </si>
  <si>
    <r>
      <rPr>
        <sz val="11"/>
        <color indexed="8"/>
        <rFont val="宋体"/>
        <family val="3"/>
        <charset val="134"/>
      </rPr>
      <t>土地面积</t>
    </r>
    <phoneticPr fontId="5" type="noConversion"/>
  </si>
  <si>
    <r>
      <rPr>
        <sz val="11"/>
        <color indexed="8"/>
        <rFont val="宋体"/>
        <family val="3"/>
        <charset val="134"/>
      </rPr>
      <t>建筑面积</t>
    </r>
    <phoneticPr fontId="5" type="noConversion"/>
  </si>
  <si>
    <r>
      <rPr>
        <sz val="11"/>
        <color indexed="8"/>
        <rFont val="宋体"/>
        <family val="3"/>
        <charset val="134"/>
      </rPr>
      <t>经营性</t>
    </r>
    <phoneticPr fontId="9" type="noConversion"/>
  </si>
  <si>
    <r>
      <rPr>
        <b/>
        <sz val="11"/>
        <color indexed="8"/>
        <rFont val="宋体"/>
        <family val="3"/>
        <charset val="134"/>
      </rPr>
      <t>小计</t>
    </r>
    <phoneticPr fontId="9" type="noConversion"/>
  </si>
  <si>
    <r>
      <rPr>
        <sz val="11"/>
        <color indexed="8"/>
        <rFont val="宋体"/>
        <family val="3"/>
        <charset val="134"/>
      </rPr>
      <t>非经营性</t>
    </r>
    <phoneticPr fontId="12" type="noConversion"/>
  </si>
  <si>
    <r>
      <rPr>
        <sz val="11"/>
        <color indexed="8"/>
        <rFont val="宋体"/>
        <family val="3"/>
        <charset val="134"/>
      </rPr>
      <t>设备及其他</t>
    </r>
    <phoneticPr fontId="9" type="noConversion"/>
  </si>
  <si>
    <r>
      <rPr>
        <sz val="11"/>
        <color indexed="8"/>
        <rFont val="宋体"/>
        <family val="3"/>
        <charset val="134"/>
      </rPr>
      <t>公共配套及物业（住宅）</t>
    </r>
    <phoneticPr fontId="9" type="noConversion"/>
  </si>
  <si>
    <r>
      <rPr>
        <b/>
        <sz val="11"/>
        <color indexed="8"/>
        <rFont val="宋体"/>
        <family val="3"/>
        <charset val="134"/>
      </rPr>
      <t>合计</t>
    </r>
    <phoneticPr fontId="9" type="noConversion"/>
  </si>
  <si>
    <r>
      <rPr>
        <sz val="11"/>
        <color indexed="8"/>
        <rFont val="宋体"/>
        <family val="3"/>
        <charset val="134"/>
      </rPr>
      <t>住宅用房合计</t>
    </r>
    <phoneticPr fontId="9" type="noConversion"/>
  </si>
  <si>
    <r>
      <rPr>
        <b/>
        <sz val="14"/>
        <color rgb="FFFF0000"/>
        <rFont val="宋体"/>
        <family val="3"/>
        <charset val="134"/>
      </rPr>
      <t>数据取费表</t>
    </r>
    <phoneticPr fontId="5"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</si>
  <si>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5" type="noConversion"/>
  </si>
  <si>
    <r>
      <rPr>
        <b/>
        <sz val="11"/>
        <color indexed="8"/>
        <rFont val="宋体"/>
        <family val="3"/>
        <charset val="134"/>
      </rPr>
      <t>综合取费</t>
    </r>
    <phoneticPr fontId="5" type="noConversion"/>
  </si>
  <si>
    <r>
      <rPr>
        <sz val="11"/>
        <color indexed="8"/>
        <rFont val="宋体"/>
        <family val="3"/>
        <charset val="134"/>
      </rPr>
      <t>土地使用年期</t>
    </r>
    <phoneticPr fontId="5" type="noConversion"/>
  </si>
  <si>
    <r>
      <rPr>
        <sz val="11"/>
        <color indexed="8"/>
        <rFont val="宋体"/>
        <family val="3"/>
        <charset val="134"/>
      </rPr>
      <t>建安费用</t>
    </r>
    <phoneticPr fontId="5"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</si>
  <si>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5" type="noConversion"/>
  </si>
  <si>
    <r>
      <rPr>
        <sz val="11"/>
        <color indexed="8"/>
        <rFont val="宋体"/>
        <family val="3"/>
        <charset val="134"/>
      </rPr>
      <t>租期外</t>
    </r>
    <phoneticPr fontId="5" type="noConversion"/>
  </si>
  <si>
    <r>
      <rPr>
        <sz val="11"/>
        <color indexed="8"/>
        <rFont val="宋体"/>
        <family val="3"/>
        <charset val="134"/>
      </rPr>
      <t>收益期</t>
    </r>
    <phoneticPr fontId="5" type="noConversion"/>
  </si>
  <si>
    <r>
      <rPr>
        <sz val="11"/>
        <color indexed="8"/>
        <rFont val="宋体"/>
        <family val="3"/>
        <charset val="134"/>
      </rPr>
      <t>项目类型</t>
    </r>
    <phoneticPr fontId="6" type="noConversion"/>
  </si>
  <si>
    <r>
      <rPr>
        <sz val="11"/>
        <color indexed="8"/>
        <rFont val="宋体"/>
        <family val="3"/>
        <charset val="134"/>
      </rPr>
      <t>类别</t>
    </r>
    <phoneticPr fontId="5" type="noConversion"/>
  </si>
  <si>
    <r>
      <rPr>
        <sz val="11"/>
        <color indexed="8"/>
        <rFont val="宋体"/>
        <family val="3"/>
        <charset val="134"/>
      </rPr>
      <t>地类判定</t>
    </r>
    <phoneticPr fontId="5" type="noConversion"/>
  </si>
  <si>
    <r>
      <rPr>
        <sz val="11"/>
        <rFont val="宋体"/>
        <family val="3"/>
        <charset val="134"/>
      </rPr>
      <t>法定最高</t>
    </r>
    <r>
      <rPr>
        <sz val="11"/>
        <rFont val="Arial"/>
        <family val="2"/>
      </rPr>
      <t>/</t>
    </r>
    <r>
      <rPr>
        <sz val="11"/>
        <rFont val="宋体"/>
        <family val="3"/>
        <charset val="134"/>
      </rPr>
      <t>出让年限</t>
    </r>
    <phoneticPr fontId="5" type="noConversion"/>
  </si>
  <si>
    <r>
      <rPr>
        <sz val="11"/>
        <color indexed="8"/>
        <rFont val="宋体"/>
        <family val="3"/>
        <charset val="134"/>
      </rPr>
      <t>终止日期</t>
    </r>
    <phoneticPr fontId="5" type="noConversion"/>
  </si>
  <si>
    <r>
      <rPr>
        <sz val="11"/>
        <color indexed="8"/>
        <rFont val="宋体"/>
        <family val="3"/>
        <charset val="134"/>
      </rPr>
      <t>剩余土地使用年限</t>
    </r>
    <phoneticPr fontId="5" type="noConversion"/>
  </si>
  <si>
    <r>
      <rPr>
        <sz val="11"/>
        <color indexed="8"/>
        <rFont val="宋体"/>
        <family val="3"/>
        <charset val="134"/>
      </rPr>
      <t>年期修正系数</t>
    </r>
    <phoneticPr fontId="5"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</si>
  <si>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5"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</si>
  <si>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5"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</si>
  <si>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5" type="noConversion"/>
  </si>
  <si>
    <r>
      <rPr>
        <sz val="11"/>
        <color indexed="8"/>
        <rFont val="宋体"/>
        <family val="3"/>
        <charset val="134"/>
      </rPr>
      <t>建筑面积</t>
    </r>
    <phoneticPr fontId="6" type="noConversion"/>
  </si>
  <si>
    <r>
      <rPr>
        <sz val="11"/>
        <color indexed="8"/>
        <rFont val="宋体"/>
        <family val="3"/>
        <charset val="134"/>
      </rPr>
      <t>单方造价</t>
    </r>
    <phoneticPr fontId="6" type="noConversion"/>
  </si>
  <si>
    <r>
      <rPr>
        <sz val="11"/>
        <color indexed="8"/>
        <rFont val="宋体"/>
        <family val="3"/>
        <charset val="134"/>
      </rPr>
      <t>建安总额</t>
    </r>
    <phoneticPr fontId="6" type="noConversion"/>
  </si>
  <si>
    <r>
      <rPr>
        <sz val="11"/>
        <color indexed="8"/>
        <rFont val="宋体"/>
        <family val="3"/>
        <charset val="134"/>
      </rPr>
      <t>在建建安</t>
    </r>
    <phoneticPr fontId="6" type="noConversion"/>
  </si>
  <si>
    <r>
      <rPr>
        <sz val="11"/>
        <color indexed="8"/>
        <rFont val="宋体"/>
        <family val="3"/>
        <charset val="134"/>
      </rPr>
      <t>续建建安</t>
    </r>
    <phoneticPr fontId="6" type="noConversion"/>
  </si>
  <si>
    <r>
      <rPr>
        <sz val="11"/>
        <color indexed="8"/>
        <rFont val="宋体"/>
        <family val="3"/>
        <charset val="134"/>
      </rPr>
      <t>利润</t>
    </r>
    <phoneticPr fontId="5" type="noConversion"/>
  </si>
  <si>
    <r>
      <rPr>
        <sz val="11"/>
        <color indexed="8"/>
        <rFont val="宋体"/>
        <family val="3"/>
        <charset val="134"/>
      </rPr>
      <t>分摊土地面积（经营性）</t>
    </r>
    <phoneticPr fontId="5" type="noConversion"/>
  </si>
  <si>
    <r>
      <rPr>
        <sz val="11"/>
        <color indexed="8"/>
        <rFont val="宋体"/>
        <family val="3"/>
        <charset val="134"/>
      </rPr>
      <t>建筑面积（分摊设备）</t>
    </r>
    <phoneticPr fontId="5" type="noConversion"/>
  </si>
  <si>
    <r>
      <rPr>
        <sz val="11"/>
        <color indexed="8"/>
        <rFont val="宋体"/>
        <family val="3"/>
        <charset val="134"/>
      </rPr>
      <t>总建安（分摊非经营）</t>
    </r>
    <phoneticPr fontId="5" type="noConversion"/>
  </si>
  <si>
    <r>
      <rPr>
        <sz val="11"/>
        <color indexed="8"/>
        <rFont val="宋体"/>
        <family val="3"/>
        <charset val="134"/>
      </rPr>
      <t>租金</t>
    </r>
    <phoneticPr fontId="5" type="noConversion"/>
  </si>
  <si>
    <r>
      <rPr>
        <sz val="11"/>
        <color indexed="8"/>
        <rFont val="宋体"/>
        <family val="3"/>
        <charset val="134"/>
      </rPr>
      <t>年租金增长率</t>
    </r>
    <phoneticPr fontId="5" type="noConversion"/>
  </si>
  <si>
    <r>
      <rPr>
        <sz val="11"/>
        <color indexed="8"/>
        <rFont val="宋体"/>
        <family val="3"/>
        <charset val="134"/>
      </rPr>
      <t>空置率</t>
    </r>
    <phoneticPr fontId="5" type="noConversion"/>
  </si>
  <si>
    <r>
      <rPr>
        <sz val="11"/>
        <color indexed="8"/>
        <rFont val="宋体"/>
        <family val="3"/>
        <charset val="134"/>
      </rPr>
      <t>成新度</t>
    </r>
    <phoneticPr fontId="5"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</si>
  <si>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5" type="noConversion"/>
  </si>
  <si>
    <r>
      <rPr>
        <sz val="11"/>
        <color indexed="8"/>
        <rFont val="宋体"/>
        <family val="3"/>
        <charset val="134"/>
      </rPr>
      <t>剩余租赁期</t>
    </r>
    <phoneticPr fontId="5" type="noConversion"/>
  </si>
  <si>
    <r>
      <rPr>
        <sz val="11"/>
        <color indexed="8"/>
        <rFont val="宋体"/>
        <family val="3"/>
        <charset val="134"/>
      </rPr>
      <t>租赁期外收益期</t>
    </r>
    <phoneticPr fontId="5"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</si>
  <si>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5"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</si>
  <si>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</si>
  <si>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5" type="noConversion"/>
  </si>
  <si>
    <r>
      <rPr>
        <sz val="11"/>
        <color indexed="8"/>
        <rFont val="宋体"/>
        <family val="3"/>
        <charset val="134"/>
      </rPr>
      <t>维修费率</t>
    </r>
    <phoneticPr fontId="5" type="noConversion"/>
  </si>
  <si>
    <r>
      <rPr>
        <sz val="11"/>
        <color indexed="8"/>
        <rFont val="宋体"/>
        <family val="3"/>
        <charset val="134"/>
      </rPr>
      <t>保险费率</t>
    </r>
    <phoneticPr fontId="5" type="noConversion"/>
  </si>
  <si>
    <r>
      <rPr>
        <sz val="11"/>
        <color indexed="8"/>
        <rFont val="宋体"/>
        <family val="3"/>
        <charset val="134"/>
      </rPr>
      <t>管理费率</t>
    </r>
    <phoneticPr fontId="5" type="noConversion"/>
  </si>
  <si>
    <r>
      <rPr>
        <sz val="11"/>
        <color indexed="8"/>
        <rFont val="宋体"/>
        <family val="3"/>
        <charset val="134"/>
      </rPr>
      <t>请选择所对应的收益法</t>
    </r>
    <phoneticPr fontId="5" type="noConversion"/>
  </si>
  <si>
    <r>
      <rPr>
        <sz val="11"/>
        <color indexed="8"/>
        <rFont val="宋体"/>
        <family val="3"/>
        <charset val="134"/>
      </rPr>
      <t>收益法结果</t>
    </r>
    <phoneticPr fontId="5" type="noConversion"/>
  </si>
  <si>
    <r>
      <rPr>
        <sz val="11"/>
        <color indexed="8"/>
        <rFont val="宋体"/>
        <family val="3"/>
        <charset val="134"/>
      </rPr>
      <t>辅助计算</t>
    </r>
    <phoneticPr fontId="5" type="noConversion"/>
  </si>
  <si>
    <r>
      <rPr>
        <sz val="11"/>
        <color indexed="8"/>
        <rFont val="宋体"/>
        <family val="3"/>
        <charset val="134"/>
      </rPr>
      <t>在建建安（分摊非经营）</t>
    </r>
    <phoneticPr fontId="5" type="noConversion"/>
  </si>
  <si>
    <r>
      <rPr>
        <sz val="11"/>
        <color indexed="8"/>
        <rFont val="宋体"/>
        <family val="3"/>
        <charset val="134"/>
      </rPr>
      <t>续建建安（分摊非经营）</t>
    </r>
    <phoneticPr fontId="5"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</si>
  <si>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</si>
  <si>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</si>
  <si>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5" type="noConversion"/>
  </si>
  <si>
    <r>
      <rPr>
        <sz val="11"/>
        <color indexed="8"/>
        <rFont val="宋体"/>
        <family val="3"/>
        <charset val="134"/>
      </rPr>
      <t>公共配套</t>
    </r>
  </si>
  <si>
    <r>
      <rPr>
        <b/>
        <sz val="11"/>
        <color indexed="8"/>
        <rFont val="宋体"/>
        <family val="3"/>
        <charset val="134"/>
      </rPr>
      <t>合计</t>
    </r>
    <phoneticPr fontId="6" type="noConversion"/>
  </si>
  <si>
    <r>
      <rPr>
        <b/>
        <sz val="11"/>
        <color indexed="8"/>
        <rFont val="宋体"/>
        <family val="3"/>
        <charset val="134"/>
      </rPr>
      <t>开发期</t>
    </r>
    <phoneticPr fontId="5" type="noConversion"/>
  </si>
  <si>
    <r>
      <rPr>
        <sz val="11"/>
        <rFont val="宋体"/>
        <family val="3"/>
        <charset val="134"/>
      </rPr>
      <t>土地开发期</t>
    </r>
  </si>
  <si>
    <r>
      <rPr>
        <sz val="11"/>
        <rFont val="宋体"/>
        <family val="3"/>
        <charset val="134"/>
      </rPr>
      <t>建设期</t>
    </r>
    <phoneticPr fontId="6" type="noConversion"/>
  </si>
  <si>
    <r>
      <rPr>
        <sz val="11"/>
        <color indexed="8"/>
        <rFont val="宋体"/>
        <family val="3"/>
        <charset val="134"/>
      </rPr>
      <t>已建工期</t>
    </r>
    <phoneticPr fontId="6" type="noConversion"/>
  </si>
  <si>
    <r>
      <rPr>
        <sz val="11"/>
        <rFont val="宋体"/>
        <family val="3"/>
        <charset val="134"/>
      </rPr>
      <t>项目开发期</t>
    </r>
    <phoneticPr fontId="6" type="noConversion"/>
  </si>
  <si>
    <r>
      <rPr>
        <sz val="11"/>
        <color indexed="8"/>
        <rFont val="宋体"/>
        <family val="3"/>
        <charset val="134"/>
      </rPr>
      <t>项目已运行</t>
    </r>
    <phoneticPr fontId="6" type="noConversion"/>
  </si>
  <si>
    <r>
      <rPr>
        <sz val="11"/>
        <rFont val="宋体"/>
        <family val="3"/>
        <charset val="134"/>
      </rPr>
      <t>续建工期</t>
    </r>
    <phoneticPr fontId="6" type="noConversion"/>
  </si>
  <si>
    <r>
      <rPr>
        <b/>
        <sz val="11"/>
        <color indexed="8"/>
        <rFont val="宋体"/>
        <family val="3"/>
        <charset val="134"/>
      </rPr>
      <t>其他取费</t>
    </r>
    <phoneticPr fontId="5" type="noConversion"/>
  </si>
  <si>
    <r>
      <rPr>
        <sz val="11"/>
        <color indexed="8"/>
        <rFont val="宋体"/>
        <family val="3"/>
        <charset val="134"/>
      </rPr>
      <t>取值</t>
    </r>
    <phoneticPr fontId="5" type="noConversion"/>
  </si>
  <si>
    <r>
      <rPr>
        <sz val="11"/>
        <color indexed="8"/>
        <rFont val="宋体"/>
        <family val="3"/>
        <charset val="134"/>
      </rPr>
      <t>备注</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</si>
  <si>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</si>
  <si>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</si>
  <si>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5" type="noConversion"/>
  </si>
  <si>
    <r>
      <rPr>
        <sz val="11"/>
        <color indexed="8"/>
        <rFont val="宋体"/>
        <family val="3"/>
        <charset val="134"/>
      </rPr>
      <t>红线外市政基础设施（总）</t>
    </r>
    <phoneticPr fontId="5" type="noConversion"/>
  </si>
  <si>
    <r>
      <rPr>
        <sz val="11"/>
        <color indexed="8"/>
        <rFont val="宋体"/>
        <family val="3"/>
        <charset val="134"/>
      </rPr>
      <t>红线外市政基础设施（现状）</t>
    </r>
    <phoneticPr fontId="5" type="noConversion"/>
  </si>
  <si>
    <r>
      <rPr>
        <sz val="11"/>
        <color indexed="8"/>
        <rFont val="宋体"/>
        <family val="3"/>
        <charset val="134"/>
      </rPr>
      <t>红线外市政基础设施（待完成）</t>
    </r>
    <phoneticPr fontId="5" type="noConversion"/>
  </si>
  <si>
    <r>
      <rPr>
        <sz val="11"/>
        <color indexed="8"/>
        <rFont val="宋体"/>
        <family val="3"/>
        <charset val="134"/>
      </rPr>
      <t>勘察设计和前期工程费</t>
    </r>
    <phoneticPr fontId="5" type="noConversion"/>
  </si>
  <si>
    <r>
      <rPr>
        <sz val="11"/>
        <color indexed="8"/>
        <rFont val="宋体"/>
        <family val="3"/>
        <charset val="134"/>
      </rPr>
      <t>公共配套设施费用</t>
    </r>
    <phoneticPr fontId="5" type="noConversion"/>
  </si>
  <si>
    <r>
      <rPr>
        <sz val="11"/>
        <color indexed="8"/>
        <rFont val="宋体"/>
        <family val="3"/>
        <charset val="134"/>
      </rPr>
      <t>红线内市政基础设施</t>
    </r>
    <phoneticPr fontId="5" type="noConversion"/>
  </si>
  <si>
    <r>
      <rPr>
        <sz val="11"/>
        <color indexed="8"/>
        <rFont val="宋体"/>
        <family val="3"/>
        <charset val="134"/>
      </rPr>
      <t>建造成本中相关税费</t>
    </r>
    <phoneticPr fontId="5" type="noConversion"/>
  </si>
  <si>
    <r>
      <rPr>
        <sz val="11"/>
        <color indexed="8"/>
        <rFont val="宋体"/>
        <family val="3"/>
        <charset val="134"/>
      </rPr>
      <t>管理费用</t>
    </r>
    <phoneticPr fontId="5" type="noConversion"/>
  </si>
  <si>
    <r>
      <rPr>
        <sz val="11"/>
        <color indexed="8"/>
        <rFont val="宋体"/>
        <family val="3"/>
        <charset val="134"/>
      </rPr>
      <t>销售费用</t>
    </r>
    <phoneticPr fontId="5" type="noConversion"/>
  </si>
  <si>
    <r>
      <rPr>
        <sz val="11"/>
        <color indexed="8"/>
        <rFont val="宋体"/>
        <family val="3"/>
        <charset val="134"/>
      </rPr>
      <t>一年期存款利率</t>
    </r>
    <phoneticPr fontId="5"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</si>
  <si>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5" type="noConversion"/>
  </si>
  <si>
    <r>
      <rPr>
        <sz val="11"/>
        <color indexed="8"/>
        <rFont val="宋体"/>
        <family val="3"/>
        <charset val="134"/>
      </rPr>
      <t>增值税</t>
    </r>
    <phoneticPr fontId="5" type="noConversion"/>
  </si>
  <si>
    <r>
      <rPr>
        <sz val="11"/>
        <color indexed="8"/>
        <rFont val="宋体"/>
        <family val="3"/>
        <charset val="134"/>
      </rPr>
      <t>附加税合计</t>
    </r>
    <phoneticPr fontId="5" type="noConversion"/>
  </si>
  <si>
    <r>
      <rPr>
        <sz val="11"/>
        <color indexed="8"/>
        <rFont val="宋体"/>
        <family val="3"/>
        <charset val="134"/>
      </rPr>
      <t>地方教育费附加</t>
    </r>
    <phoneticPr fontId="5" type="noConversion"/>
  </si>
  <si>
    <r>
      <rPr>
        <sz val="11"/>
        <color indexed="8"/>
        <rFont val="宋体"/>
        <family val="3"/>
        <charset val="134"/>
      </rPr>
      <t>其他税种</t>
    </r>
    <phoneticPr fontId="5" type="noConversion"/>
  </si>
  <si>
    <r>
      <rPr>
        <sz val="11"/>
        <color indexed="8"/>
        <rFont val="宋体"/>
        <family val="3"/>
        <charset val="134"/>
      </rPr>
      <t>契税</t>
    </r>
    <phoneticPr fontId="5" type="noConversion"/>
  </si>
  <si>
    <r>
      <rPr>
        <sz val="11"/>
        <color indexed="8"/>
        <rFont val="宋体"/>
        <family val="3"/>
        <charset val="134"/>
      </rPr>
      <t>印花税</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</si>
  <si>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</si>
  <si>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5" type="noConversion"/>
  </si>
  <si>
    <r>
      <rPr>
        <sz val="11"/>
        <color indexed="8"/>
        <rFont val="宋体"/>
        <family val="3"/>
        <charset val="134"/>
      </rPr>
      <t>土地使用税</t>
    </r>
    <phoneticPr fontId="5" type="noConversion"/>
  </si>
  <si>
    <r>
      <rPr>
        <sz val="11"/>
        <color indexed="8"/>
        <rFont val="宋体"/>
        <family val="3"/>
        <charset val="134"/>
      </rPr>
      <t>城镇土地纳税等级分级范围</t>
    </r>
    <phoneticPr fontId="5" type="noConversion"/>
  </si>
  <si>
    <r>
      <rPr>
        <sz val="11"/>
        <color indexed="8"/>
        <rFont val="宋体"/>
        <family val="3"/>
        <charset val="134"/>
      </rPr>
      <t>北京</t>
    </r>
    <phoneticPr fontId="5" type="noConversion"/>
  </si>
  <si>
    <r>
      <rPr>
        <sz val="11"/>
        <color indexed="8"/>
        <rFont val="宋体"/>
        <family val="3"/>
        <charset val="134"/>
      </rPr>
      <t>一级</t>
    </r>
    <phoneticPr fontId="5" type="noConversion"/>
  </si>
  <si>
    <r>
      <rPr>
        <sz val="11"/>
        <color indexed="8"/>
        <rFont val="宋体"/>
        <family val="3"/>
        <charset val="134"/>
      </rPr>
      <t>二级</t>
    </r>
    <phoneticPr fontId="5" type="noConversion"/>
  </si>
  <si>
    <r>
      <rPr>
        <sz val="11"/>
        <color indexed="8"/>
        <rFont val="宋体"/>
        <family val="3"/>
        <charset val="134"/>
      </rPr>
      <t>三级</t>
    </r>
    <phoneticPr fontId="5" type="noConversion"/>
  </si>
  <si>
    <r>
      <rPr>
        <sz val="11"/>
        <color indexed="8"/>
        <rFont val="宋体"/>
        <family val="3"/>
        <charset val="134"/>
      </rPr>
      <t>四级</t>
    </r>
    <phoneticPr fontId="5" type="noConversion"/>
  </si>
  <si>
    <r>
      <rPr>
        <sz val="11"/>
        <color indexed="8"/>
        <rFont val="宋体"/>
        <family val="3"/>
        <charset val="134"/>
      </rPr>
      <t>五级</t>
    </r>
    <phoneticPr fontId="5" type="noConversion"/>
  </si>
  <si>
    <r>
      <rPr>
        <sz val="11"/>
        <color indexed="8"/>
        <rFont val="宋体"/>
        <family val="3"/>
        <charset val="134"/>
      </rPr>
      <t>六级</t>
    </r>
    <phoneticPr fontId="5" type="noConversion"/>
  </si>
  <si>
    <r>
      <rPr>
        <sz val="11"/>
        <color indexed="8"/>
        <rFont val="宋体"/>
        <family val="3"/>
        <charset val="134"/>
      </rPr>
      <t>七级</t>
    </r>
    <phoneticPr fontId="5" type="noConversion"/>
  </si>
  <si>
    <r>
      <rPr>
        <sz val="11"/>
        <color indexed="8"/>
        <rFont val="宋体"/>
        <family val="3"/>
        <charset val="134"/>
      </rPr>
      <t>八级</t>
    </r>
    <phoneticPr fontId="5" type="noConversion"/>
  </si>
  <si>
    <r>
      <rPr>
        <sz val="11"/>
        <color indexed="8"/>
        <rFont val="宋体"/>
        <family val="3"/>
        <charset val="134"/>
      </rPr>
      <t>九级</t>
    </r>
    <phoneticPr fontId="5" type="noConversion"/>
  </si>
  <si>
    <r>
      <rPr>
        <sz val="11"/>
        <color indexed="8"/>
        <rFont val="宋体"/>
        <family val="3"/>
        <charset val="134"/>
      </rPr>
      <t>十级</t>
    </r>
    <phoneticPr fontId="5" type="noConversion"/>
  </si>
  <si>
    <r>
      <rPr>
        <sz val="11"/>
        <color indexed="8"/>
        <rFont val="宋体"/>
        <family val="3"/>
        <charset val="134"/>
      </rPr>
      <t>居住社区成熟度</t>
    </r>
  </si>
  <si>
    <r>
      <rPr>
        <sz val="11"/>
        <color indexed="8"/>
        <rFont val="宋体"/>
        <family val="3"/>
        <charset val="134"/>
      </rPr>
      <t>公共配套设施</t>
    </r>
    <phoneticPr fontId="26"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</si>
  <si>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</si>
  <si>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</si>
  <si>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indexed="8"/>
        <rFont val="宋体"/>
        <family val="3"/>
        <charset val="134"/>
      </rPr>
      <t>自然及人文环境</t>
    </r>
  </si>
  <si>
    <r>
      <rPr>
        <b/>
        <sz val="14"/>
        <color rgb="FFFF0000"/>
        <rFont val="宋体"/>
        <family val="3"/>
        <charset val="134"/>
      </rPr>
      <t>估价结果（过程）</t>
    </r>
    <phoneticPr fontId="10" type="noConversion"/>
  </si>
  <si>
    <r>
      <rPr>
        <sz val="12"/>
        <color indexed="8"/>
        <rFont val="宋体"/>
        <family val="3"/>
        <charset val="134"/>
      </rPr>
      <t>估价对象状态</t>
    </r>
    <phoneticPr fontId="10"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</si>
  <si>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</si>
  <si>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</si>
  <si>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</si>
  <si>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10"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</si>
  <si>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</si>
  <si>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10"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</si>
  <si>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10"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</si>
  <si>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</si>
  <si>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</si>
  <si>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0"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</si>
  <si>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</si>
  <si>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</si>
  <si>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0"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</si>
  <si>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</si>
  <si>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</si>
  <si>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0"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</si>
  <si>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</si>
  <si>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</si>
  <si>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10"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</si>
  <si>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10"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</si>
  <si>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</si>
  <si>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b/>
        <sz val="11"/>
        <color indexed="8"/>
        <rFont val="宋体"/>
        <family val="3"/>
        <charset val="134"/>
      </rPr>
      <t>分值</t>
    </r>
  </si>
  <si>
    <r>
      <rPr>
        <sz val="10"/>
        <color indexed="8"/>
        <rFont val="宋体"/>
        <family val="3"/>
        <charset val="134"/>
      </rPr>
      <t>含分摊设备建面</t>
    </r>
    <phoneticPr fontId="10" type="noConversion"/>
  </si>
  <si>
    <r>
      <rPr>
        <sz val="10"/>
        <color indexed="8"/>
        <rFont val="宋体"/>
        <family val="3"/>
        <charset val="134"/>
      </rPr>
      <t>用途建面</t>
    </r>
    <phoneticPr fontId="10" type="noConversion"/>
  </si>
  <si>
    <r>
      <rPr>
        <b/>
        <sz val="11"/>
        <color indexed="8"/>
        <rFont val="宋体"/>
        <family val="3"/>
        <charset val="134"/>
      </rPr>
      <t>权重</t>
    </r>
  </si>
  <si>
    <r>
      <rPr>
        <sz val="10"/>
        <color indexed="8"/>
        <rFont val="宋体"/>
        <family val="3"/>
        <charset val="134"/>
      </rPr>
      <t>建筑面积</t>
    </r>
    <phoneticPr fontId="10" type="noConversion"/>
  </si>
  <si>
    <r>
      <rPr>
        <b/>
        <sz val="11"/>
        <color indexed="8"/>
        <rFont val="宋体"/>
        <family val="3"/>
        <charset val="134"/>
      </rPr>
      <t>各方法结果</t>
    </r>
    <phoneticPr fontId="11" type="noConversion"/>
  </si>
  <si>
    <r>
      <rPr>
        <sz val="11"/>
        <color indexed="8"/>
        <rFont val="宋体"/>
        <family val="3"/>
        <charset val="134"/>
      </rPr>
      <t>总价</t>
    </r>
    <phoneticPr fontId="11" type="noConversion"/>
  </si>
  <si>
    <r>
      <rPr>
        <b/>
        <sz val="11"/>
        <color indexed="8"/>
        <rFont val="宋体"/>
        <family val="3"/>
        <charset val="134"/>
      </rPr>
      <t>权重结果</t>
    </r>
    <phoneticPr fontId="11" type="noConversion"/>
  </si>
  <si>
    <r>
      <rPr>
        <sz val="10"/>
        <color indexed="8"/>
        <rFont val="宋体"/>
        <family val="3"/>
        <charset val="134"/>
      </rPr>
      <t>万元</t>
    </r>
    <phoneticPr fontId="10" type="noConversion"/>
  </si>
  <si>
    <r>
      <rPr>
        <sz val="10"/>
        <color indexed="8"/>
        <rFont val="宋体"/>
        <family val="3"/>
        <charset val="134"/>
      </rPr>
      <t>土地面积</t>
    </r>
    <phoneticPr fontId="10" type="noConversion"/>
  </si>
  <si>
    <r>
      <rPr>
        <sz val="11"/>
        <color indexed="8"/>
        <rFont val="宋体"/>
        <family val="3"/>
        <charset val="134"/>
      </rPr>
      <t>楼面单价</t>
    </r>
    <phoneticPr fontId="1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</si>
  <si>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10" type="noConversion"/>
  </si>
  <si>
    <r>
      <rPr>
        <sz val="11"/>
        <color indexed="8"/>
        <rFont val="宋体"/>
        <family val="3"/>
        <charset val="134"/>
      </rPr>
      <t>地面单价</t>
    </r>
    <phoneticPr fontId="11" type="noConversion"/>
  </si>
  <si>
    <r>
      <rPr>
        <sz val="11"/>
        <color indexed="8"/>
        <rFont val="宋体"/>
        <family val="3"/>
        <charset val="134"/>
      </rPr>
      <t>各方法结果差值</t>
    </r>
    <phoneticPr fontId="10"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</si>
  <si>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10" type="noConversion"/>
  </si>
  <si>
    <r>
      <rPr>
        <sz val="11"/>
        <color rgb="FFFF0000"/>
        <rFont val="宋体"/>
        <family val="3"/>
        <charset val="134"/>
      </rPr>
      <t>扣减项</t>
    </r>
    <phoneticPr fontId="10" type="noConversion"/>
  </si>
  <si>
    <r>
      <rPr>
        <sz val="11"/>
        <color rgb="FFFF0000"/>
        <rFont val="宋体"/>
        <family val="3"/>
        <charset val="134"/>
      </rPr>
      <t>面积</t>
    </r>
    <phoneticPr fontId="10" type="noConversion"/>
  </si>
  <si>
    <r>
      <rPr>
        <sz val="11"/>
        <color rgb="FFFF0000"/>
        <rFont val="宋体"/>
        <family val="3"/>
        <charset val="134"/>
      </rPr>
      <t>单价</t>
    </r>
    <phoneticPr fontId="10" type="noConversion"/>
  </si>
  <si>
    <r>
      <rPr>
        <sz val="11"/>
        <color rgb="FFFF0000"/>
        <rFont val="宋体"/>
        <family val="3"/>
        <charset val="134"/>
      </rPr>
      <t>总值</t>
    </r>
    <phoneticPr fontId="10" type="noConversion"/>
  </si>
  <si>
    <r>
      <rPr>
        <sz val="11"/>
        <color rgb="FFFF0000"/>
        <rFont val="宋体"/>
        <family val="3"/>
        <charset val="134"/>
      </rPr>
      <t>合计</t>
    </r>
    <phoneticPr fontId="10" type="noConversion"/>
  </si>
  <si>
    <r>
      <rPr>
        <b/>
        <sz val="11"/>
        <color indexed="8"/>
        <rFont val="宋体"/>
        <family val="3"/>
        <charset val="134"/>
      </rPr>
      <t>房地产价值</t>
    </r>
    <phoneticPr fontId="10" type="noConversion"/>
  </si>
  <si>
    <r>
      <rPr>
        <b/>
        <sz val="11"/>
        <color indexed="8"/>
        <rFont val="宋体"/>
        <family val="3"/>
        <charset val="134"/>
      </rPr>
      <t>土地与建筑物价值分配原则</t>
    </r>
    <phoneticPr fontId="10" type="noConversion"/>
  </si>
  <si>
    <r>
      <rPr>
        <sz val="10"/>
        <color indexed="8"/>
        <rFont val="宋体"/>
        <family val="3"/>
        <charset val="134"/>
      </rPr>
      <t>自定义比例设置</t>
    </r>
    <phoneticPr fontId="90" type="noConversion"/>
  </si>
  <si>
    <r>
      <rPr>
        <sz val="11"/>
        <color indexed="8"/>
        <rFont val="宋体"/>
        <family val="3"/>
        <charset val="134"/>
      </rPr>
      <t>土地价值</t>
    </r>
    <phoneticPr fontId="10" type="noConversion"/>
  </si>
  <si>
    <r>
      <rPr>
        <sz val="10"/>
        <color indexed="8"/>
        <rFont val="宋体"/>
        <family val="3"/>
        <charset val="134"/>
      </rPr>
      <t>土地价值</t>
    </r>
    <phoneticPr fontId="90" type="noConversion"/>
  </si>
  <si>
    <r>
      <rPr>
        <sz val="11"/>
        <color indexed="8"/>
        <rFont val="宋体"/>
        <family val="3"/>
        <charset val="134"/>
      </rPr>
      <t>建筑物价值</t>
    </r>
    <phoneticPr fontId="10" type="noConversion"/>
  </si>
  <si>
    <r>
      <rPr>
        <sz val="10"/>
        <color indexed="8"/>
        <rFont val="宋体"/>
        <family val="3"/>
        <charset val="134"/>
      </rPr>
      <t>建筑物价值</t>
    </r>
    <phoneticPr fontId="90" type="noConversion"/>
  </si>
  <si>
    <r>
      <rPr>
        <b/>
        <sz val="11"/>
        <color indexed="8"/>
        <rFont val="宋体"/>
        <family val="3"/>
        <charset val="134"/>
      </rPr>
      <t>优先受偿情况</t>
    </r>
    <phoneticPr fontId="10" type="noConversion"/>
  </si>
  <si>
    <r>
      <rPr>
        <sz val="11"/>
        <color indexed="8"/>
        <rFont val="宋体"/>
        <family val="3"/>
        <charset val="134"/>
      </rPr>
      <t>已抵押担保数额</t>
    </r>
    <phoneticPr fontId="10" type="noConversion"/>
  </si>
  <si>
    <r>
      <rPr>
        <sz val="11"/>
        <color indexed="8"/>
        <rFont val="宋体"/>
        <family val="3"/>
        <charset val="134"/>
      </rPr>
      <t>拖欠工程款</t>
    </r>
    <phoneticPr fontId="10" type="noConversion"/>
  </si>
  <si>
    <r>
      <rPr>
        <sz val="11"/>
        <color indexed="8"/>
        <rFont val="宋体"/>
        <family val="3"/>
        <charset val="134"/>
      </rPr>
      <t>其他</t>
    </r>
    <phoneticPr fontId="10" type="noConversion"/>
  </si>
  <si>
    <r>
      <rPr>
        <sz val="11"/>
        <color indexed="8"/>
        <rFont val="宋体"/>
        <family val="3"/>
        <charset val="134"/>
      </rPr>
      <t>补交地价款</t>
    </r>
    <phoneticPr fontId="5" type="noConversion"/>
  </si>
  <si>
    <r>
      <rPr>
        <b/>
        <sz val="11"/>
        <color indexed="8"/>
        <rFont val="宋体"/>
        <family val="3"/>
        <charset val="134"/>
      </rPr>
      <t>补交地价款</t>
    </r>
    <phoneticPr fontId="10" type="noConversion"/>
  </si>
  <si>
    <r>
      <rPr>
        <sz val="11"/>
        <color rgb="FFFF0000"/>
        <rFont val="宋体"/>
        <family val="3"/>
        <charset val="134"/>
      </rPr>
      <t>面积</t>
    </r>
    <phoneticPr fontId="10" type="noConversion"/>
  </si>
  <si>
    <r>
      <rPr>
        <sz val="11"/>
        <color rgb="FFFF0000"/>
        <rFont val="宋体"/>
        <family val="3"/>
        <charset val="134"/>
      </rPr>
      <t>单价</t>
    </r>
    <phoneticPr fontId="10" type="noConversion"/>
  </si>
  <si>
    <r>
      <rPr>
        <sz val="11"/>
        <color rgb="FFFF0000"/>
        <rFont val="宋体"/>
        <family val="3"/>
        <charset val="134"/>
      </rPr>
      <t>税费</t>
    </r>
    <phoneticPr fontId="10" type="noConversion"/>
  </si>
  <si>
    <r>
      <rPr>
        <sz val="11"/>
        <color rgb="FFFF0000"/>
        <rFont val="宋体"/>
        <family val="3"/>
        <charset val="134"/>
      </rPr>
      <t>总值</t>
    </r>
    <phoneticPr fontId="10" type="noConversion"/>
  </si>
  <si>
    <r>
      <t>(</t>
    </r>
    <r>
      <rPr>
        <sz val="10"/>
        <color indexed="8"/>
        <rFont val="宋体"/>
        <family val="3"/>
        <charset val="134"/>
      </rPr>
      <t>列示计算过程</t>
    </r>
    <r>
      <rPr>
        <sz val="10"/>
        <color indexed="8"/>
        <rFont val="Arial"/>
        <family val="2"/>
      </rPr>
      <t>,</t>
    </r>
    <phoneticPr fontId="5" type="noConversion"/>
  </si>
  <si>
    <r>
      <rPr>
        <sz val="10"/>
        <color indexed="8"/>
        <rFont val="宋体"/>
        <family val="3"/>
        <charset val="134"/>
      </rPr>
      <t>不固定格式</t>
    </r>
    <r>
      <rPr>
        <sz val="10"/>
        <color indexed="8"/>
        <rFont val="Arial"/>
        <family val="2"/>
      </rPr>
      <t>)</t>
    </r>
    <phoneticPr fontId="5" type="noConversion"/>
  </si>
  <si>
    <r>
      <rPr>
        <b/>
        <sz val="14"/>
        <color rgb="FFFF0000"/>
        <rFont val="宋体"/>
        <family val="3"/>
        <charset val="134"/>
      </rPr>
      <t>抵押净值计算</t>
    </r>
    <phoneticPr fontId="10"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</si>
  <si>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</si>
  <si>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10" type="noConversion"/>
  </si>
  <si>
    <r>
      <rPr>
        <sz val="10"/>
        <color indexed="8"/>
        <rFont val="宋体"/>
        <family val="3"/>
        <charset val="134"/>
      </rPr>
      <t>按评估值的</t>
    </r>
    <phoneticPr fontId="10" type="noConversion"/>
  </si>
  <si>
    <r>
      <rPr>
        <sz val="10"/>
        <color indexed="8"/>
        <rFont val="宋体"/>
        <family val="3"/>
        <charset val="134"/>
      </rPr>
      <t>计算</t>
    </r>
    <phoneticPr fontId="10" type="noConversion"/>
  </si>
  <si>
    <r>
      <rPr>
        <b/>
        <sz val="10"/>
        <color theme="1"/>
        <rFont val="宋体"/>
        <family val="3"/>
        <charset val="134"/>
      </rPr>
      <t>估价对象基本情况</t>
    </r>
  </si>
  <si>
    <r>
      <rPr>
        <b/>
        <sz val="10"/>
        <color indexed="8"/>
        <rFont val="宋体"/>
        <family val="3"/>
        <charset val="134"/>
      </rPr>
      <t>处置时需缴纳的相关税费</t>
    </r>
    <phoneticPr fontId="10" type="noConversion"/>
  </si>
  <si>
    <r>
      <rPr>
        <b/>
        <sz val="10"/>
        <color theme="1"/>
        <rFont val="宋体"/>
        <family val="3"/>
        <charset val="134"/>
      </rPr>
      <t>估价对象</t>
    </r>
  </si>
  <si>
    <r>
      <rPr>
        <b/>
        <sz val="10"/>
        <color indexed="8"/>
        <rFont val="宋体"/>
        <family val="3"/>
        <charset val="134"/>
      </rPr>
      <t>税（费）种</t>
    </r>
    <phoneticPr fontId="10" type="noConversion"/>
  </si>
  <si>
    <r>
      <rPr>
        <sz val="10"/>
        <color indexed="8"/>
        <rFont val="宋体"/>
        <family val="3"/>
        <charset val="134"/>
      </rPr>
      <t>金额</t>
    </r>
    <phoneticPr fontId="10" type="noConversion"/>
  </si>
  <si>
    <r>
      <rPr>
        <sz val="10"/>
        <color indexed="8"/>
        <rFont val="宋体"/>
        <family val="3"/>
        <charset val="134"/>
      </rPr>
      <t>计算方法</t>
    </r>
    <phoneticPr fontId="10" type="noConversion"/>
  </si>
  <si>
    <r>
      <rPr>
        <b/>
        <sz val="10"/>
        <color indexed="8"/>
        <rFont val="宋体"/>
        <family val="3"/>
        <charset val="134"/>
      </rPr>
      <t>税（费）率</t>
    </r>
    <phoneticPr fontId="10" type="noConversion"/>
  </si>
  <si>
    <r>
      <rPr>
        <sz val="10"/>
        <color indexed="8"/>
        <rFont val="宋体"/>
        <family val="3"/>
        <charset val="134"/>
      </rPr>
      <t>备注</t>
    </r>
    <phoneticPr fontId="10" type="noConversion"/>
  </si>
  <si>
    <r>
      <rPr>
        <b/>
        <sz val="10"/>
        <color theme="1"/>
        <rFont val="宋体"/>
        <family val="3"/>
        <charset val="134"/>
      </rPr>
      <t>价值时点</t>
    </r>
  </si>
  <si>
    <r>
      <t>1.</t>
    </r>
    <r>
      <rPr>
        <sz val="10"/>
        <color indexed="8"/>
        <rFont val="宋体"/>
        <family val="3"/>
        <charset val="134"/>
      </rPr>
      <t>增值税及附加</t>
    </r>
    <phoneticPr fontId="10" type="noConversion"/>
  </si>
  <si>
    <r>
      <rPr>
        <sz val="10"/>
        <color indexed="10"/>
        <rFont val="宋体"/>
        <family val="3"/>
        <charset val="134"/>
      </rPr>
      <t>属于免缴时请录入面缴类别</t>
    </r>
    <phoneticPr fontId="10" type="noConversion"/>
  </si>
  <si>
    <r>
      <rPr>
        <b/>
        <sz val="10"/>
        <color theme="1"/>
        <rFont val="宋体"/>
        <family val="3"/>
        <charset val="134"/>
      </rPr>
      <t>评估总值</t>
    </r>
    <phoneticPr fontId="10" type="noConversion"/>
  </si>
  <si>
    <r>
      <rPr>
        <sz val="10"/>
        <color indexed="8"/>
        <rFont val="宋体"/>
        <family val="3"/>
        <charset val="134"/>
      </rPr>
      <t>情况</t>
    </r>
    <r>
      <rPr>
        <sz val="10"/>
        <color indexed="8"/>
        <rFont val="Arial"/>
        <family val="2"/>
      </rPr>
      <t>1</t>
    </r>
    <r>
      <rPr>
        <sz val="10"/>
        <color indexed="8"/>
        <rFont val="宋体"/>
        <family val="3"/>
        <charset val="134"/>
      </rPr>
      <t>：</t>
    </r>
    <phoneticPr fontId="10"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</si>
  <si>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10" type="noConversion"/>
  </si>
  <si>
    <r>
      <rPr>
        <sz val="10"/>
        <color indexed="8"/>
        <rFont val="宋体"/>
        <family val="3"/>
        <charset val="134"/>
      </rPr>
      <t>免征</t>
    </r>
    <phoneticPr fontId="10"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</si>
  <si>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10" type="noConversion"/>
  </si>
  <si>
    <r>
      <rPr>
        <b/>
        <sz val="10"/>
        <color theme="1"/>
        <rFont val="宋体"/>
        <family val="3"/>
        <charset val="134"/>
      </rPr>
      <t>处置时需缴纳的相关税费</t>
    </r>
  </si>
  <si>
    <r>
      <rPr>
        <sz val="10"/>
        <color indexed="8"/>
        <rFont val="宋体"/>
        <family val="3"/>
        <charset val="134"/>
      </rPr>
      <t>个体工商户购买的住宅</t>
    </r>
    <phoneticPr fontId="10"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</si>
  <si>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</si>
  <si>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</si>
  <si>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10"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</si>
  <si>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</si>
  <si>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</si>
  <si>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10"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</si>
  <si>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10" type="noConversion"/>
  </si>
  <si>
    <r>
      <rPr>
        <sz val="10"/>
        <color indexed="8"/>
        <rFont val="宋体"/>
        <family val="3"/>
        <charset val="134"/>
      </rPr>
      <t>全额计税</t>
    </r>
    <phoneticPr fontId="10" type="noConversion"/>
  </si>
  <si>
    <r>
      <rPr>
        <sz val="10"/>
        <color theme="1"/>
        <rFont val="宋体"/>
        <family val="3"/>
        <charset val="134"/>
      </rPr>
      <t>增值税及附加</t>
    </r>
    <phoneticPr fontId="10" type="noConversion"/>
  </si>
  <si>
    <r>
      <rPr>
        <sz val="10"/>
        <color indexed="8"/>
        <rFont val="宋体"/>
        <family val="3"/>
        <charset val="134"/>
      </rPr>
      <t>情况</t>
    </r>
    <r>
      <rPr>
        <sz val="10"/>
        <color indexed="8"/>
        <rFont val="Arial"/>
        <family val="2"/>
      </rPr>
      <t>3</t>
    </r>
    <r>
      <rPr>
        <sz val="10"/>
        <color indexed="8"/>
        <rFont val="宋体"/>
        <family val="3"/>
        <charset val="134"/>
      </rPr>
      <t>：</t>
    </r>
    <phoneticPr fontId="10" type="noConversion"/>
  </si>
  <si>
    <r>
      <rPr>
        <sz val="10"/>
        <color theme="1"/>
        <rFont val="宋体"/>
        <family val="3"/>
        <charset val="134"/>
      </rPr>
      <t>印花税</t>
    </r>
    <phoneticPr fontId="10" type="noConversion"/>
  </si>
  <si>
    <r>
      <rPr>
        <sz val="10"/>
        <color indexed="8"/>
        <rFont val="宋体"/>
        <family val="3"/>
        <charset val="134"/>
      </rPr>
      <t>情况</t>
    </r>
    <r>
      <rPr>
        <sz val="10"/>
        <color indexed="8"/>
        <rFont val="Arial"/>
        <family val="2"/>
      </rPr>
      <t>4</t>
    </r>
    <r>
      <rPr>
        <sz val="10"/>
        <color indexed="8"/>
        <rFont val="宋体"/>
        <family val="3"/>
        <charset val="134"/>
      </rPr>
      <t>：</t>
    </r>
    <phoneticPr fontId="10" type="noConversion"/>
  </si>
  <si>
    <r>
      <rPr>
        <sz val="10"/>
        <color indexed="8"/>
        <rFont val="宋体"/>
        <family val="3"/>
        <charset val="134"/>
      </rPr>
      <t>差额计税</t>
    </r>
    <phoneticPr fontId="10" type="noConversion"/>
  </si>
  <si>
    <r>
      <rPr>
        <sz val="10"/>
        <color theme="1"/>
        <rFont val="宋体"/>
        <family val="3"/>
        <charset val="134"/>
      </rPr>
      <t>土地增值税</t>
    </r>
    <phoneticPr fontId="10" type="noConversion"/>
  </si>
  <si>
    <r>
      <t>2.</t>
    </r>
    <r>
      <rPr>
        <sz val="10"/>
        <color indexed="8"/>
        <rFont val="宋体"/>
        <family val="3"/>
        <charset val="134"/>
      </rPr>
      <t>印花税</t>
    </r>
    <phoneticPr fontId="10"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</si>
  <si>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10" type="noConversion"/>
  </si>
  <si>
    <r>
      <t>3.</t>
    </r>
    <r>
      <rPr>
        <sz val="10"/>
        <color indexed="8"/>
        <rFont val="宋体"/>
        <family val="3"/>
        <charset val="134"/>
      </rPr>
      <t>土地增值税</t>
    </r>
    <phoneticPr fontId="10"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</si>
  <si>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10" type="noConversion"/>
  </si>
  <si>
    <r>
      <rPr>
        <sz val="10"/>
        <color rgb="FFFF0000"/>
        <rFont val="宋体"/>
        <family val="3"/>
        <charset val="134"/>
      </rPr>
      <t>属于免缴时请录入面缴类别</t>
    </r>
    <phoneticPr fontId="10" type="noConversion"/>
  </si>
  <si>
    <r>
      <rPr>
        <sz val="10"/>
        <color indexed="8"/>
        <rFont val="宋体"/>
        <family val="3"/>
        <charset val="134"/>
      </rPr>
      <t>个人住宅</t>
    </r>
    <phoneticPr fontId="10" type="noConversion"/>
  </si>
  <si>
    <r>
      <rPr>
        <sz val="10"/>
        <color theme="1"/>
        <rFont val="宋体"/>
        <family val="3"/>
        <charset val="134"/>
      </rPr>
      <t>合计</t>
    </r>
    <phoneticPr fontId="10"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</si>
  <si>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</si>
  <si>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10" type="noConversion"/>
  </si>
  <si>
    <r>
      <rPr>
        <sz val="10"/>
        <color theme="1"/>
        <rFont val="宋体"/>
        <family val="3"/>
        <charset val="134"/>
      </rPr>
      <t>大写</t>
    </r>
  </si>
  <si>
    <r>
      <t>4.</t>
    </r>
    <r>
      <rPr>
        <sz val="10"/>
        <color indexed="8"/>
        <rFont val="宋体"/>
        <family val="3"/>
        <charset val="134"/>
      </rPr>
      <t>个人所得税</t>
    </r>
    <phoneticPr fontId="10" type="noConversion"/>
  </si>
  <si>
    <r>
      <rPr>
        <sz val="10"/>
        <color theme="1"/>
        <rFont val="宋体"/>
        <family val="3"/>
        <charset val="134"/>
      </rPr>
      <t>抵押净值</t>
    </r>
    <phoneticPr fontId="10"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</si>
  <si>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</si>
  <si>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10"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</si>
  <si>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</si>
  <si>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</si>
  <si>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</si>
  <si>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</si>
  <si>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</si>
  <si>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</si>
  <si>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</si>
  <si>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</si>
  <si>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10"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</si>
  <si>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</si>
  <si>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</si>
  <si>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</si>
  <si>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</si>
  <si>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10"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</si>
  <si>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</si>
  <si>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</si>
  <si>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</si>
  <si>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</si>
  <si>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</si>
  <si>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</si>
  <si>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</si>
  <si>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</si>
  <si>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</si>
  <si>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</si>
  <si>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</si>
  <si>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</si>
  <si>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</si>
  <si>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</si>
  <si>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</si>
  <si>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</si>
  <si>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</si>
  <si>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</si>
  <si>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</si>
  <si>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</si>
  <si>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</si>
  <si>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</si>
  <si>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</si>
  <si>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</si>
  <si>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</si>
  <si>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</si>
  <si>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</si>
  <si>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</si>
  <si>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</si>
  <si>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</si>
  <si>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</si>
  <si>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</si>
  <si>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</si>
  <si>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</si>
  <si>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</si>
  <si>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</si>
  <si>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</si>
  <si>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</si>
  <si>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10" type="noConversion"/>
  </si>
  <si>
    <r>
      <rPr>
        <b/>
        <sz val="11"/>
        <color indexed="8"/>
        <rFont val="宋体"/>
        <family val="3"/>
        <charset val="134"/>
      </rPr>
      <t>结果表</t>
    </r>
    <r>
      <rPr>
        <b/>
        <sz val="11"/>
        <color indexed="8"/>
        <rFont val="Arial"/>
        <family val="2"/>
      </rPr>
      <t>-1</t>
    </r>
    <phoneticPr fontId="10"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</si>
  <si>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10"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</si>
  <si>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</si>
  <si>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10"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</si>
  <si>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</si>
  <si>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</si>
  <si>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</si>
  <si>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</si>
  <si>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</si>
  <si>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</si>
  <si>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10"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</si>
  <si>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10"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</si>
  <si>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10"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</si>
  <si>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10" type="noConversion"/>
  </si>
  <si>
    <r>
      <rPr>
        <b/>
        <sz val="11"/>
        <color indexed="8"/>
        <rFont val="宋体"/>
        <family val="3"/>
        <charset val="134"/>
      </rPr>
      <t>结果表</t>
    </r>
    <r>
      <rPr>
        <b/>
        <sz val="11"/>
        <color indexed="8"/>
        <rFont val="Arial"/>
        <family val="2"/>
      </rPr>
      <t>-3</t>
    </r>
    <phoneticPr fontId="5"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</si>
  <si>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</si>
  <si>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10"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</si>
  <si>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10"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</si>
  <si>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</si>
  <si>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</si>
  <si>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</si>
  <si>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</si>
  <si>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10"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</si>
  <si>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</si>
  <si>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</si>
  <si>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</si>
  <si>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10"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</si>
  <si>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</si>
  <si>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5"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</si>
  <si>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10" type="noConversion"/>
  </si>
  <si>
    <r>
      <rPr>
        <b/>
        <sz val="10"/>
        <color indexed="8"/>
        <rFont val="宋体"/>
        <family val="3"/>
        <charset val="134"/>
      </rPr>
      <t>初审意见：</t>
    </r>
    <r>
      <rPr>
        <b/>
        <sz val="10"/>
        <color indexed="8"/>
        <rFont val="Arial"/>
        <family val="2"/>
      </rPr>
      <t xml:space="preserve">      </t>
    </r>
    <phoneticPr fontId="5"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</si>
  <si>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10" type="noConversion"/>
  </si>
  <si>
    <r>
      <rPr>
        <b/>
        <sz val="10"/>
        <color indexed="8"/>
        <rFont val="宋体"/>
        <family val="3"/>
        <charset val="134"/>
      </rPr>
      <t>终审意见：</t>
    </r>
    <r>
      <rPr>
        <b/>
        <sz val="10"/>
        <color indexed="8"/>
        <rFont val="Arial"/>
        <family val="2"/>
      </rPr>
      <t xml:space="preserve">      </t>
    </r>
    <phoneticPr fontId="5" type="noConversion"/>
  </si>
  <si>
    <r>
      <rPr>
        <b/>
        <sz val="16"/>
        <color indexed="10"/>
        <rFont val="宋体"/>
        <family val="3"/>
        <charset val="134"/>
      </rPr>
      <t>成本法</t>
    </r>
    <phoneticPr fontId="18" type="noConversion"/>
  </si>
  <si>
    <r>
      <rPr>
        <b/>
        <sz val="12"/>
        <rFont val="宋体"/>
        <family val="3"/>
        <charset val="134"/>
      </rPr>
      <t>总价</t>
    </r>
    <phoneticPr fontId="20" type="noConversion"/>
  </si>
  <si>
    <r>
      <rPr>
        <b/>
        <sz val="12"/>
        <rFont val="宋体"/>
        <family val="3"/>
        <charset val="134"/>
      </rPr>
      <t>万元</t>
    </r>
    <phoneticPr fontId="20" type="noConversion"/>
  </si>
  <si>
    <r>
      <rPr>
        <b/>
        <sz val="12"/>
        <rFont val="宋体"/>
        <family val="3"/>
        <charset val="134"/>
      </rPr>
      <t>楼面单价</t>
    </r>
    <phoneticPr fontId="20" type="noConversion"/>
  </si>
  <si>
    <r>
      <rPr>
        <b/>
        <sz val="12"/>
        <rFont val="宋体"/>
        <family val="3"/>
        <charset val="134"/>
      </rPr>
      <t>元</t>
    </r>
    <r>
      <rPr>
        <b/>
        <sz val="12"/>
        <rFont val="Arial"/>
        <family val="2"/>
      </rPr>
      <t>/</t>
    </r>
    <r>
      <rPr>
        <b/>
        <sz val="12"/>
        <rFont val="宋体"/>
        <family val="3"/>
        <charset val="134"/>
      </rPr>
      <t>平方米</t>
    </r>
    <phoneticPr fontId="20" type="noConversion"/>
  </si>
  <si>
    <r>
      <t>1.</t>
    </r>
    <r>
      <rPr>
        <b/>
        <sz val="12"/>
        <rFont val="宋体"/>
        <family val="3"/>
        <charset val="134"/>
      </rPr>
      <t>土地价值</t>
    </r>
    <phoneticPr fontId="18" type="noConversion"/>
  </si>
  <si>
    <r>
      <rPr>
        <b/>
        <sz val="10"/>
        <rFont val="宋体"/>
        <family val="3"/>
        <charset val="134"/>
      </rPr>
      <t>（</t>
    </r>
    <r>
      <rPr>
        <b/>
        <sz val="10"/>
        <rFont val="Arial"/>
        <family val="2"/>
      </rPr>
      <t>1</t>
    </r>
    <r>
      <rPr>
        <b/>
        <sz val="10"/>
        <rFont val="宋体"/>
        <family val="3"/>
        <charset val="134"/>
      </rPr>
      <t>）</t>
    </r>
    <phoneticPr fontId="20" type="noConversion"/>
  </si>
  <si>
    <r>
      <rPr>
        <b/>
        <sz val="10"/>
        <rFont val="宋体"/>
        <family val="3"/>
        <charset val="134"/>
      </rPr>
      <t>土地取得成本</t>
    </r>
    <phoneticPr fontId="18" type="noConversion"/>
  </si>
  <si>
    <r>
      <rPr>
        <b/>
        <sz val="10"/>
        <rFont val="宋体"/>
        <family val="3"/>
        <charset val="134"/>
      </rPr>
      <t>面积</t>
    </r>
    <phoneticPr fontId="18" type="noConversion"/>
  </si>
  <si>
    <r>
      <rPr>
        <b/>
        <sz val="10"/>
        <rFont val="宋体"/>
        <family val="3"/>
        <charset val="134"/>
      </rPr>
      <t>单价</t>
    </r>
    <phoneticPr fontId="18" type="noConversion"/>
  </si>
  <si>
    <r>
      <rPr>
        <b/>
        <sz val="10"/>
        <rFont val="宋体"/>
        <family val="3"/>
        <charset val="134"/>
      </rPr>
      <t>系数</t>
    </r>
    <phoneticPr fontId="18" type="noConversion"/>
  </si>
  <si>
    <r>
      <t>1</t>
    </r>
    <r>
      <rPr>
        <sz val="10"/>
        <rFont val="宋体"/>
        <family val="3"/>
        <charset val="134"/>
      </rPr>
      <t>）</t>
    </r>
    <phoneticPr fontId="18" type="noConversion"/>
  </si>
  <si>
    <r>
      <rPr>
        <sz val="10"/>
        <rFont val="宋体"/>
        <family val="3"/>
        <charset val="134"/>
      </rPr>
      <t>土地购买价格</t>
    </r>
    <phoneticPr fontId="20" type="noConversion"/>
  </si>
  <si>
    <r>
      <t>2</t>
    </r>
    <r>
      <rPr>
        <sz val="10"/>
        <rFont val="宋体"/>
        <family val="3"/>
        <charset val="134"/>
      </rPr>
      <t>）</t>
    </r>
    <phoneticPr fontId="18" type="noConversion"/>
  </si>
  <si>
    <r>
      <rPr>
        <sz val="10"/>
        <rFont val="宋体"/>
        <family val="3"/>
        <charset val="134"/>
      </rPr>
      <t>土地取得税费</t>
    </r>
  </si>
  <si>
    <r>
      <t>3</t>
    </r>
    <r>
      <rPr>
        <sz val="10"/>
        <rFont val="宋体"/>
        <family val="3"/>
        <charset val="134"/>
      </rPr>
      <t>）</t>
    </r>
    <phoneticPr fontId="18" type="noConversion"/>
  </si>
  <si>
    <r>
      <rPr>
        <sz val="10"/>
        <rFont val="宋体"/>
        <family val="3"/>
        <charset val="134"/>
      </rPr>
      <t>城市基础设施建设费（行政收费）</t>
    </r>
    <phoneticPr fontId="18" type="noConversion"/>
  </si>
  <si>
    <r>
      <rPr>
        <i/>
        <sz val="10"/>
        <rFont val="宋体"/>
        <family val="3"/>
        <charset val="134"/>
      </rPr>
      <t>住宅</t>
    </r>
    <phoneticPr fontId="18" type="noConversion"/>
  </si>
  <si>
    <r>
      <rPr>
        <b/>
        <sz val="10"/>
        <color rgb="FFFF0000"/>
        <rFont val="宋体"/>
        <family val="3"/>
        <charset val="134"/>
      </rPr>
      <t>万元</t>
    </r>
    <phoneticPr fontId="136" type="noConversion"/>
  </si>
  <si>
    <r>
      <rPr>
        <i/>
        <sz val="10"/>
        <rFont val="宋体"/>
        <family val="3"/>
        <charset val="134"/>
      </rPr>
      <t>非住宅</t>
    </r>
    <phoneticPr fontId="18" type="noConversion"/>
  </si>
  <si>
    <r>
      <rPr>
        <sz val="10"/>
        <rFont val="宋体"/>
        <family val="3"/>
        <charset val="134"/>
      </rPr>
      <t>土地使用权出让金</t>
    </r>
    <phoneticPr fontId="18" type="noConversion"/>
  </si>
  <si>
    <r>
      <rPr>
        <sz val="10"/>
        <rFont val="宋体"/>
        <family val="3"/>
        <charset val="134"/>
      </rPr>
      <t>相关税费</t>
    </r>
    <phoneticPr fontId="18" type="noConversion"/>
  </si>
  <si>
    <r>
      <rPr>
        <sz val="10"/>
        <rFont val="宋体"/>
        <family val="3"/>
        <charset val="134"/>
      </rPr>
      <t>征地补偿安置费及其相关税费</t>
    </r>
    <phoneticPr fontId="18" type="noConversion"/>
  </si>
  <si>
    <r>
      <rPr>
        <sz val="10"/>
        <rFont val="宋体"/>
        <family val="3"/>
        <charset val="134"/>
      </rPr>
      <t>城市基础设施建设费（行政收费）</t>
    </r>
    <phoneticPr fontId="18" type="noConversion"/>
  </si>
  <si>
    <r>
      <rPr>
        <sz val="10"/>
        <rFont val="宋体"/>
        <family val="3"/>
        <charset val="134"/>
      </rPr>
      <t>以建筑面积为计算基数，按各区发文标准</t>
    </r>
    <phoneticPr fontId="18" type="noConversion"/>
  </si>
  <si>
    <r>
      <rPr>
        <sz val="10"/>
        <rFont val="宋体"/>
        <family val="3"/>
        <charset val="134"/>
      </rPr>
      <t>出让金</t>
    </r>
    <phoneticPr fontId="18" type="noConversion"/>
  </si>
  <si>
    <r>
      <rPr>
        <sz val="10"/>
        <rFont val="宋体"/>
        <family val="3"/>
        <charset val="134"/>
      </rPr>
      <t>采用比较法求取</t>
    </r>
    <phoneticPr fontId="18" type="noConversion"/>
  </si>
  <si>
    <r>
      <rPr>
        <sz val="10"/>
        <rFont val="宋体"/>
        <family val="3"/>
        <charset val="134"/>
      </rPr>
      <t>开发补偿费用</t>
    </r>
    <phoneticPr fontId="18" type="noConversion"/>
  </si>
  <si>
    <r>
      <rPr>
        <sz val="10"/>
        <rFont val="宋体"/>
        <family val="3"/>
        <charset val="134"/>
      </rPr>
      <t>契税及印花税</t>
    </r>
    <phoneticPr fontId="18" type="noConversion"/>
  </si>
  <si>
    <r>
      <rPr>
        <sz val="10"/>
        <rFont val="宋体"/>
        <family val="3"/>
        <charset val="134"/>
      </rPr>
      <t>以上述三项为基数计算</t>
    </r>
    <phoneticPr fontId="18" type="noConversion"/>
  </si>
  <si>
    <r>
      <rPr>
        <b/>
        <sz val="10"/>
        <rFont val="宋体"/>
        <family val="3"/>
        <charset val="134"/>
      </rPr>
      <t>（</t>
    </r>
    <r>
      <rPr>
        <b/>
        <sz val="10"/>
        <rFont val="Arial"/>
        <family val="2"/>
      </rPr>
      <t>2</t>
    </r>
    <r>
      <rPr>
        <b/>
        <sz val="10"/>
        <rFont val="宋体"/>
        <family val="3"/>
        <charset val="134"/>
      </rPr>
      <t>）</t>
    </r>
    <phoneticPr fontId="20" type="noConversion"/>
  </si>
  <si>
    <r>
      <rPr>
        <b/>
        <sz val="10"/>
        <rFont val="宋体"/>
        <family val="3"/>
        <charset val="134"/>
      </rPr>
      <t>土地开发费用</t>
    </r>
    <r>
      <rPr>
        <b/>
        <sz val="10"/>
        <rFont val="Arial"/>
        <family val="2"/>
      </rPr>
      <t>-</t>
    </r>
    <r>
      <rPr>
        <b/>
        <sz val="10"/>
        <rFont val="宋体"/>
        <family val="3"/>
        <charset val="134"/>
      </rPr>
      <t>红线外（现状）</t>
    </r>
    <phoneticPr fontId="18" type="noConversion"/>
  </si>
  <si>
    <r>
      <rPr>
        <b/>
        <sz val="10"/>
        <rFont val="宋体"/>
        <family val="3"/>
        <charset val="134"/>
      </rPr>
      <t>（</t>
    </r>
    <r>
      <rPr>
        <b/>
        <sz val="10"/>
        <rFont val="Arial"/>
        <family val="2"/>
      </rPr>
      <t>3</t>
    </r>
    <r>
      <rPr>
        <b/>
        <sz val="10"/>
        <rFont val="宋体"/>
        <family val="3"/>
        <charset val="134"/>
      </rPr>
      <t>）</t>
    </r>
    <phoneticPr fontId="20" type="noConversion"/>
  </si>
  <si>
    <r>
      <rPr>
        <b/>
        <sz val="10"/>
        <rFont val="宋体"/>
        <family val="3"/>
        <charset val="134"/>
      </rPr>
      <t>管理费用</t>
    </r>
    <phoneticPr fontId="18" type="noConversion"/>
  </si>
  <si>
    <r>
      <rPr>
        <b/>
        <sz val="10"/>
        <rFont val="宋体"/>
        <family val="3"/>
        <charset val="134"/>
      </rPr>
      <t>以前述</t>
    </r>
    <r>
      <rPr>
        <b/>
        <sz val="10"/>
        <rFont val="Arial"/>
        <family val="2"/>
      </rPr>
      <t>2</t>
    </r>
    <r>
      <rPr>
        <b/>
        <sz val="10"/>
        <rFont val="宋体"/>
        <family val="3"/>
        <charset val="134"/>
      </rPr>
      <t>项为基数</t>
    </r>
    <phoneticPr fontId="18" type="noConversion"/>
  </si>
  <si>
    <r>
      <rPr>
        <b/>
        <sz val="10"/>
        <rFont val="宋体"/>
        <family val="3"/>
        <charset val="134"/>
      </rPr>
      <t>（</t>
    </r>
    <r>
      <rPr>
        <b/>
        <sz val="10"/>
        <rFont val="Arial"/>
        <family val="2"/>
      </rPr>
      <t>4</t>
    </r>
    <r>
      <rPr>
        <b/>
        <sz val="10"/>
        <rFont val="宋体"/>
        <family val="3"/>
        <charset val="134"/>
      </rPr>
      <t>）</t>
    </r>
    <phoneticPr fontId="20" type="noConversion"/>
  </si>
  <si>
    <r>
      <rPr>
        <b/>
        <sz val="10"/>
        <rFont val="宋体"/>
        <family val="3"/>
        <charset val="134"/>
      </rPr>
      <t>销售费用</t>
    </r>
    <phoneticPr fontId="18" type="noConversion"/>
  </si>
  <si>
    <r>
      <t>V</t>
    </r>
    <r>
      <rPr>
        <b/>
        <vertAlign val="subscript"/>
        <sz val="10"/>
        <rFont val="宋体"/>
        <family val="3"/>
        <charset val="134"/>
      </rPr>
      <t>土</t>
    </r>
    <phoneticPr fontId="18" type="noConversion"/>
  </si>
  <si>
    <r>
      <rPr>
        <b/>
        <sz val="10"/>
        <rFont val="宋体"/>
        <family val="3"/>
        <charset val="134"/>
      </rPr>
      <t>以土地价值为基数</t>
    </r>
    <phoneticPr fontId="18" type="noConversion"/>
  </si>
  <si>
    <r>
      <rPr>
        <b/>
        <sz val="10"/>
        <rFont val="宋体"/>
        <family val="3"/>
        <charset val="134"/>
      </rPr>
      <t>（</t>
    </r>
    <r>
      <rPr>
        <b/>
        <sz val="10"/>
        <rFont val="Arial"/>
        <family val="2"/>
      </rPr>
      <t>5</t>
    </r>
    <r>
      <rPr>
        <b/>
        <sz val="10"/>
        <rFont val="宋体"/>
        <family val="3"/>
        <charset val="134"/>
      </rPr>
      <t>）</t>
    </r>
    <phoneticPr fontId="20" type="noConversion"/>
  </si>
  <si>
    <r>
      <rPr>
        <b/>
        <sz val="10"/>
        <rFont val="宋体"/>
        <family val="3"/>
        <charset val="134"/>
      </rPr>
      <t>贷款利息</t>
    </r>
    <phoneticPr fontId="18" type="noConversion"/>
  </si>
  <si>
    <r>
      <t>1</t>
    </r>
    <r>
      <rPr>
        <sz val="10"/>
        <rFont val="宋体"/>
        <family val="3"/>
        <charset val="134"/>
      </rPr>
      <t>）</t>
    </r>
    <phoneticPr fontId="18" type="noConversion"/>
  </si>
  <si>
    <r>
      <rPr>
        <sz val="10"/>
        <rFont val="宋体"/>
        <family val="3"/>
        <charset val="134"/>
      </rPr>
      <t>（</t>
    </r>
    <r>
      <rPr>
        <sz val="10"/>
        <rFont val="Arial"/>
        <family val="2"/>
      </rPr>
      <t>1</t>
    </r>
    <r>
      <rPr>
        <sz val="10"/>
        <rFont val="宋体"/>
        <family val="3"/>
        <charset val="134"/>
      </rPr>
      <t>）项产生的利息</t>
    </r>
    <phoneticPr fontId="18" type="noConversion"/>
  </si>
  <si>
    <r>
      <rPr>
        <sz val="10"/>
        <rFont val="宋体"/>
        <family val="3"/>
        <charset val="134"/>
      </rPr>
      <t>计项目已运行全期</t>
    </r>
    <phoneticPr fontId="18" type="noConversion"/>
  </si>
  <si>
    <r>
      <t>2</t>
    </r>
    <r>
      <rPr>
        <sz val="10"/>
        <rFont val="宋体"/>
        <family val="3"/>
        <charset val="134"/>
      </rPr>
      <t>）</t>
    </r>
    <phoneticPr fontId="18" type="noConversion"/>
  </si>
  <si>
    <r>
      <rPr>
        <sz val="10"/>
        <rFont val="宋体"/>
        <family val="3"/>
        <charset val="134"/>
      </rPr>
      <t>（</t>
    </r>
    <r>
      <rPr>
        <sz val="10"/>
        <rFont val="Arial"/>
        <family val="2"/>
      </rPr>
      <t>2</t>
    </r>
    <r>
      <rPr>
        <sz val="10"/>
        <rFont val="宋体"/>
        <family val="3"/>
        <charset val="134"/>
      </rPr>
      <t>）项产生的利息</t>
    </r>
    <phoneticPr fontId="18" type="noConversion"/>
  </si>
  <si>
    <r>
      <rPr>
        <sz val="10"/>
        <rFont val="宋体"/>
        <family val="3"/>
        <charset val="134"/>
      </rPr>
      <t>土地开发期均匀投入、已建工期计全期</t>
    </r>
    <phoneticPr fontId="18" type="noConversion"/>
  </si>
  <si>
    <r>
      <t>3</t>
    </r>
    <r>
      <rPr>
        <sz val="10"/>
        <rFont val="宋体"/>
        <family val="3"/>
        <charset val="134"/>
      </rPr>
      <t>）</t>
    </r>
    <phoneticPr fontId="18" type="noConversion"/>
  </si>
  <si>
    <r>
      <rPr>
        <sz val="10"/>
        <rFont val="宋体"/>
        <family val="3"/>
        <charset val="134"/>
      </rPr>
      <t>（</t>
    </r>
    <r>
      <rPr>
        <sz val="10"/>
        <rFont val="Arial"/>
        <family val="2"/>
      </rPr>
      <t>3</t>
    </r>
    <r>
      <rPr>
        <sz val="10"/>
        <rFont val="宋体"/>
        <family val="3"/>
        <charset val="134"/>
      </rPr>
      <t>）项产生的利息</t>
    </r>
    <phoneticPr fontId="18" type="noConversion"/>
  </si>
  <si>
    <r>
      <rPr>
        <sz val="10"/>
        <rFont val="宋体"/>
        <family val="3"/>
        <charset val="134"/>
      </rPr>
      <t>管理费用及销售费用于项目已运行期内均匀投入</t>
    </r>
    <phoneticPr fontId="18" type="noConversion"/>
  </si>
  <si>
    <r>
      <rPr>
        <sz val="10"/>
        <rFont val="宋体"/>
        <family val="3"/>
        <charset val="134"/>
      </rPr>
      <t>（</t>
    </r>
    <r>
      <rPr>
        <sz val="10"/>
        <rFont val="Arial"/>
        <family val="2"/>
      </rPr>
      <t>4</t>
    </r>
    <r>
      <rPr>
        <sz val="10"/>
        <rFont val="宋体"/>
        <family val="3"/>
        <charset val="134"/>
      </rPr>
      <t>）项产生的利息</t>
    </r>
    <phoneticPr fontId="18" type="noConversion"/>
  </si>
  <si>
    <r>
      <rPr>
        <b/>
        <sz val="10"/>
        <rFont val="宋体"/>
        <family val="3"/>
        <charset val="134"/>
      </rPr>
      <t>（</t>
    </r>
    <r>
      <rPr>
        <b/>
        <sz val="10"/>
        <rFont val="Arial"/>
        <family val="2"/>
      </rPr>
      <t>6</t>
    </r>
    <r>
      <rPr>
        <b/>
        <sz val="10"/>
        <rFont val="宋体"/>
        <family val="3"/>
        <charset val="134"/>
      </rPr>
      <t>）</t>
    </r>
    <phoneticPr fontId="20" type="noConversion"/>
  </si>
  <si>
    <r>
      <rPr>
        <b/>
        <sz val="10"/>
        <rFont val="宋体"/>
        <family val="3"/>
        <charset val="134"/>
      </rPr>
      <t>利润</t>
    </r>
    <phoneticPr fontId="18" type="noConversion"/>
  </si>
  <si>
    <r>
      <t>V</t>
    </r>
    <r>
      <rPr>
        <b/>
        <vertAlign val="subscript"/>
        <sz val="10"/>
        <rFont val="宋体"/>
        <family val="3"/>
        <charset val="134"/>
      </rPr>
      <t>土</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</si>
  <si>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8"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</si>
  <si>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8" type="noConversion"/>
  </si>
  <si>
    <r>
      <rPr>
        <sz val="10"/>
        <rFont val="宋体"/>
        <family val="3"/>
        <charset val="134"/>
      </rPr>
      <t>（</t>
    </r>
    <r>
      <rPr>
        <sz val="10"/>
        <rFont val="Arial"/>
        <family val="2"/>
      </rPr>
      <t>4</t>
    </r>
    <r>
      <rPr>
        <sz val="10"/>
        <rFont val="宋体"/>
        <family val="3"/>
        <charset val="134"/>
      </rPr>
      <t>）项产生的利润</t>
    </r>
    <phoneticPr fontId="18" type="noConversion"/>
  </si>
  <si>
    <r>
      <rPr>
        <b/>
        <sz val="10"/>
        <rFont val="宋体"/>
        <family val="3"/>
        <charset val="134"/>
      </rPr>
      <t>（</t>
    </r>
    <r>
      <rPr>
        <b/>
        <sz val="10"/>
        <rFont val="Arial"/>
        <family val="2"/>
      </rPr>
      <t>7</t>
    </r>
    <r>
      <rPr>
        <b/>
        <sz val="10"/>
        <rFont val="宋体"/>
        <family val="3"/>
        <charset val="134"/>
      </rPr>
      <t>）</t>
    </r>
    <phoneticPr fontId="20"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</si>
  <si>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</si>
  <si>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8"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</si>
  <si>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8" type="noConversion"/>
  </si>
  <si>
    <r>
      <rPr>
        <b/>
        <sz val="10"/>
        <rFont val="宋体"/>
        <family val="3"/>
        <charset val="134"/>
      </rPr>
      <t>前述</t>
    </r>
    <r>
      <rPr>
        <b/>
        <sz val="10"/>
        <rFont val="Arial"/>
        <family val="2"/>
      </rPr>
      <t>7</t>
    </r>
    <r>
      <rPr>
        <b/>
        <sz val="10"/>
        <rFont val="宋体"/>
        <family val="3"/>
        <charset val="134"/>
      </rPr>
      <t>项相加</t>
    </r>
    <phoneticPr fontId="18" type="noConversion"/>
  </si>
  <si>
    <r>
      <t>2.</t>
    </r>
    <r>
      <rPr>
        <b/>
        <sz val="12"/>
        <rFont val="宋体"/>
        <family val="3"/>
        <charset val="134"/>
      </rPr>
      <t>建筑物</t>
    </r>
    <r>
      <rPr>
        <b/>
        <sz val="12"/>
        <rFont val="Arial"/>
        <family val="2"/>
      </rPr>
      <t>/</t>
    </r>
    <r>
      <rPr>
        <b/>
        <sz val="12"/>
        <rFont val="宋体"/>
        <family val="3"/>
        <charset val="134"/>
      </rPr>
      <t>在建工程价值</t>
    </r>
    <phoneticPr fontId="18" type="noConversion"/>
  </si>
  <si>
    <r>
      <rPr>
        <b/>
        <sz val="10"/>
        <rFont val="宋体"/>
        <family val="3"/>
        <charset val="134"/>
      </rPr>
      <t>建筑物建造</t>
    </r>
    <r>
      <rPr>
        <b/>
        <sz val="10"/>
        <rFont val="Arial"/>
        <family val="2"/>
      </rPr>
      <t>/</t>
    </r>
    <r>
      <rPr>
        <b/>
        <sz val="10"/>
        <rFont val="宋体"/>
        <family val="3"/>
        <charset val="134"/>
      </rPr>
      <t>已建成本</t>
    </r>
    <phoneticPr fontId="18"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</si>
  <si>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</si>
  <si>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8" type="noConversion"/>
  </si>
  <si>
    <r>
      <rPr>
        <sz val="10"/>
        <rFont val="宋体"/>
        <family val="3"/>
        <charset val="134"/>
      </rPr>
      <t>勘察设计和前期工程费</t>
    </r>
  </si>
  <si>
    <r>
      <rPr>
        <sz val="10"/>
        <rFont val="宋体"/>
        <family val="3"/>
        <charset val="134"/>
      </rPr>
      <t>以建安费用为基数计取</t>
    </r>
    <phoneticPr fontId="18"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</si>
  <si>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</si>
  <si>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</si>
  <si>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8" type="noConversion"/>
  </si>
  <si>
    <r>
      <rPr>
        <sz val="10"/>
        <rFont val="宋体"/>
        <family val="3"/>
        <charset val="134"/>
      </rPr>
      <t>按工程进度计取或按实际情况计取</t>
    </r>
    <phoneticPr fontId="18"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</si>
  <si>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</si>
  <si>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20" type="noConversion"/>
  </si>
  <si>
    <r>
      <rPr>
        <b/>
        <sz val="10"/>
        <rFont val="宋体"/>
        <family val="3"/>
        <charset val="134"/>
      </rPr>
      <t>管理费用</t>
    </r>
    <phoneticPr fontId="18" type="noConversion"/>
  </si>
  <si>
    <r>
      <rPr>
        <b/>
        <sz val="10"/>
        <rFont val="宋体"/>
        <family val="3"/>
        <charset val="134"/>
      </rPr>
      <t>以（</t>
    </r>
    <r>
      <rPr>
        <b/>
        <sz val="10"/>
        <rFont val="Arial"/>
        <family val="2"/>
      </rPr>
      <t>1</t>
    </r>
    <r>
      <rPr>
        <b/>
        <sz val="10"/>
        <rFont val="宋体"/>
        <family val="3"/>
        <charset val="134"/>
      </rPr>
      <t>）为基数</t>
    </r>
    <phoneticPr fontId="18" type="noConversion"/>
  </si>
  <si>
    <r>
      <rPr>
        <b/>
        <sz val="10"/>
        <rFont val="宋体"/>
        <family val="3"/>
        <charset val="134"/>
      </rPr>
      <t>（</t>
    </r>
    <r>
      <rPr>
        <b/>
        <sz val="10"/>
        <rFont val="Arial"/>
        <family val="2"/>
      </rPr>
      <t>3</t>
    </r>
    <r>
      <rPr>
        <b/>
        <sz val="10"/>
        <rFont val="宋体"/>
        <family val="3"/>
        <charset val="134"/>
      </rPr>
      <t>）</t>
    </r>
    <phoneticPr fontId="20" type="noConversion"/>
  </si>
  <si>
    <r>
      <rPr>
        <b/>
        <sz val="10"/>
        <rFont val="宋体"/>
        <family val="3"/>
        <charset val="134"/>
      </rPr>
      <t>销售费用</t>
    </r>
    <phoneticPr fontId="18" type="noConversion"/>
  </si>
  <si>
    <r>
      <t>V</t>
    </r>
    <r>
      <rPr>
        <b/>
        <vertAlign val="subscript"/>
        <sz val="10"/>
        <rFont val="宋体"/>
        <family val="3"/>
        <charset val="134"/>
      </rPr>
      <t>建</t>
    </r>
    <phoneticPr fontId="18" type="noConversion"/>
  </si>
  <si>
    <r>
      <rPr>
        <b/>
        <sz val="10"/>
        <rFont val="宋体"/>
        <family val="3"/>
        <charset val="134"/>
      </rPr>
      <t>以</t>
    </r>
    <r>
      <rPr>
        <b/>
        <sz val="10"/>
        <rFont val="Arial"/>
        <family val="2"/>
      </rPr>
      <t>V</t>
    </r>
    <r>
      <rPr>
        <b/>
        <sz val="10"/>
        <rFont val="宋体"/>
        <family val="3"/>
        <charset val="134"/>
      </rPr>
      <t>建为基数</t>
    </r>
    <phoneticPr fontId="18" type="noConversion"/>
  </si>
  <si>
    <r>
      <rPr>
        <b/>
        <sz val="10"/>
        <rFont val="宋体"/>
        <family val="3"/>
        <charset val="134"/>
      </rPr>
      <t>（</t>
    </r>
    <r>
      <rPr>
        <b/>
        <sz val="10"/>
        <rFont val="Arial"/>
        <family val="2"/>
      </rPr>
      <t>4</t>
    </r>
    <r>
      <rPr>
        <b/>
        <sz val="10"/>
        <rFont val="宋体"/>
        <family val="3"/>
        <charset val="134"/>
      </rPr>
      <t>）</t>
    </r>
    <phoneticPr fontId="20" type="noConversion"/>
  </si>
  <si>
    <r>
      <rPr>
        <b/>
        <sz val="10"/>
        <rFont val="宋体"/>
        <family val="3"/>
        <charset val="134"/>
      </rPr>
      <t>贷款利息</t>
    </r>
    <phoneticPr fontId="18" type="noConversion"/>
  </si>
  <si>
    <r>
      <rPr>
        <sz val="10"/>
        <rFont val="宋体"/>
        <family val="3"/>
        <charset val="134"/>
      </rPr>
      <t>（</t>
    </r>
    <r>
      <rPr>
        <sz val="10"/>
        <rFont val="Arial"/>
        <family val="2"/>
      </rPr>
      <t>1</t>
    </r>
    <r>
      <rPr>
        <sz val="10"/>
        <rFont val="宋体"/>
        <family val="3"/>
        <charset val="134"/>
      </rPr>
      <t>）项产生的利息</t>
    </r>
    <phoneticPr fontId="18" type="noConversion"/>
  </si>
  <si>
    <r>
      <rPr>
        <sz val="10"/>
        <rFont val="宋体"/>
        <family val="3"/>
        <charset val="134"/>
      </rPr>
      <t>已建工期均匀投入</t>
    </r>
    <phoneticPr fontId="18" type="noConversion"/>
  </si>
  <si>
    <r>
      <rPr>
        <sz val="10"/>
        <rFont val="宋体"/>
        <family val="3"/>
        <charset val="134"/>
      </rPr>
      <t>（</t>
    </r>
    <r>
      <rPr>
        <sz val="10"/>
        <rFont val="Arial"/>
        <family val="2"/>
      </rPr>
      <t>2</t>
    </r>
    <r>
      <rPr>
        <sz val="10"/>
        <rFont val="宋体"/>
        <family val="3"/>
        <charset val="134"/>
      </rPr>
      <t>）项产生的利息</t>
    </r>
    <phoneticPr fontId="18" type="noConversion"/>
  </si>
  <si>
    <r>
      <rPr>
        <sz val="10"/>
        <rFont val="宋体"/>
        <family val="3"/>
        <charset val="134"/>
      </rPr>
      <t>（</t>
    </r>
    <r>
      <rPr>
        <sz val="10"/>
        <rFont val="Arial"/>
        <family val="2"/>
      </rPr>
      <t>3</t>
    </r>
    <r>
      <rPr>
        <sz val="10"/>
        <rFont val="宋体"/>
        <family val="3"/>
        <charset val="134"/>
      </rPr>
      <t>）项产生的利息</t>
    </r>
    <phoneticPr fontId="18" type="noConversion"/>
  </si>
  <si>
    <r>
      <rPr>
        <b/>
        <sz val="10"/>
        <rFont val="宋体"/>
        <family val="3"/>
        <charset val="134"/>
      </rPr>
      <t>（</t>
    </r>
    <r>
      <rPr>
        <b/>
        <sz val="10"/>
        <rFont val="Arial"/>
        <family val="2"/>
      </rPr>
      <t>5</t>
    </r>
    <r>
      <rPr>
        <b/>
        <sz val="10"/>
        <rFont val="宋体"/>
        <family val="3"/>
        <charset val="134"/>
      </rPr>
      <t>）</t>
    </r>
    <phoneticPr fontId="20"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</si>
  <si>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8"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</si>
  <si>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8" type="noConversion"/>
  </si>
  <si>
    <r>
      <rPr>
        <sz val="10"/>
        <rFont val="宋体"/>
        <family val="3"/>
        <charset val="134"/>
      </rPr>
      <t>（</t>
    </r>
    <r>
      <rPr>
        <sz val="10"/>
        <rFont val="Arial"/>
        <family val="2"/>
      </rPr>
      <t>3</t>
    </r>
    <r>
      <rPr>
        <sz val="10"/>
        <rFont val="宋体"/>
        <family val="3"/>
        <charset val="134"/>
      </rPr>
      <t>）项产生的利润</t>
    </r>
    <phoneticPr fontId="18" type="noConversion"/>
  </si>
  <si>
    <r>
      <rPr>
        <b/>
        <sz val="10"/>
        <rFont val="宋体"/>
        <family val="3"/>
        <charset val="134"/>
      </rPr>
      <t>销售税费</t>
    </r>
    <phoneticPr fontId="18" type="noConversion"/>
  </si>
  <si>
    <r>
      <rPr>
        <b/>
        <sz val="10"/>
        <rFont val="宋体"/>
        <family val="3"/>
        <charset val="134"/>
      </rPr>
      <t>以成本价值</t>
    </r>
    <r>
      <rPr>
        <b/>
        <sz val="10"/>
        <rFont val="Arial"/>
        <family val="2"/>
      </rPr>
      <t>/(1+5%)</t>
    </r>
    <r>
      <rPr>
        <b/>
        <sz val="10"/>
        <rFont val="宋体"/>
        <family val="3"/>
        <charset val="134"/>
      </rPr>
      <t>为基数</t>
    </r>
    <phoneticPr fontId="18"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</si>
  <si>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8" type="noConversion"/>
  </si>
  <si>
    <r>
      <rPr>
        <b/>
        <sz val="10"/>
        <rFont val="宋体"/>
        <family val="3"/>
        <charset val="134"/>
      </rPr>
      <t>前述</t>
    </r>
    <r>
      <rPr>
        <b/>
        <sz val="10"/>
        <rFont val="Arial"/>
        <family val="2"/>
      </rPr>
      <t>6</t>
    </r>
    <r>
      <rPr>
        <b/>
        <sz val="10"/>
        <rFont val="宋体"/>
        <family val="3"/>
        <charset val="134"/>
      </rPr>
      <t>项相加</t>
    </r>
    <phoneticPr fontId="18" type="noConversion"/>
  </si>
  <si>
    <r>
      <rPr>
        <b/>
        <sz val="10"/>
        <rFont val="宋体"/>
        <family val="3"/>
        <charset val="134"/>
      </rPr>
      <t>（</t>
    </r>
    <r>
      <rPr>
        <b/>
        <sz val="10"/>
        <rFont val="Arial"/>
        <family val="2"/>
      </rPr>
      <t>8</t>
    </r>
    <r>
      <rPr>
        <b/>
        <sz val="10"/>
        <rFont val="宋体"/>
        <family val="3"/>
        <charset val="134"/>
      </rPr>
      <t>）</t>
    </r>
    <phoneticPr fontId="20" type="noConversion"/>
  </si>
  <si>
    <r>
      <rPr>
        <b/>
        <sz val="10"/>
        <rFont val="宋体"/>
        <family val="3"/>
        <charset val="134"/>
      </rPr>
      <t>成新率</t>
    </r>
    <phoneticPr fontId="18" type="noConversion"/>
  </si>
  <si>
    <r>
      <rPr>
        <b/>
        <sz val="10"/>
        <rFont val="宋体"/>
        <family val="3"/>
        <charset val="134"/>
      </rPr>
      <t>现房为成新率，在建依实际情况（停工）记取</t>
    </r>
    <phoneticPr fontId="20" type="noConversion"/>
  </si>
  <si>
    <r>
      <rPr>
        <b/>
        <sz val="10"/>
        <rFont val="宋体"/>
        <family val="3"/>
        <charset val="134"/>
      </rPr>
      <t>（</t>
    </r>
    <r>
      <rPr>
        <b/>
        <sz val="10"/>
        <rFont val="Arial"/>
        <family val="2"/>
      </rPr>
      <t>9</t>
    </r>
    <r>
      <rPr>
        <b/>
        <sz val="10"/>
        <rFont val="宋体"/>
        <family val="3"/>
        <charset val="134"/>
      </rPr>
      <t>）</t>
    </r>
    <phoneticPr fontId="20"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</si>
  <si>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8" type="noConversion"/>
  </si>
  <si>
    <r>
      <rPr>
        <b/>
        <sz val="10"/>
        <rFont val="宋体"/>
        <family val="3"/>
        <charset val="134"/>
      </rPr>
      <t>重置价值</t>
    </r>
    <r>
      <rPr>
        <b/>
        <sz val="10"/>
        <rFont val="Arial"/>
        <family val="2"/>
      </rPr>
      <t>×</t>
    </r>
    <r>
      <rPr>
        <b/>
        <sz val="10"/>
        <rFont val="宋体"/>
        <family val="3"/>
        <charset val="134"/>
      </rPr>
      <t>成新率</t>
    </r>
    <phoneticPr fontId="18" type="noConversion"/>
  </si>
  <si>
    <r>
      <t>3.</t>
    </r>
    <r>
      <rPr>
        <b/>
        <sz val="12"/>
        <rFont val="宋体"/>
        <family val="3"/>
        <charset val="134"/>
      </rPr>
      <t>成本价值</t>
    </r>
    <phoneticPr fontId="18" type="noConversion"/>
  </si>
  <si>
    <r>
      <rPr>
        <b/>
        <sz val="10"/>
        <color indexed="10"/>
        <rFont val="宋体"/>
        <family val="3"/>
        <charset val="134"/>
      </rPr>
      <t>成本比率</t>
    </r>
    <phoneticPr fontId="5" type="noConversion"/>
  </si>
  <si>
    <r>
      <rPr>
        <b/>
        <sz val="12"/>
        <color rgb="FFFF0000"/>
        <rFont val="宋体"/>
        <family val="3"/>
        <charset val="134"/>
      </rPr>
      <t>仅限现房使用</t>
    </r>
    <phoneticPr fontId="136" type="noConversion"/>
  </si>
  <si>
    <r>
      <rPr>
        <sz val="10"/>
        <rFont val="宋体"/>
        <family val="3"/>
        <charset val="134"/>
      </rPr>
      <t>相关税费</t>
    </r>
    <phoneticPr fontId="18" type="noConversion"/>
  </si>
  <si>
    <r>
      <rPr>
        <sz val="10"/>
        <rFont val="宋体"/>
        <family val="3"/>
        <charset val="134"/>
      </rPr>
      <t>征地补偿安置费及其相关税费</t>
    </r>
    <phoneticPr fontId="18" type="noConversion"/>
  </si>
  <si>
    <r>
      <rPr>
        <sz val="10"/>
        <rFont val="宋体"/>
        <family val="3"/>
        <charset val="134"/>
      </rPr>
      <t>以建筑面积为计算基数，按各区发文标准</t>
    </r>
    <phoneticPr fontId="18" type="noConversion"/>
  </si>
  <si>
    <r>
      <rPr>
        <sz val="10"/>
        <rFont val="宋体"/>
        <family val="3"/>
        <charset val="134"/>
      </rPr>
      <t>出让金</t>
    </r>
    <phoneticPr fontId="18" type="noConversion"/>
  </si>
  <si>
    <r>
      <rPr>
        <sz val="10"/>
        <rFont val="宋体"/>
        <family val="3"/>
        <charset val="134"/>
      </rPr>
      <t>采用比较法求取</t>
    </r>
    <phoneticPr fontId="18" type="noConversion"/>
  </si>
  <si>
    <r>
      <rPr>
        <sz val="10"/>
        <rFont val="宋体"/>
        <family val="3"/>
        <charset val="134"/>
      </rPr>
      <t>开发补偿费用</t>
    </r>
    <phoneticPr fontId="18" type="noConversion"/>
  </si>
  <si>
    <r>
      <rPr>
        <sz val="10"/>
        <rFont val="宋体"/>
        <family val="3"/>
        <charset val="134"/>
      </rPr>
      <t>契税及印花税</t>
    </r>
    <phoneticPr fontId="18" type="noConversion"/>
  </si>
  <si>
    <r>
      <rPr>
        <sz val="10"/>
        <rFont val="宋体"/>
        <family val="3"/>
        <charset val="134"/>
      </rPr>
      <t>以上述三项为基数计算</t>
    </r>
    <phoneticPr fontId="18" type="noConversion"/>
  </si>
  <si>
    <r>
      <rPr>
        <b/>
        <sz val="10"/>
        <rFont val="宋体"/>
        <family val="3"/>
        <charset val="134"/>
      </rPr>
      <t>（</t>
    </r>
    <r>
      <rPr>
        <b/>
        <sz val="10"/>
        <rFont val="Arial"/>
        <family val="2"/>
      </rPr>
      <t>2</t>
    </r>
    <r>
      <rPr>
        <b/>
        <sz val="10"/>
        <rFont val="宋体"/>
        <family val="3"/>
        <charset val="134"/>
      </rPr>
      <t>）</t>
    </r>
    <phoneticPr fontId="20" type="noConversion"/>
  </si>
  <si>
    <r>
      <rPr>
        <b/>
        <sz val="10"/>
        <rFont val="宋体"/>
        <family val="3"/>
        <charset val="134"/>
      </rPr>
      <t>土地开发费用</t>
    </r>
    <r>
      <rPr>
        <b/>
        <sz val="10"/>
        <rFont val="Arial"/>
        <family val="2"/>
      </rPr>
      <t>-</t>
    </r>
    <r>
      <rPr>
        <b/>
        <sz val="10"/>
        <rFont val="宋体"/>
        <family val="3"/>
        <charset val="134"/>
      </rPr>
      <t>红线外（现状）</t>
    </r>
    <phoneticPr fontId="18" type="noConversion"/>
  </si>
  <si>
    <r>
      <rPr>
        <b/>
        <sz val="10"/>
        <rFont val="宋体"/>
        <family val="3"/>
        <charset val="134"/>
      </rPr>
      <t>（</t>
    </r>
    <r>
      <rPr>
        <b/>
        <sz val="10"/>
        <rFont val="Arial"/>
        <family val="2"/>
      </rPr>
      <t>3</t>
    </r>
    <r>
      <rPr>
        <b/>
        <sz val="10"/>
        <rFont val="宋体"/>
        <family val="3"/>
        <charset val="134"/>
      </rPr>
      <t>）</t>
    </r>
    <phoneticPr fontId="20" type="noConversion"/>
  </si>
  <si>
    <r>
      <rPr>
        <b/>
        <sz val="10"/>
        <rFont val="宋体"/>
        <family val="3"/>
        <charset val="134"/>
      </rPr>
      <t>管理费用</t>
    </r>
    <phoneticPr fontId="18" type="noConversion"/>
  </si>
  <si>
    <r>
      <rPr>
        <b/>
        <sz val="10"/>
        <rFont val="宋体"/>
        <family val="3"/>
        <charset val="134"/>
      </rPr>
      <t>以前述</t>
    </r>
    <r>
      <rPr>
        <b/>
        <sz val="10"/>
        <rFont val="Arial"/>
        <family val="2"/>
      </rPr>
      <t>2</t>
    </r>
    <r>
      <rPr>
        <b/>
        <sz val="10"/>
        <rFont val="宋体"/>
        <family val="3"/>
        <charset val="134"/>
      </rPr>
      <t>项为基数</t>
    </r>
    <phoneticPr fontId="18" type="noConversion"/>
  </si>
  <si>
    <r>
      <rPr>
        <b/>
        <sz val="10"/>
        <rFont val="宋体"/>
        <family val="3"/>
        <charset val="134"/>
      </rPr>
      <t>（</t>
    </r>
    <r>
      <rPr>
        <b/>
        <sz val="10"/>
        <rFont val="Arial"/>
        <family val="2"/>
      </rPr>
      <t>4</t>
    </r>
    <r>
      <rPr>
        <b/>
        <sz val="10"/>
        <rFont val="宋体"/>
        <family val="3"/>
        <charset val="134"/>
      </rPr>
      <t>）</t>
    </r>
    <phoneticPr fontId="20" type="noConversion"/>
  </si>
  <si>
    <r>
      <rPr>
        <b/>
        <sz val="10"/>
        <rFont val="宋体"/>
        <family val="3"/>
        <charset val="134"/>
      </rPr>
      <t>销售费用</t>
    </r>
    <phoneticPr fontId="18" type="noConversion"/>
  </si>
  <si>
    <r>
      <t>V</t>
    </r>
    <r>
      <rPr>
        <b/>
        <vertAlign val="subscript"/>
        <sz val="10"/>
        <rFont val="宋体"/>
        <family val="3"/>
        <charset val="134"/>
      </rPr>
      <t>土</t>
    </r>
    <phoneticPr fontId="18" type="noConversion"/>
  </si>
  <si>
    <r>
      <rPr>
        <b/>
        <sz val="10"/>
        <rFont val="宋体"/>
        <family val="3"/>
        <charset val="134"/>
      </rPr>
      <t>以土地价值为基数</t>
    </r>
    <phoneticPr fontId="18" type="noConversion"/>
  </si>
  <si>
    <r>
      <rPr>
        <b/>
        <sz val="10"/>
        <rFont val="宋体"/>
        <family val="3"/>
        <charset val="134"/>
      </rPr>
      <t>（</t>
    </r>
    <r>
      <rPr>
        <b/>
        <sz val="10"/>
        <rFont val="Arial"/>
        <family val="2"/>
      </rPr>
      <t>5</t>
    </r>
    <r>
      <rPr>
        <b/>
        <sz val="10"/>
        <rFont val="宋体"/>
        <family val="3"/>
        <charset val="134"/>
      </rPr>
      <t>）</t>
    </r>
    <phoneticPr fontId="20" type="noConversion"/>
  </si>
  <si>
    <r>
      <rPr>
        <b/>
        <sz val="10"/>
        <rFont val="宋体"/>
        <family val="3"/>
        <charset val="134"/>
      </rPr>
      <t>贷款利息</t>
    </r>
    <phoneticPr fontId="18" type="noConversion"/>
  </si>
  <si>
    <r>
      <rPr>
        <sz val="10"/>
        <rFont val="宋体"/>
        <family val="3"/>
        <charset val="134"/>
      </rPr>
      <t>（</t>
    </r>
    <r>
      <rPr>
        <sz val="10"/>
        <rFont val="Arial"/>
        <family val="2"/>
      </rPr>
      <t>1</t>
    </r>
    <r>
      <rPr>
        <sz val="10"/>
        <rFont val="宋体"/>
        <family val="3"/>
        <charset val="134"/>
      </rPr>
      <t>）项产生的利息</t>
    </r>
    <phoneticPr fontId="18" type="noConversion"/>
  </si>
  <si>
    <r>
      <rPr>
        <sz val="10"/>
        <rFont val="宋体"/>
        <family val="3"/>
        <charset val="134"/>
      </rPr>
      <t>计项目已运行全期</t>
    </r>
    <phoneticPr fontId="18" type="noConversion"/>
  </si>
  <si>
    <r>
      <rPr>
        <sz val="10"/>
        <rFont val="宋体"/>
        <family val="3"/>
        <charset val="134"/>
      </rPr>
      <t>（</t>
    </r>
    <r>
      <rPr>
        <sz val="10"/>
        <rFont val="Arial"/>
        <family val="2"/>
      </rPr>
      <t>2</t>
    </r>
    <r>
      <rPr>
        <sz val="10"/>
        <rFont val="宋体"/>
        <family val="3"/>
        <charset val="134"/>
      </rPr>
      <t>）项产生的利息</t>
    </r>
    <phoneticPr fontId="18" type="noConversion"/>
  </si>
  <si>
    <r>
      <rPr>
        <sz val="10"/>
        <rFont val="宋体"/>
        <family val="3"/>
        <charset val="134"/>
      </rPr>
      <t>土地开发期均匀投入、已建工期计全期</t>
    </r>
    <phoneticPr fontId="18" type="noConversion"/>
  </si>
  <si>
    <r>
      <rPr>
        <sz val="10"/>
        <rFont val="宋体"/>
        <family val="3"/>
        <charset val="134"/>
      </rPr>
      <t>（</t>
    </r>
    <r>
      <rPr>
        <sz val="10"/>
        <rFont val="Arial"/>
        <family val="2"/>
      </rPr>
      <t>3</t>
    </r>
    <r>
      <rPr>
        <sz val="10"/>
        <rFont val="宋体"/>
        <family val="3"/>
        <charset val="134"/>
      </rPr>
      <t>）项产生的利息</t>
    </r>
    <phoneticPr fontId="18" type="noConversion"/>
  </si>
  <si>
    <r>
      <rPr>
        <sz val="10"/>
        <rFont val="宋体"/>
        <family val="3"/>
        <charset val="134"/>
      </rPr>
      <t>管理费用及销售费用于项目已运行期内均匀投入</t>
    </r>
    <phoneticPr fontId="18" type="noConversion"/>
  </si>
  <si>
    <r>
      <t>2.</t>
    </r>
    <r>
      <rPr>
        <b/>
        <sz val="12"/>
        <rFont val="宋体"/>
        <family val="3"/>
        <charset val="134"/>
      </rPr>
      <t>建筑物价值</t>
    </r>
    <phoneticPr fontId="18" type="noConversion"/>
  </si>
  <si>
    <r>
      <rPr>
        <b/>
        <sz val="10"/>
        <rFont val="宋体"/>
        <family val="3"/>
        <charset val="134"/>
      </rPr>
      <t>建筑物建造成本</t>
    </r>
    <phoneticPr fontId="18" type="noConversion"/>
  </si>
  <si>
    <r>
      <rPr>
        <sz val="10"/>
        <rFont val="宋体"/>
        <family val="3"/>
        <charset val="134"/>
      </rPr>
      <t>建设期期均匀投入</t>
    </r>
    <phoneticPr fontId="18"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</si>
  <si>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8"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</si>
  <si>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8" type="noConversion"/>
  </si>
  <si>
    <r>
      <rPr>
        <b/>
        <sz val="16"/>
        <color indexed="10"/>
        <rFont val="宋体"/>
        <family val="3"/>
        <charset val="134"/>
      </rPr>
      <t>假设开发法</t>
    </r>
    <phoneticPr fontId="18" type="noConversion"/>
  </si>
  <si>
    <r>
      <rPr>
        <b/>
        <sz val="12"/>
        <color indexed="8"/>
        <rFont val="宋体"/>
        <family val="3"/>
        <charset val="134"/>
      </rPr>
      <t>万元</t>
    </r>
    <phoneticPr fontId="20"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</si>
  <si>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20" type="noConversion"/>
  </si>
  <si>
    <r>
      <t>1.</t>
    </r>
    <r>
      <rPr>
        <b/>
        <sz val="12"/>
        <color indexed="8"/>
        <rFont val="宋体"/>
        <family val="3"/>
        <charset val="134"/>
      </rPr>
      <t>开发完成后房地产价值</t>
    </r>
    <phoneticPr fontId="18" type="noConversion"/>
  </si>
  <si>
    <r>
      <rPr>
        <b/>
        <sz val="11"/>
        <color indexed="8"/>
        <rFont val="宋体"/>
        <family val="3"/>
        <charset val="134"/>
      </rPr>
      <t>序号</t>
    </r>
    <phoneticPr fontId="18" type="noConversion"/>
  </si>
  <si>
    <r>
      <rPr>
        <b/>
        <sz val="11"/>
        <color indexed="8"/>
        <rFont val="宋体"/>
        <family val="3"/>
        <charset val="134"/>
      </rPr>
      <t>项目名称</t>
    </r>
    <phoneticPr fontId="18" type="noConversion"/>
  </si>
  <si>
    <r>
      <rPr>
        <sz val="10"/>
        <color indexed="8"/>
        <rFont val="宋体"/>
        <family val="3"/>
        <charset val="134"/>
      </rPr>
      <t>楼面单价</t>
    </r>
    <phoneticPr fontId="18" type="noConversion"/>
  </si>
  <si>
    <r>
      <rPr>
        <sz val="10"/>
        <color indexed="8"/>
        <rFont val="宋体"/>
        <family val="3"/>
        <charset val="134"/>
      </rPr>
      <t>（</t>
    </r>
    <r>
      <rPr>
        <sz val="10"/>
        <color indexed="8"/>
        <rFont val="Arial"/>
        <family val="2"/>
      </rPr>
      <t>2</t>
    </r>
    <r>
      <rPr>
        <sz val="10"/>
        <color indexed="8"/>
        <rFont val="宋体"/>
        <family val="3"/>
        <charset val="134"/>
      </rPr>
      <t>）</t>
    </r>
    <phoneticPr fontId="20" type="noConversion"/>
  </si>
  <si>
    <r>
      <rPr>
        <sz val="10"/>
        <color indexed="8"/>
        <rFont val="宋体"/>
        <family val="3"/>
        <charset val="134"/>
      </rPr>
      <t>建筑面积</t>
    </r>
    <phoneticPr fontId="18" type="noConversion"/>
  </si>
  <si>
    <r>
      <rPr>
        <sz val="10"/>
        <color indexed="8"/>
        <rFont val="宋体"/>
        <family val="3"/>
        <charset val="134"/>
      </rPr>
      <t>（</t>
    </r>
    <r>
      <rPr>
        <sz val="10"/>
        <color indexed="8"/>
        <rFont val="Arial"/>
        <family val="2"/>
      </rPr>
      <t>3</t>
    </r>
    <r>
      <rPr>
        <sz val="10"/>
        <color indexed="8"/>
        <rFont val="宋体"/>
        <family val="3"/>
        <charset val="134"/>
      </rPr>
      <t>）</t>
    </r>
    <phoneticPr fontId="20" type="noConversion"/>
  </si>
  <si>
    <r>
      <rPr>
        <sz val="10"/>
        <color indexed="8"/>
        <rFont val="宋体"/>
        <family val="3"/>
        <charset val="134"/>
      </rPr>
      <t>总额</t>
    </r>
    <phoneticPr fontId="18" type="noConversion"/>
  </si>
  <si>
    <r>
      <t>2.</t>
    </r>
    <r>
      <rPr>
        <b/>
        <sz val="12"/>
        <color indexed="8"/>
        <rFont val="宋体"/>
        <family val="3"/>
        <charset val="134"/>
      </rPr>
      <t>扣减项</t>
    </r>
    <phoneticPr fontId="18" type="noConversion"/>
  </si>
  <si>
    <r>
      <rPr>
        <b/>
        <sz val="11"/>
        <color indexed="8"/>
        <rFont val="宋体"/>
        <family val="3"/>
        <charset val="134"/>
      </rPr>
      <t>序号</t>
    </r>
    <phoneticPr fontId="18" type="noConversion"/>
  </si>
  <si>
    <r>
      <rPr>
        <b/>
        <sz val="11"/>
        <color indexed="8"/>
        <rFont val="宋体"/>
        <family val="3"/>
        <charset val="134"/>
      </rPr>
      <t>项目名称</t>
    </r>
    <phoneticPr fontId="18" type="noConversion"/>
  </si>
  <si>
    <r>
      <rPr>
        <b/>
        <sz val="11"/>
        <color indexed="8"/>
        <rFont val="宋体"/>
        <family val="3"/>
        <charset val="134"/>
      </rPr>
      <t>总额</t>
    </r>
    <phoneticPr fontId="18" type="noConversion"/>
  </si>
  <si>
    <r>
      <rPr>
        <b/>
        <sz val="11"/>
        <color indexed="8"/>
        <rFont val="宋体"/>
        <family val="3"/>
        <charset val="134"/>
      </rPr>
      <t>面积</t>
    </r>
    <phoneticPr fontId="18" type="noConversion"/>
  </si>
  <si>
    <r>
      <rPr>
        <b/>
        <sz val="11"/>
        <color indexed="8"/>
        <rFont val="宋体"/>
        <family val="3"/>
        <charset val="134"/>
      </rPr>
      <t>单价</t>
    </r>
    <phoneticPr fontId="18" type="noConversion"/>
  </si>
  <si>
    <r>
      <rPr>
        <b/>
        <sz val="11"/>
        <color indexed="8"/>
        <rFont val="宋体"/>
        <family val="3"/>
        <charset val="134"/>
      </rPr>
      <t>相关系数</t>
    </r>
    <phoneticPr fontId="18" type="noConversion"/>
  </si>
  <si>
    <r>
      <rPr>
        <sz val="10"/>
        <color indexed="8"/>
        <rFont val="宋体"/>
        <family val="3"/>
        <charset val="134"/>
      </rPr>
      <t>续建建安</t>
    </r>
    <phoneticPr fontId="18" type="noConversion"/>
  </si>
  <si>
    <r>
      <rPr>
        <sz val="10"/>
        <color indexed="8"/>
        <rFont val="宋体"/>
        <family val="3"/>
        <charset val="134"/>
      </rPr>
      <t>勘察设计和前期工程费</t>
    </r>
    <phoneticPr fontId="18" type="noConversion"/>
  </si>
  <si>
    <r>
      <rPr>
        <b/>
        <sz val="11"/>
        <color indexed="8"/>
        <rFont val="宋体"/>
        <family val="3"/>
        <charset val="134"/>
      </rPr>
      <t>以建安费用为基数计取</t>
    </r>
    <phoneticPr fontId="18" type="noConversion"/>
  </si>
  <si>
    <r>
      <rPr>
        <sz val="10"/>
        <color indexed="8"/>
        <rFont val="宋体"/>
        <family val="3"/>
        <charset val="134"/>
      </rPr>
      <t>公共配套设施费用</t>
    </r>
    <phoneticPr fontId="18" type="noConversion"/>
  </si>
  <si>
    <r>
      <rPr>
        <b/>
        <sz val="11"/>
        <color indexed="8"/>
        <rFont val="宋体"/>
        <family val="3"/>
        <charset val="134"/>
      </rPr>
      <t>以住宅用房建安费用为基数计取</t>
    </r>
    <phoneticPr fontId="18" type="noConversion"/>
  </si>
  <si>
    <r>
      <rPr>
        <sz val="10"/>
        <color indexed="8"/>
        <rFont val="宋体"/>
        <family val="3"/>
        <charset val="134"/>
      </rPr>
      <t>红线内市政费用</t>
    </r>
    <phoneticPr fontId="18" type="noConversion"/>
  </si>
  <si>
    <r>
      <rPr>
        <b/>
        <sz val="11"/>
        <color indexed="8"/>
        <rFont val="宋体"/>
        <family val="3"/>
        <charset val="134"/>
      </rPr>
      <t>按工程进度计取或按实际情况计取</t>
    </r>
    <phoneticPr fontId="18" type="noConversion"/>
  </si>
  <si>
    <r>
      <rPr>
        <sz val="10"/>
        <color indexed="8"/>
        <rFont val="宋体"/>
        <family val="3"/>
        <charset val="134"/>
      </rPr>
      <t>相关税费</t>
    </r>
    <phoneticPr fontId="18" type="noConversion"/>
  </si>
  <si>
    <r>
      <rPr>
        <sz val="10"/>
        <color indexed="8"/>
        <rFont val="宋体"/>
        <family val="3"/>
        <charset val="134"/>
      </rPr>
      <t>以建安费用为基数计取</t>
    </r>
    <phoneticPr fontId="18" type="noConversion"/>
  </si>
  <si>
    <r>
      <rPr>
        <sz val="10"/>
        <color indexed="8"/>
        <rFont val="宋体"/>
        <family val="3"/>
        <charset val="134"/>
      </rPr>
      <t>续建成本</t>
    </r>
    <phoneticPr fontId="20" type="noConversion"/>
  </si>
  <si>
    <r>
      <rPr>
        <sz val="10"/>
        <color indexed="8"/>
        <rFont val="宋体"/>
        <family val="3"/>
        <charset val="134"/>
      </rPr>
      <t>红线外市政费用（待完成）</t>
    </r>
    <phoneticPr fontId="18" type="noConversion"/>
  </si>
  <si>
    <r>
      <rPr>
        <sz val="10"/>
        <color indexed="8"/>
        <rFont val="宋体"/>
        <family val="3"/>
        <charset val="134"/>
      </rPr>
      <t>按实际情况计取</t>
    </r>
    <phoneticPr fontId="18" type="noConversion"/>
  </si>
  <si>
    <r>
      <rPr>
        <sz val="10"/>
        <color indexed="8"/>
        <rFont val="宋体"/>
        <family val="3"/>
        <charset val="134"/>
      </rPr>
      <t>城市基础设施建设费（行政收费）</t>
    </r>
    <phoneticPr fontId="18" type="noConversion"/>
  </si>
  <si>
    <r>
      <rPr>
        <b/>
        <sz val="10"/>
        <color indexed="8"/>
        <rFont val="宋体"/>
        <family val="3"/>
        <charset val="134"/>
      </rPr>
      <t>万元</t>
    </r>
    <phoneticPr fontId="20" type="noConversion"/>
  </si>
  <si>
    <r>
      <rPr>
        <sz val="10"/>
        <color indexed="8"/>
        <rFont val="宋体"/>
        <family val="3"/>
        <charset val="134"/>
      </rPr>
      <t>住宅</t>
    </r>
    <phoneticPr fontId="18" type="noConversion"/>
  </si>
  <si>
    <r>
      <rPr>
        <sz val="10"/>
        <color indexed="8"/>
        <rFont val="宋体"/>
        <family val="3"/>
        <charset val="134"/>
      </rPr>
      <t>非住宅</t>
    </r>
    <phoneticPr fontId="18" type="noConversion"/>
  </si>
  <si>
    <r>
      <rPr>
        <b/>
        <sz val="11"/>
        <color indexed="8"/>
        <rFont val="宋体"/>
        <family val="3"/>
        <charset val="134"/>
      </rPr>
      <t>后续开发成本</t>
    </r>
    <phoneticPr fontId="18"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</si>
  <si>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20" type="noConversion"/>
  </si>
  <si>
    <r>
      <rPr>
        <b/>
        <sz val="11"/>
        <color indexed="8"/>
        <rFont val="宋体"/>
        <family val="3"/>
        <charset val="134"/>
      </rPr>
      <t>管理费用</t>
    </r>
    <phoneticPr fontId="18" type="noConversion"/>
  </si>
  <si>
    <r>
      <rPr>
        <b/>
        <sz val="11"/>
        <color indexed="8"/>
        <rFont val="宋体"/>
        <family val="3"/>
        <charset val="134"/>
      </rPr>
      <t>以续建成本为基数计算</t>
    </r>
    <phoneticPr fontId="18" type="noConversion"/>
  </si>
  <si>
    <r>
      <rPr>
        <b/>
        <sz val="11"/>
        <color indexed="8"/>
        <rFont val="宋体"/>
        <family val="3"/>
        <charset val="134"/>
      </rPr>
      <t>销售费用</t>
    </r>
    <phoneticPr fontId="18"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</si>
  <si>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8" type="noConversion"/>
  </si>
  <si>
    <r>
      <rPr>
        <sz val="10"/>
        <color indexed="8"/>
        <rFont val="宋体"/>
        <family val="3"/>
        <charset val="134"/>
      </rPr>
      <t>（</t>
    </r>
    <r>
      <rPr>
        <sz val="10"/>
        <color indexed="8"/>
        <rFont val="Arial"/>
        <family val="2"/>
      </rPr>
      <t>4</t>
    </r>
    <r>
      <rPr>
        <sz val="10"/>
        <color indexed="8"/>
        <rFont val="宋体"/>
        <family val="3"/>
        <charset val="134"/>
      </rPr>
      <t>）</t>
    </r>
    <phoneticPr fontId="20" type="noConversion"/>
  </si>
  <si>
    <r>
      <rPr>
        <b/>
        <sz val="11"/>
        <color indexed="8"/>
        <rFont val="宋体"/>
        <family val="3"/>
        <charset val="134"/>
      </rPr>
      <t>取得税费</t>
    </r>
    <phoneticPr fontId="18"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</si>
  <si>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8" type="noConversion"/>
  </si>
  <si>
    <r>
      <rPr>
        <sz val="10"/>
        <color indexed="8"/>
        <rFont val="宋体"/>
        <family val="3"/>
        <charset val="134"/>
      </rPr>
      <t>（</t>
    </r>
    <r>
      <rPr>
        <sz val="10"/>
        <color indexed="8"/>
        <rFont val="Arial"/>
        <family val="2"/>
      </rPr>
      <t>5</t>
    </r>
    <r>
      <rPr>
        <sz val="10"/>
        <color indexed="8"/>
        <rFont val="宋体"/>
        <family val="3"/>
        <charset val="134"/>
      </rPr>
      <t>）</t>
    </r>
    <phoneticPr fontId="20" type="noConversion"/>
  </si>
  <si>
    <r>
      <rPr>
        <b/>
        <sz val="11"/>
        <color indexed="8"/>
        <rFont val="宋体"/>
        <family val="3"/>
        <charset val="134"/>
      </rPr>
      <t>利息</t>
    </r>
    <phoneticPr fontId="18" type="noConversion"/>
  </si>
  <si>
    <r>
      <rPr>
        <sz val="10"/>
        <color indexed="8"/>
        <rFont val="宋体"/>
        <family val="3"/>
        <charset val="134"/>
      </rPr>
      <t>估价对象及取得税费产生的利息</t>
    </r>
    <phoneticPr fontId="18"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</si>
  <si>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8" type="noConversion"/>
  </si>
  <si>
    <r>
      <rPr>
        <sz val="10"/>
        <color indexed="8"/>
        <rFont val="宋体"/>
        <family val="3"/>
        <charset val="134"/>
      </rPr>
      <t>（</t>
    </r>
    <r>
      <rPr>
        <sz val="10"/>
        <color indexed="8"/>
        <rFont val="Arial"/>
        <family val="2"/>
      </rPr>
      <t>6</t>
    </r>
    <r>
      <rPr>
        <sz val="10"/>
        <color indexed="8"/>
        <rFont val="宋体"/>
        <family val="3"/>
        <charset val="134"/>
      </rPr>
      <t>）</t>
    </r>
    <phoneticPr fontId="20" type="noConversion"/>
  </si>
  <si>
    <r>
      <rPr>
        <b/>
        <sz val="11"/>
        <color indexed="8"/>
        <rFont val="宋体"/>
        <family val="3"/>
        <charset val="134"/>
      </rPr>
      <t>投资利润</t>
    </r>
    <phoneticPr fontId="18" type="noConversion"/>
  </si>
  <si>
    <r>
      <rPr>
        <sz val="10"/>
        <color indexed="8"/>
        <rFont val="宋体"/>
        <family val="3"/>
        <charset val="134"/>
      </rPr>
      <t>估价对象及取得税费应计的利润</t>
    </r>
    <phoneticPr fontId="18"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</si>
  <si>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8"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</si>
  <si>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8" type="noConversion"/>
  </si>
  <si>
    <r>
      <rPr>
        <sz val="10"/>
        <color indexed="8"/>
        <rFont val="宋体"/>
        <family val="3"/>
        <charset val="134"/>
      </rPr>
      <t>（</t>
    </r>
    <r>
      <rPr>
        <sz val="10"/>
        <color indexed="8"/>
        <rFont val="Arial"/>
        <family val="2"/>
      </rPr>
      <t>7</t>
    </r>
    <r>
      <rPr>
        <sz val="10"/>
        <color indexed="8"/>
        <rFont val="宋体"/>
        <family val="3"/>
        <charset val="134"/>
      </rPr>
      <t>）</t>
    </r>
    <phoneticPr fontId="20" type="noConversion"/>
  </si>
  <si>
    <r>
      <rPr>
        <b/>
        <sz val="11"/>
        <color indexed="8"/>
        <rFont val="宋体"/>
        <family val="3"/>
        <charset val="134"/>
      </rPr>
      <t>销售税费</t>
    </r>
    <phoneticPr fontId="18"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</si>
  <si>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8"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</si>
  <si>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20" type="noConversion"/>
  </si>
  <si>
    <r>
      <rPr>
        <b/>
        <sz val="12"/>
        <color indexed="8"/>
        <rFont val="宋体"/>
        <family val="3"/>
        <charset val="134"/>
      </rPr>
      <t>估价对象价值</t>
    </r>
    <r>
      <rPr>
        <b/>
        <sz val="12"/>
        <color indexed="8"/>
        <rFont val="Arial"/>
        <family val="2"/>
      </rPr>
      <t>=1-2</t>
    </r>
    <phoneticPr fontId="18" type="noConversion"/>
  </si>
  <si>
    <r>
      <rPr>
        <sz val="11"/>
        <color theme="1"/>
        <rFont val="宋体"/>
        <family val="3"/>
        <charset val="134"/>
      </rPr>
      <t>万元</t>
    </r>
  </si>
  <si>
    <r>
      <rPr>
        <b/>
        <sz val="11"/>
        <color theme="1"/>
        <rFont val="宋体"/>
        <family val="3"/>
        <charset val="134"/>
      </rPr>
      <t>汇总建筑面积</t>
    </r>
    <phoneticPr fontId="136" type="noConversion"/>
  </si>
  <si>
    <r>
      <rPr>
        <b/>
        <sz val="11"/>
        <color theme="1"/>
        <rFont val="宋体"/>
        <family val="3"/>
        <charset val="134"/>
      </rPr>
      <t>本次评估所采用的收益法</t>
    </r>
    <phoneticPr fontId="136" type="noConversion"/>
  </si>
  <si>
    <r>
      <rPr>
        <b/>
        <sz val="11"/>
        <color theme="1"/>
        <rFont val="宋体"/>
        <family val="3"/>
        <charset val="134"/>
      </rPr>
      <t>估价结果</t>
    </r>
    <phoneticPr fontId="136" type="noConversion"/>
  </si>
  <si>
    <r>
      <rPr>
        <b/>
        <sz val="11"/>
        <color theme="1"/>
        <rFont val="宋体"/>
        <family val="3"/>
        <charset val="134"/>
      </rPr>
      <t>建筑面积</t>
    </r>
    <phoneticPr fontId="136" type="noConversion"/>
  </si>
  <si>
    <r>
      <rPr>
        <sz val="11"/>
        <color theme="1"/>
        <rFont val="宋体"/>
        <family val="3"/>
        <charset val="134"/>
      </rPr>
      <t>是否参与计算</t>
    </r>
    <phoneticPr fontId="136" type="noConversion"/>
  </si>
  <si>
    <r>
      <rPr>
        <sz val="11"/>
        <color theme="1"/>
        <rFont val="宋体"/>
        <family val="3"/>
        <charset val="134"/>
      </rPr>
      <t>是</t>
    </r>
  </si>
  <si>
    <r>
      <rPr>
        <b/>
        <sz val="16"/>
        <color rgb="FFFF0000"/>
        <rFont val="宋体"/>
        <family val="3"/>
        <charset val="134"/>
      </rPr>
      <t>收益法（汇总）</t>
    </r>
    <phoneticPr fontId="5"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</si>
  <si>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</si>
  <si>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5" type="noConversion"/>
  </si>
  <si>
    <r>
      <rPr>
        <b/>
        <sz val="16"/>
        <rFont val="宋体"/>
        <family val="3"/>
        <charset val="134"/>
      </rPr>
      <t>住宅</t>
    </r>
    <phoneticPr fontId="5" type="noConversion"/>
  </si>
  <si>
    <r>
      <rPr>
        <b/>
        <sz val="16"/>
        <rFont val="宋体"/>
        <family val="3"/>
        <charset val="134"/>
      </rPr>
      <t>─</t>
    </r>
    <phoneticPr fontId="26"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</si>
  <si>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</si>
  <si>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20" type="noConversion"/>
  </si>
  <si>
    <r>
      <rPr>
        <b/>
        <sz val="12"/>
        <rFont val="宋体"/>
        <family val="3"/>
        <charset val="134"/>
      </rPr>
      <t>建筑面积</t>
    </r>
    <phoneticPr fontId="26" type="noConversion"/>
  </si>
  <si>
    <r>
      <rPr>
        <b/>
        <sz val="11"/>
        <rFont val="宋体"/>
        <family val="3"/>
        <charset val="134"/>
      </rPr>
      <t>比较因素</t>
    </r>
    <phoneticPr fontId="5" type="noConversion"/>
  </si>
  <si>
    <r>
      <rPr>
        <sz val="11"/>
        <rFont val="宋体"/>
        <family val="3"/>
        <charset val="134"/>
      </rPr>
      <t>估价对象</t>
    </r>
    <phoneticPr fontId="5" type="noConversion"/>
  </si>
  <si>
    <r>
      <rPr>
        <sz val="11"/>
        <rFont val="宋体"/>
        <family val="3"/>
        <charset val="134"/>
      </rPr>
      <t>案例</t>
    </r>
    <r>
      <rPr>
        <sz val="11"/>
        <rFont val="Arial"/>
        <family val="2"/>
      </rPr>
      <t>A</t>
    </r>
    <phoneticPr fontId="5" type="noConversion"/>
  </si>
  <si>
    <r>
      <rPr>
        <sz val="11"/>
        <rFont val="宋体"/>
        <family val="3"/>
        <charset val="134"/>
      </rPr>
      <t>案例</t>
    </r>
    <r>
      <rPr>
        <sz val="11"/>
        <rFont val="Arial"/>
        <family val="2"/>
      </rPr>
      <t>B</t>
    </r>
    <phoneticPr fontId="5" type="noConversion"/>
  </si>
  <si>
    <r>
      <rPr>
        <sz val="11"/>
        <rFont val="宋体"/>
        <family val="3"/>
        <charset val="134"/>
      </rPr>
      <t>案例</t>
    </r>
    <r>
      <rPr>
        <sz val="11"/>
        <rFont val="Arial"/>
        <family val="2"/>
      </rPr>
      <t>C</t>
    </r>
    <phoneticPr fontId="5" type="noConversion"/>
  </si>
  <si>
    <r>
      <rPr>
        <sz val="11"/>
        <color indexed="8"/>
        <rFont val="宋体"/>
        <family val="3"/>
        <charset val="134"/>
      </rPr>
      <t>修正幅度</t>
    </r>
    <phoneticPr fontId="5" type="noConversion"/>
  </si>
  <si>
    <r>
      <rPr>
        <sz val="11"/>
        <rFont val="宋体"/>
        <family val="3"/>
        <charset val="134"/>
      </rPr>
      <t>比较因素</t>
    </r>
    <phoneticPr fontId="5" type="noConversion"/>
  </si>
  <si>
    <r>
      <rPr>
        <sz val="11"/>
        <color theme="9" tint="-0.249977111117893"/>
        <rFont val="宋体"/>
        <family val="3"/>
        <charset val="134"/>
      </rPr>
      <t>估价对象名称</t>
    </r>
    <phoneticPr fontId="5"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</si>
  <si>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5"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</si>
  <si>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5"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</si>
  <si>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5" type="noConversion"/>
  </si>
  <si>
    <r>
      <rPr>
        <sz val="11"/>
        <color theme="9" tint="-0.249977111117893"/>
        <rFont val="宋体"/>
        <family val="3"/>
        <charset val="134"/>
      </rPr>
      <t>项目位置</t>
    </r>
    <phoneticPr fontId="5" type="noConversion"/>
  </si>
  <si>
    <r>
      <rPr>
        <sz val="11"/>
        <color indexed="8"/>
        <rFont val="宋体"/>
        <family val="3"/>
        <charset val="134"/>
      </rPr>
      <t>系数</t>
    </r>
    <r>
      <rPr>
        <sz val="11"/>
        <color indexed="8"/>
        <rFont val="Arial"/>
        <family val="2"/>
      </rPr>
      <t>%</t>
    </r>
    <phoneticPr fontId="5" type="noConversion"/>
  </si>
  <si>
    <r>
      <rPr>
        <b/>
        <sz val="11"/>
        <color indexed="8"/>
        <rFont val="宋体"/>
        <family val="3"/>
        <charset val="134"/>
      </rPr>
      <t>交易时间</t>
    </r>
    <phoneticPr fontId="5" type="noConversion"/>
  </si>
  <si>
    <r>
      <rPr>
        <sz val="11"/>
        <color indexed="8"/>
        <rFont val="宋体"/>
        <family val="3"/>
        <charset val="134"/>
      </rPr>
      <t>交易时间</t>
    </r>
    <phoneticPr fontId="5" type="noConversion"/>
  </si>
  <si>
    <r>
      <rPr>
        <b/>
        <sz val="11"/>
        <color indexed="8"/>
        <rFont val="宋体"/>
        <family val="3"/>
        <charset val="134"/>
      </rPr>
      <t>交易情况</t>
    </r>
    <phoneticPr fontId="5" type="noConversion"/>
  </si>
  <si>
    <r>
      <rPr>
        <sz val="11"/>
        <color indexed="8"/>
        <rFont val="宋体"/>
        <family val="3"/>
        <charset val="134"/>
      </rPr>
      <t>正常</t>
    </r>
  </si>
  <si>
    <r>
      <rPr>
        <sz val="11"/>
        <color indexed="8"/>
        <rFont val="宋体"/>
        <family val="3"/>
        <charset val="134"/>
      </rPr>
      <t>交易情况</t>
    </r>
    <phoneticPr fontId="5" type="noConversion"/>
  </si>
  <si>
    <r>
      <rPr>
        <b/>
        <sz val="11"/>
        <color indexed="8"/>
        <rFont val="宋体"/>
        <family val="3"/>
        <charset val="134"/>
      </rPr>
      <t>权益状况</t>
    </r>
    <phoneticPr fontId="5" type="noConversion"/>
  </si>
  <si>
    <r>
      <rPr>
        <sz val="11"/>
        <color indexed="8"/>
        <rFont val="宋体"/>
        <family val="3"/>
        <charset val="134"/>
      </rPr>
      <t>用途</t>
    </r>
    <phoneticPr fontId="5" type="noConversion"/>
  </si>
  <si>
    <r>
      <rPr>
        <sz val="11"/>
        <rFont val="宋体"/>
        <family val="3"/>
        <charset val="134"/>
      </rPr>
      <t>权益状况</t>
    </r>
    <phoneticPr fontId="5" type="noConversion"/>
  </si>
  <si>
    <r>
      <rPr>
        <sz val="11"/>
        <color indexed="8"/>
        <rFont val="宋体"/>
        <family val="3"/>
        <charset val="134"/>
      </rPr>
      <t>权益状况</t>
    </r>
    <phoneticPr fontId="5" type="noConversion"/>
  </si>
  <si>
    <r>
      <rPr>
        <sz val="11"/>
        <color indexed="8"/>
        <rFont val="宋体"/>
        <family val="3"/>
        <charset val="134"/>
      </rPr>
      <t>土地使用年限（年）</t>
    </r>
    <phoneticPr fontId="5" type="noConversion"/>
  </si>
  <si>
    <r>
      <rPr>
        <sz val="11"/>
        <color indexed="8"/>
        <rFont val="宋体"/>
        <family val="3"/>
        <charset val="134"/>
      </rPr>
      <t>容积率</t>
    </r>
    <phoneticPr fontId="5" type="noConversion"/>
  </si>
  <si>
    <r>
      <rPr>
        <b/>
        <sz val="11"/>
        <rFont val="宋体"/>
        <family val="3"/>
        <charset val="134"/>
      </rPr>
      <t>区位状况</t>
    </r>
    <phoneticPr fontId="5" type="noConversion"/>
  </si>
  <si>
    <r>
      <rPr>
        <sz val="11"/>
        <rFont val="宋体"/>
        <family val="3"/>
        <charset val="134"/>
      </rPr>
      <t>区位状况</t>
    </r>
    <phoneticPr fontId="5"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</si>
  <si>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</si>
  <si>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</si>
  <si>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5" type="noConversion"/>
  </si>
  <si>
    <r>
      <rPr>
        <sz val="11"/>
        <color indexed="8"/>
        <rFont val="宋体"/>
        <family val="3"/>
        <charset val="134"/>
      </rPr>
      <t>建筑类型</t>
    </r>
  </si>
  <si>
    <r>
      <rPr>
        <sz val="11"/>
        <rFont val="宋体"/>
        <family val="3"/>
        <charset val="134"/>
      </rPr>
      <t>实物状况</t>
    </r>
    <phoneticPr fontId="5"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</si>
  <si>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</si>
  <si>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</si>
  <si>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</si>
  <si>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</si>
  <si>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</si>
  <si>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</si>
  <si>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</si>
  <si>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</si>
  <si>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5"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</si>
  <si>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</si>
  <si>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</si>
  <si>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5"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</si>
  <si>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</si>
  <si>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</si>
  <si>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</si>
  <si>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</si>
  <si>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</si>
  <si>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</si>
  <si>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b/>
        <sz val="11"/>
        <color indexed="8"/>
        <rFont val="宋体"/>
        <family val="3"/>
        <charset val="134"/>
      </rPr>
      <t>交易时间</t>
    </r>
    <phoneticPr fontId="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</si>
  <si>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</si>
  <si>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5" type="noConversion"/>
  </si>
  <si>
    <r>
      <rPr>
        <sz val="11"/>
        <color indexed="8"/>
        <rFont val="宋体"/>
        <family val="3"/>
        <charset val="134"/>
      </rPr>
      <t>正常</t>
    </r>
    <phoneticPr fontId="26" type="noConversion"/>
  </si>
  <si>
    <r>
      <rPr>
        <b/>
        <sz val="11"/>
        <rFont val="宋体"/>
        <family val="3"/>
        <charset val="134"/>
      </rPr>
      <t>权益状况</t>
    </r>
    <phoneticPr fontId="5" type="noConversion"/>
  </si>
  <si>
    <r>
      <rPr>
        <sz val="11"/>
        <color indexed="8"/>
        <rFont val="宋体"/>
        <family val="3"/>
        <charset val="134"/>
      </rPr>
      <t>居住社区成熟度</t>
    </r>
    <phoneticPr fontId="5" type="noConversion"/>
  </si>
  <si>
    <r>
      <rPr>
        <sz val="11"/>
        <color indexed="8"/>
        <rFont val="宋体"/>
        <family val="3"/>
        <charset val="134"/>
      </rPr>
      <t>好</t>
    </r>
    <phoneticPr fontId="5" type="noConversion"/>
  </si>
  <si>
    <r>
      <rPr>
        <sz val="11"/>
        <color indexed="8"/>
        <rFont val="宋体"/>
        <family val="3"/>
        <charset val="134"/>
      </rPr>
      <t>较好</t>
    </r>
    <phoneticPr fontId="5" type="noConversion"/>
  </si>
  <si>
    <r>
      <rPr>
        <sz val="11"/>
        <color indexed="8"/>
        <rFont val="宋体"/>
        <family val="3"/>
        <charset val="134"/>
      </rPr>
      <t>一般</t>
    </r>
    <phoneticPr fontId="5" type="noConversion"/>
  </si>
  <si>
    <r>
      <rPr>
        <sz val="11"/>
        <color indexed="8"/>
        <rFont val="宋体"/>
        <family val="3"/>
        <charset val="134"/>
      </rPr>
      <t>较差</t>
    </r>
    <phoneticPr fontId="5" type="noConversion"/>
  </si>
  <si>
    <r>
      <rPr>
        <sz val="11"/>
        <color indexed="8"/>
        <rFont val="宋体"/>
        <family val="3"/>
        <charset val="134"/>
      </rPr>
      <t>差</t>
    </r>
    <phoneticPr fontId="5" type="noConversion"/>
  </si>
  <si>
    <r>
      <rPr>
        <sz val="11"/>
        <color indexed="8"/>
        <rFont val="宋体"/>
        <family val="3"/>
        <charset val="134"/>
      </rPr>
      <t>交通便捷度</t>
    </r>
    <phoneticPr fontId="5" type="noConversion"/>
  </si>
  <si>
    <r>
      <rPr>
        <sz val="11"/>
        <color indexed="8"/>
        <rFont val="宋体"/>
        <family val="3"/>
        <charset val="134"/>
      </rPr>
      <t>公共配套设施</t>
    </r>
    <phoneticPr fontId="5"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</si>
  <si>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</si>
  <si>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</si>
  <si>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</si>
  <si>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</si>
  <si>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</si>
  <si>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5" type="noConversion"/>
  </si>
  <si>
    <r>
      <rPr>
        <sz val="11"/>
        <color indexed="8"/>
        <rFont val="宋体"/>
        <family val="3"/>
        <charset val="134"/>
      </rPr>
      <t>楼层</t>
    </r>
    <r>
      <rPr>
        <sz val="11"/>
        <color indexed="8"/>
        <rFont val="Arial"/>
        <family val="2"/>
      </rPr>
      <t>-1</t>
    </r>
    <phoneticPr fontId="5" type="noConversion"/>
  </si>
  <si>
    <r>
      <rPr>
        <sz val="11"/>
        <color indexed="8"/>
        <rFont val="宋体"/>
        <family val="3"/>
        <charset val="134"/>
      </rPr>
      <t>朝向</t>
    </r>
    <phoneticPr fontId="5" type="noConversion"/>
  </si>
  <si>
    <r>
      <rPr>
        <sz val="11"/>
        <color indexed="8"/>
        <rFont val="宋体"/>
        <family val="3"/>
        <charset val="134"/>
      </rPr>
      <t>建筑类型</t>
    </r>
    <phoneticPr fontId="5" type="noConversion"/>
  </si>
  <si>
    <r>
      <rPr>
        <sz val="11"/>
        <color indexed="8"/>
        <rFont val="宋体"/>
        <family val="3"/>
        <charset val="134"/>
      </rPr>
      <t>项目建筑规模</t>
    </r>
    <phoneticPr fontId="5" type="noConversion"/>
  </si>
  <si>
    <r>
      <rPr>
        <sz val="11"/>
        <color indexed="8"/>
        <rFont val="宋体"/>
        <family val="3"/>
        <charset val="134"/>
      </rPr>
      <t>建筑结构</t>
    </r>
    <phoneticPr fontId="5" type="noConversion"/>
  </si>
  <si>
    <r>
      <rPr>
        <sz val="11"/>
        <color indexed="8"/>
        <rFont val="宋体"/>
        <family val="3"/>
        <charset val="134"/>
      </rPr>
      <t>建筑品质</t>
    </r>
    <phoneticPr fontId="5" type="noConversion"/>
  </si>
  <si>
    <r>
      <rPr>
        <sz val="11"/>
        <color indexed="8"/>
        <rFont val="宋体"/>
        <family val="3"/>
        <charset val="134"/>
      </rPr>
      <t>公共部分装修</t>
    </r>
    <phoneticPr fontId="5" type="noConversion"/>
  </si>
  <si>
    <r>
      <rPr>
        <sz val="11"/>
        <color indexed="8"/>
        <rFont val="宋体"/>
        <family val="3"/>
        <charset val="134"/>
      </rPr>
      <t>物业管理</t>
    </r>
    <phoneticPr fontId="5" type="noConversion"/>
  </si>
  <si>
    <r>
      <rPr>
        <sz val="11"/>
        <color indexed="8"/>
        <rFont val="宋体"/>
        <family val="3"/>
        <charset val="134"/>
      </rPr>
      <t>市政基础设施</t>
    </r>
    <phoneticPr fontId="5" type="noConversion"/>
  </si>
  <si>
    <r>
      <rPr>
        <sz val="11"/>
        <color indexed="8"/>
        <rFont val="宋体"/>
        <family val="3"/>
        <charset val="134"/>
      </rPr>
      <t>房型</t>
    </r>
    <phoneticPr fontId="5" type="noConversion"/>
  </si>
  <si>
    <r>
      <rPr>
        <sz val="11"/>
        <color indexed="8"/>
        <rFont val="宋体"/>
        <family val="3"/>
        <charset val="134"/>
      </rPr>
      <t>内部装修</t>
    </r>
    <phoneticPr fontId="5" type="noConversion"/>
  </si>
  <si>
    <r>
      <rPr>
        <sz val="11"/>
        <color indexed="8"/>
        <rFont val="宋体"/>
        <family val="3"/>
        <charset val="134"/>
      </rPr>
      <t>内部装修维护情况</t>
    </r>
    <phoneticPr fontId="5"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</si>
  <si>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5" type="noConversion"/>
  </si>
  <si>
    <r>
      <rPr>
        <sz val="11"/>
        <color theme="1"/>
        <rFont val="宋体"/>
        <family val="3"/>
        <charset val="134"/>
      </rPr>
      <t>多层</t>
    </r>
    <phoneticPr fontId="5" type="noConversion"/>
  </si>
  <si>
    <r>
      <rPr>
        <sz val="11"/>
        <color theme="1"/>
        <rFont val="宋体"/>
        <family val="3"/>
        <charset val="134"/>
      </rPr>
      <t>高层</t>
    </r>
    <phoneticPr fontId="5" type="noConversion"/>
  </si>
  <si>
    <r>
      <rPr>
        <sz val="11"/>
        <color theme="1"/>
        <rFont val="宋体"/>
        <family val="3"/>
        <charset val="134"/>
      </rPr>
      <t>无电梯</t>
    </r>
    <phoneticPr fontId="5" type="noConversion"/>
  </si>
  <si>
    <r>
      <rPr>
        <sz val="11"/>
        <color theme="1"/>
        <rFont val="宋体"/>
        <family val="3"/>
        <charset val="134"/>
      </rPr>
      <t>增值项</t>
    </r>
    <phoneticPr fontId="5" type="noConversion"/>
  </si>
  <si>
    <r>
      <rPr>
        <sz val="11"/>
        <color theme="1"/>
        <rFont val="宋体"/>
        <family val="3"/>
        <charset val="134"/>
      </rPr>
      <t>系数</t>
    </r>
    <phoneticPr fontId="5" type="noConversion"/>
  </si>
  <si>
    <r>
      <rPr>
        <sz val="11"/>
        <color theme="1"/>
        <rFont val="宋体"/>
        <family val="3"/>
        <charset val="134"/>
      </rPr>
      <t>有电梯</t>
    </r>
    <phoneticPr fontId="5"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</si>
  <si>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5" type="noConversion"/>
  </si>
  <si>
    <r>
      <rPr>
        <sz val="11"/>
        <color theme="1"/>
        <rFont val="宋体"/>
        <family val="3"/>
        <charset val="134"/>
      </rPr>
      <t>层差</t>
    </r>
    <r>
      <rPr>
        <sz val="11"/>
        <color theme="1"/>
        <rFont val="Arial"/>
        <family val="2"/>
      </rPr>
      <t>/</t>
    </r>
    <r>
      <rPr>
        <sz val="11"/>
        <color theme="1"/>
        <rFont val="宋体"/>
        <family val="3"/>
        <charset val="134"/>
      </rPr>
      <t>系数</t>
    </r>
    <phoneticPr fontId="5" type="noConversion"/>
  </si>
  <si>
    <r>
      <rPr>
        <sz val="11"/>
        <color theme="1"/>
        <rFont val="宋体"/>
        <family val="3"/>
        <charset val="134"/>
      </rPr>
      <t>露台</t>
    </r>
    <phoneticPr fontId="5" type="noConversion"/>
  </si>
  <si>
    <r>
      <rPr>
        <sz val="11"/>
        <color theme="1"/>
        <rFont val="宋体"/>
        <family val="3"/>
        <charset val="134"/>
      </rPr>
      <t>总层数</t>
    </r>
    <phoneticPr fontId="5" type="noConversion"/>
  </si>
  <si>
    <r>
      <rPr>
        <sz val="11"/>
        <color theme="1"/>
        <rFont val="宋体"/>
        <family val="3"/>
        <charset val="134"/>
      </rPr>
      <t>中间层</t>
    </r>
    <phoneticPr fontId="5" type="noConversion"/>
  </si>
  <si>
    <r>
      <rPr>
        <sz val="11"/>
        <color theme="1"/>
        <rFont val="宋体"/>
        <family val="3"/>
        <charset val="134"/>
      </rPr>
      <t>首层</t>
    </r>
    <phoneticPr fontId="5" type="noConversion"/>
  </si>
  <si>
    <r>
      <rPr>
        <sz val="11"/>
        <color theme="1"/>
        <rFont val="宋体"/>
        <family val="3"/>
        <charset val="134"/>
      </rPr>
      <t>顶层</t>
    </r>
    <phoneticPr fontId="5" type="noConversion"/>
  </si>
  <si>
    <r>
      <rPr>
        <sz val="11"/>
        <color theme="1"/>
        <rFont val="宋体"/>
        <family val="3"/>
        <charset val="134"/>
      </rPr>
      <t>所在楼层</t>
    </r>
    <phoneticPr fontId="5" type="noConversion"/>
  </si>
  <si>
    <r>
      <rPr>
        <sz val="11"/>
        <color theme="1"/>
        <rFont val="宋体"/>
        <family val="3"/>
        <charset val="134"/>
      </rPr>
      <t>花园</t>
    </r>
    <phoneticPr fontId="5" type="noConversion"/>
  </si>
  <si>
    <r>
      <rPr>
        <sz val="11"/>
        <color theme="1"/>
        <rFont val="宋体"/>
        <family val="3"/>
        <charset val="134"/>
      </rPr>
      <t>最高最低差</t>
    </r>
    <phoneticPr fontId="5" type="noConversion"/>
  </si>
  <si>
    <r>
      <rPr>
        <sz val="12"/>
        <rFont val="宋体"/>
        <family val="3"/>
        <charset val="134"/>
      </rPr>
      <t>注意于无电梯多层的价值匹配</t>
    </r>
    <phoneticPr fontId="5" type="noConversion"/>
  </si>
  <si>
    <r>
      <rPr>
        <sz val="11"/>
        <color rgb="FFFF0000"/>
        <rFont val="宋体"/>
        <family val="3"/>
        <charset val="134"/>
      </rPr>
      <t>修正体系描述方式：</t>
    </r>
    <phoneticPr fontId="5"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</si>
  <si>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5" type="noConversion"/>
  </si>
  <si>
    <r>
      <rPr>
        <b/>
        <sz val="16"/>
        <rFont val="宋体"/>
        <family val="3"/>
        <charset val="134"/>
      </rPr>
      <t>商业</t>
    </r>
    <phoneticPr fontId="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</si>
  <si>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</si>
  <si>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</si>
  <si>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5" type="noConversion"/>
  </si>
  <si>
    <r>
      <rPr>
        <sz val="11"/>
        <rFont val="宋体"/>
        <family val="3"/>
        <charset val="134"/>
      </rPr>
      <t>估价对象</t>
    </r>
    <phoneticPr fontId="5" type="noConversion"/>
  </si>
  <si>
    <r>
      <rPr>
        <sz val="11"/>
        <rFont val="宋体"/>
        <family val="3"/>
        <charset val="134"/>
      </rPr>
      <t>案例</t>
    </r>
    <r>
      <rPr>
        <sz val="11"/>
        <rFont val="Arial"/>
        <family val="2"/>
      </rPr>
      <t>A</t>
    </r>
    <phoneticPr fontId="5" type="noConversion"/>
  </si>
  <si>
    <r>
      <rPr>
        <sz val="11"/>
        <rFont val="宋体"/>
        <family val="3"/>
        <charset val="134"/>
      </rPr>
      <t>案例</t>
    </r>
    <r>
      <rPr>
        <sz val="11"/>
        <rFont val="Arial"/>
        <family val="2"/>
      </rPr>
      <t>B</t>
    </r>
    <phoneticPr fontId="5" type="noConversion"/>
  </si>
  <si>
    <r>
      <rPr>
        <sz val="11"/>
        <rFont val="宋体"/>
        <family val="3"/>
        <charset val="134"/>
      </rPr>
      <t>案例</t>
    </r>
    <r>
      <rPr>
        <sz val="11"/>
        <rFont val="Arial"/>
        <family val="2"/>
      </rPr>
      <t>C</t>
    </r>
    <phoneticPr fontId="5" type="noConversion"/>
  </si>
  <si>
    <r>
      <rPr>
        <sz val="11"/>
        <color indexed="8"/>
        <rFont val="宋体"/>
        <family val="3"/>
        <charset val="134"/>
      </rPr>
      <t>修正幅度</t>
    </r>
    <phoneticPr fontId="5" type="noConversion"/>
  </si>
  <si>
    <r>
      <rPr>
        <sz val="11"/>
        <rFont val="宋体"/>
        <family val="3"/>
        <charset val="134"/>
      </rPr>
      <t>比较因素</t>
    </r>
    <phoneticPr fontId="5"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</si>
  <si>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</si>
  <si>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</si>
  <si>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</si>
  <si>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</si>
  <si>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</si>
  <si>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</si>
  <si>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</si>
  <si>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</si>
  <si>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</si>
  <si>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</si>
  <si>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</si>
  <si>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</si>
  <si>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</si>
  <si>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</si>
  <si>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</si>
  <si>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5"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</si>
  <si>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</si>
  <si>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</si>
  <si>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</si>
  <si>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</si>
  <si>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</si>
  <si>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</si>
  <si>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</si>
  <si>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</si>
  <si>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</si>
  <si>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</si>
  <si>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</si>
  <si>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</si>
  <si>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5" type="noConversion"/>
  </si>
  <si>
    <r>
      <rPr>
        <sz val="11"/>
        <color indexed="8"/>
        <rFont val="宋体"/>
        <family val="3"/>
        <charset val="134"/>
      </rPr>
      <t>商业类型</t>
    </r>
    <phoneticPr fontId="5" type="noConversion"/>
  </si>
  <si>
    <r>
      <rPr>
        <sz val="11"/>
        <color indexed="8"/>
        <rFont val="宋体"/>
        <family val="3"/>
        <charset val="134"/>
      </rPr>
      <t>业态</t>
    </r>
    <phoneticPr fontId="5" type="noConversion"/>
  </si>
  <si>
    <r>
      <rPr>
        <sz val="11"/>
        <color indexed="8"/>
        <rFont val="宋体"/>
        <family val="3"/>
        <charset val="134"/>
      </rPr>
      <t>层高</t>
    </r>
    <phoneticPr fontId="5" type="noConversion"/>
  </si>
  <si>
    <r>
      <rPr>
        <sz val="11"/>
        <color indexed="8"/>
        <rFont val="宋体"/>
        <family val="3"/>
        <charset val="134"/>
      </rPr>
      <t>单套建筑面积</t>
    </r>
    <phoneticPr fontId="5" type="noConversion"/>
  </si>
  <si>
    <r>
      <rPr>
        <sz val="11"/>
        <color indexed="8"/>
        <rFont val="宋体"/>
        <family val="3"/>
        <charset val="134"/>
      </rPr>
      <t>进深比</t>
    </r>
    <phoneticPr fontId="5"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</si>
  <si>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</si>
  <si>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</si>
  <si>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</si>
  <si>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</si>
  <si>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</si>
  <si>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</si>
  <si>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</si>
  <si>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</si>
  <si>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</si>
  <si>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</si>
  <si>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5" type="noConversion"/>
  </si>
  <si>
    <r>
      <rPr>
        <sz val="11"/>
        <color indexed="8"/>
        <rFont val="宋体"/>
        <family val="3"/>
        <charset val="134"/>
      </rPr>
      <t>办公集聚程度</t>
    </r>
    <phoneticPr fontId="5" type="noConversion"/>
  </si>
  <si>
    <r>
      <rPr>
        <sz val="11"/>
        <color indexed="8"/>
        <rFont val="宋体"/>
        <family val="3"/>
        <charset val="134"/>
      </rPr>
      <t>环境质量</t>
    </r>
    <phoneticPr fontId="5" type="noConversion"/>
  </si>
  <si>
    <r>
      <rPr>
        <sz val="11"/>
        <color indexed="8"/>
        <rFont val="宋体"/>
        <family val="3"/>
        <charset val="134"/>
      </rPr>
      <t>毗邻道路的类型与等级</t>
    </r>
    <phoneticPr fontId="5" type="noConversion"/>
  </si>
  <si>
    <r>
      <rPr>
        <sz val="11"/>
        <color indexed="8"/>
        <rFont val="宋体"/>
        <family val="3"/>
        <charset val="134"/>
      </rPr>
      <t>写字楼等级</t>
    </r>
    <phoneticPr fontId="5" type="noConversion"/>
  </si>
  <si>
    <r>
      <rPr>
        <sz val="11"/>
        <rFont val="宋体"/>
        <family val="3"/>
        <charset val="134"/>
      </rPr>
      <t>层高</t>
    </r>
    <phoneticPr fontId="5" type="noConversion"/>
  </si>
  <si>
    <r>
      <rPr>
        <b/>
        <sz val="16"/>
        <rFont val="宋体"/>
        <family val="3"/>
        <charset val="134"/>
      </rPr>
      <t>工业</t>
    </r>
    <phoneticPr fontId="5"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</si>
  <si>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</si>
  <si>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</si>
  <si>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5" type="noConversion"/>
  </si>
  <si>
    <r>
      <rPr>
        <sz val="11"/>
        <rFont val="宋体"/>
        <family val="3"/>
        <charset val="134"/>
      </rPr>
      <t>内部装修维护状况</t>
    </r>
    <phoneticPr fontId="5" type="noConversion"/>
  </si>
  <si>
    <r>
      <rPr>
        <b/>
        <sz val="16"/>
        <color indexed="10"/>
        <rFont val="宋体"/>
        <family val="3"/>
        <charset val="134"/>
      </rPr>
      <t>比较法</t>
    </r>
    <phoneticPr fontId="5"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</si>
  <si>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</si>
  <si>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</si>
  <si>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</si>
  <si>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</si>
  <si>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</si>
  <si>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</si>
  <si>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</si>
  <si>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</si>
  <si>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</si>
  <si>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</si>
  <si>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</si>
  <si>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</si>
  <si>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5"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</si>
  <si>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</si>
  <si>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</si>
  <si>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</si>
  <si>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</si>
  <si>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</si>
  <si>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</si>
  <si>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b/>
        <sz val="11"/>
        <color indexed="8"/>
        <rFont val="宋体"/>
        <family val="3"/>
        <charset val="134"/>
      </rPr>
      <t>交易时间</t>
    </r>
    <phoneticPr fontId="5" type="noConversion"/>
  </si>
  <si>
    <r>
      <rPr>
        <sz val="11"/>
        <color indexed="8"/>
        <rFont val="宋体"/>
        <family val="3"/>
        <charset val="134"/>
      </rPr>
      <t>楼层</t>
    </r>
    <phoneticPr fontId="5" type="noConversion"/>
  </si>
  <si>
    <r>
      <rPr>
        <sz val="11"/>
        <color indexed="8"/>
        <rFont val="宋体"/>
        <family val="3"/>
        <charset val="134"/>
      </rPr>
      <t>配套类型（地上主用途）</t>
    </r>
    <phoneticPr fontId="5" type="noConversion"/>
  </si>
  <si>
    <r>
      <rPr>
        <sz val="11"/>
        <color indexed="8"/>
        <rFont val="宋体"/>
        <family val="3"/>
        <charset val="134"/>
      </rPr>
      <t>项目停车位配比</t>
    </r>
    <phoneticPr fontId="5" type="noConversion"/>
  </si>
  <si>
    <r>
      <rPr>
        <sz val="11"/>
        <color indexed="8"/>
        <rFont val="宋体"/>
        <family val="3"/>
        <charset val="134"/>
      </rPr>
      <t>成新率</t>
    </r>
    <phoneticPr fontId="5" type="noConversion"/>
  </si>
  <si>
    <r>
      <rPr>
        <sz val="11"/>
        <color indexed="8"/>
        <rFont val="宋体"/>
        <family val="3"/>
        <charset val="134"/>
      </rPr>
      <t>物业等级</t>
    </r>
    <phoneticPr fontId="33" type="noConversion"/>
  </si>
  <si>
    <r>
      <rPr>
        <sz val="11"/>
        <color indexed="8"/>
        <rFont val="宋体"/>
        <family val="3"/>
        <charset val="134"/>
      </rPr>
      <t>停车位面积</t>
    </r>
    <phoneticPr fontId="5" type="noConversion"/>
  </si>
  <si>
    <r>
      <rPr>
        <sz val="11"/>
        <color indexed="8"/>
        <rFont val="宋体"/>
        <family val="3"/>
        <charset val="134"/>
      </rPr>
      <t>车位类型</t>
    </r>
    <phoneticPr fontId="5" type="noConversion"/>
  </si>
  <si>
    <r>
      <rPr>
        <sz val="11"/>
        <color indexed="8"/>
        <rFont val="宋体"/>
        <family val="3"/>
        <charset val="134"/>
      </rPr>
      <t>是否直接入户</t>
    </r>
    <phoneticPr fontId="5"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</si>
  <si>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</si>
  <si>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</si>
  <si>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</si>
  <si>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5" type="noConversion"/>
  </si>
  <si>
    <r>
      <rPr>
        <sz val="11"/>
        <color indexed="8"/>
        <rFont val="宋体"/>
        <family val="3"/>
        <charset val="134"/>
      </rPr>
      <t>有无电梯</t>
    </r>
    <phoneticPr fontId="5" type="noConversion"/>
  </si>
  <si>
    <r>
      <rPr>
        <sz val="11"/>
        <color indexed="8"/>
        <rFont val="宋体"/>
        <family val="3"/>
        <charset val="134"/>
      </rPr>
      <t>建筑面积</t>
    </r>
    <phoneticPr fontId="33" type="noConversion"/>
  </si>
  <si>
    <r>
      <rPr>
        <sz val="11"/>
        <color indexed="8"/>
        <rFont val="宋体"/>
        <family val="3"/>
        <charset val="134"/>
      </rPr>
      <t>是否封闭</t>
    </r>
    <phoneticPr fontId="5" type="noConversion"/>
  </si>
  <si>
    <r>
      <rPr>
        <b/>
        <sz val="16"/>
        <color indexed="10"/>
        <rFont val="宋体"/>
        <family val="3"/>
        <charset val="134"/>
      </rPr>
      <t>套用比较法</t>
    </r>
    <phoneticPr fontId="5" type="noConversion"/>
  </si>
  <si>
    <r>
      <rPr>
        <b/>
        <sz val="16"/>
        <rFont val="宋体"/>
        <family val="3"/>
        <charset val="134"/>
      </rPr>
      <t>住宅、综合</t>
    </r>
    <phoneticPr fontId="32" type="noConversion"/>
  </si>
  <si>
    <r>
      <rPr>
        <b/>
        <sz val="12"/>
        <rFont val="宋体"/>
        <family val="3"/>
        <charset val="134"/>
      </rPr>
      <t>建筑面积</t>
    </r>
    <phoneticPr fontId="20"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</si>
  <si>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</si>
  <si>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</si>
  <si>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</si>
  <si>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</si>
  <si>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</si>
  <si>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</si>
  <si>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</si>
  <si>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</si>
  <si>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</si>
  <si>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</si>
  <si>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</si>
  <si>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</si>
  <si>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</si>
  <si>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</si>
  <si>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5"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</si>
  <si>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</si>
  <si>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</si>
  <si>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</si>
  <si>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</si>
  <si>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</si>
  <si>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20" type="noConversion"/>
  </si>
  <si>
    <r>
      <rPr>
        <sz val="10"/>
        <rFont val="宋体"/>
        <family val="3"/>
        <charset val="134"/>
      </rPr>
      <t>地下商业（</t>
    </r>
    <r>
      <rPr>
        <sz val="10"/>
        <rFont val="Arial"/>
        <family val="2"/>
      </rPr>
      <t>-1</t>
    </r>
    <r>
      <rPr>
        <sz val="10"/>
        <rFont val="宋体"/>
        <family val="3"/>
        <charset val="134"/>
      </rPr>
      <t>）</t>
    </r>
    <phoneticPr fontId="18"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</si>
  <si>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</si>
  <si>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8" type="noConversion"/>
  </si>
  <si>
    <r>
      <rPr>
        <sz val="10"/>
        <rFont val="宋体"/>
        <family val="3"/>
        <charset val="134"/>
      </rPr>
      <t>地下商业（</t>
    </r>
    <r>
      <rPr>
        <sz val="10"/>
        <rFont val="Arial"/>
        <family val="2"/>
      </rPr>
      <t>-3</t>
    </r>
    <r>
      <rPr>
        <sz val="10"/>
        <rFont val="宋体"/>
        <family val="3"/>
        <charset val="134"/>
      </rPr>
      <t>）</t>
    </r>
    <phoneticPr fontId="18" type="noConversion"/>
  </si>
  <si>
    <r>
      <rPr>
        <sz val="10"/>
        <rFont val="宋体"/>
        <family val="3"/>
        <charset val="134"/>
      </rPr>
      <t>地下办公（含物业）</t>
    </r>
    <phoneticPr fontId="18" type="noConversion"/>
  </si>
  <si>
    <r>
      <rPr>
        <sz val="10"/>
        <color theme="1"/>
        <rFont val="宋体"/>
        <family val="3"/>
        <charset val="134"/>
      </rPr>
      <t>对应办公级别</t>
    </r>
    <phoneticPr fontId="32" type="noConversion"/>
  </si>
  <si>
    <r>
      <rPr>
        <sz val="10"/>
        <rFont val="宋体"/>
        <family val="3"/>
        <charset val="134"/>
      </rPr>
      <t>地下仓储</t>
    </r>
    <phoneticPr fontId="18" type="noConversion"/>
  </si>
  <si>
    <r>
      <rPr>
        <sz val="10"/>
        <color indexed="53"/>
        <rFont val="宋体"/>
        <family val="3"/>
        <charset val="134"/>
      </rPr>
      <t>办公</t>
    </r>
  </si>
  <si>
    <r>
      <rPr>
        <sz val="10"/>
        <rFont val="宋体"/>
        <family val="3"/>
        <charset val="134"/>
      </rPr>
      <t>地下车库</t>
    </r>
    <phoneticPr fontId="18"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</si>
  <si>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</si>
  <si>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8" type="noConversion"/>
  </si>
  <si>
    <r>
      <rPr>
        <sz val="10"/>
        <rFont val="宋体"/>
        <family val="3"/>
        <charset val="134"/>
      </rPr>
      <t>地下车库</t>
    </r>
    <r>
      <rPr>
        <sz val="10"/>
        <rFont val="Arial"/>
        <family val="2"/>
      </rPr>
      <t>-</t>
    </r>
    <r>
      <rPr>
        <sz val="10"/>
        <rFont val="宋体"/>
        <family val="3"/>
        <charset val="134"/>
      </rPr>
      <t>办公</t>
    </r>
    <phoneticPr fontId="18" type="noConversion"/>
  </si>
  <si>
    <r>
      <rPr>
        <b/>
        <sz val="10"/>
        <rFont val="宋体"/>
        <family val="3"/>
        <charset val="134"/>
      </rPr>
      <t>土地购买价格</t>
    </r>
    <phoneticPr fontId="18" type="noConversion"/>
  </si>
  <si>
    <r>
      <rPr>
        <b/>
        <sz val="11"/>
        <color indexed="8"/>
        <rFont val="宋体"/>
        <family val="3"/>
        <charset val="134"/>
      </rPr>
      <t>交易时间（按季度调整）</t>
    </r>
    <phoneticPr fontId="5" type="noConversion"/>
  </si>
  <si>
    <r>
      <rPr>
        <b/>
        <sz val="11"/>
        <color indexed="8"/>
        <rFont val="宋体"/>
        <family val="3"/>
        <charset val="134"/>
      </rPr>
      <t>住宅</t>
    </r>
  </si>
  <si>
    <r>
      <rPr>
        <sz val="11"/>
        <color indexed="8"/>
        <rFont val="宋体"/>
        <family val="3"/>
        <charset val="134"/>
      </rPr>
      <t>商业繁华度</t>
    </r>
    <phoneticPr fontId="5" type="noConversion"/>
  </si>
  <si>
    <r>
      <rPr>
        <sz val="11"/>
        <color indexed="8"/>
        <rFont val="宋体"/>
        <family val="3"/>
        <charset val="134"/>
      </rPr>
      <t>区域土地利用方向</t>
    </r>
    <phoneticPr fontId="5" type="noConversion"/>
  </si>
  <si>
    <r>
      <rPr>
        <sz val="11"/>
        <color indexed="8"/>
        <rFont val="宋体"/>
        <family val="3"/>
        <charset val="134"/>
      </rPr>
      <t>自然及人文环境状况</t>
    </r>
    <phoneticPr fontId="5"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</si>
  <si>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</si>
  <si>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</si>
  <si>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</si>
  <si>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</si>
  <si>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5" type="noConversion"/>
  </si>
  <si>
    <r>
      <rPr>
        <sz val="11"/>
        <color indexed="8"/>
        <rFont val="宋体"/>
        <family val="3"/>
        <charset val="134"/>
      </rPr>
      <t>宗地形状</t>
    </r>
    <phoneticPr fontId="5" type="noConversion"/>
  </si>
  <si>
    <r>
      <rPr>
        <sz val="11"/>
        <color indexed="8"/>
        <rFont val="宋体"/>
        <family val="3"/>
        <charset val="134"/>
      </rPr>
      <t>临街宽度及深度</t>
    </r>
    <phoneticPr fontId="5" type="noConversion"/>
  </si>
  <si>
    <r>
      <rPr>
        <sz val="11"/>
        <color indexed="8"/>
        <rFont val="宋体"/>
        <family val="3"/>
        <charset val="134"/>
      </rPr>
      <t>宗地开发程度</t>
    </r>
    <phoneticPr fontId="5" type="noConversion"/>
  </si>
  <si>
    <r>
      <rPr>
        <sz val="11"/>
        <color indexed="8"/>
        <rFont val="宋体"/>
        <family val="3"/>
        <charset val="134"/>
      </rPr>
      <t>工程地质条件</t>
    </r>
    <phoneticPr fontId="5" type="noConversion"/>
  </si>
  <si>
    <r>
      <rPr>
        <b/>
        <sz val="16"/>
        <rFont val="宋体"/>
        <family val="3"/>
        <charset val="134"/>
      </rPr>
      <t>工业</t>
    </r>
    <phoneticPr fontId="32" type="noConversion"/>
  </si>
  <si>
    <r>
      <rPr>
        <sz val="11"/>
        <rFont val="宋体"/>
        <family val="3"/>
        <charset val="134"/>
      </rPr>
      <t>项目位置</t>
    </r>
    <phoneticPr fontId="5"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</si>
  <si>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</si>
  <si>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</si>
  <si>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</si>
  <si>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</si>
  <si>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</si>
  <si>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</si>
  <si>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5"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</si>
  <si>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</si>
  <si>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</si>
  <si>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5" type="noConversion"/>
  </si>
  <si>
    <r>
      <rPr>
        <sz val="12"/>
        <rFont val="宋体"/>
        <family val="3"/>
        <charset val="134"/>
      </rPr>
      <t>楼层修正系数</t>
    </r>
    <phoneticPr fontId="5" type="noConversion"/>
  </si>
  <si>
    <r>
      <rPr>
        <sz val="12"/>
        <rFont val="宋体"/>
        <family val="3"/>
        <charset val="134"/>
      </rPr>
      <t>楼面熟地单价</t>
    </r>
    <phoneticPr fontId="5" type="noConversion"/>
  </si>
  <si>
    <r>
      <rPr>
        <sz val="12"/>
        <rFont val="宋体"/>
        <family val="3"/>
        <charset val="134"/>
      </rPr>
      <t>层面积</t>
    </r>
    <phoneticPr fontId="5" type="noConversion"/>
  </si>
  <si>
    <r>
      <rPr>
        <sz val="12"/>
        <rFont val="宋体"/>
        <family val="3"/>
        <charset val="134"/>
      </rPr>
      <t>总额</t>
    </r>
    <phoneticPr fontId="5" type="noConversion"/>
  </si>
  <si>
    <r>
      <rPr>
        <b/>
        <sz val="12"/>
        <rFont val="宋体"/>
        <family val="3"/>
        <charset val="134"/>
      </rPr>
      <t>总价</t>
    </r>
    <phoneticPr fontId="5" type="noConversion"/>
  </si>
  <si>
    <r>
      <rPr>
        <b/>
        <sz val="12"/>
        <rFont val="宋体"/>
        <family val="3"/>
        <charset val="134"/>
      </rPr>
      <t>万元</t>
    </r>
    <phoneticPr fontId="5" type="noConversion"/>
  </si>
  <si>
    <r>
      <rPr>
        <sz val="10"/>
        <rFont val="宋体"/>
        <family val="3"/>
        <charset val="134"/>
      </rPr>
      <t>用途</t>
    </r>
    <phoneticPr fontId="5" type="noConversion"/>
  </si>
  <si>
    <r>
      <rPr>
        <sz val="10"/>
        <rFont val="宋体"/>
        <family val="3"/>
        <charset val="134"/>
      </rPr>
      <t>土地级别</t>
    </r>
    <phoneticPr fontId="5" type="noConversion"/>
  </si>
  <si>
    <r>
      <rPr>
        <sz val="10"/>
        <rFont val="宋体"/>
        <family val="3"/>
        <charset val="134"/>
      </rPr>
      <t>区片编号</t>
    </r>
    <phoneticPr fontId="5" type="noConversion"/>
  </si>
  <si>
    <r>
      <rPr>
        <sz val="11"/>
        <color theme="1"/>
        <rFont val="宋体"/>
        <family val="3"/>
        <charset val="134"/>
      </rPr>
      <t>二级</t>
    </r>
  </si>
  <si>
    <r>
      <rPr>
        <b/>
        <sz val="12"/>
        <rFont val="宋体"/>
        <family val="3"/>
        <charset val="134"/>
      </rPr>
      <t>楼面单价</t>
    </r>
    <phoneticPr fontId="5" type="noConversion"/>
  </si>
  <si>
    <r>
      <rPr>
        <b/>
        <sz val="12"/>
        <rFont val="宋体"/>
        <family val="3"/>
        <charset val="134"/>
      </rPr>
      <t>元</t>
    </r>
    <r>
      <rPr>
        <b/>
        <sz val="12"/>
        <rFont val="Arial"/>
        <family val="2"/>
      </rPr>
      <t>/</t>
    </r>
    <r>
      <rPr>
        <b/>
        <sz val="12"/>
        <rFont val="宋体"/>
        <family val="3"/>
        <charset val="134"/>
      </rPr>
      <t>平方米</t>
    </r>
    <phoneticPr fontId="5" type="noConversion"/>
  </si>
  <si>
    <r>
      <rPr>
        <sz val="10"/>
        <rFont val="宋体"/>
        <family val="3"/>
        <charset val="134"/>
      </rPr>
      <t>用途类别</t>
    </r>
    <phoneticPr fontId="5" type="noConversion"/>
  </si>
  <si>
    <r>
      <rPr>
        <sz val="10"/>
        <rFont val="宋体"/>
        <family val="3"/>
        <charset val="134"/>
      </rPr>
      <t>楼层</t>
    </r>
    <phoneticPr fontId="5" type="noConversion"/>
  </si>
  <si>
    <r>
      <rPr>
        <sz val="10"/>
        <rFont val="宋体"/>
        <family val="3"/>
        <charset val="134"/>
      </rPr>
      <t>（地上）</t>
    </r>
    <phoneticPr fontId="5"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</si>
  <si>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</si>
  <si>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</si>
  <si>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5"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</si>
  <si>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</si>
  <si>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</si>
  <si>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5" type="noConversion"/>
  </si>
  <si>
    <r>
      <rPr>
        <sz val="11"/>
        <color theme="1"/>
        <rFont val="宋体"/>
        <family val="3"/>
        <charset val="134"/>
      </rPr>
      <t>六级</t>
    </r>
  </si>
  <si>
    <r>
      <rPr>
        <b/>
        <sz val="10"/>
        <rFont val="宋体"/>
        <family val="3"/>
        <charset val="134"/>
      </rPr>
      <t>商业路线价修正（商业用途）</t>
    </r>
    <phoneticPr fontId="5" type="noConversion"/>
  </si>
  <si>
    <r>
      <rPr>
        <sz val="10"/>
        <rFont val="宋体"/>
        <family val="3"/>
        <charset val="134"/>
      </rPr>
      <t>宗地深度（米）</t>
    </r>
    <phoneticPr fontId="5" type="noConversion"/>
  </si>
  <si>
    <r>
      <rPr>
        <sz val="11"/>
        <color theme="1"/>
        <rFont val="宋体"/>
        <family val="3"/>
        <charset val="134"/>
      </rPr>
      <t>七级</t>
    </r>
  </si>
  <si>
    <r>
      <rPr>
        <sz val="10"/>
        <rFont val="宋体"/>
        <family val="3"/>
        <charset val="134"/>
      </rPr>
      <t>估价对象级别</t>
    </r>
    <phoneticPr fontId="5" type="noConversion"/>
  </si>
  <si>
    <r>
      <rPr>
        <sz val="10"/>
        <rFont val="宋体"/>
        <family val="3"/>
        <charset val="134"/>
      </rPr>
      <t>容积率</t>
    </r>
    <phoneticPr fontId="5" type="noConversion"/>
  </si>
  <si>
    <r>
      <rPr>
        <sz val="10"/>
        <rFont val="宋体"/>
        <family val="3"/>
        <charset val="134"/>
      </rPr>
      <t>所在商业街</t>
    </r>
    <phoneticPr fontId="5"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</si>
  <si>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5"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</si>
  <si>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</si>
  <si>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5" type="noConversion"/>
  </si>
  <si>
    <r>
      <rPr>
        <sz val="10"/>
        <color theme="1"/>
        <rFont val="宋体"/>
        <family val="3"/>
        <charset val="134"/>
      </rPr>
      <t>一级</t>
    </r>
    <phoneticPr fontId="5" type="noConversion"/>
  </si>
  <si>
    <r>
      <rPr>
        <sz val="10"/>
        <color theme="1"/>
        <rFont val="宋体"/>
        <family val="3"/>
        <charset val="134"/>
      </rPr>
      <t>二级</t>
    </r>
    <phoneticPr fontId="5" type="noConversion"/>
  </si>
  <si>
    <r>
      <rPr>
        <sz val="10"/>
        <color theme="1"/>
        <rFont val="宋体"/>
        <family val="3"/>
        <charset val="134"/>
      </rPr>
      <t>三级</t>
    </r>
    <phoneticPr fontId="5" type="noConversion"/>
  </si>
  <si>
    <r>
      <rPr>
        <sz val="10"/>
        <color theme="1"/>
        <rFont val="宋体"/>
        <family val="3"/>
        <charset val="134"/>
      </rPr>
      <t>四级</t>
    </r>
    <phoneticPr fontId="5" type="noConversion"/>
  </si>
  <si>
    <r>
      <rPr>
        <sz val="10"/>
        <color theme="1"/>
        <rFont val="宋体"/>
        <family val="3"/>
        <charset val="134"/>
      </rPr>
      <t>五级</t>
    </r>
    <phoneticPr fontId="5" type="noConversion"/>
  </si>
  <si>
    <r>
      <rPr>
        <sz val="10"/>
        <color theme="1"/>
        <rFont val="宋体"/>
        <family val="3"/>
        <charset val="134"/>
      </rPr>
      <t>六级</t>
    </r>
    <phoneticPr fontId="5" type="noConversion"/>
  </si>
  <si>
    <r>
      <rPr>
        <sz val="10"/>
        <color theme="1"/>
        <rFont val="宋体"/>
        <family val="3"/>
        <charset val="134"/>
      </rPr>
      <t>七级</t>
    </r>
    <phoneticPr fontId="5" type="noConversion"/>
  </si>
  <si>
    <r>
      <rPr>
        <sz val="10"/>
        <color theme="1"/>
        <rFont val="宋体"/>
        <family val="3"/>
        <charset val="134"/>
      </rPr>
      <t>八级</t>
    </r>
    <phoneticPr fontId="5" type="noConversion"/>
  </si>
  <si>
    <r>
      <rPr>
        <sz val="10"/>
        <color theme="1"/>
        <rFont val="宋体"/>
        <family val="3"/>
        <charset val="134"/>
      </rPr>
      <t>九级</t>
    </r>
    <phoneticPr fontId="5" type="noConversion"/>
  </si>
  <si>
    <r>
      <rPr>
        <sz val="10"/>
        <color theme="1"/>
        <rFont val="宋体"/>
        <family val="3"/>
        <charset val="134"/>
      </rPr>
      <t>十级</t>
    </r>
    <phoneticPr fontId="5" type="noConversion"/>
  </si>
  <si>
    <r>
      <rPr>
        <sz val="10"/>
        <color theme="1"/>
        <rFont val="宋体"/>
        <family val="3"/>
        <charset val="134"/>
      </rPr>
      <t>十一级</t>
    </r>
    <phoneticPr fontId="5" type="noConversion"/>
  </si>
  <si>
    <r>
      <rPr>
        <sz val="10"/>
        <color theme="1"/>
        <rFont val="宋体"/>
        <family val="3"/>
        <charset val="134"/>
      </rPr>
      <t>十二级</t>
    </r>
    <phoneticPr fontId="5" type="noConversion"/>
  </si>
  <si>
    <r>
      <rPr>
        <sz val="10"/>
        <rFont val="宋体"/>
        <family val="3"/>
        <charset val="134"/>
      </rPr>
      <t>加价幅度</t>
    </r>
    <phoneticPr fontId="5"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</si>
  <si>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5" type="noConversion"/>
  </si>
  <si>
    <r>
      <rPr>
        <sz val="11"/>
        <color theme="1"/>
        <rFont val="宋体"/>
        <family val="3"/>
        <charset val="134"/>
      </rPr>
      <t>九级</t>
    </r>
  </si>
  <si>
    <r>
      <rPr>
        <sz val="10"/>
        <rFont val="宋体"/>
        <family val="3"/>
        <charset val="134"/>
      </rPr>
      <t>标准深度（米）</t>
    </r>
    <phoneticPr fontId="5"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</si>
  <si>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5" type="noConversion"/>
  </si>
  <si>
    <r>
      <rPr>
        <sz val="11"/>
        <color theme="1"/>
        <rFont val="宋体"/>
        <family val="3"/>
        <charset val="134"/>
      </rPr>
      <t>十级</t>
    </r>
  </si>
  <si>
    <r>
      <t>1/4</t>
    </r>
    <r>
      <rPr>
        <sz val="10"/>
        <rFont val="宋体"/>
        <family val="3"/>
        <charset val="134"/>
      </rPr>
      <t>标准深度</t>
    </r>
    <phoneticPr fontId="5"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</si>
  <si>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5" type="noConversion"/>
  </si>
  <si>
    <r>
      <rPr>
        <sz val="11"/>
        <color theme="1"/>
        <rFont val="宋体"/>
        <family val="3"/>
        <charset val="134"/>
      </rPr>
      <t>十一级</t>
    </r>
  </si>
  <si>
    <r>
      <rPr>
        <b/>
        <sz val="10"/>
        <rFont val="宋体"/>
        <family val="3"/>
        <charset val="134"/>
      </rPr>
      <t>特殊情况修正（居住用途）</t>
    </r>
    <phoneticPr fontId="5" type="noConversion"/>
  </si>
  <si>
    <r>
      <rPr>
        <sz val="10"/>
        <rFont val="宋体"/>
        <family val="3"/>
        <charset val="134"/>
      </rPr>
      <t>需根据项目情况调整公式修正项</t>
    </r>
    <phoneticPr fontId="5" type="noConversion"/>
  </si>
  <si>
    <r>
      <rPr>
        <sz val="11"/>
        <color theme="1"/>
        <rFont val="宋体"/>
        <family val="3"/>
        <charset val="134"/>
      </rPr>
      <t>十二级</t>
    </r>
  </si>
  <si>
    <r>
      <rPr>
        <sz val="10"/>
        <color indexed="8"/>
        <rFont val="宋体"/>
        <family val="3"/>
        <charset val="134"/>
      </rPr>
      <t>特殊情况</t>
    </r>
    <phoneticPr fontId="5" type="noConversion"/>
  </si>
  <si>
    <r>
      <rPr>
        <sz val="10"/>
        <color indexed="8"/>
        <rFont val="宋体"/>
        <family val="3"/>
        <charset val="134"/>
      </rPr>
      <t>公园</t>
    </r>
    <phoneticPr fontId="5" type="noConversion"/>
  </si>
  <si>
    <r>
      <rPr>
        <sz val="10"/>
        <color indexed="8"/>
        <rFont val="宋体"/>
        <family val="3"/>
        <charset val="134"/>
      </rPr>
      <t>水系</t>
    </r>
    <phoneticPr fontId="5" type="noConversion"/>
  </si>
  <si>
    <r>
      <rPr>
        <sz val="10"/>
        <color indexed="8"/>
        <rFont val="宋体"/>
        <family val="3"/>
        <charset val="134"/>
      </rPr>
      <t>轨道交通站点周边</t>
    </r>
    <phoneticPr fontId="5" type="noConversion"/>
  </si>
  <si>
    <r>
      <rPr>
        <sz val="10"/>
        <color indexed="8"/>
        <rFont val="宋体"/>
        <family val="3"/>
        <charset val="134"/>
      </rPr>
      <t>修正系数</t>
    </r>
    <phoneticPr fontId="5" type="noConversion"/>
  </si>
  <si>
    <r>
      <rPr>
        <sz val="10"/>
        <rFont val="宋体"/>
        <family val="3"/>
        <charset val="134"/>
      </rPr>
      <t>商业</t>
    </r>
    <phoneticPr fontId="5" type="noConversion"/>
  </si>
  <si>
    <r>
      <rPr>
        <sz val="10"/>
        <rFont val="宋体"/>
        <family val="3"/>
        <charset val="134"/>
      </rPr>
      <t>办公</t>
    </r>
    <phoneticPr fontId="5" type="noConversion"/>
  </si>
  <si>
    <r>
      <rPr>
        <sz val="10"/>
        <rFont val="宋体"/>
        <family val="3"/>
        <charset val="134"/>
      </rPr>
      <t>住宅</t>
    </r>
    <phoneticPr fontId="5" type="noConversion"/>
  </si>
  <si>
    <r>
      <rPr>
        <sz val="10"/>
        <rFont val="宋体"/>
        <family val="3"/>
        <charset val="134"/>
      </rPr>
      <t>工业</t>
    </r>
    <phoneticPr fontId="5" type="noConversion"/>
  </si>
  <si>
    <r>
      <rPr>
        <b/>
        <sz val="10"/>
        <rFont val="宋体"/>
        <family val="3"/>
        <charset val="134"/>
      </rPr>
      <t>开发程度差异修正</t>
    </r>
    <phoneticPr fontId="5" type="noConversion"/>
  </si>
  <si>
    <r>
      <rPr>
        <sz val="10"/>
        <rFont val="宋体"/>
        <family val="3"/>
        <charset val="134"/>
      </rPr>
      <t>估价对象开发程度</t>
    </r>
    <phoneticPr fontId="5" type="noConversion"/>
  </si>
  <si>
    <r>
      <rPr>
        <sz val="10"/>
        <rFont val="宋体"/>
        <family val="3"/>
        <charset val="134"/>
      </rPr>
      <t>上浮比率</t>
    </r>
    <phoneticPr fontId="5" type="noConversion"/>
  </si>
  <si>
    <r>
      <rPr>
        <sz val="10"/>
        <rFont val="宋体"/>
        <family val="3"/>
        <charset val="134"/>
      </rPr>
      <t>级别平均容积率</t>
    </r>
    <phoneticPr fontId="5" type="noConversion"/>
  </si>
  <si>
    <r>
      <rPr>
        <sz val="10"/>
        <rFont val="宋体"/>
        <family val="3"/>
        <charset val="134"/>
      </rPr>
      <t>级别开发程度</t>
    </r>
    <phoneticPr fontId="5" type="noConversion"/>
  </si>
  <si>
    <r>
      <rPr>
        <sz val="10"/>
        <rFont val="宋体"/>
        <family val="3"/>
        <charset val="134"/>
      </rPr>
      <t>土地还原率</t>
    </r>
    <phoneticPr fontId="5" type="noConversion"/>
  </si>
  <si>
    <r>
      <rPr>
        <b/>
        <sz val="11"/>
        <rFont val="宋体"/>
        <family val="3"/>
        <charset val="134"/>
      </rPr>
      <t>用途修正系数</t>
    </r>
    <phoneticPr fontId="5" type="noConversion"/>
  </si>
  <si>
    <r>
      <rPr>
        <b/>
        <sz val="11"/>
        <rFont val="宋体"/>
        <family val="3"/>
        <charset val="134"/>
      </rPr>
      <t>期日修正指数</t>
    </r>
    <phoneticPr fontId="5" type="noConversion"/>
  </si>
  <si>
    <r>
      <rPr>
        <sz val="11"/>
        <rFont val="宋体"/>
        <family val="3"/>
        <charset val="134"/>
      </rPr>
      <t>基准期日</t>
    </r>
    <phoneticPr fontId="5" type="noConversion"/>
  </si>
  <si>
    <r>
      <rPr>
        <sz val="11"/>
        <rFont val="宋体"/>
        <family val="3"/>
        <charset val="134"/>
      </rPr>
      <t>估价期日</t>
    </r>
    <phoneticPr fontId="5"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</si>
  <si>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</si>
  <si>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</si>
  <si>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5" type="noConversion"/>
  </si>
  <si>
    <r>
      <rPr>
        <sz val="10"/>
        <rFont val="宋体"/>
        <family val="3"/>
        <charset val="134"/>
      </rPr>
      <t>现行一年期贷款利率</t>
    </r>
    <phoneticPr fontId="5" type="noConversion"/>
  </si>
  <si>
    <r>
      <rPr>
        <sz val="10"/>
        <rFont val="宋体"/>
        <family val="3"/>
        <charset val="134"/>
      </rPr>
      <t>剩余使用年限</t>
    </r>
    <phoneticPr fontId="5" type="noConversion"/>
  </si>
  <si>
    <r>
      <rPr>
        <sz val="11"/>
        <rFont val="宋体"/>
        <family val="3"/>
        <charset val="134"/>
      </rPr>
      <t>所在季度地价指数</t>
    </r>
    <phoneticPr fontId="78" type="noConversion"/>
  </si>
  <si>
    <r>
      <rPr>
        <sz val="11"/>
        <rFont val="宋体"/>
        <family val="3"/>
        <charset val="134"/>
      </rPr>
      <t>季度增幅</t>
    </r>
    <phoneticPr fontId="5" type="noConversion"/>
  </si>
  <si>
    <r>
      <rPr>
        <sz val="11"/>
        <rFont val="宋体"/>
        <family val="3"/>
        <charset val="134"/>
      </rPr>
      <t>自定义涨幅</t>
    </r>
    <phoneticPr fontId="5" type="noConversion"/>
  </si>
  <si>
    <r>
      <rPr>
        <sz val="11"/>
        <rFont val="宋体"/>
        <family val="3"/>
        <charset val="134"/>
      </rPr>
      <t>平均季度增幅（公示）</t>
    </r>
    <phoneticPr fontId="5" type="noConversion"/>
  </si>
  <si>
    <r>
      <rPr>
        <sz val="11"/>
        <rFont val="宋体"/>
        <family val="3"/>
        <charset val="134"/>
      </rPr>
      <t>商业</t>
    </r>
    <phoneticPr fontId="5"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</si>
  <si>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</si>
  <si>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5" type="noConversion"/>
  </si>
  <si>
    <r>
      <rPr>
        <sz val="11"/>
        <rFont val="宋体"/>
        <family val="3"/>
        <charset val="134"/>
      </rPr>
      <t>办公</t>
    </r>
    <phoneticPr fontId="5"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</si>
  <si>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</si>
  <si>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5" type="noConversion"/>
  </si>
  <si>
    <r>
      <rPr>
        <sz val="11"/>
        <rFont val="宋体"/>
        <family val="3"/>
        <charset val="134"/>
      </rPr>
      <t>住宅</t>
    </r>
  </si>
  <si>
    <r>
      <rPr>
        <b/>
        <sz val="11"/>
        <rFont val="宋体"/>
        <family val="3"/>
        <charset val="134"/>
      </rPr>
      <t>因素修正系数</t>
    </r>
    <phoneticPr fontId="5" type="noConversion"/>
  </si>
  <si>
    <r>
      <rPr>
        <sz val="11"/>
        <rFont val="宋体"/>
        <family val="3"/>
        <charset val="134"/>
      </rPr>
      <t>工业</t>
    </r>
  </si>
  <si>
    <r>
      <rPr>
        <b/>
        <sz val="11"/>
        <rFont val="宋体"/>
        <family val="3"/>
        <charset val="134"/>
      </rPr>
      <t>估算结果</t>
    </r>
    <phoneticPr fontId="5" type="noConversion"/>
  </si>
  <si>
    <r>
      <rPr>
        <sz val="11"/>
        <rFont val="宋体"/>
        <family val="3"/>
        <charset val="134"/>
      </rPr>
      <t>综合</t>
    </r>
    <phoneticPr fontId="5"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</si>
  <si>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</si>
  <si>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</si>
  <si>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5" type="noConversion"/>
  </si>
  <si>
    <r>
      <rPr>
        <b/>
        <sz val="11"/>
        <rFont val="宋体"/>
        <family val="3"/>
        <charset val="134"/>
      </rPr>
      <t>单价</t>
    </r>
    <phoneticPr fontId="5" type="noConversion"/>
  </si>
  <si>
    <r>
      <rPr>
        <b/>
        <sz val="11"/>
        <rFont val="宋体"/>
        <family val="3"/>
        <charset val="134"/>
      </rPr>
      <t>建筑面积</t>
    </r>
    <phoneticPr fontId="5" type="noConversion"/>
  </si>
  <si>
    <r>
      <rPr>
        <b/>
        <sz val="11"/>
        <rFont val="宋体"/>
        <family val="3"/>
        <charset val="134"/>
      </rPr>
      <t>总额</t>
    </r>
    <phoneticPr fontId="5" type="noConversion"/>
  </si>
  <si>
    <r>
      <rPr>
        <sz val="10"/>
        <rFont val="宋体"/>
        <family val="3"/>
        <charset val="134"/>
      </rPr>
      <t>地上部分</t>
    </r>
    <r>
      <rPr>
        <sz val="10"/>
        <rFont val="Arial"/>
        <family val="2"/>
      </rPr>
      <t>——</t>
    </r>
    <r>
      <rPr>
        <sz val="10"/>
        <rFont val="宋体"/>
        <family val="3"/>
        <charset val="134"/>
      </rPr>
      <t>楼面熟地价</t>
    </r>
    <phoneticPr fontId="5" type="noConversion"/>
  </si>
  <si>
    <r>
      <rPr>
        <sz val="10"/>
        <rFont val="宋体"/>
        <family val="3"/>
        <charset val="134"/>
      </rPr>
      <t>地上部分</t>
    </r>
    <r>
      <rPr>
        <sz val="10"/>
        <rFont val="Arial"/>
        <family val="2"/>
      </rPr>
      <t>——</t>
    </r>
    <r>
      <rPr>
        <sz val="10"/>
        <rFont val="宋体"/>
        <family val="3"/>
        <charset val="134"/>
      </rPr>
      <t>政府土地出让收益</t>
    </r>
    <phoneticPr fontId="5"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</si>
  <si>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5" type="noConversion"/>
  </si>
  <si>
    <r>
      <rPr>
        <b/>
        <sz val="10"/>
        <rFont val="宋体"/>
        <family val="3"/>
        <charset val="134"/>
      </rPr>
      <t>地下部分</t>
    </r>
    <phoneticPr fontId="5"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</si>
  <si>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</si>
  <si>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</si>
  <si>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5"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</si>
  <si>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5" type="noConversion"/>
  </si>
  <si>
    <r>
      <rPr>
        <sz val="10"/>
        <color theme="1"/>
        <rFont val="宋体"/>
        <family val="3"/>
        <charset val="134"/>
      </rPr>
      <t>地下办公</t>
    </r>
    <phoneticPr fontId="5" type="noConversion"/>
  </si>
  <si>
    <r>
      <rPr>
        <sz val="10"/>
        <rFont val="宋体"/>
        <family val="3"/>
        <charset val="134"/>
      </rPr>
      <t>政府土地出让收益比例</t>
    </r>
    <phoneticPr fontId="78" type="noConversion"/>
  </si>
  <si>
    <r>
      <rPr>
        <sz val="10"/>
        <color theme="1"/>
        <rFont val="宋体"/>
        <family val="3"/>
        <charset val="134"/>
      </rPr>
      <t>地下仓储</t>
    </r>
    <phoneticPr fontId="5" type="noConversion"/>
  </si>
  <si>
    <r>
      <rPr>
        <sz val="10"/>
        <color theme="1"/>
        <rFont val="宋体"/>
        <family val="3"/>
        <charset val="134"/>
      </rPr>
      <t>地下车库</t>
    </r>
    <phoneticPr fontId="5" type="noConversion"/>
  </si>
  <si>
    <r>
      <rPr>
        <b/>
        <sz val="11"/>
        <color rgb="FFFF0000"/>
        <rFont val="宋体"/>
        <family val="3"/>
        <charset val="134"/>
      </rPr>
      <t>结果不可超过《北京市区片基准地价因素总修正幅度表》所列修正幅度；依据估价对象用途调整链接</t>
    </r>
    <phoneticPr fontId="5" type="noConversion"/>
  </si>
  <si>
    <r>
      <rPr>
        <b/>
        <sz val="11"/>
        <color rgb="FFFF0000"/>
        <rFont val="宋体"/>
        <family val="3"/>
        <charset val="134"/>
      </rPr>
      <t>商业</t>
    </r>
    <phoneticPr fontId="5" type="noConversion"/>
  </si>
  <si>
    <r>
      <rPr>
        <sz val="10"/>
        <color theme="1"/>
        <rFont val="宋体"/>
        <family val="3"/>
        <charset val="134"/>
      </rPr>
      <t>影响因素</t>
    </r>
    <phoneticPr fontId="5" type="noConversion"/>
  </si>
  <si>
    <r>
      <rPr>
        <sz val="10"/>
        <color theme="1"/>
        <rFont val="宋体"/>
        <family val="3"/>
        <charset val="134"/>
      </rPr>
      <t>情况说明</t>
    </r>
    <phoneticPr fontId="5" type="noConversion"/>
  </si>
  <si>
    <r>
      <rPr>
        <sz val="10"/>
        <color theme="1"/>
        <rFont val="宋体"/>
        <family val="3"/>
        <charset val="134"/>
      </rPr>
      <t>等级</t>
    </r>
    <phoneticPr fontId="5" type="noConversion"/>
  </si>
  <si>
    <r>
      <rPr>
        <sz val="10"/>
        <color indexed="8"/>
        <rFont val="宋体"/>
        <family val="3"/>
        <charset val="134"/>
      </rPr>
      <t>修正幅度</t>
    </r>
    <phoneticPr fontId="5" type="noConversion"/>
  </si>
  <si>
    <r>
      <rPr>
        <sz val="10"/>
        <rFont val="宋体"/>
        <family val="3"/>
        <charset val="134"/>
      </rPr>
      <t>合计</t>
    </r>
    <phoneticPr fontId="5"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</si>
  <si>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</si>
  <si>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</si>
  <si>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5" type="noConversion"/>
  </si>
  <si>
    <r>
      <t xml:space="preserve"> </t>
    </r>
    <r>
      <rPr>
        <sz val="10"/>
        <color theme="1"/>
        <rFont val="宋体"/>
        <family val="3"/>
        <charset val="134"/>
      </rPr>
      <t>商业繁华程度</t>
    </r>
    <phoneticPr fontId="5" type="noConversion"/>
  </si>
  <si>
    <r>
      <rPr>
        <sz val="10"/>
        <color theme="1"/>
        <rFont val="宋体"/>
        <family val="3"/>
        <charset val="134"/>
      </rPr>
      <t>交通便捷度</t>
    </r>
    <phoneticPr fontId="5" type="noConversion"/>
  </si>
  <si>
    <r>
      <rPr>
        <sz val="10"/>
        <color theme="1"/>
        <rFont val="宋体"/>
        <family val="3"/>
        <charset val="134"/>
      </rPr>
      <t>临街宽度和深度</t>
    </r>
    <phoneticPr fontId="5"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</si>
  <si>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</si>
  <si>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5" type="noConversion"/>
  </si>
  <si>
    <r>
      <rPr>
        <sz val="10"/>
        <color theme="1"/>
        <rFont val="宋体"/>
        <family val="3"/>
        <charset val="134"/>
      </rPr>
      <t>宗地形状及可利用程度</t>
    </r>
    <phoneticPr fontId="5"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</si>
  <si>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</si>
  <si>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5" type="noConversion"/>
  </si>
  <si>
    <r>
      <rPr>
        <sz val="10"/>
        <color theme="1"/>
        <rFont val="宋体"/>
        <family val="3"/>
        <charset val="134"/>
      </rPr>
      <t>基础设施完备状况</t>
    </r>
    <phoneticPr fontId="5" type="noConversion"/>
  </si>
  <si>
    <r>
      <rPr>
        <sz val="10"/>
        <color theme="1"/>
        <rFont val="宋体"/>
        <family val="3"/>
        <charset val="134"/>
      </rPr>
      <t>自然和人文环境状况</t>
    </r>
    <phoneticPr fontId="5" type="noConversion"/>
  </si>
  <si>
    <r>
      <rPr>
        <b/>
        <sz val="11"/>
        <color rgb="FFFF0000"/>
        <rFont val="宋体"/>
        <family val="3"/>
        <charset val="134"/>
      </rPr>
      <t>办公</t>
    </r>
    <phoneticPr fontId="5"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</si>
  <si>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</si>
  <si>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5" type="noConversion"/>
  </si>
  <si>
    <r>
      <rPr>
        <b/>
        <sz val="11"/>
        <color rgb="FFFF0000"/>
        <rFont val="宋体"/>
        <family val="3"/>
        <charset val="134"/>
      </rPr>
      <t>住宅</t>
    </r>
    <phoneticPr fontId="5" type="noConversion"/>
  </si>
  <si>
    <r>
      <rPr>
        <sz val="10"/>
        <color theme="1"/>
        <rFont val="宋体"/>
        <family val="3"/>
        <charset val="134"/>
      </rPr>
      <t>居住社区成熟度</t>
    </r>
    <phoneticPr fontId="5" type="noConversion"/>
  </si>
  <si>
    <r>
      <rPr>
        <sz val="10"/>
        <color theme="1"/>
        <rFont val="宋体"/>
        <family val="3"/>
        <charset val="134"/>
      </rPr>
      <t>临路状况</t>
    </r>
    <phoneticPr fontId="5" type="noConversion"/>
  </si>
  <si>
    <r>
      <rPr>
        <sz val="10"/>
        <color theme="1"/>
        <rFont val="宋体"/>
        <family val="3"/>
        <charset val="134"/>
      </rPr>
      <t>与区域中心的接近程度</t>
    </r>
    <phoneticPr fontId="5" type="noConversion"/>
  </si>
  <si>
    <r>
      <rPr>
        <b/>
        <sz val="11"/>
        <color rgb="FFFF0000"/>
        <rFont val="宋体"/>
        <family val="3"/>
        <charset val="134"/>
      </rPr>
      <t>工业</t>
    </r>
    <phoneticPr fontId="5" type="noConversion"/>
  </si>
  <si>
    <r>
      <rPr>
        <sz val="10"/>
        <color theme="1"/>
        <rFont val="宋体"/>
        <family val="3"/>
        <charset val="134"/>
      </rPr>
      <t>产业集聚程度</t>
    </r>
    <phoneticPr fontId="5"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</si>
  <si>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</si>
  <si>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5"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</si>
  <si>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</si>
  <si>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</si>
  <si>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</si>
  <si>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</si>
  <si>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6"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</si>
  <si>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</si>
  <si>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</si>
  <si>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</si>
  <si>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5"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</si>
  <si>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</si>
  <si>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5" type="noConversion"/>
  </si>
  <si>
    <r>
      <rPr>
        <sz val="10"/>
        <color indexed="8"/>
        <rFont val="宋体"/>
        <family val="3"/>
        <charset val="134"/>
      </rPr>
      <t>说明</t>
    </r>
    <phoneticPr fontId="5" type="noConversion"/>
  </si>
  <si>
    <r>
      <rPr>
        <sz val="10"/>
        <color indexed="8"/>
        <rFont val="宋体"/>
        <family val="3"/>
        <charset val="134"/>
      </rPr>
      <t>修正系数</t>
    </r>
    <phoneticPr fontId="5" type="noConversion"/>
  </si>
  <si>
    <r>
      <rPr>
        <sz val="10"/>
        <color indexed="8"/>
        <rFont val="宋体"/>
        <family val="3"/>
        <charset val="134"/>
      </rPr>
      <t>建筑面积</t>
    </r>
    <phoneticPr fontId="5" type="noConversion"/>
  </si>
  <si>
    <r>
      <rPr>
        <sz val="10"/>
        <color theme="9" tint="-0.249977111117893"/>
        <rFont val="宋体"/>
        <family val="3"/>
        <charset val="134"/>
      </rPr>
      <t>修正项</t>
    </r>
    <r>
      <rPr>
        <sz val="10"/>
        <color theme="9" tint="-0.249977111117893"/>
        <rFont val="Arial"/>
        <family val="2"/>
      </rPr>
      <t>2</t>
    </r>
    <phoneticPr fontId="5" type="noConversion"/>
  </si>
  <si>
    <r>
      <rPr>
        <sz val="10"/>
        <color theme="9" tint="-0.249977111117893"/>
        <rFont val="宋体"/>
        <family val="3"/>
        <charset val="134"/>
      </rPr>
      <t>修正项</t>
    </r>
    <r>
      <rPr>
        <sz val="10"/>
        <color theme="9" tint="-0.249977111117893"/>
        <rFont val="Arial"/>
        <family val="2"/>
      </rPr>
      <t>3</t>
    </r>
    <phoneticPr fontId="5" type="noConversion"/>
  </si>
  <si>
    <r>
      <rPr>
        <sz val="10"/>
        <color theme="9" tint="-0.249977111117893"/>
        <rFont val="宋体"/>
        <family val="3"/>
        <charset val="134"/>
      </rPr>
      <t>修正项</t>
    </r>
    <r>
      <rPr>
        <sz val="10"/>
        <color theme="9" tint="-0.249977111117893"/>
        <rFont val="Arial"/>
        <family val="2"/>
      </rPr>
      <t>4</t>
    </r>
    <phoneticPr fontId="5" type="noConversion"/>
  </si>
  <si>
    <r>
      <rPr>
        <sz val="10"/>
        <color theme="9" tint="-0.249977111117893"/>
        <rFont val="宋体"/>
        <family val="3"/>
        <charset val="134"/>
      </rPr>
      <t>修正项</t>
    </r>
    <r>
      <rPr>
        <sz val="10"/>
        <color theme="9" tint="-0.249977111117893"/>
        <rFont val="Arial"/>
        <family val="2"/>
      </rPr>
      <t>5</t>
    </r>
    <phoneticPr fontId="5" type="noConversion"/>
  </si>
  <si>
    <r>
      <rPr>
        <sz val="10"/>
        <color theme="9" tint="-0.249977111117893"/>
        <rFont val="宋体"/>
        <family val="3"/>
        <charset val="134"/>
      </rPr>
      <t>修正项</t>
    </r>
    <r>
      <rPr>
        <sz val="10"/>
        <color theme="9" tint="-0.249977111117893"/>
        <rFont val="Arial"/>
        <family val="2"/>
      </rPr>
      <t>6</t>
    </r>
    <phoneticPr fontId="5" type="noConversion"/>
  </si>
  <si>
    <r>
      <rPr>
        <sz val="10"/>
        <color theme="9" tint="-0.249977111117893"/>
        <rFont val="宋体"/>
        <family val="3"/>
        <charset val="134"/>
      </rPr>
      <t>修正项</t>
    </r>
    <r>
      <rPr>
        <sz val="10"/>
        <color theme="9" tint="-0.249977111117893"/>
        <rFont val="Arial"/>
        <family val="2"/>
      </rPr>
      <t>7</t>
    </r>
    <phoneticPr fontId="5" type="noConversion"/>
  </si>
  <si>
    <r>
      <rPr>
        <b/>
        <sz val="10"/>
        <color indexed="8"/>
        <rFont val="宋体"/>
        <family val="3"/>
        <charset val="134"/>
      </rPr>
      <t>修正系数</t>
    </r>
    <phoneticPr fontId="5" type="noConversion"/>
  </si>
  <si>
    <r>
      <rPr>
        <sz val="10"/>
        <color indexed="8"/>
        <rFont val="宋体"/>
        <family val="3"/>
        <charset val="134"/>
      </rPr>
      <t>楼层</t>
    </r>
    <phoneticPr fontId="5"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</si>
  <si>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</si>
  <si>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</si>
  <si>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</si>
  <si>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</si>
  <si>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</si>
  <si>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</si>
  <si>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</si>
  <si>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</si>
  <si>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</si>
  <si>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</si>
  <si>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b/>
        <sz val="10"/>
        <color indexed="10"/>
        <rFont val="宋体"/>
        <family val="3"/>
        <charset val="134"/>
      </rPr>
      <t>基准户型</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</si>
  <si>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</si>
  <si>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t>租金×天数×建筑面积×（1-空置率）</t>
    <phoneticPr fontId="5"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</si>
  <si>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</si>
  <si>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</si>
  <si>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</si>
  <si>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t>2017-4</t>
    <phoneticPr fontId="5" type="noConversion"/>
  </si>
  <si>
    <t>2017-3</t>
    <phoneticPr fontId="5" type="noConversion"/>
  </si>
  <si>
    <t>2018-1</t>
    <phoneticPr fontId="5" type="noConversion"/>
  </si>
  <si>
    <t>本行不参与计算</t>
    <phoneticPr fontId="136"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</si>
  <si>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6"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</si>
  <si>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</si>
  <si>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</si>
  <si>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t>押金×一年期存款利率</t>
    <phoneticPr fontId="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</si>
  <si>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</si>
  <si>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t>2018-2</t>
    <phoneticPr fontId="5" type="noConversion"/>
  </si>
  <si>
    <t>2018-3</t>
    <phoneticPr fontId="5" type="noConversion"/>
  </si>
  <si>
    <t>地下车库及仓储年期修正</t>
    <phoneticPr fontId="5" type="noConversion"/>
  </si>
  <si>
    <t>2019-1</t>
    <phoneticPr fontId="5" type="noConversion"/>
  </si>
  <si>
    <t>2019-2</t>
    <phoneticPr fontId="5" type="noConversion"/>
  </si>
  <si>
    <t>2018-4</t>
    <phoneticPr fontId="5" type="noConversion"/>
  </si>
  <si>
    <t>2019-3</t>
    <phoneticPr fontId="5" type="noConversion"/>
  </si>
  <si>
    <t>2019-4</t>
    <phoneticPr fontId="5" type="noConversion"/>
  </si>
  <si>
    <t>2020-1</t>
    <phoneticPr fontId="5" type="noConversion"/>
  </si>
  <si>
    <t>土地征用及拆迁补偿费</t>
    <phoneticPr fontId="10" type="noConversion"/>
  </si>
  <si>
    <t>2020-2</t>
    <phoneticPr fontId="5" type="noConversion"/>
  </si>
  <si>
    <t>★此处仍为计算过程，权重结果非最终结果，总价和单价分别为各自权重值，无直接关联★</t>
    <phoneticPr fontId="5" type="noConversion"/>
  </si>
  <si>
    <t>★合计部分请自行录入公式，很重要，与C32结果相关★</t>
    <phoneticPr fontId="5" type="noConversion"/>
  </si>
  <si>
    <t>★此线以下显示的为最终结果★</t>
    <phoneticPr fontId="5" type="noConversion"/>
  </si>
  <si>
    <t>北京普宅标准：</t>
    <phoneticPr fontId="5"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</si>
  <si>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5"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</si>
  <si>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5" type="noConversion"/>
  </si>
  <si>
    <t>北京标准</t>
    <phoneticPr fontId="5" type="noConversion"/>
  </si>
  <si>
    <t>简单平均</t>
  </si>
  <si>
    <t>今日</t>
    <phoneticPr fontId="5" type="noConversion"/>
  </si>
  <si>
    <t>资质过期显示为红色</t>
    <phoneticPr fontId="5" type="noConversion"/>
  </si>
  <si>
    <t>注册房地产估价师</t>
    <phoneticPr fontId="5" type="noConversion"/>
  </si>
  <si>
    <t>注册证号</t>
    <phoneticPr fontId="5" type="noConversion"/>
  </si>
  <si>
    <t>资质有效期</t>
    <phoneticPr fontId="5" type="noConversion"/>
  </si>
  <si>
    <t>房地产估价师及注册号</t>
    <phoneticPr fontId="5" type="noConversion"/>
  </si>
  <si>
    <t>土地估价师</t>
    <phoneticPr fontId="5" type="noConversion"/>
  </si>
  <si>
    <t>证号</t>
    <phoneticPr fontId="5" type="noConversion"/>
  </si>
  <si>
    <t>土地估价师及注册号</t>
    <phoneticPr fontId="5" type="noConversion"/>
  </si>
  <si>
    <t>梁津</t>
    <phoneticPr fontId="5" type="noConversion"/>
  </si>
  <si>
    <t>叶凌</t>
    <phoneticPr fontId="5" type="noConversion"/>
  </si>
  <si>
    <t>王鹏</t>
    <phoneticPr fontId="5" type="noConversion"/>
  </si>
  <si>
    <t>欧红伟</t>
    <phoneticPr fontId="5" type="noConversion"/>
  </si>
  <si>
    <t>吴薇</t>
    <phoneticPr fontId="5" type="noConversion"/>
  </si>
  <si>
    <t>陈颖</t>
    <phoneticPr fontId="5" type="noConversion"/>
  </si>
  <si>
    <t>崔锴</t>
    <phoneticPr fontId="5" type="noConversion"/>
  </si>
  <si>
    <t>郑燚</t>
    <phoneticPr fontId="5" type="noConversion"/>
  </si>
  <si>
    <t>苏海</t>
    <phoneticPr fontId="5" type="noConversion"/>
  </si>
  <si>
    <t>刘敬东</t>
    <phoneticPr fontId="5" type="noConversion"/>
  </si>
  <si>
    <t>刘俊财</t>
    <phoneticPr fontId="5" type="noConversion"/>
  </si>
  <si>
    <t>赵雯</t>
    <phoneticPr fontId="5" type="noConversion"/>
  </si>
  <si>
    <t>估价机构</t>
    <phoneticPr fontId="5" type="noConversion"/>
  </si>
  <si>
    <t>房地产</t>
    <phoneticPr fontId="5" type="noConversion"/>
  </si>
  <si>
    <t>土地</t>
    <phoneticPr fontId="5" type="noConversion"/>
  </si>
  <si>
    <t>证书名称</t>
    <phoneticPr fontId="5" type="noConversion"/>
  </si>
  <si>
    <t>号码</t>
    <phoneticPr fontId="5" type="noConversion"/>
  </si>
  <si>
    <t>备案等级：一级</t>
    <phoneticPr fontId="5" type="noConversion"/>
  </si>
  <si>
    <t>建房估备字[2013第]081号</t>
    <phoneticPr fontId="5" type="noConversion"/>
  </si>
  <si>
    <t>资信等级：A级</t>
    <phoneticPr fontId="5" type="noConversion"/>
  </si>
  <si>
    <r>
      <rPr>
        <sz val="10"/>
        <color indexed="8"/>
        <rFont val="宋体"/>
        <family val="3"/>
        <charset val="134"/>
      </rPr>
      <t>估价项目名称</t>
    </r>
    <phoneticPr fontId="5" type="noConversion"/>
  </si>
  <si>
    <r>
      <rPr>
        <sz val="10"/>
        <color indexed="8"/>
        <rFont val="宋体"/>
        <family val="3"/>
        <charset val="134"/>
      </rPr>
      <t>报告编号</t>
    </r>
    <phoneticPr fontId="8" type="noConversion"/>
  </si>
  <si>
    <r>
      <rPr>
        <sz val="10"/>
        <color indexed="8"/>
        <rFont val="宋体"/>
        <family val="3"/>
        <charset val="134"/>
      </rPr>
      <t>现场勘查日</t>
    </r>
    <phoneticPr fontId="85" type="noConversion"/>
  </si>
  <si>
    <r>
      <rPr>
        <sz val="10"/>
        <color indexed="8"/>
        <rFont val="宋体"/>
        <family val="3"/>
        <charset val="134"/>
      </rPr>
      <t>价值时点</t>
    </r>
    <phoneticPr fontId="85" type="noConversion"/>
  </si>
  <si>
    <r>
      <rPr>
        <sz val="10"/>
        <color indexed="8"/>
        <rFont val="宋体"/>
        <family val="3"/>
        <charset val="134"/>
      </rPr>
      <t>签字估价师</t>
    </r>
    <phoneticPr fontId="85" type="noConversion"/>
  </si>
  <si>
    <r>
      <rPr>
        <sz val="10"/>
        <color indexed="8"/>
        <rFont val="宋体"/>
        <family val="3"/>
        <charset val="134"/>
      </rPr>
      <t>估价委托人</t>
    </r>
    <r>
      <rPr>
        <sz val="10"/>
        <color indexed="8"/>
        <rFont val="Arial"/>
        <family val="2"/>
      </rPr>
      <t xml:space="preserve">  </t>
    </r>
    <phoneticPr fontId="83"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</si>
  <si>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3" type="noConversion"/>
  </si>
  <si>
    <r>
      <rPr>
        <sz val="10"/>
        <color indexed="8"/>
        <rFont val="宋体"/>
        <family val="3"/>
        <charset val="134"/>
      </rPr>
      <t>借款方</t>
    </r>
    <phoneticPr fontId="8" type="noConversion"/>
  </si>
  <si>
    <r>
      <rPr>
        <sz val="10"/>
        <color indexed="8"/>
        <rFont val="宋体"/>
        <family val="3"/>
        <charset val="134"/>
      </rPr>
      <t>估价目的</t>
    </r>
    <phoneticPr fontId="83" type="noConversion"/>
  </si>
  <si>
    <r>
      <rPr>
        <sz val="10"/>
        <color indexed="8"/>
        <rFont val="宋体"/>
        <family val="3"/>
        <charset val="134"/>
      </rPr>
      <t>抵押结果包含：</t>
    </r>
    <phoneticPr fontId="85" type="noConversion"/>
  </si>
  <si>
    <r>
      <rPr>
        <sz val="10"/>
        <color indexed="8"/>
        <rFont val="宋体"/>
        <family val="3"/>
        <charset val="134"/>
      </rPr>
      <t>价值类型</t>
    </r>
    <phoneticPr fontId="83" type="noConversion"/>
  </si>
  <si>
    <r>
      <rPr>
        <sz val="10"/>
        <color indexed="8"/>
        <rFont val="宋体"/>
        <family val="3"/>
        <charset val="134"/>
      </rPr>
      <t>项目所在城市</t>
    </r>
    <phoneticPr fontId="8" type="noConversion"/>
  </si>
  <si>
    <r>
      <rPr>
        <sz val="10"/>
        <color indexed="8"/>
        <rFont val="宋体"/>
        <family val="3"/>
        <charset val="134"/>
      </rPr>
      <t>坐落</t>
    </r>
    <phoneticPr fontId="83" type="noConversion"/>
  </si>
  <si>
    <r>
      <rPr>
        <sz val="10"/>
        <color indexed="8"/>
        <rFont val="宋体"/>
        <family val="3"/>
        <charset val="134"/>
      </rPr>
      <t>不动产权利人</t>
    </r>
    <phoneticPr fontId="8" type="noConversion"/>
  </si>
  <si>
    <r>
      <rPr>
        <sz val="10"/>
        <color indexed="8"/>
        <rFont val="宋体"/>
        <family val="3"/>
        <charset val="134"/>
      </rPr>
      <t>土地性质</t>
    </r>
    <phoneticPr fontId="83" type="noConversion"/>
  </si>
  <si>
    <r>
      <rPr>
        <sz val="10"/>
        <color indexed="8"/>
        <rFont val="宋体"/>
        <family val="3"/>
        <charset val="134"/>
      </rPr>
      <t>用途</t>
    </r>
    <phoneticPr fontId="8" type="noConversion"/>
  </si>
  <si>
    <r>
      <rPr>
        <sz val="10"/>
        <color indexed="8"/>
        <rFont val="宋体"/>
        <family val="3"/>
        <charset val="134"/>
      </rPr>
      <t>住宅</t>
    </r>
    <phoneticPr fontId="8" type="noConversion"/>
  </si>
  <si>
    <r>
      <rPr>
        <sz val="10"/>
        <color indexed="8"/>
        <rFont val="宋体"/>
        <family val="3"/>
        <charset val="134"/>
      </rPr>
      <t>商业</t>
    </r>
    <phoneticPr fontId="8" type="noConversion"/>
  </si>
  <si>
    <r>
      <rPr>
        <sz val="10"/>
        <color indexed="8"/>
        <rFont val="宋体"/>
        <family val="3"/>
        <charset val="134"/>
      </rPr>
      <t>办公</t>
    </r>
    <phoneticPr fontId="8" type="noConversion"/>
  </si>
  <si>
    <r>
      <rPr>
        <sz val="10"/>
        <color indexed="8"/>
        <rFont val="宋体"/>
        <family val="3"/>
        <charset val="134"/>
      </rPr>
      <t>车库</t>
    </r>
    <phoneticPr fontId="8" type="noConversion"/>
  </si>
  <si>
    <r>
      <rPr>
        <sz val="10"/>
        <color indexed="8"/>
        <rFont val="宋体"/>
        <family val="3"/>
        <charset val="134"/>
      </rPr>
      <t>仓储</t>
    </r>
    <phoneticPr fontId="8" type="noConversion"/>
  </si>
  <si>
    <r>
      <rPr>
        <sz val="10"/>
        <color indexed="8"/>
        <rFont val="宋体"/>
        <family val="3"/>
        <charset val="134"/>
      </rPr>
      <t>工业</t>
    </r>
    <phoneticPr fontId="8" type="noConversion"/>
  </si>
  <si>
    <r>
      <rPr>
        <sz val="10"/>
        <color indexed="8"/>
        <rFont val="宋体"/>
        <family val="3"/>
        <charset val="134"/>
      </rPr>
      <t>终止日期</t>
    </r>
    <phoneticPr fontId="8" type="noConversion"/>
  </si>
  <si>
    <r>
      <rPr>
        <sz val="10"/>
        <color indexed="8"/>
        <rFont val="宋体"/>
        <family val="3"/>
        <charset val="134"/>
      </rPr>
      <t>出让年限</t>
    </r>
    <phoneticPr fontId="8" type="noConversion"/>
  </si>
  <si>
    <r>
      <rPr>
        <sz val="10"/>
        <color indexed="8"/>
        <rFont val="宋体"/>
        <family val="3"/>
        <charset val="134"/>
      </rPr>
      <t>剩余年限</t>
    </r>
    <phoneticPr fontId="8" type="noConversion"/>
  </si>
  <si>
    <r>
      <rPr>
        <sz val="10"/>
        <color indexed="8"/>
        <rFont val="宋体"/>
        <family val="3"/>
        <charset val="134"/>
      </rPr>
      <t>估价对象用途明细</t>
    </r>
    <phoneticPr fontId="83" type="noConversion"/>
  </si>
  <si>
    <r>
      <rPr>
        <sz val="10"/>
        <color indexed="8"/>
        <rFont val="宋体"/>
        <family val="3"/>
        <charset val="134"/>
      </rPr>
      <t>剩余土地年限</t>
    </r>
    <phoneticPr fontId="8" type="noConversion"/>
  </si>
  <si>
    <r>
      <rPr>
        <sz val="10"/>
        <color indexed="8"/>
        <rFont val="宋体"/>
        <family val="3"/>
        <charset val="134"/>
      </rPr>
      <t>面积指标</t>
    </r>
    <phoneticPr fontId="83" type="noConversion"/>
  </si>
  <si>
    <r>
      <rPr>
        <sz val="10"/>
        <color indexed="8"/>
        <rFont val="宋体"/>
        <family val="3"/>
        <charset val="134"/>
      </rPr>
      <t>建筑面积</t>
    </r>
    <phoneticPr fontId="83" type="noConversion"/>
  </si>
  <si>
    <r>
      <rPr>
        <sz val="10"/>
        <color indexed="8"/>
        <rFont val="宋体"/>
        <family val="3"/>
        <charset val="134"/>
      </rPr>
      <t>面积依据</t>
    </r>
    <phoneticPr fontId="83"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</si>
  <si>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8" type="noConversion"/>
  </si>
  <si>
    <r>
      <rPr>
        <sz val="10"/>
        <color indexed="8"/>
        <rFont val="宋体"/>
        <family val="3"/>
        <charset val="134"/>
      </rPr>
      <t>建筑与土地面积依据相同</t>
    </r>
  </si>
  <si>
    <r>
      <rPr>
        <sz val="10"/>
        <color indexed="8"/>
        <rFont val="宋体"/>
        <family val="3"/>
        <charset val="134"/>
      </rPr>
      <t>土地面积</t>
    </r>
    <phoneticPr fontId="83" type="noConversion"/>
  </si>
  <si>
    <r>
      <rPr>
        <sz val="10"/>
        <color indexed="8"/>
        <rFont val="宋体"/>
        <family val="3"/>
        <charset val="134"/>
      </rPr>
      <t>面积依据</t>
    </r>
    <phoneticPr fontId="83" type="noConversion"/>
  </si>
  <si>
    <r>
      <rPr>
        <sz val="10"/>
        <color theme="9" tint="-0.249977111117893"/>
        <rFont val="宋体"/>
        <family val="3"/>
        <charset val="134"/>
      </rPr>
      <t>《国有土地使用证》</t>
    </r>
    <r>
      <rPr>
        <sz val="10"/>
        <color theme="9" tint="-0.249977111117893"/>
        <rFont val="Arial"/>
        <family val="2"/>
      </rPr>
      <t>[]</t>
    </r>
    <phoneticPr fontId="8" type="noConversion"/>
  </si>
  <si>
    <r>
      <rPr>
        <sz val="10"/>
        <color indexed="8"/>
        <rFont val="宋体"/>
        <family val="3"/>
        <charset val="134"/>
      </rPr>
      <t>是否抵押</t>
    </r>
    <phoneticPr fontId="85" type="noConversion"/>
  </si>
  <si>
    <r>
      <rPr>
        <sz val="10"/>
        <color indexed="8"/>
        <rFont val="宋体"/>
        <family val="3"/>
        <charset val="134"/>
      </rPr>
      <t>权属证件是否登记权利价值</t>
    </r>
    <phoneticPr fontId="85" type="noConversion"/>
  </si>
  <si>
    <r>
      <rPr>
        <sz val="10"/>
        <color indexed="8"/>
        <rFont val="宋体"/>
        <family val="3"/>
        <charset val="134"/>
      </rPr>
      <t>依据</t>
    </r>
    <phoneticPr fontId="85" type="noConversion"/>
  </si>
  <si>
    <r>
      <rPr>
        <sz val="10"/>
        <color indexed="8"/>
        <rFont val="宋体"/>
        <family val="3"/>
        <charset val="134"/>
      </rPr>
      <t>权属文件</t>
    </r>
    <phoneticPr fontId="85" type="noConversion"/>
  </si>
  <si>
    <r>
      <rPr>
        <sz val="10"/>
        <color indexed="8"/>
        <rFont val="宋体"/>
        <family val="3"/>
        <charset val="134"/>
      </rPr>
      <t>他项权证</t>
    </r>
    <phoneticPr fontId="85" type="noConversion"/>
  </si>
  <si>
    <r>
      <rPr>
        <sz val="10"/>
        <color indexed="8"/>
        <rFont val="宋体"/>
        <family val="3"/>
        <charset val="134"/>
      </rPr>
      <t>抵押情况描述</t>
    </r>
    <phoneticPr fontId="85" type="noConversion"/>
  </si>
  <si>
    <r>
      <rPr>
        <sz val="10"/>
        <color indexed="8"/>
        <rFont val="宋体"/>
        <family val="3"/>
        <charset val="134"/>
      </rPr>
      <t>《房屋所有权证》</t>
    </r>
  </si>
  <si>
    <r>
      <rPr>
        <sz val="10"/>
        <color theme="9" tint="-0.249977111117893"/>
        <rFont val="宋体"/>
        <family val="3"/>
        <charset val="134"/>
      </rPr>
      <t>《房屋他项权利证书》</t>
    </r>
    <phoneticPr fontId="85" type="noConversion"/>
  </si>
  <si>
    <r>
      <rPr>
        <sz val="10"/>
        <color indexed="8"/>
        <rFont val="宋体"/>
        <family val="3"/>
        <charset val="134"/>
      </rPr>
      <t>《国有土地使用权》</t>
    </r>
  </si>
  <si>
    <r>
      <rPr>
        <sz val="10"/>
        <color indexed="8"/>
        <rFont val="宋体"/>
        <family val="3"/>
        <charset val="134"/>
      </rPr>
      <t>抵押信息</t>
    </r>
    <phoneticPr fontId="85" type="noConversion"/>
  </si>
  <si>
    <r>
      <rPr>
        <sz val="10"/>
        <color indexed="8"/>
        <rFont val="宋体"/>
        <family val="3"/>
        <charset val="134"/>
      </rPr>
      <t>设定日期</t>
    </r>
    <phoneticPr fontId="85" type="noConversion"/>
  </si>
  <si>
    <r>
      <rPr>
        <sz val="10"/>
        <color indexed="8"/>
        <rFont val="宋体"/>
        <family val="3"/>
        <charset val="134"/>
      </rPr>
      <t>项目类型</t>
    </r>
    <phoneticPr fontId="8" type="noConversion"/>
  </si>
  <si>
    <r>
      <rPr>
        <sz val="10"/>
        <color indexed="8"/>
        <rFont val="宋体"/>
        <family val="3"/>
        <charset val="134"/>
      </rPr>
      <t>按主用途</t>
    </r>
    <phoneticPr fontId="8" type="noConversion"/>
  </si>
  <si>
    <r>
      <rPr>
        <sz val="10"/>
        <color indexed="8"/>
        <rFont val="宋体"/>
        <family val="3"/>
        <charset val="134"/>
      </rPr>
      <t>特殊细项</t>
    </r>
    <phoneticPr fontId="8" type="noConversion"/>
  </si>
  <si>
    <r>
      <rPr>
        <sz val="10"/>
        <color indexed="8"/>
        <rFont val="宋体"/>
        <family val="3"/>
        <charset val="134"/>
      </rPr>
      <t>是否配建</t>
    </r>
    <phoneticPr fontId="8" type="noConversion"/>
  </si>
  <si>
    <r>
      <rPr>
        <sz val="10"/>
        <color indexed="8"/>
        <rFont val="宋体"/>
        <family val="3"/>
        <charset val="134"/>
      </rPr>
      <t>配建类型</t>
    </r>
    <phoneticPr fontId="8" type="noConversion"/>
  </si>
  <si>
    <r>
      <rPr>
        <sz val="10"/>
        <color indexed="8"/>
        <rFont val="宋体"/>
        <family val="3"/>
        <charset val="134"/>
      </rPr>
      <t>项目现状</t>
    </r>
    <phoneticPr fontId="8" type="noConversion"/>
  </si>
  <si>
    <r>
      <rPr>
        <sz val="10"/>
        <color indexed="8"/>
        <rFont val="宋体"/>
        <family val="3"/>
        <charset val="134"/>
      </rPr>
      <t>红线外市政</t>
    </r>
    <phoneticPr fontId="8" type="noConversion"/>
  </si>
  <si>
    <r>
      <rPr>
        <sz val="10"/>
        <color indexed="8"/>
        <rFont val="宋体"/>
        <family val="3"/>
        <charset val="134"/>
      </rPr>
      <t>一通</t>
    </r>
    <phoneticPr fontId="90" type="noConversion"/>
  </si>
  <si>
    <r>
      <rPr>
        <sz val="10"/>
        <color indexed="8"/>
        <rFont val="宋体"/>
        <family val="3"/>
        <charset val="134"/>
      </rPr>
      <t>二通</t>
    </r>
    <phoneticPr fontId="90" type="noConversion"/>
  </si>
  <si>
    <r>
      <rPr>
        <sz val="10"/>
        <color indexed="8"/>
        <rFont val="宋体"/>
        <family val="3"/>
        <charset val="134"/>
      </rPr>
      <t>三通</t>
    </r>
    <phoneticPr fontId="90" type="noConversion"/>
  </si>
  <si>
    <r>
      <rPr>
        <sz val="10"/>
        <color indexed="8"/>
        <rFont val="宋体"/>
        <family val="3"/>
        <charset val="134"/>
      </rPr>
      <t>四通</t>
    </r>
    <phoneticPr fontId="90" type="noConversion"/>
  </si>
  <si>
    <r>
      <rPr>
        <sz val="10"/>
        <color indexed="8"/>
        <rFont val="宋体"/>
        <family val="3"/>
        <charset val="134"/>
      </rPr>
      <t>五通</t>
    </r>
    <phoneticPr fontId="90" type="noConversion"/>
  </si>
  <si>
    <r>
      <rPr>
        <sz val="10"/>
        <color indexed="8"/>
        <rFont val="宋体"/>
        <family val="3"/>
        <charset val="134"/>
      </rPr>
      <t>六通</t>
    </r>
    <phoneticPr fontId="90" type="noConversion"/>
  </si>
  <si>
    <r>
      <rPr>
        <sz val="10"/>
        <color indexed="8"/>
        <rFont val="宋体"/>
        <family val="3"/>
        <charset val="134"/>
      </rPr>
      <t>七通</t>
    </r>
    <phoneticPr fontId="90" type="noConversion"/>
  </si>
  <si>
    <r>
      <rPr>
        <sz val="10"/>
        <color indexed="8"/>
        <rFont val="宋体"/>
        <family val="3"/>
        <charset val="134"/>
      </rPr>
      <t>估价对象</t>
    </r>
    <phoneticPr fontId="90" type="noConversion"/>
  </si>
  <si>
    <r>
      <rPr>
        <sz val="10"/>
        <color indexed="8"/>
        <rFont val="宋体"/>
        <family val="3"/>
        <charset val="134"/>
      </rPr>
      <t>北京市</t>
    </r>
    <phoneticPr fontId="8" type="noConversion"/>
  </si>
  <si>
    <r>
      <rPr>
        <sz val="10"/>
        <color indexed="8"/>
        <rFont val="宋体"/>
        <family val="3"/>
        <charset val="134"/>
      </rPr>
      <t>土地级别</t>
    </r>
    <phoneticPr fontId="8" type="noConversion"/>
  </si>
  <si>
    <r>
      <rPr>
        <sz val="10"/>
        <color indexed="8"/>
        <rFont val="宋体"/>
        <family val="3"/>
        <charset val="134"/>
      </rPr>
      <t>区片编号</t>
    </r>
    <phoneticPr fontId="8" type="noConversion"/>
  </si>
  <si>
    <r>
      <rPr>
        <b/>
        <sz val="10"/>
        <color rgb="FFFF0000"/>
        <rFont val="宋体"/>
        <family val="3"/>
        <charset val="134"/>
      </rPr>
      <t>虚线以上为必填</t>
    </r>
    <phoneticPr fontId="8" type="noConversion"/>
  </si>
  <si>
    <r>
      <rPr>
        <b/>
        <sz val="10"/>
        <color indexed="8"/>
        <rFont val="宋体"/>
        <family val="3"/>
        <charset val="134"/>
      </rPr>
      <t>证件取得及他项权利状况</t>
    </r>
    <phoneticPr fontId="8" type="noConversion"/>
  </si>
  <si>
    <r>
      <rPr>
        <sz val="10"/>
        <color indexed="8"/>
        <rFont val="宋体"/>
        <family val="3"/>
        <charset val="134"/>
      </rPr>
      <t>地块编号</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</si>
  <si>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</si>
  <si>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出让合同</t>
    </r>
    <phoneticPr fontId="5" type="noConversion"/>
  </si>
  <si>
    <r>
      <rPr>
        <sz val="10"/>
        <color indexed="8"/>
        <rFont val="宋体"/>
        <family val="3"/>
        <charset val="134"/>
      </rPr>
      <t>用地规划</t>
    </r>
    <phoneticPr fontId="5" type="noConversion"/>
  </si>
  <si>
    <r>
      <rPr>
        <sz val="10"/>
        <color indexed="8"/>
        <rFont val="宋体"/>
        <family val="3"/>
        <charset val="134"/>
      </rPr>
      <t>规划意见复函</t>
    </r>
    <phoneticPr fontId="5" type="noConversion"/>
  </si>
  <si>
    <r>
      <rPr>
        <sz val="10"/>
        <color indexed="8"/>
        <rFont val="宋体"/>
        <family val="3"/>
        <charset val="134"/>
      </rPr>
      <t>工程规划</t>
    </r>
    <phoneticPr fontId="5" type="noConversion"/>
  </si>
  <si>
    <r>
      <rPr>
        <sz val="10"/>
        <color indexed="8"/>
        <rFont val="宋体"/>
        <family val="3"/>
        <charset val="134"/>
      </rPr>
      <t>施工证</t>
    </r>
    <phoneticPr fontId="5" type="noConversion"/>
  </si>
  <si>
    <r>
      <rPr>
        <sz val="10"/>
        <color indexed="8"/>
        <rFont val="宋体"/>
        <family val="3"/>
        <charset val="134"/>
      </rPr>
      <t>预售证</t>
    </r>
    <phoneticPr fontId="5" type="noConversion"/>
  </si>
  <si>
    <r>
      <rPr>
        <sz val="10"/>
        <color indexed="8"/>
        <rFont val="宋体"/>
        <family val="3"/>
        <charset val="134"/>
      </rPr>
      <t>竣工备案</t>
    </r>
    <phoneticPr fontId="5" type="noConversion"/>
  </si>
  <si>
    <r>
      <rPr>
        <sz val="10"/>
        <color indexed="8"/>
        <rFont val="宋体"/>
        <family val="3"/>
        <charset val="134"/>
      </rPr>
      <t>测绘报告</t>
    </r>
    <phoneticPr fontId="5" type="noConversion"/>
  </si>
  <si>
    <r>
      <rPr>
        <sz val="10"/>
        <color indexed="8"/>
        <rFont val="宋体"/>
        <family val="3"/>
        <charset val="134"/>
      </rPr>
      <t>现状</t>
    </r>
    <phoneticPr fontId="8"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</si>
  <si>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8" type="noConversion"/>
  </si>
  <si>
    <r>
      <rPr>
        <sz val="10"/>
        <color indexed="8"/>
        <rFont val="宋体"/>
        <family val="3"/>
        <charset val="134"/>
      </rPr>
      <t>不动产权证书</t>
    </r>
    <phoneticPr fontId="8" type="noConversion"/>
  </si>
  <si>
    <r>
      <rPr>
        <sz val="10"/>
        <color indexed="8"/>
        <rFont val="宋体"/>
        <family val="3"/>
        <charset val="134"/>
      </rPr>
      <t>国土证</t>
    </r>
    <phoneticPr fontId="5" type="noConversion"/>
  </si>
  <si>
    <r>
      <rPr>
        <sz val="10"/>
        <color indexed="8"/>
        <rFont val="宋体"/>
        <family val="3"/>
        <charset val="134"/>
      </rPr>
      <t>房产证</t>
    </r>
    <phoneticPr fontId="5"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</si>
  <si>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5"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</si>
  <si>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8"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</si>
  <si>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8"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</si>
  <si>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</si>
  <si>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</si>
  <si>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3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</si>
  <si>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6" type="noConversion"/>
  </si>
  <si>
    <r>
      <rPr>
        <sz val="10"/>
        <color indexed="8"/>
        <rFont val="宋体"/>
        <family val="3"/>
        <charset val="134"/>
      </rPr>
      <t>交通便捷度</t>
    </r>
    <phoneticPr fontId="30" type="noConversion"/>
  </si>
  <si>
    <r>
      <rPr>
        <sz val="10"/>
        <color theme="9" tint="-0.249977111117893"/>
        <rFont val="宋体"/>
        <family val="3"/>
        <charset val="134"/>
      </rPr>
      <t>估价对象周边道路状况、公共交通通达情况、停车便捷程度，综合评价交通便捷度较好</t>
    </r>
    <phoneticPr fontId="42" type="noConversion"/>
  </si>
  <si>
    <r>
      <rPr>
        <sz val="10"/>
        <color indexed="8"/>
        <rFont val="宋体"/>
        <family val="3"/>
        <charset val="134"/>
      </rPr>
      <t>办公集聚程度</t>
    </r>
    <phoneticPr fontId="3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</si>
  <si>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6" type="noConversion"/>
  </si>
  <si>
    <r>
      <rPr>
        <sz val="10"/>
        <color indexed="8"/>
        <rFont val="宋体"/>
        <family val="3"/>
        <charset val="134"/>
      </rPr>
      <t>公共配套设施</t>
    </r>
    <phoneticPr fontId="26" type="noConversion"/>
  </si>
  <si>
    <r>
      <rPr>
        <sz val="10"/>
        <color theme="9" tint="-0.249977111117893"/>
        <rFont val="宋体"/>
        <family val="3"/>
        <charset val="134"/>
      </rPr>
      <t>估价对象所在区域公共配套设施齐备情况</t>
    </r>
    <phoneticPr fontId="42" type="noConversion"/>
  </si>
  <si>
    <r>
      <rPr>
        <sz val="10"/>
        <color indexed="8"/>
        <rFont val="宋体"/>
        <family val="3"/>
        <charset val="134"/>
      </rPr>
      <t>交通便捷度</t>
    </r>
  </si>
  <si>
    <r>
      <rPr>
        <sz val="10"/>
        <color indexed="8"/>
        <rFont val="宋体"/>
        <family val="3"/>
        <charset val="134"/>
      </rPr>
      <t>基础设施水平</t>
    </r>
    <phoneticPr fontId="26" type="noConversion"/>
  </si>
  <si>
    <r>
      <rPr>
        <sz val="10"/>
        <color theme="9" tint="-0.249977111117893"/>
        <rFont val="宋体"/>
        <family val="3"/>
        <charset val="134"/>
      </rPr>
      <t>估价对象所在区域基础设施水平</t>
    </r>
    <phoneticPr fontId="26" type="noConversion"/>
  </si>
  <si>
    <r>
      <rPr>
        <sz val="10"/>
        <color indexed="8"/>
        <rFont val="宋体"/>
        <family val="3"/>
        <charset val="134"/>
      </rPr>
      <t>环境状况</t>
    </r>
    <phoneticPr fontId="30" type="noConversion"/>
  </si>
  <si>
    <r>
      <rPr>
        <sz val="10"/>
        <color theme="9" tint="-0.249977111117893"/>
        <rFont val="宋体"/>
        <family val="3"/>
        <charset val="134"/>
      </rPr>
      <t>该园区内是否有污染型企业，绿化情况，卫生条件，整体环境状况判断</t>
    </r>
    <phoneticPr fontId="42"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</si>
  <si>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</si>
  <si>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2" type="noConversion"/>
  </si>
  <si>
    <r>
      <rPr>
        <sz val="10"/>
        <color indexed="8"/>
        <rFont val="宋体"/>
        <family val="3"/>
        <charset val="134"/>
      </rPr>
      <t>毗邻道路的类型与等级</t>
    </r>
    <phoneticPr fontId="30" type="noConversion"/>
  </si>
  <si>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</si>
  <si>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</si>
  <si>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30" type="noConversion"/>
  </si>
  <si>
    <r>
      <rPr>
        <b/>
        <sz val="10"/>
        <color indexed="8"/>
        <rFont val="宋体"/>
        <family val="3"/>
        <charset val="134"/>
      </rPr>
      <t>区位状况</t>
    </r>
    <phoneticPr fontId="26" type="noConversion"/>
  </si>
  <si>
    <r>
      <rPr>
        <sz val="10"/>
        <color indexed="8"/>
        <rFont val="宋体"/>
        <family val="3"/>
        <charset val="134"/>
      </rPr>
      <t>产业集聚程度</t>
    </r>
    <phoneticPr fontId="30" type="noConversion"/>
  </si>
  <si>
    <r>
      <rPr>
        <sz val="10"/>
        <color indexed="8"/>
        <rFont val="宋体"/>
        <family val="3"/>
        <charset val="134"/>
      </rPr>
      <t>区域土地利用方向</t>
    </r>
    <phoneticPr fontId="30"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</si>
  <si>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</si>
  <si>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</si>
  <si>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</si>
  <si>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30" type="noConversion"/>
  </si>
  <si>
    <r>
      <rPr>
        <sz val="10"/>
        <color indexed="8"/>
        <rFont val="宋体"/>
        <family val="3"/>
        <charset val="134"/>
      </rPr>
      <t>毗邻道路的类型与等级</t>
    </r>
  </si>
  <si>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</si>
  <si>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</si>
  <si>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26" type="noConversion"/>
  </si>
  <si>
    <r>
      <rPr>
        <sz val="10"/>
        <color theme="9" tint="-0.249977111117893"/>
        <rFont val="宋体"/>
        <family val="3"/>
        <charset val="134"/>
      </rPr>
      <t>估价对象周边居住用地比例、居住小区规模和社区发展完善程度，综合评价居住社区成熟度一般</t>
    </r>
    <phoneticPr fontId="42"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</si>
  <si>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2" type="noConversion"/>
  </si>
  <si>
    <r>
      <rPr>
        <b/>
        <sz val="11"/>
        <color indexed="10"/>
        <rFont val="宋体"/>
        <family val="3"/>
        <charset val="134"/>
      </rPr>
      <t>房地产修正因素</t>
    </r>
    <phoneticPr fontId="5" type="noConversion"/>
  </si>
  <si>
    <r>
      <rPr>
        <b/>
        <sz val="11"/>
        <color indexed="10"/>
        <rFont val="宋体"/>
        <family val="3"/>
        <charset val="134"/>
      </rPr>
      <t>土地修正因素</t>
    </r>
    <phoneticPr fontId="5" type="noConversion"/>
  </si>
  <si>
    <t>★取得土地使用权所支付的金额，是指纳税人为取得土地使用权所支付的地价款和按国家统一规定交纳的有关费用★</t>
    <phoneticPr fontId="5" type="noConversion"/>
  </si>
  <si>
    <t>★土地征用及拆迁补偿费，包括土地征用费、耕地占用税、劳动力安置费及有关地上、地下附着物拆迁补偿的净支出、安置动迁用房支出等★</t>
    <phoneticPr fontId="5"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</si>
  <si>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5"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</si>
  <si>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10"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</si>
  <si>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10" type="noConversion"/>
  </si>
  <si>
    <t>典型户型修正</t>
    <phoneticPr fontId="18" type="noConversion"/>
  </si>
  <si>
    <r>
      <rPr>
        <sz val="11"/>
        <color rgb="FFFF0000"/>
        <rFont val="宋体"/>
        <family val="3"/>
        <charset val="134"/>
      </rPr>
      <t>凭票据或默认已缴纳</t>
    </r>
    <phoneticPr fontId="5" type="noConversion"/>
  </si>
  <si>
    <r>
      <rPr>
        <sz val="10"/>
        <color rgb="FFFF0000"/>
        <rFont val="宋体"/>
        <family val="3"/>
        <charset val="134"/>
      </rPr>
      <t>范围：</t>
    </r>
    <r>
      <rPr>
        <sz val="10"/>
        <color rgb="FFFF0000"/>
        <rFont val="Arial"/>
        <family val="2"/>
      </rPr>
      <t>0-10%</t>
    </r>
    <phoneticPr fontId="5" type="noConversion"/>
  </si>
  <si>
    <r>
      <rPr>
        <sz val="10"/>
        <color rgb="FFFF0000"/>
        <rFont val="宋体"/>
        <family val="3"/>
        <charset val="134"/>
      </rPr>
      <t>变化</t>
    </r>
    <phoneticPr fontId="5" type="noConversion"/>
  </si>
  <si>
    <r>
      <rPr>
        <sz val="11"/>
        <color rgb="FFFF0000"/>
        <rFont val="宋体"/>
        <family val="3"/>
        <charset val="134"/>
      </rPr>
      <t>北京：</t>
    </r>
    <r>
      <rPr>
        <sz val="11"/>
        <color rgb="FFFF0000"/>
        <rFont val="Arial"/>
        <family val="2"/>
      </rPr>
      <t>3%</t>
    </r>
    <phoneticPr fontId="5" type="noConversion"/>
  </si>
  <si>
    <r>
      <rPr>
        <sz val="11"/>
        <color rgb="FFFF0000"/>
        <rFont val="宋体"/>
        <family val="3"/>
        <charset val="134"/>
      </rPr>
      <t>北京：</t>
    </r>
    <r>
      <rPr>
        <sz val="11"/>
        <color rgb="FFFF0000"/>
        <rFont val="Arial"/>
        <family val="2"/>
      </rPr>
      <t>2%</t>
    </r>
    <phoneticPr fontId="5" type="noConversion"/>
  </si>
  <si>
    <r>
      <rPr>
        <sz val="11"/>
        <color rgb="FFFF0000"/>
        <rFont val="宋体"/>
        <family val="3"/>
        <charset val="134"/>
      </rPr>
      <t>北京：</t>
    </r>
    <r>
      <rPr>
        <sz val="11"/>
        <color rgb="FFFF0000"/>
        <rFont val="Arial"/>
        <family val="2"/>
      </rPr>
      <t>0.05%</t>
    </r>
    <phoneticPr fontId="5" type="noConversion"/>
  </si>
  <si>
    <r>
      <rPr>
        <sz val="11"/>
        <color rgb="FFFF0000"/>
        <rFont val="宋体"/>
        <family val="3"/>
        <charset val="134"/>
      </rPr>
      <t>包含未完成的红线外市政工程时间（如现状三通，开发完成后七通）</t>
    </r>
    <phoneticPr fontId="5"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</si>
  <si>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5" type="noConversion"/>
  </si>
  <si>
    <t>★默认为已完成的土地开发期★</t>
    <phoneticPr fontId="5" type="noConversion"/>
  </si>
  <si>
    <r>
      <rPr>
        <sz val="11"/>
        <color indexed="10"/>
        <rFont val="宋体"/>
        <family val="3"/>
        <charset val="134"/>
      </rPr>
      <t>★</t>
    </r>
    <r>
      <rPr>
        <sz val="11"/>
        <color indexed="10"/>
        <rFont val="楷体_GB2312"/>
        <family val="3"/>
        <charset val="134"/>
      </rPr>
      <t>其他省市请录依据文件名称★：</t>
    </r>
    <phoneticPr fontId="5" type="noConversion"/>
  </si>
  <si>
    <t>★外省请录依据文件名称★：</t>
    <phoneticPr fontId="5" type="noConversion"/>
  </si>
  <si>
    <t>★请录依据文件名称★：</t>
    <phoneticPr fontId="5"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</si>
  <si>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5" type="noConversion"/>
  </si>
  <si>
    <t>2020-3</t>
    <phoneticPr fontId="5" type="noConversion"/>
  </si>
  <si>
    <t>2020-4</t>
    <phoneticPr fontId="5" type="noConversion"/>
  </si>
  <si>
    <t>LPR</t>
  </si>
  <si>
    <t>利息：取LPR</t>
  </si>
  <si>
    <t>2021-1</t>
    <phoneticPr fontId="5" type="noConversion"/>
  </si>
  <si>
    <t>2021-2</t>
    <phoneticPr fontId="5" type="noConversion"/>
  </si>
  <si>
    <t>2021-3</t>
    <phoneticPr fontId="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</si>
  <si>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5" type="noConversion"/>
  </si>
  <si>
    <r>
      <rPr>
        <b/>
        <sz val="10"/>
        <rFont val="宋体"/>
        <family val="3"/>
        <charset val="134"/>
      </rPr>
      <t>总价</t>
    </r>
    <phoneticPr fontId="5" type="noConversion"/>
  </si>
  <si>
    <r>
      <rPr>
        <sz val="10"/>
        <rFont val="宋体"/>
        <family val="3"/>
        <charset val="134"/>
      </rPr>
      <t>万元</t>
    </r>
    <phoneticPr fontId="5" type="noConversion"/>
  </si>
  <si>
    <r>
      <rPr>
        <b/>
        <sz val="10"/>
        <rFont val="宋体"/>
        <family val="3"/>
        <charset val="134"/>
      </rPr>
      <t>面积指标</t>
    </r>
    <phoneticPr fontId="5" type="noConversion"/>
  </si>
  <si>
    <r>
      <rPr>
        <b/>
        <sz val="10"/>
        <rFont val="宋体"/>
        <family val="3"/>
        <charset val="134"/>
      </rPr>
      <t>分类</t>
    </r>
    <r>
      <rPr>
        <b/>
        <sz val="10"/>
        <rFont val="Arial"/>
        <family val="2"/>
      </rPr>
      <t>1</t>
    </r>
    <phoneticPr fontId="5"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</si>
  <si>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</si>
  <si>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</si>
  <si>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</si>
  <si>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</si>
  <si>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5" type="noConversion"/>
  </si>
  <si>
    <r>
      <rPr>
        <b/>
        <sz val="10"/>
        <rFont val="宋体"/>
        <family val="3"/>
        <charset val="134"/>
      </rPr>
      <t>合计</t>
    </r>
    <phoneticPr fontId="5" type="noConversion"/>
  </si>
  <si>
    <r>
      <rPr>
        <b/>
        <sz val="10"/>
        <rFont val="宋体"/>
        <family val="3"/>
        <charset val="134"/>
      </rPr>
      <t>楼面单价</t>
    </r>
    <phoneticPr fontId="5" type="noConversion"/>
  </si>
  <si>
    <r>
      <rPr>
        <sz val="10"/>
        <rFont val="宋体"/>
        <family val="3"/>
        <charset val="134"/>
      </rPr>
      <t>元</t>
    </r>
    <r>
      <rPr>
        <sz val="10"/>
        <rFont val="Arial"/>
        <family val="2"/>
      </rPr>
      <t>/</t>
    </r>
    <r>
      <rPr>
        <sz val="10"/>
        <rFont val="宋体"/>
        <family val="3"/>
        <charset val="134"/>
      </rPr>
      <t>平方米</t>
    </r>
    <phoneticPr fontId="5" type="noConversion"/>
  </si>
  <si>
    <r>
      <rPr>
        <b/>
        <sz val="10"/>
        <rFont val="宋体"/>
        <family val="3"/>
        <charset val="134"/>
      </rPr>
      <t>建筑面积</t>
    </r>
    <phoneticPr fontId="5" type="noConversion"/>
  </si>
  <si>
    <t>建筑面积</t>
    <phoneticPr fontId="5" type="noConversion"/>
  </si>
  <si>
    <r>
      <rPr>
        <b/>
        <sz val="10"/>
        <rFont val="宋体"/>
        <family val="3"/>
        <charset val="134"/>
      </rPr>
      <t>土地面积</t>
    </r>
    <phoneticPr fontId="5" type="noConversion"/>
  </si>
  <si>
    <t>土地面积</t>
    <phoneticPr fontId="5" type="noConversion"/>
  </si>
  <si>
    <r>
      <rPr>
        <b/>
        <sz val="10"/>
        <color indexed="8"/>
        <rFont val="宋体"/>
        <family val="3"/>
        <charset val="134"/>
      </rPr>
      <t>（一）年总收入</t>
    </r>
    <phoneticPr fontId="5" type="noConversion"/>
  </si>
  <si>
    <r>
      <rPr>
        <sz val="10"/>
        <rFont val="宋体"/>
        <family val="3"/>
        <charset val="134"/>
      </rPr>
      <t>折算至建筑平米收益</t>
    </r>
    <phoneticPr fontId="5" type="noConversion"/>
  </si>
  <si>
    <r>
      <rPr>
        <b/>
        <sz val="10"/>
        <color indexed="8"/>
        <rFont val="宋体"/>
        <family val="3"/>
        <charset val="134"/>
      </rPr>
      <t>（一）第一年年经营收入</t>
    </r>
    <phoneticPr fontId="5" type="noConversion"/>
  </si>
  <si>
    <r>
      <rPr>
        <b/>
        <sz val="10"/>
        <rFont val="宋体"/>
        <family val="3"/>
        <charset val="134"/>
      </rPr>
      <t>客房</t>
    </r>
    <phoneticPr fontId="5" type="noConversion"/>
  </si>
  <si>
    <r>
      <rPr>
        <sz val="10"/>
        <rFont val="宋体"/>
        <family val="3"/>
        <charset val="134"/>
      </rPr>
      <t>房型</t>
    </r>
    <phoneticPr fontId="5" type="noConversion"/>
  </si>
  <si>
    <r>
      <rPr>
        <sz val="10"/>
        <rFont val="宋体"/>
        <family val="3"/>
        <charset val="134"/>
      </rPr>
      <t>间数</t>
    </r>
    <phoneticPr fontId="5" type="noConversion"/>
  </si>
  <si>
    <r>
      <rPr>
        <sz val="10"/>
        <rFont val="宋体"/>
        <family val="3"/>
        <charset val="134"/>
      </rPr>
      <t>收费标准</t>
    </r>
    <phoneticPr fontId="5" type="noConversion"/>
  </si>
  <si>
    <r>
      <rPr>
        <sz val="10"/>
        <rFont val="宋体"/>
        <family val="3"/>
        <charset val="134"/>
      </rPr>
      <t>折扣率</t>
    </r>
    <phoneticPr fontId="5" type="noConversion"/>
  </si>
  <si>
    <r>
      <rPr>
        <sz val="10"/>
        <rFont val="宋体"/>
        <family val="3"/>
        <charset val="134"/>
      </rPr>
      <t>出租率</t>
    </r>
    <phoneticPr fontId="5" type="noConversion"/>
  </si>
  <si>
    <r>
      <rPr>
        <sz val="10"/>
        <rFont val="宋体"/>
        <family val="3"/>
        <charset val="134"/>
      </rPr>
      <t>天数</t>
    </r>
    <phoneticPr fontId="5" type="noConversion"/>
  </si>
  <si>
    <r>
      <rPr>
        <sz val="10"/>
        <rFont val="宋体"/>
        <family val="3"/>
        <charset val="134"/>
      </rPr>
      <t>年收入</t>
    </r>
    <phoneticPr fontId="5" type="noConversion"/>
  </si>
  <si>
    <r>
      <rPr>
        <sz val="10"/>
        <rFont val="宋体"/>
        <family val="3"/>
        <charset val="134"/>
      </rPr>
      <t>对比</t>
    </r>
    <phoneticPr fontId="5" type="noConversion"/>
  </si>
  <si>
    <r>
      <rPr>
        <b/>
        <sz val="10"/>
        <rFont val="宋体"/>
        <family val="3"/>
        <charset val="134"/>
      </rPr>
      <t>（二）年经营费用</t>
    </r>
    <phoneticPr fontId="5" type="noConversion"/>
  </si>
  <si>
    <r>
      <rPr>
        <sz val="10"/>
        <rFont val="宋体"/>
        <family val="3"/>
        <charset val="134"/>
      </rPr>
      <t>总统套房</t>
    </r>
    <phoneticPr fontId="5" type="noConversion"/>
  </si>
  <si>
    <r>
      <rPr>
        <sz val="10"/>
        <rFont val="宋体"/>
        <family val="3"/>
        <charset val="134"/>
      </rPr>
      <t>周边办公租金</t>
    </r>
    <phoneticPr fontId="5" type="noConversion"/>
  </si>
  <si>
    <r>
      <rPr>
        <b/>
        <sz val="10"/>
        <rFont val="宋体"/>
        <family val="3"/>
        <charset val="134"/>
      </rPr>
      <t>序号</t>
    </r>
    <phoneticPr fontId="5" type="noConversion"/>
  </si>
  <si>
    <r>
      <rPr>
        <b/>
        <sz val="10"/>
        <rFont val="宋体"/>
        <family val="3"/>
        <charset val="134"/>
      </rPr>
      <t>项目名称</t>
    </r>
    <phoneticPr fontId="5" type="noConversion"/>
  </si>
  <si>
    <r>
      <rPr>
        <b/>
        <sz val="10"/>
        <rFont val="宋体"/>
        <family val="3"/>
        <charset val="134"/>
      </rPr>
      <t>总额</t>
    </r>
    <phoneticPr fontId="5" type="noConversion"/>
  </si>
  <si>
    <r>
      <rPr>
        <b/>
        <sz val="10"/>
        <rFont val="宋体"/>
        <family val="3"/>
        <charset val="134"/>
      </rPr>
      <t>相关系数</t>
    </r>
    <phoneticPr fontId="5" type="noConversion"/>
  </si>
  <si>
    <r>
      <rPr>
        <b/>
        <sz val="10"/>
        <rFont val="宋体"/>
        <family val="3"/>
        <charset val="134"/>
      </rPr>
      <t>备注</t>
    </r>
    <phoneticPr fontId="5" type="noConversion"/>
  </si>
  <si>
    <r>
      <rPr>
        <sz val="10"/>
        <rFont val="宋体"/>
        <family val="3"/>
        <charset val="134"/>
      </rPr>
      <t>行政套房</t>
    </r>
    <phoneticPr fontId="5" type="noConversion"/>
  </si>
  <si>
    <r>
      <rPr>
        <sz val="10"/>
        <rFont val="宋体"/>
        <family val="3"/>
        <charset val="134"/>
      </rPr>
      <t>周边商业租金</t>
    </r>
    <phoneticPr fontId="5" type="noConversion"/>
  </si>
  <si>
    <r>
      <rPr>
        <b/>
        <sz val="10"/>
        <rFont val="宋体"/>
        <family val="3"/>
        <charset val="134"/>
      </rPr>
      <t>经营成本</t>
    </r>
    <phoneticPr fontId="5" type="noConversion"/>
  </si>
  <si>
    <r>
      <rPr>
        <b/>
        <sz val="10"/>
        <rFont val="宋体"/>
        <family val="3"/>
        <charset val="134"/>
      </rPr>
      <t>耗用物品以及原材料等，以年总收入为基数计算</t>
    </r>
    <phoneticPr fontId="5" type="noConversion"/>
  </si>
  <si>
    <r>
      <rPr>
        <sz val="10"/>
        <rFont val="宋体"/>
        <family val="3"/>
        <charset val="134"/>
      </rPr>
      <t>沙龙套房</t>
    </r>
    <phoneticPr fontId="5" type="noConversion"/>
  </si>
  <si>
    <r>
      <rPr>
        <b/>
        <sz val="10"/>
        <rFont val="宋体"/>
        <family val="3"/>
        <charset val="134"/>
      </rPr>
      <t>经营费用</t>
    </r>
    <phoneticPr fontId="5" type="noConversion"/>
  </si>
  <si>
    <r>
      <rPr>
        <b/>
        <sz val="10"/>
        <rFont val="宋体"/>
        <family val="3"/>
        <charset val="134"/>
      </rPr>
      <t>工资、水电费、保险费、宣传费、差旅费、装修折旧等，以年总收入为基数计算</t>
    </r>
    <phoneticPr fontId="5" type="noConversion"/>
  </si>
  <si>
    <r>
      <rPr>
        <sz val="10"/>
        <rFont val="宋体"/>
        <family val="3"/>
        <charset val="134"/>
      </rPr>
      <t>标准房</t>
    </r>
    <phoneticPr fontId="5" type="noConversion"/>
  </si>
  <si>
    <r>
      <rPr>
        <b/>
        <sz val="10"/>
        <rFont val="宋体"/>
        <family val="3"/>
        <charset val="134"/>
      </rPr>
      <t>税费</t>
    </r>
    <phoneticPr fontId="5" type="noConversion"/>
  </si>
  <si>
    <r>
      <rPr>
        <sz val="10"/>
        <rFont val="宋体"/>
        <family val="3"/>
        <charset val="134"/>
      </rPr>
      <t>单间公寓</t>
    </r>
    <phoneticPr fontId="5" type="noConversion"/>
  </si>
  <si>
    <r>
      <rPr>
        <sz val="10"/>
        <rFont val="宋体"/>
        <family val="3"/>
        <charset val="134"/>
      </rPr>
      <t>（</t>
    </r>
    <r>
      <rPr>
        <sz val="10"/>
        <rFont val="Arial"/>
        <family val="2"/>
      </rPr>
      <t>1</t>
    </r>
    <r>
      <rPr>
        <sz val="10"/>
        <rFont val="宋体"/>
        <family val="3"/>
        <charset val="134"/>
      </rPr>
      <t>）</t>
    </r>
    <phoneticPr fontId="5" type="noConversion"/>
  </si>
  <si>
    <r>
      <rPr>
        <sz val="10"/>
        <rFont val="宋体"/>
        <family val="3"/>
        <charset val="134"/>
      </rPr>
      <t>房产税</t>
    </r>
    <phoneticPr fontId="5"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</si>
  <si>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5" type="noConversion"/>
  </si>
  <si>
    <r>
      <rPr>
        <sz val="10"/>
        <rFont val="宋体"/>
        <family val="3"/>
        <charset val="134"/>
      </rPr>
      <t>单房公寓</t>
    </r>
    <phoneticPr fontId="5" type="noConversion"/>
  </si>
  <si>
    <t>房屋原值（万元）</t>
    <phoneticPr fontId="5" type="noConversion"/>
  </si>
  <si>
    <r>
      <rPr>
        <sz val="10"/>
        <rFont val="宋体"/>
        <family val="3"/>
        <charset val="134"/>
      </rPr>
      <t>双房公寓</t>
    </r>
    <phoneticPr fontId="5" type="noConversion"/>
  </si>
  <si>
    <r>
      <rPr>
        <sz val="10"/>
        <rFont val="宋体"/>
        <family val="3"/>
        <charset val="134"/>
      </rPr>
      <t>（</t>
    </r>
    <r>
      <rPr>
        <sz val="10"/>
        <rFont val="Arial"/>
        <family val="2"/>
      </rPr>
      <t>2</t>
    </r>
    <r>
      <rPr>
        <sz val="10"/>
        <rFont val="宋体"/>
        <family val="3"/>
        <charset val="134"/>
      </rPr>
      <t>）</t>
    </r>
    <phoneticPr fontId="5" type="noConversion"/>
  </si>
  <si>
    <r>
      <rPr>
        <sz val="10"/>
        <rFont val="宋体"/>
        <family val="3"/>
        <charset val="134"/>
      </rPr>
      <t>城镇土地使用税</t>
    </r>
    <phoneticPr fontId="5" type="noConversion"/>
  </si>
  <si>
    <r>
      <rPr>
        <b/>
        <sz val="10"/>
        <rFont val="宋体"/>
        <family val="3"/>
        <charset val="134"/>
      </rPr>
      <t>土地面积</t>
    </r>
    <r>
      <rPr>
        <b/>
        <sz val="10"/>
        <rFont val="Arial"/>
        <family val="2"/>
      </rPr>
      <t>×</t>
    </r>
    <r>
      <rPr>
        <b/>
        <sz val="10"/>
        <rFont val="宋体"/>
        <family val="3"/>
        <charset val="134"/>
      </rPr>
      <t>标准</t>
    </r>
    <phoneticPr fontId="5" type="noConversion"/>
  </si>
  <si>
    <r>
      <rPr>
        <b/>
        <sz val="10"/>
        <rFont val="宋体"/>
        <family val="3"/>
        <charset val="134"/>
      </rPr>
      <t>小计</t>
    </r>
    <phoneticPr fontId="5" type="noConversion"/>
  </si>
  <si>
    <r>
      <rPr>
        <sz val="10"/>
        <rFont val="宋体"/>
        <family val="3"/>
        <charset val="134"/>
      </rPr>
      <t>（</t>
    </r>
    <r>
      <rPr>
        <sz val="10"/>
        <rFont val="Arial"/>
        <family val="2"/>
      </rPr>
      <t>3</t>
    </r>
    <r>
      <rPr>
        <sz val="10"/>
        <rFont val="宋体"/>
        <family val="3"/>
        <charset val="134"/>
      </rPr>
      <t>）</t>
    </r>
    <phoneticPr fontId="5" type="noConversion"/>
  </si>
  <si>
    <r>
      <rPr>
        <sz val="10"/>
        <rFont val="宋体"/>
        <family val="3"/>
        <charset val="134"/>
      </rPr>
      <t>营业及附加</t>
    </r>
    <phoneticPr fontId="5" type="noConversion"/>
  </si>
  <si>
    <r>
      <rPr>
        <b/>
        <sz val="10"/>
        <rFont val="宋体"/>
        <family val="3"/>
        <charset val="134"/>
      </rPr>
      <t>年总收入</t>
    </r>
    <r>
      <rPr>
        <b/>
        <sz val="10"/>
        <rFont val="Arial"/>
        <family val="2"/>
      </rPr>
      <t>×</t>
    </r>
    <r>
      <rPr>
        <b/>
        <sz val="10"/>
        <rFont val="宋体"/>
        <family val="3"/>
        <charset val="134"/>
      </rPr>
      <t>费率</t>
    </r>
    <phoneticPr fontId="5" type="noConversion"/>
  </si>
  <si>
    <r>
      <rPr>
        <b/>
        <sz val="10"/>
        <rFont val="宋体"/>
        <family val="3"/>
        <charset val="134"/>
      </rPr>
      <t>餐厅</t>
    </r>
    <phoneticPr fontId="5" type="noConversion"/>
  </si>
  <si>
    <r>
      <rPr>
        <sz val="10"/>
        <rFont val="宋体"/>
        <family val="3"/>
        <charset val="134"/>
      </rPr>
      <t>餐厅</t>
    </r>
    <phoneticPr fontId="5" type="noConversion"/>
  </si>
  <si>
    <r>
      <rPr>
        <sz val="10"/>
        <color indexed="8"/>
        <rFont val="宋体"/>
        <family val="3"/>
        <charset val="134"/>
      </rPr>
      <t>人均消费</t>
    </r>
    <phoneticPr fontId="5" type="noConversion"/>
  </si>
  <si>
    <r>
      <rPr>
        <sz val="10"/>
        <color indexed="8"/>
        <rFont val="宋体"/>
        <family val="3"/>
        <charset val="134"/>
      </rPr>
      <t>座位数</t>
    </r>
    <phoneticPr fontId="5" type="noConversion"/>
  </si>
  <si>
    <r>
      <rPr>
        <sz val="10"/>
        <rFont val="宋体"/>
        <family val="3"/>
        <charset val="134"/>
      </rPr>
      <t>上座率</t>
    </r>
    <phoneticPr fontId="5" type="noConversion"/>
  </si>
  <si>
    <t>——</t>
    <phoneticPr fontId="5" type="noConversion"/>
  </si>
  <si>
    <r>
      <rPr>
        <sz val="10"/>
        <rFont val="宋体"/>
        <family val="3"/>
        <charset val="134"/>
      </rPr>
      <t>（</t>
    </r>
    <r>
      <rPr>
        <sz val="10"/>
        <rFont val="Arial"/>
        <family val="2"/>
      </rPr>
      <t>4</t>
    </r>
    <r>
      <rPr>
        <sz val="10"/>
        <rFont val="宋体"/>
        <family val="3"/>
        <charset val="134"/>
      </rPr>
      <t>）</t>
    </r>
    <phoneticPr fontId="5" type="noConversion"/>
  </si>
  <si>
    <r>
      <rPr>
        <sz val="10"/>
        <rFont val="宋体"/>
        <family val="3"/>
        <charset val="134"/>
      </rPr>
      <t>其他税费</t>
    </r>
    <phoneticPr fontId="5" type="noConversion"/>
  </si>
  <si>
    <r>
      <rPr>
        <b/>
        <sz val="10"/>
        <rFont val="宋体"/>
        <family val="3"/>
        <charset val="134"/>
      </rPr>
      <t>按当地政策需要缴纳的税费、特殊行业需要缴纳的税费</t>
    </r>
    <phoneticPr fontId="5" type="noConversion"/>
  </si>
  <si>
    <r>
      <rPr>
        <sz val="10"/>
        <rFont val="宋体"/>
        <family val="3"/>
        <charset val="134"/>
      </rPr>
      <t>中餐厅</t>
    </r>
    <phoneticPr fontId="5" type="noConversion"/>
  </si>
  <si>
    <r>
      <rPr>
        <b/>
        <sz val="10"/>
        <rFont val="宋体"/>
        <family val="3"/>
        <charset val="134"/>
      </rPr>
      <t>管理以及财务费用</t>
    </r>
    <phoneticPr fontId="5" type="noConversion"/>
  </si>
  <si>
    <r>
      <rPr>
        <b/>
        <sz val="10"/>
        <rFont val="宋体"/>
        <family val="3"/>
        <charset val="134"/>
      </rPr>
      <t>公司经费、审计费、咨询费、修理费、银行手续费等，以年总收入为基数计算</t>
    </r>
    <phoneticPr fontId="5" type="noConversion"/>
  </si>
  <si>
    <r>
      <rPr>
        <sz val="10"/>
        <rFont val="宋体"/>
        <family val="3"/>
        <charset val="134"/>
      </rPr>
      <t>西餐厅</t>
    </r>
    <phoneticPr fontId="5" type="noConversion"/>
  </si>
  <si>
    <r>
      <rPr>
        <b/>
        <sz val="10"/>
        <rFont val="宋体"/>
        <family val="3"/>
        <charset val="134"/>
      </rPr>
      <t>（三）行业利润</t>
    </r>
    <phoneticPr fontId="5" type="noConversion"/>
  </si>
  <si>
    <r>
      <rPr>
        <b/>
        <sz val="10"/>
        <rFont val="宋体"/>
        <family val="3"/>
        <charset val="134"/>
      </rPr>
      <t>应归属于商服经营者的利润，以年总收入为基数计算</t>
    </r>
    <phoneticPr fontId="5" type="noConversion"/>
  </si>
  <si>
    <r>
      <rPr>
        <sz val="10"/>
        <rFont val="宋体"/>
        <family val="3"/>
        <charset val="134"/>
      </rPr>
      <t>其他</t>
    </r>
    <phoneticPr fontId="5" type="noConversion"/>
  </si>
  <si>
    <r>
      <rPr>
        <b/>
        <sz val="10"/>
        <rFont val="宋体"/>
        <family val="3"/>
        <charset val="134"/>
      </rPr>
      <t>（四）房地产价值</t>
    </r>
    <phoneticPr fontId="5" type="noConversion"/>
  </si>
  <si>
    <r>
      <rPr>
        <b/>
        <sz val="10"/>
        <rFont val="宋体"/>
        <family val="3"/>
        <charset val="134"/>
      </rPr>
      <t>会议中心</t>
    </r>
    <phoneticPr fontId="5" type="noConversion"/>
  </si>
  <si>
    <r>
      <rPr>
        <sz val="10"/>
        <rFont val="宋体"/>
        <family val="3"/>
        <charset val="134"/>
      </rPr>
      <t>会议室</t>
    </r>
    <phoneticPr fontId="5" type="noConversion"/>
  </si>
  <si>
    <r>
      <rPr>
        <sz val="10"/>
        <color indexed="8"/>
        <rFont val="宋体"/>
        <family val="3"/>
        <charset val="134"/>
      </rPr>
      <t>间数</t>
    </r>
    <phoneticPr fontId="5"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</si>
  <si>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5" type="noConversion"/>
  </si>
  <si>
    <r>
      <rPr>
        <sz val="10"/>
        <rFont val="宋体"/>
        <family val="3"/>
        <charset val="134"/>
      </rPr>
      <t>平均使用率</t>
    </r>
    <phoneticPr fontId="5" type="noConversion"/>
  </si>
  <si>
    <r>
      <rPr>
        <sz val="10"/>
        <rFont val="宋体"/>
        <family val="3"/>
        <charset val="134"/>
      </rPr>
      <t>天数</t>
    </r>
    <phoneticPr fontId="5" type="noConversion"/>
  </si>
  <si>
    <t>——</t>
    <phoneticPr fontId="5" type="noConversion"/>
  </si>
  <si>
    <r>
      <rPr>
        <sz val="10"/>
        <rFont val="宋体"/>
        <family val="3"/>
        <charset val="134"/>
      </rPr>
      <t>年收入</t>
    </r>
    <phoneticPr fontId="5" type="noConversion"/>
  </si>
  <si>
    <r>
      <rPr>
        <b/>
        <sz val="10"/>
        <rFont val="宋体"/>
        <family val="3"/>
        <charset val="134"/>
      </rPr>
      <t>收益期</t>
    </r>
    <r>
      <rPr>
        <b/>
        <sz val="10"/>
        <rFont val="Arial"/>
        <family val="2"/>
      </rPr>
      <t>1</t>
    </r>
    <phoneticPr fontId="5" type="noConversion"/>
  </si>
  <si>
    <r>
      <rPr>
        <b/>
        <sz val="10"/>
        <rFont val="宋体"/>
        <family val="3"/>
        <charset val="134"/>
      </rPr>
      <t>收益期</t>
    </r>
    <r>
      <rPr>
        <b/>
        <sz val="10"/>
        <rFont val="Arial"/>
        <family val="2"/>
      </rPr>
      <t>2</t>
    </r>
    <phoneticPr fontId="5" type="noConversion"/>
  </si>
  <si>
    <r>
      <rPr>
        <b/>
        <sz val="10"/>
        <rFont val="宋体"/>
        <family val="3"/>
        <charset val="134"/>
      </rPr>
      <t>收益期</t>
    </r>
    <r>
      <rPr>
        <b/>
        <sz val="10"/>
        <rFont val="Arial"/>
        <family val="2"/>
      </rPr>
      <t>3</t>
    </r>
    <phoneticPr fontId="5" type="noConversion"/>
  </si>
  <si>
    <r>
      <rPr>
        <sz val="10"/>
        <rFont val="宋体"/>
        <family val="3"/>
        <charset val="134"/>
      </rPr>
      <t>大</t>
    </r>
    <phoneticPr fontId="5" type="noConversion"/>
  </si>
  <si>
    <r>
      <rPr>
        <b/>
        <sz val="10"/>
        <color indexed="53"/>
        <rFont val="宋体"/>
        <family val="3"/>
        <charset val="134"/>
      </rPr>
      <t>起步期</t>
    </r>
    <phoneticPr fontId="5" type="noConversion"/>
  </si>
  <si>
    <r>
      <rPr>
        <b/>
        <sz val="10"/>
        <color indexed="53"/>
        <rFont val="宋体"/>
        <family val="3"/>
        <charset val="134"/>
      </rPr>
      <t>发展期</t>
    </r>
    <phoneticPr fontId="5" type="noConversion"/>
  </si>
  <si>
    <r>
      <rPr>
        <b/>
        <sz val="10"/>
        <color indexed="53"/>
        <rFont val="宋体"/>
        <family val="3"/>
        <charset val="134"/>
      </rPr>
      <t>稳定期</t>
    </r>
    <phoneticPr fontId="5" type="noConversion"/>
  </si>
  <si>
    <r>
      <rPr>
        <sz val="10"/>
        <rFont val="宋体"/>
        <family val="3"/>
        <charset val="134"/>
      </rPr>
      <t>中</t>
    </r>
    <phoneticPr fontId="5" type="noConversion"/>
  </si>
  <si>
    <r>
      <rPr>
        <sz val="10"/>
        <rFont val="宋体"/>
        <family val="3"/>
        <charset val="134"/>
      </rPr>
      <t>年总收入</t>
    </r>
    <phoneticPr fontId="5" type="noConversion"/>
  </si>
  <si>
    <r>
      <rPr>
        <sz val="10"/>
        <rFont val="宋体"/>
        <family val="3"/>
        <charset val="134"/>
      </rPr>
      <t>小</t>
    </r>
    <phoneticPr fontId="5" type="noConversion"/>
  </si>
  <si>
    <r>
      <rPr>
        <sz val="10"/>
        <rFont val="宋体"/>
        <family val="3"/>
        <charset val="134"/>
      </rPr>
      <t>涨幅</t>
    </r>
    <phoneticPr fontId="5" type="noConversion"/>
  </si>
  <si>
    <r>
      <rPr>
        <b/>
        <sz val="10"/>
        <rFont val="宋体"/>
        <family val="3"/>
        <charset val="134"/>
      </rPr>
      <t>其他收入</t>
    </r>
    <phoneticPr fontId="5" type="noConversion"/>
  </si>
  <si>
    <r>
      <rPr>
        <sz val="10"/>
        <rFont val="宋体"/>
        <family val="3"/>
        <charset val="134"/>
      </rPr>
      <t>年经营费用</t>
    </r>
    <phoneticPr fontId="5" type="noConversion"/>
  </si>
  <si>
    <r>
      <rPr>
        <b/>
        <sz val="10"/>
        <color indexed="8"/>
        <rFont val="宋体"/>
        <family val="3"/>
        <charset val="134"/>
      </rPr>
      <t>出租部分</t>
    </r>
    <phoneticPr fontId="5" type="noConversion"/>
  </si>
  <si>
    <r>
      <rPr>
        <sz val="10"/>
        <color indexed="8"/>
        <rFont val="宋体"/>
        <family val="3"/>
        <charset val="134"/>
      </rPr>
      <t>建筑面积</t>
    </r>
    <phoneticPr fontId="5" type="noConversion"/>
  </si>
  <si>
    <r>
      <rPr>
        <sz val="10"/>
        <color indexed="8"/>
        <rFont val="宋体"/>
        <family val="3"/>
        <charset val="134"/>
      </rPr>
      <t>日租金</t>
    </r>
    <phoneticPr fontId="5" type="noConversion"/>
  </si>
  <si>
    <r>
      <rPr>
        <sz val="10"/>
        <color indexed="8"/>
        <rFont val="宋体"/>
        <family val="3"/>
        <charset val="134"/>
      </rPr>
      <t>天数</t>
    </r>
    <phoneticPr fontId="5" type="noConversion"/>
  </si>
  <si>
    <r>
      <rPr>
        <sz val="10"/>
        <color indexed="8"/>
        <rFont val="宋体"/>
        <family val="3"/>
        <charset val="134"/>
      </rPr>
      <t>空置率</t>
    </r>
    <phoneticPr fontId="5" type="noConversion"/>
  </si>
  <si>
    <r>
      <rPr>
        <sz val="10"/>
        <rFont val="宋体"/>
        <family val="3"/>
        <charset val="134"/>
      </rPr>
      <t>占比</t>
    </r>
    <phoneticPr fontId="5" type="noConversion"/>
  </si>
  <si>
    <t xml:space="preserve"> </t>
    <phoneticPr fontId="5" type="noConversion"/>
  </si>
  <si>
    <t>押金利息收入</t>
    <phoneticPr fontId="5" type="noConversion"/>
  </si>
  <si>
    <t>押金</t>
    <phoneticPr fontId="5" type="noConversion"/>
  </si>
  <si>
    <t>押金方式</t>
    <phoneticPr fontId="5" type="noConversion"/>
  </si>
  <si>
    <t>利息</t>
    <phoneticPr fontId="5" type="noConversion"/>
  </si>
  <si>
    <r>
      <rPr>
        <sz val="10"/>
        <rFont val="宋体"/>
        <family val="3"/>
        <charset val="134"/>
      </rPr>
      <t>行业利润</t>
    </r>
    <phoneticPr fontId="5"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</si>
  <si>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5" type="noConversion"/>
  </si>
  <si>
    <r>
      <rPr>
        <sz val="10"/>
        <rFont val="宋体"/>
        <family val="3"/>
        <charset val="134"/>
      </rPr>
      <t>年净收益</t>
    </r>
    <phoneticPr fontId="5" type="noConversion"/>
  </si>
  <si>
    <r>
      <rPr>
        <sz val="10"/>
        <rFont val="宋体"/>
        <family val="3"/>
        <charset val="134"/>
      </rPr>
      <t>报酬率</t>
    </r>
    <phoneticPr fontId="5" type="noConversion"/>
  </si>
  <si>
    <r>
      <rPr>
        <sz val="10"/>
        <rFont val="宋体"/>
        <family val="3"/>
        <charset val="134"/>
      </rPr>
      <t>年增长率</t>
    </r>
    <phoneticPr fontId="5" type="noConversion"/>
  </si>
  <si>
    <r>
      <rPr>
        <sz val="10"/>
        <rFont val="宋体"/>
        <family val="3"/>
        <charset val="134"/>
      </rPr>
      <t>收益年期</t>
    </r>
    <phoneticPr fontId="5" type="noConversion"/>
  </si>
  <si>
    <r>
      <rPr>
        <b/>
        <sz val="10"/>
        <rFont val="宋体"/>
        <family val="3"/>
        <charset val="134"/>
      </rPr>
      <t>主营业务收入</t>
    </r>
    <phoneticPr fontId="5" type="noConversion"/>
  </si>
  <si>
    <r>
      <rPr>
        <sz val="10"/>
        <rFont val="宋体"/>
        <family val="3"/>
        <charset val="134"/>
      </rPr>
      <t>折现值</t>
    </r>
    <phoneticPr fontId="5" type="noConversion"/>
  </si>
  <si>
    <r>
      <rPr>
        <sz val="10"/>
        <rFont val="宋体"/>
        <family val="3"/>
        <charset val="134"/>
      </rPr>
      <t>房地产总价</t>
    </r>
    <phoneticPr fontId="5" type="noConversion"/>
  </si>
  <si>
    <r>
      <rPr>
        <sz val="10"/>
        <rFont val="宋体"/>
        <family val="3"/>
        <charset val="134"/>
      </rPr>
      <t>楼面单价</t>
    </r>
    <phoneticPr fontId="5" type="noConversion"/>
  </si>
  <si>
    <t>收益法-酒店模型</t>
    <phoneticPr fontId="18" type="noConversion"/>
  </si>
  <si>
    <t>按明细</t>
  </si>
  <si>
    <r>
      <rPr>
        <b/>
        <sz val="16"/>
        <color indexed="10"/>
        <rFont val="宋体"/>
        <family val="3"/>
        <charset val="134"/>
      </rPr>
      <t>收益法</t>
    </r>
    <r>
      <rPr>
        <b/>
        <sz val="12"/>
        <rFont val="宋体"/>
        <family val="3"/>
        <charset val="134"/>
      </rPr>
      <t>（酒店模型）</t>
    </r>
    <phoneticPr fontId="5" type="noConversion"/>
  </si>
  <si>
    <t>2021-4</t>
    <phoneticPr fontId="5" type="noConversion"/>
  </si>
  <si>
    <t>宁小鳗</t>
    <phoneticPr fontId="84" type="noConversion"/>
  </si>
  <si>
    <t>2022A-022</t>
    <phoneticPr fontId="5"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</si>
  <si>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</si>
  <si>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</si>
  <si>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</si>
  <si>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</si>
  <si>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</si>
  <si>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</si>
  <si>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</si>
  <si>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</si>
  <si>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</si>
  <si>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</si>
  <si>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</si>
  <si>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</si>
  <si>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</si>
  <si>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</si>
  <si>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</si>
  <si>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</si>
  <si>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</si>
  <si>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</si>
  <si>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</si>
  <si>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</si>
  <si>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</si>
  <si>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</si>
  <si>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</si>
  <si>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</si>
  <si>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</si>
  <si>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</si>
  <si>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</si>
  <si>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</si>
  <si>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</si>
  <si>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</si>
  <si>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</si>
  <si>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</si>
  <si>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</si>
  <si>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</si>
  <si>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</si>
  <si>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</si>
  <si>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</si>
  <si>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</si>
  <si>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</si>
  <si>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</si>
  <si>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</si>
  <si>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</si>
  <si>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</si>
  <si>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</si>
  <si>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</si>
  <si>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</si>
  <si>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</si>
  <si>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</si>
  <si>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</si>
  <si>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</si>
  <si>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</si>
  <si>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</si>
  <si>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</si>
  <si>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</si>
  <si>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</si>
  <si>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</si>
  <si>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</si>
  <si>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</si>
  <si>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</si>
  <si>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</si>
  <si>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</si>
  <si>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6"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</si>
  <si>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</si>
  <si>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</si>
  <si>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</si>
  <si>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</si>
  <si>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</si>
  <si>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</si>
  <si>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</si>
  <si>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</si>
  <si>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</si>
  <si>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</si>
  <si>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</si>
  <si>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</si>
  <si>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</si>
  <si>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</si>
  <si>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</si>
  <si>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</si>
  <si>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</si>
  <si>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</si>
  <si>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6" type="noConversion"/>
  </si>
  <si>
    <t>出让年限</t>
    <phoneticPr fontId="249" type="noConversion"/>
  </si>
  <si>
    <t>剩余土地使用年限</t>
    <phoneticPr fontId="249" type="noConversion"/>
  </si>
  <si>
    <t>报酬率</t>
    <phoneticPr fontId="249" type="noConversion"/>
  </si>
  <si>
    <t>年期修正系数</t>
    <phoneticPr fontId="249" type="noConversion"/>
  </si>
  <si>
    <t>地价贡献率（参考下表）</t>
    <phoneticPr fontId="249" type="noConversion"/>
  </si>
  <si>
    <t>房价修正系数</t>
    <phoneticPr fontId="249" type="noConversion"/>
  </si>
  <si>
    <t>估价对象</t>
    <phoneticPr fontId="249" type="noConversion"/>
  </si>
  <si>
    <t>案例A</t>
    <phoneticPr fontId="249" type="noConversion"/>
  </si>
  <si>
    <t>案例B</t>
    <phoneticPr fontId="249" type="noConversion"/>
  </si>
  <si>
    <t>案例C</t>
    <phoneticPr fontId="249" type="noConversion"/>
  </si>
  <si>
    <t>推导公式</t>
    <phoneticPr fontId="249" type="noConversion"/>
  </si>
  <si>
    <t>1.建+50年地价×20年年期修正系数＝20年房价</t>
    <phoneticPr fontId="249" type="noConversion"/>
  </si>
  <si>
    <t>2.建+50年地价＝50年房价</t>
    <phoneticPr fontId="249" type="noConversion"/>
  </si>
  <si>
    <t>1、2步得出</t>
    <phoneticPr fontId="249" type="noConversion"/>
  </si>
  <si>
    <t>3.50年房价－50年地价+50年地价×20年年期修正系数＝20年房价</t>
    <phoneticPr fontId="249" type="noConversion"/>
  </si>
  <si>
    <t>4.20年房价＝50年房价×20年房价修正系数</t>
    <phoneticPr fontId="249" type="noConversion"/>
  </si>
  <si>
    <t>4步代入3步</t>
    <phoneticPr fontId="249" type="noConversion"/>
  </si>
  <si>
    <t>5.50年房价－50年地价+50年地价×20年年期修正系数＝50年房价×20年房价修正系数</t>
    <phoneticPr fontId="249" type="noConversion"/>
  </si>
  <si>
    <t>6.20年房价修正系数＝1-50年地价×（1-20年年期修正系数）÷50年房价</t>
    <phoneticPr fontId="249" type="noConversion"/>
  </si>
  <si>
    <t>7.50年地价＝50年房价×地价贡献率</t>
    <phoneticPr fontId="249" type="noConversion"/>
  </si>
  <si>
    <t>7步代入6步</t>
    <phoneticPr fontId="249" type="noConversion"/>
  </si>
  <si>
    <t>8.20年房价修正系数＝1-50年房价×地价贡献率×（1-20年年期修正系数）÷50年房价＝1-地价贡献率×（1-20年年期修正系数）</t>
    <phoneticPr fontId="249" type="noConversion"/>
  </si>
  <si>
    <t>以北京为例验算</t>
    <phoneticPr fontId="136" type="noConversion"/>
  </si>
  <si>
    <t>用途</t>
    <phoneticPr fontId="136" type="noConversion"/>
  </si>
  <si>
    <t>综合地价贡献率</t>
    <phoneticPr fontId="136" type="noConversion"/>
  </si>
  <si>
    <t>收益法地价房价比</t>
    <phoneticPr fontId="136" type="noConversion"/>
  </si>
  <si>
    <t>地价售价比</t>
    <phoneticPr fontId="136" type="noConversion"/>
  </si>
  <si>
    <t>工业</t>
    <phoneticPr fontId="136" type="noConversion"/>
  </si>
  <si>
    <t>20%-30%</t>
    <phoneticPr fontId="136" type="noConversion"/>
  </si>
  <si>
    <t>20%-30%</t>
    <phoneticPr fontId="136" type="noConversion"/>
  </si>
  <si>
    <t>15%-40%</t>
    <phoneticPr fontId="136" type="noConversion"/>
  </si>
  <si>
    <t>8000地价，20000售价；地价950，售价6500</t>
    <phoneticPr fontId="136" type="noConversion"/>
  </si>
  <si>
    <t>住宅</t>
    <phoneticPr fontId="136" type="noConversion"/>
  </si>
  <si>
    <t>60%-70%</t>
    <phoneticPr fontId="136" type="noConversion"/>
  </si>
  <si>
    <t>65%-75%</t>
    <phoneticPr fontId="136" type="noConversion"/>
  </si>
  <si>
    <t>50%-65%</t>
    <phoneticPr fontId="136" type="noConversion"/>
  </si>
  <si>
    <t>当前北京市基本控制在50%-65%</t>
    <phoneticPr fontId="136" type="noConversion"/>
  </si>
  <si>
    <t>商业/办公</t>
    <phoneticPr fontId="136" type="noConversion"/>
  </si>
  <si>
    <t>50%-60%</t>
    <phoneticPr fontId="136" type="noConversion"/>
  </si>
  <si>
    <t>70%-80%</t>
    <phoneticPr fontId="136" type="noConversion"/>
  </si>
  <si>
    <t>15000地价，30000售价</t>
    <phoneticPr fontId="136" type="noConversion"/>
  </si>
  <si>
    <t>车库/仓储</t>
    <phoneticPr fontId="136" type="noConversion"/>
  </si>
  <si>
    <t>35%-45%</t>
    <phoneticPr fontId="136" type="noConversion"/>
  </si>
  <si>
    <t>四级或五级地，地价2500-3000熟地价，售价5500-8000</t>
    <phoneticPr fontId="136" type="noConversion"/>
  </si>
  <si>
    <t>试算</t>
    <phoneticPr fontId="136" type="noConversion"/>
  </si>
  <si>
    <t>可见随着土地使用年期的减少，影响幅度逐渐增大</t>
    <phoneticPr fontId="136" type="noConversion"/>
  </si>
  <si>
    <t>0~5（含）,5~10（含）</t>
    <phoneticPr fontId="136" type="noConversion"/>
  </si>
  <si>
    <t>区间</t>
    <phoneticPr fontId="136" type="noConversion"/>
  </si>
  <si>
    <t>修正幅度</t>
    <phoneticPr fontId="136" type="noConversion"/>
  </si>
  <si>
    <t>满年期50年，报酬率5%，贡献率60%</t>
    <phoneticPr fontId="136" type="noConversion"/>
  </si>
  <si>
    <t>10~15（含），15~20（含）</t>
    <phoneticPr fontId="136" type="noConversion"/>
  </si>
  <si>
    <t>20~25（含），25~30（含）</t>
    <phoneticPr fontId="136" type="noConversion"/>
  </si>
  <si>
    <t>30~35（含），35~40（含）</t>
    <phoneticPr fontId="136" type="noConversion"/>
  </si>
  <si>
    <t>40~45（含），45~50（含）</t>
    <phoneticPr fontId="136" type="noConversion"/>
  </si>
  <si>
    <t>满年期40年，报酬率5%，贡献率60%</t>
    <phoneticPr fontId="136" type="noConversion"/>
  </si>
  <si>
    <t>满年期70年，报酬率4%，贡献率70%</t>
    <phoneticPr fontId="136" type="noConversion"/>
  </si>
  <si>
    <t>公共服务</t>
    <phoneticPr fontId="8" type="noConversion"/>
  </si>
  <si>
    <t>公共服务</t>
    <phoneticPr fontId="18" type="noConversion"/>
  </si>
  <si>
    <t>公共服务</t>
    <phoneticPr fontId="18" type="noConversion"/>
  </si>
  <si>
    <t>公共服务</t>
    <phoneticPr fontId="8" type="noConversion"/>
  </si>
  <si>
    <t>基础设施建设费（土地开发费）    土地面积单价</t>
    <phoneticPr fontId="136" type="noConversion"/>
  </si>
  <si>
    <t>一至二级</t>
    <phoneticPr fontId="136" type="noConversion"/>
  </si>
  <si>
    <t>三至七级</t>
    <phoneticPr fontId="136" type="noConversion"/>
  </si>
  <si>
    <t>八至九级</t>
    <phoneticPr fontId="136" type="noConversion"/>
  </si>
  <si>
    <t>通路</t>
    <phoneticPr fontId="136" type="noConversion"/>
  </si>
  <si>
    <t>通电</t>
    <phoneticPr fontId="136" type="noConversion"/>
  </si>
  <si>
    <t>通讯</t>
    <phoneticPr fontId="136" type="noConversion"/>
  </si>
  <si>
    <t>通上水</t>
    <phoneticPr fontId="136" type="noConversion"/>
  </si>
  <si>
    <t>通下水</t>
    <phoneticPr fontId="136" type="noConversion"/>
  </si>
  <si>
    <t>通热</t>
    <phoneticPr fontId="136" type="noConversion"/>
  </si>
  <si>
    <t>通燃气</t>
    <phoneticPr fontId="136" type="noConversion"/>
  </si>
  <si>
    <t>平整</t>
    <phoneticPr fontId="136" type="noConversion"/>
  </si>
  <si>
    <t>合计</t>
    <phoneticPr fontId="136" type="noConversion"/>
  </si>
  <si>
    <t>红线外基础设施建设费（北京）</t>
    <phoneticPr fontId="136" type="noConversion"/>
  </si>
  <si>
    <t>土地级别</t>
    <phoneticPr fontId="5" type="noConversion"/>
  </si>
  <si>
    <t>一级</t>
    <phoneticPr fontId="5" type="noConversion"/>
  </si>
  <si>
    <t>二级</t>
    <phoneticPr fontId="5" type="noConversion"/>
  </si>
  <si>
    <t>三级</t>
    <phoneticPr fontId="5" type="noConversion"/>
  </si>
  <si>
    <t>四级</t>
    <phoneticPr fontId="5" type="noConversion"/>
  </si>
  <si>
    <t>五级</t>
    <phoneticPr fontId="5" type="noConversion"/>
  </si>
  <si>
    <t>六级</t>
    <phoneticPr fontId="5" type="noConversion"/>
  </si>
  <si>
    <t>七级</t>
    <phoneticPr fontId="5" type="noConversion"/>
  </si>
  <si>
    <t>八级</t>
    <phoneticPr fontId="5" type="noConversion"/>
  </si>
  <si>
    <t>九级</t>
    <phoneticPr fontId="5" type="noConversion"/>
  </si>
  <si>
    <t>十级</t>
    <phoneticPr fontId="5" type="noConversion"/>
  </si>
  <si>
    <t>十一级</t>
    <phoneticPr fontId="5" type="noConversion"/>
  </si>
  <si>
    <t>十二级</t>
    <phoneticPr fontId="5" type="noConversion"/>
  </si>
  <si>
    <t>商业</t>
    <phoneticPr fontId="5" type="noConversion"/>
  </si>
  <si>
    <t>办公</t>
    <phoneticPr fontId="5" type="noConversion"/>
  </si>
  <si>
    <t>住宅</t>
    <phoneticPr fontId="5" type="noConversion"/>
  </si>
  <si>
    <t>工业</t>
    <phoneticPr fontId="5" type="noConversion"/>
  </si>
  <si>
    <t>M4科研用地</t>
    <phoneticPr fontId="5" type="noConversion"/>
  </si>
  <si>
    <t>公共服务</t>
    <phoneticPr fontId="5" type="noConversion"/>
  </si>
  <si>
    <t>通路</t>
    <phoneticPr fontId="5" type="noConversion"/>
  </si>
  <si>
    <t>通电</t>
    <phoneticPr fontId="5" type="noConversion"/>
  </si>
  <si>
    <t>通讯</t>
    <phoneticPr fontId="5" type="noConversion"/>
  </si>
  <si>
    <t>通上水</t>
    <phoneticPr fontId="5" type="noConversion"/>
  </si>
  <si>
    <t>通下水</t>
    <phoneticPr fontId="5" type="noConversion"/>
  </si>
  <si>
    <t>通热</t>
    <phoneticPr fontId="5" type="noConversion"/>
  </si>
  <si>
    <t>燃气</t>
    <phoneticPr fontId="5" type="noConversion"/>
  </si>
  <si>
    <t>平整</t>
    <phoneticPr fontId="5" type="noConversion"/>
  </si>
  <si>
    <t>——</t>
    <phoneticPr fontId="5" type="noConversion"/>
  </si>
  <si>
    <t>级别开发程度</t>
    <phoneticPr fontId="5" type="noConversion"/>
  </si>
  <si>
    <t>北京市基准地价用途修正系数表</t>
    <phoneticPr fontId="5" type="noConversion"/>
  </si>
  <si>
    <t>参照基准</t>
    <phoneticPr fontId="5" type="noConversion"/>
  </si>
  <si>
    <t>一级类</t>
    <phoneticPr fontId="5" type="noConversion"/>
  </si>
  <si>
    <t>二级分类</t>
    <phoneticPr fontId="5" type="noConversion"/>
  </si>
  <si>
    <t>用途修正系数</t>
    <phoneticPr fontId="5" type="noConversion"/>
  </si>
  <si>
    <t>商服</t>
    <phoneticPr fontId="5" type="noConversion"/>
  </si>
  <si>
    <t>办公</t>
    <phoneticPr fontId="5" type="noConversion"/>
  </si>
  <si>
    <t>商务金融用地</t>
    <phoneticPr fontId="5" type="noConversion"/>
  </si>
  <si>
    <t>公共服务</t>
    <phoneticPr fontId="5" type="noConversion"/>
  </si>
  <si>
    <t>特殊</t>
    <phoneticPr fontId="5" type="noConversion"/>
  </si>
  <si>
    <t>城镇住宅用地</t>
    <phoneticPr fontId="5" type="noConversion"/>
  </si>
  <si>
    <t>工矿仓储</t>
    <phoneticPr fontId="5" type="noConversion"/>
  </si>
  <si>
    <t>公共服务</t>
    <phoneticPr fontId="5" type="noConversion"/>
  </si>
  <si>
    <t>M4科研用地</t>
    <phoneticPr fontId="5" type="noConversion"/>
  </si>
  <si>
    <t>交通运输</t>
    <phoneticPr fontId="5" type="noConversion"/>
  </si>
  <si>
    <t>地下</t>
    <phoneticPr fontId="5" type="noConversion"/>
  </si>
  <si>
    <t>地下仓储</t>
    <phoneticPr fontId="5" type="noConversion"/>
  </si>
  <si>
    <t>地下</t>
    <phoneticPr fontId="5" type="noConversion"/>
  </si>
  <si>
    <t>车库</t>
    <phoneticPr fontId="5" type="noConversion"/>
  </si>
  <si>
    <t>—</t>
    <phoneticPr fontId="5" type="noConversion"/>
  </si>
  <si>
    <t>北京市商业路线价加价幅度表</t>
    <phoneticPr fontId="5" type="noConversion"/>
  </si>
  <si>
    <t>序号</t>
    <phoneticPr fontId="5" type="noConversion"/>
  </si>
  <si>
    <t>区县</t>
    <phoneticPr fontId="5" type="noConversion"/>
  </si>
  <si>
    <t>商业街名称</t>
    <phoneticPr fontId="5" type="noConversion"/>
  </si>
  <si>
    <t>起止点</t>
    <phoneticPr fontId="5" type="noConversion"/>
  </si>
  <si>
    <t>加价幅度</t>
    <phoneticPr fontId="5" type="noConversion"/>
  </si>
  <si>
    <t>标准深度（m）</t>
    <phoneticPr fontId="5" type="noConversion"/>
  </si>
  <si>
    <t>不临65条商业街</t>
    <phoneticPr fontId="5" type="noConversion"/>
  </si>
  <si>
    <t>东城区</t>
    <phoneticPr fontId="5" type="noConversion"/>
  </si>
  <si>
    <t>东长安街</t>
    <phoneticPr fontId="5" type="noConversion"/>
  </si>
  <si>
    <t>天安门——东单</t>
    <phoneticPr fontId="5" type="noConversion"/>
  </si>
  <si>
    <t>王府井商业街（王府井大街）</t>
    <phoneticPr fontId="5" type="noConversion"/>
  </si>
  <si>
    <t>东长安街——金鱼胡同</t>
    <phoneticPr fontId="5" type="noConversion"/>
  </si>
  <si>
    <t>前门商业街（前门大街）</t>
    <phoneticPr fontId="5" type="noConversion"/>
  </si>
  <si>
    <t>前门箭楼——珠市口</t>
    <phoneticPr fontId="5" type="noConversion"/>
  </si>
  <si>
    <t>建国门内大街</t>
    <phoneticPr fontId="5" type="noConversion"/>
  </si>
  <si>
    <t>建国门——东单</t>
    <phoneticPr fontId="5" type="noConversion"/>
  </si>
  <si>
    <t>王府井大街</t>
    <phoneticPr fontId="5" type="noConversion"/>
  </si>
  <si>
    <t>金鱼胡同——五四大街</t>
    <phoneticPr fontId="5" type="noConversion"/>
  </si>
  <si>
    <t>东单北大街</t>
    <phoneticPr fontId="5" type="noConversion"/>
  </si>
  <si>
    <t>金鱼胡同——东单路口</t>
    <phoneticPr fontId="5" type="noConversion"/>
  </si>
  <si>
    <t>南锣鼓巷</t>
    <phoneticPr fontId="5" type="noConversion"/>
  </si>
  <si>
    <t>地安门东大街——鼓楼东大街</t>
    <phoneticPr fontId="5" type="noConversion"/>
  </si>
  <si>
    <t>东四南大街</t>
    <phoneticPr fontId="5" type="noConversion"/>
  </si>
  <si>
    <t>东四路口——金鱼胡同</t>
    <phoneticPr fontId="5" type="noConversion"/>
  </si>
  <si>
    <t>簋街（东直门内大街）</t>
    <phoneticPr fontId="5" type="noConversion"/>
  </si>
  <si>
    <t>东直门桥——北新桥</t>
    <phoneticPr fontId="5" type="noConversion"/>
  </si>
  <si>
    <t>东四十条</t>
    <phoneticPr fontId="5" type="noConversion"/>
  </si>
  <si>
    <t>东四十条桥——东四北大街</t>
    <phoneticPr fontId="5" type="noConversion"/>
  </si>
  <si>
    <t>张自忠路</t>
    <phoneticPr fontId="5" type="noConversion"/>
  </si>
  <si>
    <t>东四北大街——交道口南大街</t>
    <phoneticPr fontId="5" type="noConversion"/>
  </si>
  <si>
    <t>地安门东大街</t>
    <phoneticPr fontId="5" type="noConversion"/>
  </si>
  <si>
    <t>交道口南大街——地安门外大街</t>
    <phoneticPr fontId="5" type="noConversion"/>
  </si>
  <si>
    <t>崇文门外大街</t>
    <phoneticPr fontId="5" type="noConversion"/>
  </si>
  <si>
    <t>崇文门——磁器口</t>
    <phoneticPr fontId="5" type="noConversion"/>
  </si>
  <si>
    <t>广渠门内大街</t>
    <phoneticPr fontId="5" type="noConversion"/>
  </si>
  <si>
    <t>广渠门——磁器口</t>
    <phoneticPr fontId="5" type="noConversion"/>
  </si>
  <si>
    <t>珠市口东大街</t>
    <phoneticPr fontId="5" type="noConversion"/>
  </si>
  <si>
    <t>磁器口——珠市口</t>
    <phoneticPr fontId="5" type="noConversion"/>
  </si>
  <si>
    <t>鲜鱼口老字号美食街</t>
    <phoneticPr fontId="5" type="noConversion"/>
  </si>
  <si>
    <t>前门大街——前门东路</t>
    <phoneticPr fontId="5" type="noConversion"/>
  </si>
  <si>
    <t>五道营胡同</t>
    <phoneticPr fontId="5" type="noConversion"/>
  </si>
  <si>
    <t>安定门内大街——雍和宫大街</t>
    <phoneticPr fontId="5" type="noConversion"/>
  </si>
  <si>
    <t>西城区</t>
    <phoneticPr fontId="5" type="noConversion"/>
  </si>
  <si>
    <t>西长安街</t>
    <phoneticPr fontId="5" type="noConversion"/>
  </si>
  <si>
    <t>天安门——西单</t>
    <phoneticPr fontId="5" type="noConversion"/>
  </si>
  <si>
    <t>西单商业街（西单北大街）</t>
    <phoneticPr fontId="5" type="noConversion"/>
  </si>
  <si>
    <t>西单——辟才胡同</t>
    <phoneticPr fontId="5" type="noConversion"/>
  </si>
  <si>
    <t>复兴门内大街</t>
    <phoneticPr fontId="5" type="noConversion"/>
  </si>
  <si>
    <t>西单——复兴门</t>
    <phoneticPr fontId="5" type="noConversion"/>
  </si>
  <si>
    <t>西四大街</t>
    <phoneticPr fontId="5" type="noConversion"/>
  </si>
  <si>
    <t>辟才胡同——平安里</t>
    <phoneticPr fontId="5" type="noConversion"/>
  </si>
  <si>
    <t>大栅栏商业街</t>
    <phoneticPr fontId="5" type="noConversion"/>
  </si>
  <si>
    <t>前门大街——煤市街</t>
    <phoneticPr fontId="5" type="noConversion"/>
  </si>
  <si>
    <t>琉璃厂古文化街（琉璃厂西街、琉璃厂东街）</t>
    <phoneticPr fontId="5" type="noConversion"/>
  </si>
  <si>
    <t>南柳巷——延寿街</t>
    <phoneticPr fontId="5" type="noConversion"/>
  </si>
  <si>
    <t>复兴门外大街</t>
    <phoneticPr fontId="5" type="noConversion"/>
  </si>
  <si>
    <t>复兴门——木樨地</t>
    <phoneticPr fontId="5" type="noConversion"/>
  </si>
  <si>
    <t>新街口大街</t>
    <phoneticPr fontId="5" type="noConversion"/>
  </si>
  <si>
    <t>平安里——积水潭桥</t>
    <phoneticPr fontId="5" type="noConversion"/>
  </si>
  <si>
    <t>地安门西大街</t>
    <phoneticPr fontId="5" type="noConversion"/>
  </si>
  <si>
    <t>地安门外大街——新街口南大街</t>
    <phoneticPr fontId="5" type="noConversion"/>
  </si>
  <si>
    <t>平安里西大街</t>
    <phoneticPr fontId="5" type="noConversion"/>
  </si>
  <si>
    <t>新街口南大街——车公庄</t>
    <phoneticPr fontId="5" type="noConversion"/>
  </si>
  <si>
    <t>珠市口西大街</t>
    <phoneticPr fontId="5" type="noConversion"/>
  </si>
  <si>
    <t>珠市口——南新华街</t>
    <phoneticPr fontId="5" type="noConversion"/>
  </si>
  <si>
    <t>骡马市大街</t>
    <phoneticPr fontId="5" type="noConversion"/>
  </si>
  <si>
    <t>南新华街——菜市口</t>
    <phoneticPr fontId="5" type="noConversion"/>
  </si>
  <si>
    <t>广安门内大街</t>
    <phoneticPr fontId="5" type="noConversion"/>
  </si>
  <si>
    <t>菜市口——广安门桥</t>
    <phoneticPr fontId="5" type="noConversion"/>
  </si>
  <si>
    <t>马连道茶叶街（马连道路）</t>
    <phoneticPr fontId="5" type="noConversion"/>
  </si>
  <si>
    <t>广安门外大街——红莲南路</t>
    <phoneticPr fontId="5" type="noConversion"/>
  </si>
  <si>
    <t>烟袋斜街</t>
    <phoneticPr fontId="5" type="noConversion"/>
  </si>
  <si>
    <t>小石碑胡同——地安门外大街</t>
    <phoneticPr fontId="5" type="noConversion"/>
  </si>
  <si>
    <t>护国寺街</t>
    <phoneticPr fontId="5" type="noConversion"/>
  </si>
  <si>
    <t>新街口南大街——德胜门内大街</t>
    <phoneticPr fontId="5" type="noConversion"/>
  </si>
  <si>
    <t>什刹海茶艺酒吧街</t>
    <phoneticPr fontId="5" type="noConversion"/>
  </si>
  <si>
    <t>地安门西大街——前海北沿</t>
    <phoneticPr fontId="5" type="noConversion"/>
  </si>
  <si>
    <t>朝阳区</t>
    <phoneticPr fontId="5" type="noConversion"/>
  </si>
  <si>
    <t>三里屯路</t>
    <phoneticPr fontId="5" type="noConversion"/>
  </si>
  <si>
    <t>工人体育场北路——三里屯东三街</t>
    <phoneticPr fontId="5" type="noConversion"/>
  </si>
  <si>
    <t>建国门外大街</t>
    <phoneticPr fontId="5" type="noConversion"/>
  </si>
  <si>
    <t>建国门桥——国贸桥</t>
    <phoneticPr fontId="5" type="noConversion"/>
  </si>
  <si>
    <t>建国路</t>
    <phoneticPr fontId="5" type="noConversion"/>
  </si>
  <si>
    <t>国贸桥——西大望路</t>
    <phoneticPr fontId="5" type="noConversion"/>
  </si>
  <si>
    <t>朝阳门外大街</t>
    <phoneticPr fontId="5" type="noConversion"/>
  </si>
  <si>
    <t>朝阳门——东大桥</t>
    <phoneticPr fontId="5" type="noConversion"/>
  </si>
  <si>
    <t>十里河家具大道</t>
    <phoneticPr fontId="5" type="noConversion"/>
  </si>
  <si>
    <t>东三环南路——周家庄路</t>
    <phoneticPr fontId="5" type="noConversion"/>
  </si>
  <si>
    <t xml:space="preserve">大羊坊路         </t>
    <phoneticPr fontId="5" type="noConversion"/>
  </si>
  <si>
    <t>十里河桥——小武基路</t>
    <phoneticPr fontId="5" type="noConversion"/>
  </si>
  <si>
    <t>海淀区</t>
    <phoneticPr fontId="5" type="noConversion"/>
  </si>
  <si>
    <t>中关村大街</t>
    <phoneticPr fontId="5" type="noConversion"/>
  </si>
  <si>
    <t>海淀南路——北四环</t>
    <phoneticPr fontId="5" type="noConversion"/>
  </si>
  <si>
    <t>复兴路</t>
    <phoneticPr fontId="5" type="noConversion"/>
  </si>
  <si>
    <t>木樨地——万寿路</t>
    <phoneticPr fontId="5" type="noConversion"/>
  </si>
  <si>
    <t>丹棱街</t>
    <phoneticPr fontId="5" type="noConversion"/>
  </si>
  <si>
    <t>苏州街——中关村大街</t>
    <phoneticPr fontId="5" type="noConversion"/>
  </si>
  <si>
    <t>丰台区</t>
    <phoneticPr fontId="5" type="noConversion"/>
  </si>
  <si>
    <t>丽泽路</t>
    <phoneticPr fontId="5" type="noConversion"/>
  </si>
  <si>
    <t>菜户营桥——丽泽桥</t>
    <phoneticPr fontId="5" type="noConversion"/>
  </si>
  <si>
    <t>方庄商业街（蒲芳路）</t>
    <phoneticPr fontId="5" type="noConversion"/>
  </si>
  <si>
    <t>蒲黄榆路——方庄路</t>
    <phoneticPr fontId="5" type="noConversion"/>
  </si>
  <si>
    <t>石景山区</t>
    <phoneticPr fontId="5" type="noConversion"/>
  </si>
  <si>
    <t>政达路</t>
    <phoneticPr fontId="5" type="noConversion"/>
  </si>
  <si>
    <t>鲁谷大街——银河大街</t>
    <phoneticPr fontId="5" type="noConversion"/>
  </si>
  <si>
    <t>北京台湾街</t>
    <phoneticPr fontId="5" type="noConversion"/>
  </si>
  <si>
    <t>雕塑园中街——鲁谷东街</t>
    <phoneticPr fontId="5" type="noConversion"/>
  </si>
  <si>
    <t>门头沟区</t>
    <phoneticPr fontId="5" type="noConversion"/>
  </si>
  <si>
    <t>新桥大街</t>
    <phoneticPr fontId="5" type="noConversion"/>
  </si>
  <si>
    <t>门头沟路——双峪路</t>
    <phoneticPr fontId="5" type="noConversion"/>
  </si>
  <si>
    <t>金安路</t>
    <phoneticPr fontId="5" type="noConversion"/>
  </si>
  <si>
    <t>西六环——石担路</t>
    <phoneticPr fontId="5" type="noConversion"/>
  </si>
  <si>
    <t>房山区</t>
    <phoneticPr fontId="5" type="noConversion"/>
  </si>
  <si>
    <t>南关大街</t>
    <phoneticPr fontId="5" type="noConversion"/>
  </si>
  <si>
    <t>房山东大街——南关立交桥</t>
    <phoneticPr fontId="5" type="noConversion"/>
  </si>
  <si>
    <t>拱辰大街</t>
    <phoneticPr fontId="5" type="noConversion"/>
  </si>
  <si>
    <t>良乡中路——月华大街</t>
    <phoneticPr fontId="5" type="noConversion"/>
  </si>
  <si>
    <t>通州区</t>
    <phoneticPr fontId="5" type="noConversion"/>
  </si>
  <si>
    <t>新华大街</t>
    <phoneticPr fontId="5" type="noConversion"/>
  </si>
  <si>
    <t>北苑南路——滨河中路</t>
    <phoneticPr fontId="5" type="noConversion"/>
  </si>
  <si>
    <t>云景东路</t>
    <phoneticPr fontId="5" type="noConversion"/>
  </si>
  <si>
    <t>地铁八通线——云景南大街</t>
    <phoneticPr fontId="5" type="noConversion"/>
  </si>
  <si>
    <t>顺义区</t>
    <phoneticPr fontId="5" type="noConversion"/>
  </si>
  <si>
    <t>新顺大街</t>
    <phoneticPr fontId="5" type="noConversion"/>
  </si>
  <si>
    <t>幸福西街——站前街</t>
    <phoneticPr fontId="5" type="noConversion"/>
  </si>
  <si>
    <t>昌平区</t>
    <phoneticPr fontId="5" type="noConversion"/>
  </si>
  <si>
    <t>鼓楼东、西街</t>
    <phoneticPr fontId="5" type="noConversion"/>
  </si>
  <si>
    <t>东环路——西环路</t>
    <phoneticPr fontId="5" type="noConversion"/>
  </si>
  <si>
    <t>鼓楼南、北街</t>
    <phoneticPr fontId="5" type="noConversion"/>
  </si>
  <si>
    <t>北环路——府学路</t>
    <phoneticPr fontId="5" type="noConversion"/>
  </si>
  <si>
    <t>回龙观西大街</t>
    <phoneticPr fontId="5" type="noConversion"/>
  </si>
  <si>
    <t>京藏高速公路——文华西路</t>
    <phoneticPr fontId="5" type="noConversion"/>
  </si>
  <si>
    <t>大兴区</t>
    <phoneticPr fontId="5" type="noConversion"/>
  </si>
  <si>
    <t>兴华大街</t>
    <phoneticPr fontId="5" type="noConversion"/>
  </si>
  <si>
    <t>乐园路——黄村火车站</t>
    <phoneticPr fontId="5" type="noConversion"/>
  </si>
  <si>
    <t>新源大街</t>
    <phoneticPr fontId="5" type="noConversion"/>
  </si>
  <si>
    <t>天河西路——永旺路</t>
    <phoneticPr fontId="5" type="noConversion"/>
  </si>
  <si>
    <t>怀柔区</t>
    <phoneticPr fontId="5" type="noConversion"/>
  </si>
  <si>
    <t>商业街</t>
    <phoneticPr fontId="5" type="noConversion"/>
  </si>
  <si>
    <t>迎宾路——龙山东路</t>
    <phoneticPr fontId="5" type="noConversion"/>
  </si>
  <si>
    <t>青春路</t>
    <phoneticPr fontId="5" type="noConversion"/>
  </si>
  <si>
    <t>南大街——兴怀大街</t>
    <phoneticPr fontId="5" type="noConversion"/>
  </si>
  <si>
    <t>平谷区</t>
    <phoneticPr fontId="5" type="noConversion"/>
  </si>
  <si>
    <t>步行街</t>
    <phoneticPr fontId="5" type="noConversion"/>
  </si>
  <si>
    <t>文化北街——向阳北街</t>
    <phoneticPr fontId="5" type="noConversion"/>
  </si>
  <si>
    <t>密云县</t>
    <phoneticPr fontId="5" type="noConversion"/>
  </si>
  <si>
    <t>鼓楼东、西大街</t>
    <phoneticPr fontId="5" type="noConversion"/>
  </si>
  <si>
    <t>新中街——南更大街</t>
    <phoneticPr fontId="5" type="noConversion"/>
  </si>
  <si>
    <t>鼓楼南北大街</t>
    <phoneticPr fontId="5" type="noConversion"/>
  </si>
  <si>
    <t>京沈路——康复路</t>
    <phoneticPr fontId="5" type="noConversion"/>
  </si>
  <si>
    <t>延庆县</t>
    <phoneticPr fontId="5" type="noConversion"/>
  </si>
  <si>
    <t>东外大街</t>
    <phoneticPr fontId="5" type="noConversion"/>
  </si>
  <si>
    <t>香苑街——东顺城街</t>
    <phoneticPr fontId="5" type="noConversion"/>
  </si>
  <si>
    <t>——</t>
    <phoneticPr fontId="5" type="noConversion"/>
  </si>
  <si>
    <t>北京市基准地价容积率修正系数表（商业）</t>
    <phoneticPr fontId="5" type="noConversion"/>
  </si>
  <si>
    <t>容积率</t>
    <phoneticPr fontId="5" type="noConversion"/>
  </si>
  <si>
    <t>北京市基准地价容积率修正系数表（办公）</t>
    <phoneticPr fontId="5" type="noConversion"/>
  </si>
  <si>
    <t>北京市基准地价容积率修正系数表（住宅）</t>
    <phoneticPr fontId="5" type="noConversion"/>
  </si>
  <si>
    <t>北京市基准地价容积率修正系数表（工业）</t>
    <phoneticPr fontId="5" type="noConversion"/>
  </si>
  <si>
    <t>北京市基准地价容积率修正系数表（公共服务及M4科研）</t>
    <phoneticPr fontId="5" type="noConversion"/>
  </si>
  <si>
    <t>R</t>
    <phoneticPr fontId="5" type="noConversion"/>
  </si>
  <si>
    <t>1~2级</t>
    <phoneticPr fontId="5" type="noConversion"/>
  </si>
  <si>
    <t>3~7级</t>
    <phoneticPr fontId="5" type="noConversion"/>
  </si>
  <si>
    <t>8~12级</t>
    <phoneticPr fontId="5" type="noConversion"/>
  </si>
  <si>
    <t>3~5级</t>
    <phoneticPr fontId="5" type="noConversion"/>
  </si>
  <si>
    <t>6~7级</t>
    <phoneticPr fontId="5" type="noConversion"/>
  </si>
  <si>
    <t>平均</t>
    <phoneticPr fontId="5" type="noConversion"/>
  </si>
  <si>
    <t>商业</t>
    <phoneticPr fontId="5" type="noConversion"/>
  </si>
  <si>
    <t>办公</t>
    <phoneticPr fontId="136" type="noConversion"/>
  </si>
  <si>
    <t>住宅</t>
    <phoneticPr fontId="5" type="noConversion"/>
  </si>
  <si>
    <t>工业</t>
    <phoneticPr fontId="136" type="noConversion"/>
  </si>
  <si>
    <t>工业</t>
    <phoneticPr fontId="136" type="noConversion"/>
  </si>
  <si>
    <t>住宅</t>
    <phoneticPr fontId="5" type="noConversion"/>
  </si>
  <si>
    <t>工业</t>
    <phoneticPr fontId="136" type="noConversion"/>
  </si>
  <si>
    <t>住宅</t>
    <phoneticPr fontId="5" type="noConversion"/>
  </si>
  <si>
    <t>本行不参与计算</t>
    <phoneticPr fontId="136" type="noConversion"/>
  </si>
  <si>
    <t>2022-1</t>
    <phoneticPr fontId="5" type="noConversion"/>
  </si>
  <si>
    <t>2021-4</t>
    <phoneticPr fontId="5" type="noConversion"/>
  </si>
  <si>
    <t>2021-3</t>
    <phoneticPr fontId="5" type="noConversion"/>
  </si>
  <si>
    <t>2021-2</t>
    <phoneticPr fontId="5" type="noConversion"/>
  </si>
  <si>
    <t>2021-1</t>
    <phoneticPr fontId="5" type="noConversion"/>
  </si>
  <si>
    <t xml:space="preserve"> </t>
    <phoneticPr fontId="136" type="noConversion"/>
  </si>
  <si>
    <r>
      <rPr>
        <b/>
        <sz val="10"/>
        <color theme="1"/>
        <rFont val="楷体_GB2312"/>
        <family val="2"/>
        <charset val="134"/>
      </rPr>
      <t>核算至百分数</t>
    </r>
    <phoneticPr fontId="144" type="noConversion"/>
  </si>
  <si>
    <t>季度连乘</t>
    <phoneticPr fontId="136" type="noConversion"/>
  </si>
  <si>
    <t>平均增幅</t>
    <phoneticPr fontId="136" type="noConversion"/>
  </si>
  <si>
    <t>平均</t>
    <phoneticPr fontId="5" type="noConversion"/>
  </si>
  <si>
    <t>商业</t>
    <phoneticPr fontId="5" type="noConversion"/>
  </si>
  <si>
    <t>办公</t>
    <phoneticPr fontId="136" type="noConversion"/>
  </si>
  <si>
    <t>住宅</t>
    <phoneticPr fontId="5" type="noConversion"/>
  </si>
  <si>
    <t>公共服务</t>
    <phoneticPr fontId="5" type="noConversion"/>
  </si>
  <si>
    <t>本行不参与计算</t>
    <phoneticPr fontId="136" type="noConversion"/>
  </si>
  <si>
    <t>2022-1</t>
    <phoneticPr fontId="5" type="noConversion"/>
  </si>
  <si>
    <t>2021-4</t>
    <phoneticPr fontId="5" type="noConversion"/>
  </si>
  <si>
    <t>2021-3</t>
    <phoneticPr fontId="5" type="noConversion"/>
  </si>
  <si>
    <t>2021-2</t>
    <phoneticPr fontId="5" type="noConversion"/>
  </si>
  <si>
    <t>北京市区片基准地价表（楼面地价）</t>
    <phoneticPr fontId="5" type="noConversion"/>
  </si>
  <si>
    <t>一级</t>
    <phoneticPr fontId="5" type="noConversion"/>
  </si>
  <si>
    <t>二级</t>
    <phoneticPr fontId="5" type="noConversion"/>
  </si>
  <si>
    <t>三级</t>
    <phoneticPr fontId="5" type="noConversion"/>
  </si>
  <si>
    <t>四级</t>
    <phoneticPr fontId="5" type="noConversion"/>
  </si>
  <si>
    <t>五级</t>
    <phoneticPr fontId="5" type="noConversion"/>
  </si>
  <si>
    <t>六级</t>
    <phoneticPr fontId="5" type="noConversion"/>
  </si>
  <si>
    <t>七级</t>
    <phoneticPr fontId="5" type="noConversion"/>
  </si>
  <si>
    <t>八级</t>
    <phoneticPr fontId="5" type="noConversion"/>
  </si>
  <si>
    <t>九级</t>
    <phoneticPr fontId="5" type="noConversion"/>
  </si>
  <si>
    <t>十级</t>
    <phoneticPr fontId="5" type="noConversion"/>
  </si>
  <si>
    <t>十一级</t>
    <phoneticPr fontId="5" type="noConversion"/>
  </si>
  <si>
    <t>十二级</t>
    <phoneticPr fontId="5" type="noConversion"/>
  </si>
  <si>
    <t xml:space="preserve">基准日期：2021年1月1日                                                             </t>
    <phoneticPr fontId="5" type="noConversion"/>
  </si>
  <si>
    <t>单位：元/平方米</t>
    <phoneticPr fontId="5" type="noConversion"/>
  </si>
  <si>
    <t>Ⅰ—01</t>
    <phoneticPr fontId="5" type="noConversion"/>
  </si>
  <si>
    <t>Ⅱ—01</t>
    <phoneticPr fontId="5" type="noConversion"/>
  </si>
  <si>
    <t>Ⅲ—01</t>
    <phoneticPr fontId="5" type="noConversion"/>
  </si>
  <si>
    <t>Ⅳ-01</t>
    <phoneticPr fontId="5" type="noConversion"/>
  </si>
  <si>
    <t>Ⅴ-01</t>
    <phoneticPr fontId="5" type="noConversion"/>
  </si>
  <si>
    <t>Ⅵ-01</t>
    <phoneticPr fontId="5" type="noConversion"/>
  </si>
  <si>
    <t>Ⅶ-01</t>
    <phoneticPr fontId="5" type="noConversion"/>
  </si>
  <si>
    <t>Ⅷ-01</t>
    <phoneticPr fontId="5" type="noConversion"/>
  </si>
  <si>
    <t>Ⅸ-01</t>
    <phoneticPr fontId="5" type="noConversion"/>
  </si>
  <si>
    <t>Ⅹ-01</t>
    <phoneticPr fontId="5" type="noConversion"/>
  </si>
  <si>
    <t>Ⅺ-门1</t>
    <phoneticPr fontId="5" type="noConversion"/>
  </si>
  <si>
    <t>Ⅻ-门1</t>
    <phoneticPr fontId="5" type="noConversion"/>
  </si>
  <si>
    <t>级别</t>
    <phoneticPr fontId="5" type="noConversion"/>
  </si>
  <si>
    <t>办公</t>
    <phoneticPr fontId="5" type="noConversion"/>
  </si>
  <si>
    <t>工业</t>
    <phoneticPr fontId="5" type="noConversion"/>
  </si>
  <si>
    <t>Ⅰ—02</t>
    <phoneticPr fontId="5" type="noConversion"/>
  </si>
  <si>
    <t>Ⅺ-门斋</t>
    <phoneticPr fontId="5" type="noConversion"/>
  </si>
  <si>
    <t>Ⅻ-房1</t>
    <phoneticPr fontId="5" type="noConversion"/>
  </si>
  <si>
    <t>区片编号</t>
    <phoneticPr fontId="5" type="noConversion"/>
  </si>
  <si>
    <t>区片价格</t>
    <phoneticPr fontId="5" type="noConversion"/>
  </si>
  <si>
    <t>Ⅸ-门1</t>
    <phoneticPr fontId="5" type="noConversion"/>
  </si>
  <si>
    <t>Ⅹ-门1</t>
    <phoneticPr fontId="5" type="noConversion"/>
  </si>
  <si>
    <t>Ⅺ-房1</t>
    <phoneticPr fontId="5" type="noConversion"/>
  </si>
  <si>
    <t>Ⅻ-昌1</t>
    <phoneticPr fontId="5" type="noConversion"/>
  </si>
  <si>
    <t>Ⅸ-门2</t>
    <phoneticPr fontId="5" type="noConversion"/>
  </si>
  <si>
    <t>Ⅹ-房1</t>
    <phoneticPr fontId="5" type="noConversion"/>
  </si>
  <si>
    <t>Ⅻ-怀1</t>
    <phoneticPr fontId="5" type="noConversion"/>
  </si>
  <si>
    <t>Ⅷ-05</t>
  </si>
  <si>
    <t>Ⅸ-门潭</t>
    <phoneticPr fontId="5" type="noConversion"/>
  </si>
  <si>
    <t>Ⅺ-顺1</t>
    <phoneticPr fontId="5" type="noConversion"/>
  </si>
  <si>
    <t>Ⅻ-平1</t>
    <phoneticPr fontId="5" type="noConversion"/>
  </si>
  <si>
    <t>Ⅷ-门1</t>
    <phoneticPr fontId="5" type="noConversion"/>
  </si>
  <si>
    <t>Ⅸ-房1</t>
    <phoneticPr fontId="5" type="noConversion"/>
  </si>
  <si>
    <t>Ⅹ-房3</t>
  </si>
  <si>
    <t>Ⅺ-顺2</t>
  </si>
  <si>
    <t>Ⅻ-密1</t>
    <phoneticPr fontId="5" type="noConversion"/>
  </si>
  <si>
    <t>Ⅷ-门军</t>
    <phoneticPr fontId="5" type="noConversion"/>
  </si>
  <si>
    <t>Ⅹ-顺1</t>
    <phoneticPr fontId="5" type="noConversion"/>
  </si>
  <si>
    <t>Ⅺ-昌1</t>
    <phoneticPr fontId="5" type="noConversion"/>
  </si>
  <si>
    <t>Ⅻ-延1</t>
    <phoneticPr fontId="5" type="noConversion"/>
  </si>
  <si>
    <t>Ⅷ-房1</t>
    <phoneticPr fontId="5" type="noConversion"/>
  </si>
  <si>
    <t>Ⅺ-昌3</t>
  </si>
  <si>
    <t>Ⅶ-门1</t>
    <phoneticPr fontId="5" type="noConversion"/>
  </si>
  <si>
    <t>Ⅹ-顺4</t>
  </si>
  <si>
    <t>Ⅺ-怀1</t>
    <phoneticPr fontId="5" type="noConversion"/>
  </si>
  <si>
    <t>Ⅶ-门2</t>
  </si>
  <si>
    <t>Ⅷ-通1</t>
    <phoneticPr fontId="5" type="noConversion"/>
  </si>
  <si>
    <t>Ⅸ-通1</t>
    <phoneticPr fontId="5" type="noConversion"/>
  </si>
  <si>
    <t>Ⅹ-昌1</t>
    <phoneticPr fontId="5" type="noConversion"/>
  </si>
  <si>
    <t>Ⅺ-平1</t>
    <phoneticPr fontId="5" type="noConversion"/>
  </si>
  <si>
    <t>Ⅶ-房1</t>
    <phoneticPr fontId="5" type="noConversion"/>
  </si>
  <si>
    <t>Ⅱ—13</t>
    <phoneticPr fontId="5" type="noConversion"/>
  </si>
  <si>
    <t>Ⅸ-顺1</t>
    <phoneticPr fontId="5" type="noConversion"/>
  </si>
  <si>
    <t>Ⅶ-通1</t>
    <phoneticPr fontId="5" type="noConversion"/>
  </si>
  <si>
    <t>Ⅷ-顺1</t>
    <phoneticPr fontId="5" type="noConversion"/>
  </si>
  <si>
    <t>Ⅹ-兴1</t>
    <phoneticPr fontId="5" type="noConversion"/>
  </si>
  <si>
    <t>Ⅶ-通2</t>
  </si>
  <si>
    <t>Ⅺ-密1</t>
    <phoneticPr fontId="5" type="noConversion"/>
  </si>
  <si>
    <t>Ⅶ-通3</t>
  </si>
  <si>
    <t>Ⅷ-顺3</t>
    <phoneticPr fontId="5" type="noConversion"/>
  </si>
  <si>
    <t>Ⅹ-怀1</t>
    <phoneticPr fontId="5" type="noConversion"/>
  </si>
  <si>
    <t>Ⅶ-通4</t>
  </si>
  <si>
    <t>Ⅸ-顺5</t>
  </si>
  <si>
    <t>Ⅶ-通5</t>
  </si>
  <si>
    <t>Ⅸ-昌1</t>
    <phoneticPr fontId="5" type="noConversion"/>
  </si>
  <si>
    <t>Ⅺ-延1</t>
    <phoneticPr fontId="5" type="noConversion"/>
  </si>
  <si>
    <t>Ⅶ-顺1</t>
    <phoneticPr fontId="5" type="noConversion"/>
  </si>
  <si>
    <t>Ⅷ-昌1</t>
    <phoneticPr fontId="5" type="noConversion"/>
  </si>
  <si>
    <t>Ⅹ-怀4</t>
  </si>
  <si>
    <t>Ⅱ—20</t>
  </si>
  <si>
    <t>Ⅹ-平1</t>
    <phoneticPr fontId="5" type="noConversion"/>
  </si>
  <si>
    <t>Ⅺ-延3</t>
  </si>
  <si>
    <t>Ⅲ—21</t>
  </si>
  <si>
    <t>Ⅶ-顺3</t>
  </si>
  <si>
    <t>Ⅲ—22</t>
  </si>
  <si>
    <t>Ⅵ-门1</t>
    <phoneticPr fontId="5" type="noConversion"/>
  </si>
  <si>
    <t>Ⅶ-昌1</t>
    <phoneticPr fontId="5" type="noConversion"/>
  </si>
  <si>
    <t>Ⅹ-平3</t>
  </si>
  <si>
    <t>Ⅲ—23</t>
  </si>
  <si>
    <t>Ⅵ-通1</t>
    <phoneticPr fontId="5" type="noConversion"/>
  </si>
  <si>
    <t>Ⅷ-兴1</t>
    <phoneticPr fontId="5" type="noConversion"/>
  </si>
  <si>
    <t>Ⅸ-兴1</t>
  </si>
  <si>
    <t>Ⅹ-平4</t>
  </si>
  <si>
    <t>Ⅲ—24</t>
  </si>
  <si>
    <t>Ⅳ-24</t>
  </si>
  <si>
    <t>Ⅹ-密1</t>
    <phoneticPr fontId="5" type="noConversion"/>
  </si>
  <si>
    <t>Ⅲ—25</t>
  </si>
  <si>
    <t>Ⅳ-25</t>
  </si>
  <si>
    <t>Ⅶ-兴1</t>
    <phoneticPr fontId="5" type="noConversion"/>
  </si>
  <si>
    <t>Ⅷ-兴3</t>
  </si>
  <si>
    <t>Ⅹ-密2</t>
  </si>
  <si>
    <t>Ⅳ-26</t>
  </si>
  <si>
    <t>Ⅶ-兴2</t>
    <phoneticPr fontId="5" type="noConversion"/>
  </si>
  <si>
    <t>Ⅷ-怀1</t>
    <phoneticPr fontId="5" type="noConversion"/>
  </si>
  <si>
    <t>Ⅸ-怀1</t>
    <phoneticPr fontId="5" type="noConversion"/>
  </si>
  <si>
    <t>Ⅹ-密3</t>
  </si>
  <si>
    <t>Ⅳ-27</t>
  </si>
  <si>
    <t>Ⅴ-27</t>
  </si>
  <si>
    <t>Ⅵ-通5</t>
  </si>
  <si>
    <t>Ⅶ-亦1</t>
    <phoneticPr fontId="5" type="noConversion"/>
  </si>
  <si>
    <t>Ⅷ-平1</t>
    <phoneticPr fontId="5" type="noConversion"/>
  </si>
  <si>
    <t>Ⅸ-怀2</t>
  </si>
  <si>
    <t>Ⅹ-延1</t>
    <phoneticPr fontId="5" type="noConversion"/>
  </si>
  <si>
    <t>Ⅳ-28</t>
  </si>
  <si>
    <t>Ⅴ-28</t>
  </si>
  <si>
    <t>Ⅵ-顺1</t>
    <phoneticPr fontId="5" type="noConversion"/>
  </si>
  <si>
    <t>Ⅶ-亦2</t>
  </si>
  <si>
    <t>Ⅷ-密1</t>
    <phoneticPr fontId="5" type="noConversion"/>
  </si>
  <si>
    <t>Ⅸ-怀3</t>
  </si>
  <si>
    <t>Ⅳ-电子城东</t>
    <phoneticPr fontId="5" type="noConversion"/>
  </si>
  <si>
    <t>Ⅴ-29</t>
  </si>
  <si>
    <t>Ⅵ-顺2</t>
  </si>
  <si>
    <t>Ⅶ-创新园</t>
    <phoneticPr fontId="5" type="noConversion"/>
  </si>
  <si>
    <t>Ⅷ-延1</t>
    <phoneticPr fontId="5" type="noConversion"/>
  </si>
  <si>
    <t>Ⅸ-怀4</t>
  </si>
  <si>
    <t>Ⅹ-延3</t>
  </si>
  <si>
    <t>Ⅳ-电子城西</t>
    <phoneticPr fontId="5" type="noConversion"/>
  </si>
  <si>
    <t>Ⅴ-30</t>
  </si>
  <si>
    <t>Ⅵ-昌1</t>
    <phoneticPr fontId="5" type="noConversion"/>
  </si>
  <si>
    <t>Ⅶ-海淀环保园</t>
    <phoneticPr fontId="5" type="noConversion"/>
  </si>
  <si>
    <t>Ⅷ-亦1</t>
    <phoneticPr fontId="5" type="noConversion"/>
  </si>
  <si>
    <t>Ⅸ-平1</t>
    <phoneticPr fontId="5" type="noConversion"/>
  </si>
  <si>
    <t>Ⅹ-延4</t>
  </si>
  <si>
    <t>Ⅳ-丰台园东</t>
    <phoneticPr fontId="5" type="noConversion"/>
  </si>
  <si>
    <t>Ⅴ-31</t>
  </si>
  <si>
    <t>Ⅶ-温泉科技园Ⅰ</t>
    <phoneticPr fontId="5" type="noConversion"/>
  </si>
  <si>
    <t>Ⅸ-平2</t>
  </si>
  <si>
    <t>Ⅹ-亦1</t>
    <phoneticPr fontId="5" type="noConversion"/>
  </si>
  <si>
    <t>Ⅳ-通1</t>
    <phoneticPr fontId="5" type="noConversion"/>
  </si>
  <si>
    <t>Ⅴ-32</t>
  </si>
  <si>
    <t>Ⅶ-温泉科技园Ⅱ</t>
    <phoneticPr fontId="5" type="noConversion"/>
  </si>
  <si>
    <t>Ⅷ-文化教育基地</t>
    <phoneticPr fontId="5" type="noConversion"/>
  </si>
  <si>
    <t>Ⅸ-密1</t>
    <phoneticPr fontId="5" type="noConversion"/>
  </si>
  <si>
    <t>Ⅴ-33</t>
  </si>
  <si>
    <t>Ⅶ-温泉科技园Ⅲ</t>
    <phoneticPr fontId="5" type="noConversion"/>
  </si>
  <si>
    <t>Ⅷ-苏家坨科技Ⅰ</t>
    <phoneticPr fontId="5" type="noConversion"/>
  </si>
  <si>
    <t>Ⅸ-延1</t>
    <phoneticPr fontId="5" type="noConversion"/>
  </si>
  <si>
    <t>Ⅴ-上地核心</t>
    <phoneticPr fontId="5" type="noConversion"/>
  </si>
  <si>
    <t>Ⅵ-兴1</t>
    <phoneticPr fontId="5" type="noConversion"/>
  </si>
  <si>
    <t>Ⅶ-国际教育园</t>
    <phoneticPr fontId="5" type="noConversion"/>
  </si>
  <si>
    <t>Ⅷ-苏家坨科技Ⅱ</t>
    <phoneticPr fontId="5" type="noConversion"/>
  </si>
  <si>
    <t>Ⅸ-延2</t>
  </si>
  <si>
    <t>Ⅴ-电子城北</t>
    <phoneticPr fontId="5" type="noConversion"/>
  </si>
  <si>
    <t>Ⅵ-兴2</t>
  </si>
  <si>
    <t>Ⅶ-农林园</t>
    <phoneticPr fontId="5" type="noConversion"/>
  </si>
  <si>
    <t>Ⅷ-通州环保园</t>
    <phoneticPr fontId="5" type="noConversion"/>
  </si>
  <si>
    <t>Ⅸ-亦1</t>
    <phoneticPr fontId="5" type="noConversion"/>
  </si>
  <si>
    <t>Ⅴ-通1</t>
    <phoneticPr fontId="5" type="noConversion"/>
  </si>
  <si>
    <t>Ⅵ-兴3</t>
  </si>
  <si>
    <t>Ⅶ-上庄科技</t>
    <phoneticPr fontId="5" type="noConversion"/>
  </si>
  <si>
    <t>Ⅷ-通州开发区东</t>
    <phoneticPr fontId="5" type="noConversion"/>
  </si>
  <si>
    <t>Ⅸ-亦2</t>
  </si>
  <si>
    <t>Ⅴ-通2</t>
  </si>
  <si>
    <t>Ⅵ-兴4</t>
  </si>
  <si>
    <t>Ⅶ-石龙开发区</t>
    <phoneticPr fontId="5" type="noConversion"/>
  </si>
  <si>
    <t>Ⅷ-空港北区B</t>
    <phoneticPr fontId="5" type="noConversion"/>
  </si>
  <si>
    <t>Ⅸ-亦3</t>
  </si>
  <si>
    <t>Ⅴ-通3</t>
  </si>
  <si>
    <t>Ⅵ-兴5</t>
  </si>
  <si>
    <r>
      <t>Ⅶ-良乡开发区</t>
    </r>
    <r>
      <rPr>
        <sz val="9"/>
        <color indexed="8"/>
        <rFont val="仿宋_GB2312"/>
        <family val="3"/>
        <charset val="134"/>
      </rPr>
      <t>A</t>
    </r>
    <phoneticPr fontId="5" type="noConversion"/>
  </si>
  <si>
    <t>Ⅷ-昌平园北Ⅱ</t>
    <phoneticPr fontId="5" type="noConversion"/>
  </si>
  <si>
    <t>Ⅸ-房山工业园西</t>
    <phoneticPr fontId="5" type="noConversion"/>
  </si>
  <si>
    <t>Ⅴ-通4</t>
  </si>
  <si>
    <t>Ⅵ-亦1</t>
    <phoneticPr fontId="5" type="noConversion"/>
  </si>
  <si>
    <r>
      <t>Ⅶ-良乡开发区</t>
    </r>
    <r>
      <rPr>
        <sz val="9"/>
        <color indexed="8"/>
        <rFont val="仿宋_GB2312"/>
        <family val="3"/>
        <charset val="134"/>
      </rPr>
      <t>B</t>
    </r>
    <phoneticPr fontId="5" type="noConversion"/>
  </si>
  <si>
    <t>Ⅷ-昌平园北Ⅲ</t>
    <phoneticPr fontId="5" type="noConversion"/>
  </si>
  <si>
    <t>Ⅸ-房山工业园东</t>
    <phoneticPr fontId="5" type="noConversion"/>
  </si>
  <si>
    <t>Ⅴ-亦1</t>
    <phoneticPr fontId="5" type="noConversion"/>
  </si>
  <si>
    <t>Ⅵ-亦2</t>
  </si>
  <si>
    <r>
      <t>Ⅶ-良乡开发区</t>
    </r>
    <r>
      <rPr>
        <sz val="9"/>
        <color indexed="8"/>
        <rFont val="仿宋_GB2312"/>
        <family val="3"/>
        <charset val="134"/>
      </rPr>
      <t>C</t>
    </r>
    <phoneticPr fontId="5" type="noConversion"/>
  </si>
  <si>
    <t>Ⅷ-昌平园南Ⅰ</t>
    <phoneticPr fontId="5" type="noConversion"/>
  </si>
  <si>
    <t>Ⅸ-永乐开发区</t>
    <phoneticPr fontId="5" type="noConversion"/>
  </si>
  <si>
    <t>Ⅵ-亦3</t>
  </si>
  <si>
    <t>Ⅶ-林河开发区</t>
    <phoneticPr fontId="5" type="noConversion"/>
  </si>
  <si>
    <t>Ⅷ-昌平园南Ⅱ</t>
    <phoneticPr fontId="5" type="noConversion"/>
  </si>
  <si>
    <t>Ⅸ-采育开发区</t>
    <phoneticPr fontId="5" type="noConversion"/>
  </si>
  <si>
    <t>三级</t>
    <phoneticPr fontId="5" type="noConversion"/>
  </si>
  <si>
    <t>Ⅵ-亦4</t>
  </si>
  <si>
    <t>Ⅶ-空港北区A</t>
    <phoneticPr fontId="5" type="noConversion"/>
  </si>
  <si>
    <t>Ⅷ-小汤山工业园</t>
    <phoneticPr fontId="5" type="noConversion"/>
  </si>
  <si>
    <t>Ⅸ-雁栖开发区A</t>
    <phoneticPr fontId="5" type="noConversion"/>
  </si>
  <si>
    <t>Ⅵ-永丰产业基地</t>
    <phoneticPr fontId="5" type="noConversion"/>
  </si>
  <si>
    <r>
      <t>Ⅶ-昌平园北</t>
    </r>
    <r>
      <rPr>
        <sz val="9"/>
        <color indexed="8"/>
        <rFont val="宋体"/>
        <family val="3"/>
        <charset val="134"/>
      </rPr>
      <t>Ⅰ</t>
    </r>
    <phoneticPr fontId="5" type="noConversion"/>
  </si>
  <si>
    <t>Ⅷ-生物医药基地</t>
    <phoneticPr fontId="5" type="noConversion"/>
  </si>
  <si>
    <t>Ⅸ-雁栖开发区B</t>
    <phoneticPr fontId="5" type="noConversion"/>
  </si>
  <si>
    <t>Ⅵ-航天城</t>
    <phoneticPr fontId="5" type="noConversion"/>
  </si>
  <si>
    <t>Ⅶ-BDA南</t>
    <phoneticPr fontId="5" type="noConversion"/>
  </si>
  <si>
    <t>Ⅸ-雁栖开发区C</t>
    <phoneticPr fontId="5" type="noConversion"/>
  </si>
  <si>
    <t>Ⅵ-西北旺Ⅰ</t>
    <phoneticPr fontId="5" type="noConversion"/>
  </si>
  <si>
    <t>Ⅸ-兴谷开发区A</t>
    <phoneticPr fontId="5" type="noConversion"/>
  </si>
  <si>
    <t>Ⅵ-西北旺Ⅱ</t>
    <phoneticPr fontId="5" type="noConversion"/>
  </si>
  <si>
    <t>Ⅸ-兴谷开发区B</t>
    <phoneticPr fontId="5" type="noConversion"/>
  </si>
  <si>
    <t>Ⅵ-丰台西园Ⅰ</t>
    <phoneticPr fontId="5" type="noConversion"/>
  </si>
  <si>
    <t>Ⅸ-马坊工业园</t>
    <phoneticPr fontId="5" type="noConversion"/>
  </si>
  <si>
    <t>Ⅵ-丰台西园Ⅱ</t>
    <phoneticPr fontId="5" type="noConversion"/>
  </si>
  <si>
    <t>Ⅸ-密云开发区</t>
    <phoneticPr fontId="5" type="noConversion"/>
  </si>
  <si>
    <t>Ⅵ-石景山园北Ⅰ</t>
    <phoneticPr fontId="5" type="noConversion"/>
  </si>
  <si>
    <t>Ⅸ-延庆开发区</t>
    <phoneticPr fontId="5" type="noConversion"/>
  </si>
  <si>
    <t>Ⅵ-石景山园北Ⅱ</t>
    <phoneticPr fontId="5" type="noConversion"/>
  </si>
  <si>
    <t>Ⅸ-八达岭开发区</t>
    <phoneticPr fontId="5" type="noConversion"/>
  </si>
  <si>
    <t>Ⅵ-石景山园南</t>
    <phoneticPr fontId="5" type="noConversion"/>
  </si>
  <si>
    <t>Ⅵ-通州开发区西</t>
    <phoneticPr fontId="5" type="noConversion"/>
  </si>
  <si>
    <t>Ⅵ-光机电</t>
    <phoneticPr fontId="5" type="noConversion"/>
  </si>
  <si>
    <t>Ⅳ-01</t>
    <phoneticPr fontId="5" type="noConversion"/>
  </si>
  <si>
    <t>Ⅵ-天竺保税区南</t>
    <phoneticPr fontId="5" type="noConversion"/>
  </si>
  <si>
    <t>Ⅵ-天竺保税区北Ⅰ</t>
    <phoneticPr fontId="5" type="noConversion"/>
  </si>
  <si>
    <t>Ⅵ-天竺保税区北Ⅱ</t>
    <phoneticPr fontId="5" type="noConversion"/>
  </si>
  <si>
    <t>Ⅵ-空港A</t>
    <phoneticPr fontId="5" type="noConversion"/>
  </si>
  <si>
    <t>Ⅵ-空港B</t>
    <phoneticPr fontId="5" type="noConversion"/>
  </si>
  <si>
    <t>Ⅵ-生命科学园</t>
    <phoneticPr fontId="5" type="noConversion"/>
  </si>
  <si>
    <t>Ⅵ-三一光电</t>
    <phoneticPr fontId="5" type="noConversion"/>
  </si>
  <si>
    <t>Ⅵ-大兴开发区</t>
    <phoneticPr fontId="5" type="noConversion"/>
  </si>
  <si>
    <t>Ⅵ-BDA核心</t>
    <phoneticPr fontId="5" type="noConversion"/>
  </si>
  <si>
    <t>Ⅵ-BDA东</t>
    <phoneticPr fontId="5" type="noConversion"/>
  </si>
  <si>
    <t>Ⅳ-电子城东</t>
    <phoneticPr fontId="5" type="noConversion"/>
  </si>
  <si>
    <t>Ⅳ-电子城西</t>
    <phoneticPr fontId="5" type="noConversion"/>
  </si>
  <si>
    <t>Ⅳ-丰台园东</t>
    <phoneticPr fontId="5" type="noConversion"/>
  </si>
  <si>
    <t>Ⅳ-通1</t>
    <phoneticPr fontId="5" type="noConversion"/>
  </si>
  <si>
    <t>Ⅴ-01</t>
    <phoneticPr fontId="5" type="noConversion"/>
  </si>
  <si>
    <t>Ⅴ-上地核心</t>
    <phoneticPr fontId="5" type="noConversion"/>
  </si>
  <si>
    <t>Ⅴ-电子城北</t>
    <phoneticPr fontId="5" type="noConversion"/>
  </si>
  <si>
    <t>Ⅴ-通1</t>
    <phoneticPr fontId="5" type="noConversion"/>
  </si>
  <si>
    <t>Ⅵ-01</t>
    <phoneticPr fontId="5" type="noConversion"/>
  </si>
  <si>
    <t>Ⅵ-门1</t>
    <phoneticPr fontId="5" type="noConversion"/>
  </si>
  <si>
    <t>Ⅵ-通1</t>
    <phoneticPr fontId="5" type="noConversion"/>
  </si>
  <si>
    <t>Ⅵ-顺1</t>
    <phoneticPr fontId="5" type="noConversion"/>
  </si>
  <si>
    <t>Ⅵ-昌1</t>
    <phoneticPr fontId="5" type="noConversion"/>
  </si>
  <si>
    <t>Ⅵ-兴1</t>
    <phoneticPr fontId="5" type="noConversion"/>
  </si>
  <si>
    <t>Ⅵ-亦1</t>
    <phoneticPr fontId="5" type="noConversion"/>
  </si>
  <si>
    <t>Ⅵ-永丰产业基地</t>
    <phoneticPr fontId="5" type="noConversion"/>
  </si>
  <si>
    <t>Ⅵ-石景山园南</t>
    <phoneticPr fontId="5" type="noConversion"/>
  </si>
  <si>
    <t>Ⅵ-通州开发区西</t>
    <phoneticPr fontId="5" type="noConversion"/>
  </si>
  <si>
    <t>Ⅵ-光机电</t>
    <phoneticPr fontId="5" type="noConversion"/>
  </si>
  <si>
    <t>Ⅶ-01</t>
    <phoneticPr fontId="5" type="noConversion"/>
  </si>
  <si>
    <t>Ⅶ-门1</t>
    <phoneticPr fontId="5" type="noConversion"/>
  </si>
  <si>
    <t>Ⅶ-房1</t>
    <phoneticPr fontId="5" type="noConversion"/>
  </si>
  <si>
    <t>Ⅶ-通1</t>
    <phoneticPr fontId="5" type="noConversion"/>
  </si>
  <si>
    <t>Ⅶ-顺1</t>
    <phoneticPr fontId="5" type="noConversion"/>
  </si>
  <si>
    <t>Ⅶ-昌1</t>
    <phoneticPr fontId="5" type="noConversion"/>
  </si>
  <si>
    <t>Ⅶ-兴1</t>
    <phoneticPr fontId="5" type="noConversion"/>
  </si>
  <si>
    <t>Ⅶ-兴2</t>
    <phoneticPr fontId="5" type="noConversion"/>
  </si>
  <si>
    <t>Ⅶ-亦1</t>
    <phoneticPr fontId="5" type="noConversion"/>
  </si>
  <si>
    <t>Ⅶ-创新园</t>
    <phoneticPr fontId="5" type="noConversion"/>
  </si>
  <si>
    <t>Ⅶ-海淀环保园</t>
    <phoneticPr fontId="5" type="noConversion"/>
  </si>
  <si>
    <t>Ⅶ-温泉科技园Ⅰ</t>
    <phoneticPr fontId="5" type="noConversion"/>
  </si>
  <si>
    <t>Ⅶ-温泉科技园Ⅱ</t>
    <phoneticPr fontId="5" type="noConversion"/>
  </si>
  <si>
    <t>Ⅶ-温泉科技园Ⅲ</t>
    <phoneticPr fontId="5" type="noConversion"/>
  </si>
  <si>
    <t>Ⅶ-国际教育园</t>
    <phoneticPr fontId="5" type="noConversion"/>
  </si>
  <si>
    <t>Ⅶ-农林园</t>
    <phoneticPr fontId="5" type="noConversion"/>
  </si>
  <si>
    <t>Ⅶ-上庄科技</t>
    <phoneticPr fontId="5" type="noConversion"/>
  </si>
  <si>
    <t>Ⅶ-石龙开发区</t>
    <phoneticPr fontId="5" type="noConversion"/>
  </si>
  <si>
    <r>
      <t>Ⅶ-良乡开发区</t>
    </r>
    <r>
      <rPr>
        <sz val="9"/>
        <color indexed="8"/>
        <rFont val="仿宋_GB2312"/>
        <family val="3"/>
        <charset val="134"/>
      </rPr>
      <t>A</t>
    </r>
    <phoneticPr fontId="5" type="noConversion"/>
  </si>
  <si>
    <r>
      <t>Ⅶ-良乡开发区</t>
    </r>
    <r>
      <rPr>
        <sz val="9"/>
        <color indexed="8"/>
        <rFont val="仿宋_GB2312"/>
        <family val="3"/>
        <charset val="134"/>
      </rPr>
      <t>B</t>
    </r>
    <phoneticPr fontId="5" type="noConversion"/>
  </si>
  <si>
    <t>Ⅶ-林河开发区</t>
    <phoneticPr fontId="5" type="noConversion"/>
  </si>
  <si>
    <t>Ⅶ-空港北区A</t>
    <phoneticPr fontId="5" type="noConversion"/>
  </si>
  <si>
    <r>
      <t>Ⅶ-昌平园北</t>
    </r>
    <r>
      <rPr>
        <sz val="9"/>
        <color indexed="8"/>
        <rFont val="宋体"/>
        <family val="3"/>
        <charset val="134"/>
      </rPr>
      <t>Ⅰ</t>
    </r>
    <phoneticPr fontId="5" type="noConversion"/>
  </si>
  <si>
    <t>Ⅷ-01</t>
    <phoneticPr fontId="5" type="noConversion"/>
  </si>
  <si>
    <t>Ⅷ-门1</t>
    <phoneticPr fontId="5" type="noConversion"/>
  </si>
  <si>
    <t>Ⅷ-门军</t>
    <phoneticPr fontId="5" type="noConversion"/>
  </si>
  <si>
    <t>Ⅷ-房1</t>
    <phoneticPr fontId="5" type="noConversion"/>
  </si>
  <si>
    <t>Ⅷ-通1</t>
    <phoneticPr fontId="5" type="noConversion"/>
  </si>
  <si>
    <t>Ⅷ-顺1</t>
    <phoneticPr fontId="5" type="noConversion"/>
  </si>
  <si>
    <t>Ⅷ-顺3</t>
    <phoneticPr fontId="5" type="noConversion"/>
  </si>
  <si>
    <t>Ⅷ-昌1</t>
    <phoneticPr fontId="5" type="noConversion"/>
  </si>
  <si>
    <t>Ⅷ-兴1</t>
    <phoneticPr fontId="5" type="noConversion"/>
  </si>
  <si>
    <t>Ⅷ-怀1</t>
    <phoneticPr fontId="5" type="noConversion"/>
  </si>
  <si>
    <t>Ⅷ-平1</t>
    <phoneticPr fontId="5" type="noConversion"/>
  </si>
  <si>
    <t>Ⅷ-密1</t>
    <phoneticPr fontId="5" type="noConversion"/>
  </si>
  <si>
    <t>Ⅷ-延1</t>
    <phoneticPr fontId="5" type="noConversion"/>
  </si>
  <si>
    <t>Ⅷ-亦1</t>
    <phoneticPr fontId="5" type="noConversion"/>
  </si>
  <si>
    <t>Ⅷ-文化教育基地</t>
    <phoneticPr fontId="5" type="noConversion"/>
  </si>
  <si>
    <t>Ⅷ-苏家坨科技Ⅰ</t>
    <phoneticPr fontId="5" type="noConversion"/>
  </si>
  <si>
    <t>Ⅷ-苏家坨科技Ⅱ</t>
    <phoneticPr fontId="5" type="noConversion"/>
  </si>
  <si>
    <t>Ⅷ-通州环保园</t>
    <phoneticPr fontId="5" type="noConversion"/>
  </si>
  <si>
    <t>Ⅷ-通州开发区东</t>
    <phoneticPr fontId="5" type="noConversion"/>
  </si>
  <si>
    <t>Ⅷ-空港北区B</t>
    <phoneticPr fontId="5" type="noConversion"/>
  </si>
  <si>
    <t>Ⅷ-昌平园北Ⅱ</t>
    <phoneticPr fontId="5" type="noConversion"/>
  </si>
  <si>
    <t>Ⅷ-昌平园北Ⅲ</t>
    <phoneticPr fontId="5" type="noConversion"/>
  </si>
  <si>
    <t>Ⅷ-昌平园南Ⅱ</t>
    <phoneticPr fontId="5" type="noConversion"/>
  </si>
  <si>
    <t>Ⅷ-小汤山工业园</t>
    <phoneticPr fontId="5" type="noConversion"/>
  </si>
  <si>
    <t>Ⅷ-生物医药基地</t>
    <phoneticPr fontId="5" type="noConversion"/>
  </si>
  <si>
    <t>Ⅸ-01</t>
    <phoneticPr fontId="5" type="noConversion"/>
  </si>
  <si>
    <t>Ⅸ-门1</t>
    <phoneticPr fontId="5" type="noConversion"/>
  </si>
  <si>
    <t>Ⅸ-门2</t>
    <phoneticPr fontId="5" type="noConversion"/>
  </si>
  <si>
    <t>Ⅸ-门潭</t>
    <phoneticPr fontId="5" type="noConversion"/>
  </si>
  <si>
    <t>Ⅸ-房1</t>
    <phoneticPr fontId="5" type="noConversion"/>
  </si>
  <si>
    <t>Ⅸ-通1</t>
    <phoneticPr fontId="5" type="noConversion"/>
  </si>
  <si>
    <t>Ⅸ-顺1</t>
    <phoneticPr fontId="5" type="noConversion"/>
  </si>
  <si>
    <t>Ⅸ-昌1</t>
    <phoneticPr fontId="5" type="noConversion"/>
  </si>
  <si>
    <t>Ⅸ-怀1</t>
    <phoneticPr fontId="5" type="noConversion"/>
  </si>
  <si>
    <t>Ⅸ-平1</t>
    <phoneticPr fontId="5" type="noConversion"/>
  </si>
  <si>
    <t>Ⅸ-密1</t>
    <phoneticPr fontId="5" type="noConversion"/>
  </si>
  <si>
    <t>Ⅸ-延1</t>
    <phoneticPr fontId="5" type="noConversion"/>
  </si>
  <si>
    <t>Ⅸ-亦1</t>
    <phoneticPr fontId="5" type="noConversion"/>
  </si>
  <si>
    <t>Ⅸ-房山工业园西</t>
    <phoneticPr fontId="5" type="noConversion"/>
  </si>
  <si>
    <t>Ⅸ-房山工业园东</t>
    <phoneticPr fontId="5" type="noConversion"/>
  </si>
  <si>
    <t>Ⅸ-采育开发区</t>
    <phoneticPr fontId="5" type="noConversion"/>
  </si>
  <si>
    <t>Ⅸ-雁栖开发区A</t>
    <phoneticPr fontId="5" type="noConversion"/>
  </si>
  <si>
    <t>Ⅹ-01</t>
    <phoneticPr fontId="5" type="noConversion"/>
  </si>
  <si>
    <t>Ⅹ-门1</t>
    <phoneticPr fontId="5" type="noConversion"/>
  </si>
  <si>
    <t>Ⅹ-房1</t>
    <phoneticPr fontId="5" type="noConversion"/>
  </si>
  <si>
    <t>Ⅹ-顺1</t>
    <phoneticPr fontId="5" type="noConversion"/>
  </si>
  <si>
    <t>Ⅹ-昌1</t>
    <phoneticPr fontId="5" type="noConversion"/>
  </si>
  <si>
    <t>Ⅹ-兴1</t>
    <phoneticPr fontId="5" type="noConversion"/>
  </si>
  <si>
    <t>Ⅹ-怀1</t>
    <phoneticPr fontId="5" type="noConversion"/>
  </si>
  <si>
    <t>Ⅹ-平1</t>
    <phoneticPr fontId="5" type="noConversion"/>
  </si>
  <si>
    <t>Ⅹ-密1</t>
    <phoneticPr fontId="5" type="noConversion"/>
  </si>
  <si>
    <t>Ⅹ-延1</t>
    <phoneticPr fontId="5" type="noConversion"/>
  </si>
  <si>
    <t>Ⅹ-亦1</t>
    <phoneticPr fontId="5" type="noConversion"/>
  </si>
  <si>
    <t>十一级</t>
    <phoneticPr fontId="5" type="noConversion"/>
  </si>
  <si>
    <t>Ⅺ-门1</t>
    <phoneticPr fontId="5" type="noConversion"/>
  </si>
  <si>
    <t>Ⅺ-门斋</t>
    <phoneticPr fontId="5" type="noConversion"/>
  </si>
  <si>
    <t>Ⅺ-房1</t>
    <phoneticPr fontId="5" type="noConversion"/>
  </si>
  <si>
    <t>Ⅺ-顺1</t>
    <phoneticPr fontId="5" type="noConversion"/>
  </si>
  <si>
    <t>Ⅺ-昌1</t>
    <phoneticPr fontId="5" type="noConversion"/>
  </si>
  <si>
    <t>Ⅺ-怀1</t>
    <phoneticPr fontId="5" type="noConversion"/>
  </si>
  <si>
    <t>Ⅺ-平1</t>
    <phoneticPr fontId="5" type="noConversion"/>
  </si>
  <si>
    <t>Ⅺ-密1</t>
    <phoneticPr fontId="5" type="noConversion"/>
  </si>
  <si>
    <t>Ⅺ-延1</t>
    <phoneticPr fontId="5" type="noConversion"/>
  </si>
  <si>
    <t>十二级</t>
    <phoneticPr fontId="5" type="noConversion"/>
  </si>
  <si>
    <t>Ⅻ-门1</t>
    <phoneticPr fontId="5" type="noConversion"/>
  </si>
  <si>
    <t>Ⅻ-房1</t>
    <phoneticPr fontId="5" type="noConversion"/>
  </si>
  <si>
    <t>Ⅻ-昌1</t>
    <phoneticPr fontId="5" type="noConversion"/>
  </si>
  <si>
    <t>Ⅻ-怀1</t>
    <phoneticPr fontId="5" type="noConversion"/>
  </si>
  <si>
    <t>Ⅻ-平1</t>
    <phoneticPr fontId="5" type="noConversion"/>
  </si>
  <si>
    <t>Ⅻ-密1</t>
    <phoneticPr fontId="5" type="noConversion"/>
  </si>
  <si>
    <t>Ⅻ-延1</t>
    <phoneticPr fontId="5" type="noConversion"/>
  </si>
  <si>
    <t>北京市区片基准地价因素总修正幅度表</t>
    <phoneticPr fontId="5" type="noConversion"/>
  </si>
  <si>
    <t>Ⅴ-亦1</t>
    <phoneticPr fontId="5" type="noConversion"/>
  </si>
  <si>
    <t>Ⅵ-亦1</t>
    <phoneticPr fontId="5" type="noConversion"/>
  </si>
  <si>
    <t>Ⅵ-永丰产业基地</t>
    <phoneticPr fontId="5" type="noConversion"/>
  </si>
  <si>
    <t>Ⅵ-航天城</t>
    <phoneticPr fontId="5" type="noConversion"/>
  </si>
  <si>
    <t>Ⅵ-西北旺Ⅰ</t>
    <phoneticPr fontId="5" type="noConversion"/>
  </si>
  <si>
    <t>Ⅵ-西北旺Ⅱ</t>
    <phoneticPr fontId="5" type="noConversion"/>
  </si>
  <si>
    <t>Ⅵ-丰台西园Ⅰ</t>
    <phoneticPr fontId="5" type="noConversion"/>
  </si>
  <si>
    <t>Ⅵ-丰台西园Ⅱ</t>
    <phoneticPr fontId="5" type="noConversion"/>
  </si>
  <si>
    <t>Ⅵ-石景山园北Ⅰ</t>
    <phoneticPr fontId="5" type="noConversion"/>
  </si>
  <si>
    <t>Ⅵ-石景山园北Ⅱ</t>
    <phoneticPr fontId="5" type="noConversion"/>
  </si>
  <si>
    <t>Ⅵ-石景山园南</t>
    <phoneticPr fontId="5" type="noConversion"/>
  </si>
  <si>
    <t>Ⅵ-通州开发区西</t>
    <phoneticPr fontId="5" type="noConversion"/>
  </si>
  <si>
    <t>Ⅵ-光机电</t>
    <phoneticPr fontId="5" type="noConversion"/>
  </si>
  <si>
    <t>Ⅵ-天竺保税区南</t>
    <phoneticPr fontId="5" type="noConversion"/>
  </si>
  <si>
    <t>Ⅵ-天竺保税区北Ⅰ</t>
    <phoneticPr fontId="5" type="noConversion"/>
  </si>
  <si>
    <t>Ⅵ-天竺保税区北Ⅱ</t>
    <phoneticPr fontId="5" type="noConversion"/>
  </si>
  <si>
    <t>Ⅵ-空港A</t>
    <phoneticPr fontId="5" type="noConversion"/>
  </si>
  <si>
    <t>Ⅵ-空港B</t>
    <phoneticPr fontId="5" type="noConversion"/>
  </si>
  <si>
    <t>Ⅵ-生命科学园</t>
    <phoneticPr fontId="5" type="noConversion"/>
  </si>
  <si>
    <t>Ⅵ-三一光电</t>
    <phoneticPr fontId="5" type="noConversion"/>
  </si>
  <si>
    <t>Ⅵ-大兴开发区</t>
    <phoneticPr fontId="5" type="noConversion"/>
  </si>
  <si>
    <t>Ⅵ-BDA核心</t>
    <phoneticPr fontId="5" type="noConversion"/>
  </si>
  <si>
    <t>Ⅵ-BDA东</t>
    <phoneticPr fontId="5" type="noConversion"/>
  </si>
  <si>
    <t>Ⅶ-石龙开发区</t>
    <phoneticPr fontId="5" type="noConversion"/>
  </si>
  <si>
    <r>
      <t>Ⅶ-良乡开发区</t>
    </r>
    <r>
      <rPr>
        <sz val="8"/>
        <color indexed="8"/>
        <rFont val="仿宋_GB2312"/>
        <family val="3"/>
        <charset val="134"/>
      </rPr>
      <t>A</t>
    </r>
    <phoneticPr fontId="5" type="noConversion"/>
  </si>
  <si>
    <r>
      <t>Ⅶ-良乡开发区</t>
    </r>
    <r>
      <rPr>
        <sz val="8"/>
        <color indexed="8"/>
        <rFont val="仿宋_GB2312"/>
        <family val="3"/>
        <charset val="134"/>
      </rPr>
      <t>B</t>
    </r>
    <phoneticPr fontId="5" type="noConversion"/>
  </si>
  <si>
    <r>
      <t>Ⅶ-良乡开发区</t>
    </r>
    <r>
      <rPr>
        <sz val="8"/>
        <color indexed="8"/>
        <rFont val="仿宋_GB2312"/>
        <family val="3"/>
        <charset val="134"/>
      </rPr>
      <t>C</t>
    </r>
    <phoneticPr fontId="5" type="noConversion"/>
  </si>
  <si>
    <t>Ⅶ-林河开发区</t>
    <phoneticPr fontId="5" type="noConversion"/>
  </si>
  <si>
    <t>Ⅶ-空港北区A</t>
    <phoneticPr fontId="5" type="noConversion"/>
  </si>
  <si>
    <r>
      <t>Ⅶ-昌平园北</t>
    </r>
    <r>
      <rPr>
        <sz val="8"/>
        <color indexed="8"/>
        <rFont val="宋体"/>
        <family val="3"/>
        <charset val="134"/>
      </rPr>
      <t>Ⅰ</t>
    </r>
    <phoneticPr fontId="5" type="noConversion"/>
  </si>
  <si>
    <t>Ⅶ-BDA南</t>
    <phoneticPr fontId="5" type="noConversion"/>
  </si>
  <si>
    <t>Ⅷ-昌平园北Ⅱ</t>
    <phoneticPr fontId="5" type="noConversion"/>
  </si>
  <si>
    <t>Ⅷ-昌平园北Ⅲ</t>
    <phoneticPr fontId="5" type="noConversion"/>
  </si>
  <si>
    <t>Ⅷ-昌平园南Ⅰ</t>
    <phoneticPr fontId="5" type="noConversion"/>
  </si>
  <si>
    <t>Ⅷ-昌平园南Ⅱ</t>
    <phoneticPr fontId="5" type="noConversion"/>
  </si>
  <si>
    <t>Ⅷ-小汤山工业园</t>
    <phoneticPr fontId="5" type="noConversion"/>
  </si>
  <si>
    <t>Ⅷ-生物医药基地</t>
    <phoneticPr fontId="5" type="noConversion"/>
  </si>
  <si>
    <t>Ⅸ-房山工业园西</t>
    <phoneticPr fontId="5" type="noConversion"/>
  </si>
  <si>
    <t>Ⅸ-房山工业园东</t>
    <phoneticPr fontId="5" type="noConversion"/>
  </si>
  <si>
    <t>Ⅸ-永乐开发区</t>
    <phoneticPr fontId="5" type="noConversion"/>
  </si>
  <si>
    <t>Ⅸ-采育开发区</t>
    <phoneticPr fontId="5" type="noConversion"/>
  </si>
  <si>
    <t>Ⅸ-雁栖开发区A</t>
    <phoneticPr fontId="5" type="noConversion"/>
  </si>
  <si>
    <t>Ⅸ-雁栖开发区B</t>
    <phoneticPr fontId="5" type="noConversion"/>
  </si>
  <si>
    <t>Ⅸ-雁栖开发区C</t>
    <phoneticPr fontId="5" type="noConversion"/>
  </si>
  <si>
    <t>Ⅸ-兴谷开发区A</t>
    <phoneticPr fontId="5" type="noConversion"/>
  </si>
  <si>
    <t>Ⅸ-兴谷开发区B</t>
    <phoneticPr fontId="5" type="noConversion"/>
  </si>
  <si>
    <t>Ⅸ-马坊工业园</t>
    <phoneticPr fontId="5" type="noConversion"/>
  </si>
  <si>
    <t>Ⅸ-密云开发区</t>
    <phoneticPr fontId="5" type="noConversion"/>
  </si>
  <si>
    <t>Ⅸ-延庆开发区</t>
    <phoneticPr fontId="5" type="noConversion"/>
  </si>
  <si>
    <t>Ⅸ-八达岭开发区</t>
    <phoneticPr fontId="5" type="noConversion"/>
  </si>
  <si>
    <t>北京市级别基准地价表（楼面地价）</t>
    <phoneticPr fontId="136" type="noConversion"/>
  </si>
  <si>
    <t>（一）北京市级别基准地价表</t>
    <phoneticPr fontId="136" type="noConversion"/>
  </si>
  <si>
    <t xml:space="preserve">基准期日：2021年１月１日                        </t>
    <phoneticPr fontId="136" type="noConversion"/>
  </si>
  <si>
    <t>单位：元／平方米</t>
    <phoneticPr fontId="136" type="noConversion"/>
  </si>
  <si>
    <t>公共服务</t>
    <phoneticPr fontId="136" type="noConversion"/>
  </si>
  <si>
    <t>（2）</t>
    <phoneticPr fontId="78" type="noConversion"/>
  </si>
  <si>
    <t>（3）</t>
    <phoneticPr fontId="78"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</si>
  <si>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5" type="noConversion"/>
  </si>
  <si>
    <r>
      <rPr>
        <sz val="10"/>
        <rFont val="宋体"/>
        <family val="3"/>
        <charset val="134"/>
      </rPr>
      <t>浮动范围</t>
    </r>
    <r>
      <rPr>
        <sz val="10"/>
        <rFont val="Arial"/>
        <family val="2"/>
      </rPr>
      <t>1.00~1.05</t>
    </r>
    <phoneticPr fontId="5" type="noConversion"/>
  </si>
  <si>
    <r>
      <rPr>
        <sz val="10"/>
        <color rgb="FFFF0000"/>
        <rFont val="宋体"/>
        <family val="3"/>
        <charset val="134"/>
      </rPr>
      <t xml:space="preserve">不需调整填 " 1 </t>
    </r>
    <r>
      <rPr>
        <sz val="10"/>
        <rFont val="宋体"/>
        <family val="3"/>
        <charset val="134"/>
      </rPr>
      <t>"</t>
    </r>
    <phoneticPr fontId="5" type="noConversion"/>
  </si>
  <si>
    <t>（4）</t>
    <phoneticPr fontId="78" type="noConversion"/>
  </si>
  <si>
    <r>
      <rPr>
        <sz val="10"/>
        <rFont val="宋体"/>
        <family val="3"/>
        <charset val="134"/>
      </rPr>
      <t>无</t>
    </r>
    <phoneticPr fontId="5"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</si>
  <si>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5" type="noConversion"/>
  </si>
  <si>
    <t>（5）</t>
    <phoneticPr fontId="78" type="noConversion"/>
  </si>
  <si>
    <t>自持修正</t>
    <phoneticPr fontId="5" type="noConversion"/>
  </si>
  <si>
    <t>自持年期修正系数</t>
    <phoneticPr fontId="5" type="noConversion"/>
  </si>
  <si>
    <t>自持年期（n)</t>
    <phoneticPr fontId="5" type="noConversion"/>
  </si>
  <si>
    <t>自持面积</t>
    <phoneticPr fontId="5" type="noConversion"/>
  </si>
  <si>
    <t>自持面积比例</t>
    <phoneticPr fontId="5" type="noConversion"/>
  </si>
  <si>
    <t>Kn</t>
    <phoneticPr fontId="5" type="noConversion"/>
  </si>
  <si>
    <t>全部面积</t>
    <phoneticPr fontId="5" type="noConversion"/>
  </si>
  <si>
    <t>KN</t>
    <phoneticPr fontId="5" type="noConversion"/>
  </si>
  <si>
    <t>（6）</t>
    <phoneticPr fontId="78" type="noConversion"/>
  </si>
  <si>
    <t>中心城区</t>
  </si>
  <si>
    <t>按公示增长率计算</t>
  </si>
  <si>
    <r>
      <t>R</t>
    </r>
    <r>
      <rPr>
        <sz val="11"/>
        <rFont val="宋体"/>
        <family val="3"/>
        <charset val="134"/>
      </rPr>
      <t>＜</t>
    </r>
    <r>
      <rPr>
        <sz val="11"/>
        <rFont val="Arial"/>
        <family val="2"/>
      </rPr>
      <t>10</t>
    </r>
    <phoneticPr fontId="5" type="noConversion"/>
  </si>
  <si>
    <r>
      <t>R</t>
    </r>
    <r>
      <rPr>
        <sz val="11"/>
        <rFont val="宋体"/>
        <family val="3"/>
        <charset val="134"/>
      </rPr>
      <t>≥</t>
    </r>
    <r>
      <rPr>
        <sz val="11"/>
        <rFont val="Arial"/>
        <family val="2"/>
      </rPr>
      <t>10</t>
    </r>
    <phoneticPr fontId="5"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</si>
  <si>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5" type="noConversion"/>
  </si>
  <si>
    <t>楼面熟地价=适用的基准地价×用途修正系数×期日修正系数×年期修正系数×（容积率修正系数或楼层修正系数）×因素修正系数</t>
    <phoneticPr fontId="5" type="noConversion"/>
  </si>
  <si>
    <t>楼面熟地价=适用的基准地价×用途修正系数×期日修正系数×年期修正系数×因素修正系数×相应用途地下空间修正系数</t>
    <phoneticPr fontId="78" type="noConversion"/>
  </si>
  <si>
    <t>公共服务</t>
    <phoneticPr fontId="78" type="noConversion"/>
  </si>
  <si>
    <t>不低于</t>
    <phoneticPr fontId="5" type="noConversion"/>
  </si>
  <si>
    <t>不高于</t>
    <phoneticPr fontId="5" type="noConversion"/>
  </si>
  <si>
    <t>lpr</t>
    <phoneticPr fontId="5" type="noConversion"/>
  </si>
  <si>
    <t>加浮动点数</t>
    <phoneticPr fontId="5"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</si>
  <si>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5" type="noConversion"/>
  </si>
  <si>
    <r>
      <t>6</t>
    </r>
    <r>
      <rPr>
        <sz val="10"/>
        <color theme="1"/>
        <rFont val="宋体"/>
        <family val="3"/>
        <charset val="134"/>
      </rPr>
      <t>层及以上</t>
    </r>
    <phoneticPr fontId="5" type="noConversion"/>
  </si>
  <si>
    <t>城市规划及区域土地利用方向</t>
    <phoneticPr fontId="5" type="noConversion"/>
  </si>
  <si>
    <t>城市规划及区域土地利用方向</t>
    <phoneticPr fontId="5" type="noConversion"/>
  </si>
  <si>
    <r>
      <rPr>
        <sz val="10"/>
        <color theme="1"/>
        <rFont val="宋体"/>
        <family val="3"/>
        <charset val="134"/>
      </rPr>
      <t>影响因素</t>
    </r>
    <phoneticPr fontId="5" type="noConversion"/>
  </si>
  <si>
    <t>物业聚集程度</t>
    <phoneticPr fontId="5" type="noConversion"/>
  </si>
  <si>
    <r>
      <rPr>
        <sz val="10"/>
        <color theme="1"/>
        <rFont val="宋体"/>
        <family val="3"/>
        <charset val="134"/>
      </rPr>
      <t>交通便捷度</t>
    </r>
    <phoneticPr fontId="5" type="noConversion"/>
  </si>
  <si>
    <r>
      <rPr>
        <sz val="10"/>
        <color theme="1"/>
        <rFont val="宋体"/>
        <family val="3"/>
        <charset val="134"/>
      </rPr>
      <t>临街宽度和深度</t>
    </r>
    <phoneticPr fontId="5" type="noConversion"/>
  </si>
  <si>
    <r>
      <rPr>
        <sz val="10"/>
        <color theme="1"/>
        <rFont val="宋体"/>
        <family val="3"/>
        <charset val="134"/>
      </rPr>
      <t>临街道路状况</t>
    </r>
    <phoneticPr fontId="5" type="noConversion"/>
  </si>
  <si>
    <r>
      <rPr>
        <sz val="10"/>
        <color theme="1"/>
        <rFont val="宋体"/>
        <family val="3"/>
        <charset val="134"/>
      </rPr>
      <t>宗地形状及可利用程度</t>
    </r>
    <phoneticPr fontId="5" type="noConversion"/>
  </si>
  <si>
    <r>
      <rPr>
        <sz val="10"/>
        <color theme="1"/>
        <rFont val="宋体"/>
        <family val="3"/>
        <charset val="134"/>
      </rPr>
      <t>公共服务设施状况</t>
    </r>
    <phoneticPr fontId="5" type="noConversion"/>
  </si>
  <si>
    <r>
      <rPr>
        <sz val="10"/>
        <color theme="1"/>
        <rFont val="宋体"/>
        <family val="3"/>
        <charset val="134"/>
      </rPr>
      <t>基础设施完备状况</t>
    </r>
    <phoneticPr fontId="5" type="noConversion"/>
  </si>
  <si>
    <r>
      <rPr>
        <sz val="10"/>
        <color theme="1"/>
        <rFont val="宋体"/>
        <family val="3"/>
        <charset val="134"/>
      </rPr>
      <t>自然和人文环境状况</t>
    </r>
    <phoneticPr fontId="5" type="noConversion"/>
  </si>
  <si>
    <r>
      <rPr>
        <sz val="10"/>
        <color theme="1"/>
        <rFont val="宋体"/>
        <family val="3"/>
        <charset val="134"/>
      </rPr>
      <t>等级</t>
    </r>
    <phoneticPr fontId="5" type="noConversion"/>
  </si>
  <si>
    <r>
      <rPr>
        <sz val="10"/>
        <color indexed="8"/>
        <rFont val="宋体"/>
        <family val="3"/>
        <charset val="134"/>
      </rPr>
      <t>修正幅度</t>
    </r>
    <phoneticPr fontId="5" type="noConversion"/>
  </si>
  <si>
    <r>
      <rPr>
        <sz val="10"/>
        <rFont val="宋体"/>
        <family val="3"/>
        <charset val="134"/>
      </rPr>
      <t>合计</t>
    </r>
    <phoneticPr fontId="5" type="noConversion"/>
  </si>
  <si>
    <r>
      <rPr>
        <sz val="10"/>
        <color rgb="FFFF0000"/>
        <rFont val="宋体"/>
        <family val="3"/>
        <charset val="134"/>
      </rPr>
      <t>幅度控制</t>
    </r>
    <r>
      <rPr>
        <sz val="10"/>
        <color rgb="FFFF0000"/>
        <rFont val="Arial"/>
        <family val="2"/>
      </rPr>
      <t>(±)</t>
    </r>
    <phoneticPr fontId="5" type="noConversion"/>
  </si>
  <si>
    <r>
      <rPr>
        <sz val="10"/>
        <color indexed="8"/>
        <rFont val="宋体"/>
        <family val="3"/>
        <charset val="134"/>
      </rPr>
      <t>修正系数</t>
    </r>
    <phoneticPr fontId="5"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</si>
  <si>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5" type="noConversion"/>
  </si>
  <si>
    <r>
      <rPr>
        <sz val="10"/>
        <color theme="9" tint="-0.249977111117893"/>
        <rFont val="宋体"/>
        <family val="3"/>
        <charset val="134"/>
      </rPr>
      <t>宗地形状？，但对宗地利用影响？</t>
    </r>
    <phoneticPr fontId="5" type="noConversion"/>
  </si>
  <si>
    <r>
      <rPr>
        <sz val="10"/>
        <color rgb="FFFF0000"/>
        <rFont val="宋体"/>
        <family val="3"/>
        <charset val="134"/>
      </rPr>
      <t>各因素幅度控制</t>
    </r>
    <r>
      <rPr>
        <sz val="10"/>
        <color rgb="FFFF0000"/>
        <rFont val="Arial"/>
        <family val="2"/>
      </rPr>
      <t>(±)</t>
    </r>
    <phoneticPr fontId="5" type="noConversion"/>
  </si>
  <si>
    <r>
      <rPr>
        <sz val="10"/>
        <color indexed="8"/>
        <rFont val="宋体"/>
        <family val="3"/>
        <charset val="134"/>
      </rPr>
      <t>权重</t>
    </r>
    <phoneticPr fontId="5" type="noConversion"/>
  </si>
  <si>
    <r>
      <rPr>
        <sz val="11"/>
        <color indexed="8"/>
        <rFont val="宋体"/>
        <family val="3"/>
        <charset val="134"/>
      </rPr>
      <t>好</t>
    </r>
    <phoneticPr fontId="5" type="noConversion"/>
  </si>
  <si>
    <r>
      <rPr>
        <sz val="11"/>
        <color indexed="8"/>
        <rFont val="宋体"/>
        <family val="3"/>
        <charset val="134"/>
      </rPr>
      <t>较好</t>
    </r>
    <phoneticPr fontId="5" type="noConversion"/>
  </si>
  <si>
    <r>
      <rPr>
        <sz val="11"/>
        <color indexed="8"/>
        <rFont val="宋体"/>
        <family val="3"/>
        <charset val="134"/>
      </rPr>
      <t>一般</t>
    </r>
    <phoneticPr fontId="5" type="noConversion"/>
  </si>
  <si>
    <r>
      <rPr>
        <sz val="11"/>
        <color indexed="8"/>
        <rFont val="宋体"/>
        <family val="3"/>
        <charset val="134"/>
      </rPr>
      <t>较差</t>
    </r>
    <phoneticPr fontId="5" type="noConversion"/>
  </si>
  <si>
    <r>
      <rPr>
        <sz val="11"/>
        <color indexed="8"/>
        <rFont val="宋体"/>
        <family val="3"/>
        <charset val="134"/>
      </rPr>
      <t>差</t>
    </r>
    <phoneticPr fontId="5" type="noConversion"/>
  </si>
  <si>
    <r>
      <rPr>
        <b/>
        <sz val="10"/>
        <color theme="1"/>
        <rFont val="宋体"/>
        <family val="3"/>
        <charset val="134"/>
      </rPr>
      <t>北京市基准地价商业用途楼层修正系数表</t>
    </r>
    <phoneticPr fontId="5" type="noConversion"/>
  </si>
  <si>
    <r>
      <rPr>
        <sz val="10"/>
        <color theme="1"/>
        <rFont val="宋体"/>
        <family val="3"/>
        <charset val="134"/>
      </rPr>
      <t>用途</t>
    </r>
    <phoneticPr fontId="5" type="noConversion"/>
  </si>
  <si>
    <r>
      <rPr>
        <sz val="10"/>
        <color theme="1"/>
        <rFont val="宋体"/>
        <family val="3"/>
        <charset val="134"/>
      </rPr>
      <t>所在楼层</t>
    </r>
    <phoneticPr fontId="5" type="noConversion"/>
  </si>
  <si>
    <r>
      <rPr>
        <sz val="10"/>
        <color theme="1"/>
        <rFont val="宋体"/>
        <family val="3"/>
        <charset val="134"/>
      </rPr>
      <t>楼层修正系数</t>
    </r>
    <phoneticPr fontId="5" type="noConversion"/>
  </si>
  <si>
    <r>
      <rPr>
        <sz val="10"/>
        <color theme="1"/>
        <rFont val="宋体"/>
        <family val="3"/>
        <charset val="134"/>
      </rPr>
      <t>一级</t>
    </r>
    <phoneticPr fontId="5" type="noConversion"/>
  </si>
  <si>
    <r>
      <rPr>
        <sz val="10"/>
        <color theme="1"/>
        <rFont val="宋体"/>
        <family val="3"/>
        <charset val="134"/>
      </rPr>
      <t>二级</t>
    </r>
    <phoneticPr fontId="5" type="noConversion"/>
  </si>
  <si>
    <r>
      <rPr>
        <sz val="10"/>
        <color theme="1"/>
        <rFont val="宋体"/>
        <family val="3"/>
        <charset val="134"/>
      </rPr>
      <t>三级</t>
    </r>
    <phoneticPr fontId="5" type="noConversion"/>
  </si>
  <si>
    <r>
      <rPr>
        <sz val="10"/>
        <color theme="1"/>
        <rFont val="宋体"/>
        <family val="3"/>
        <charset val="134"/>
      </rPr>
      <t>四级</t>
    </r>
    <phoneticPr fontId="5" type="noConversion"/>
  </si>
  <si>
    <r>
      <rPr>
        <sz val="10"/>
        <color theme="1"/>
        <rFont val="宋体"/>
        <family val="3"/>
        <charset val="134"/>
      </rPr>
      <t>五级</t>
    </r>
    <phoneticPr fontId="5" type="noConversion"/>
  </si>
  <si>
    <r>
      <rPr>
        <sz val="10"/>
        <color theme="1"/>
        <rFont val="宋体"/>
        <family val="3"/>
        <charset val="134"/>
      </rPr>
      <t>六级</t>
    </r>
    <phoneticPr fontId="5" type="noConversion"/>
  </si>
  <si>
    <r>
      <rPr>
        <sz val="10"/>
        <color theme="1"/>
        <rFont val="宋体"/>
        <family val="3"/>
        <charset val="134"/>
      </rPr>
      <t>七级</t>
    </r>
    <phoneticPr fontId="5" type="noConversion"/>
  </si>
  <si>
    <r>
      <rPr>
        <sz val="10"/>
        <color theme="1"/>
        <rFont val="宋体"/>
        <family val="3"/>
        <charset val="134"/>
      </rPr>
      <t>八级</t>
    </r>
    <phoneticPr fontId="5" type="noConversion"/>
  </si>
  <si>
    <r>
      <rPr>
        <sz val="10"/>
        <color theme="1"/>
        <rFont val="宋体"/>
        <family val="3"/>
        <charset val="134"/>
      </rPr>
      <t>九级</t>
    </r>
    <phoneticPr fontId="5" type="noConversion"/>
  </si>
  <si>
    <r>
      <rPr>
        <sz val="10"/>
        <color theme="1"/>
        <rFont val="宋体"/>
        <family val="3"/>
        <charset val="134"/>
      </rPr>
      <t>十级</t>
    </r>
    <phoneticPr fontId="5" type="noConversion"/>
  </si>
  <si>
    <r>
      <rPr>
        <sz val="10"/>
        <color theme="1"/>
        <rFont val="宋体"/>
        <family val="3"/>
        <charset val="134"/>
      </rPr>
      <t>十一级</t>
    </r>
    <phoneticPr fontId="5" type="noConversion"/>
  </si>
  <si>
    <r>
      <rPr>
        <sz val="10"/>
        <color theme="1"/>
        <rFont val="宋体"/>
        <family val="3"/>
        <charset val="134"/>
      </rPr>
      <t>十二级</t>
    </r>
    <phoneticPr fontId="5"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</si>
  <si>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5"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</si>
  <si>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5" type="noConversion"/>
  </si>
  <si>
    <r>
      <rPr>
        <sz val="10"/>
        <rFont val="宋体"/>
        <family val="3"/>
        <charset val="134"/>
      </rPr>
      <t>宗地容积率</t>
    </r>
    <r>
      <rPr>
        <sz val="10"/>
        <rFont val="Arial"/>
        <family val="2"/>
      </rPr>
      <t>R</t>
    </r>
    <phoneticPr fontId="5" type="noConversion"/>
  </si>
  <si>
    <r>
      <rPr>
        <sz val="10"/>
        <rFont val="宋体"/>
        <family val="3"/>
        <charset val="134"/>
      </rPr>
      <t>修正系数</t>
    </r>
    <phoneticPr fontId="5" type="noConversion"/>
  </si>
  <si>
    <r>
      <rPr>
        <sz val="10"/>
        <rFont val="宋体"/>
        <family val="3"/>
        <charset val="134"/>
      </rPr>
      <t>用途</t>
    </r>
    <phoneticPr fontId="5" type="noConversion"/>
  </si>
  <si>
    <r>
      <rPr>
        <sz val="10"/>
        <rFont val="宋体"/>
        <family val="3"/>
        <charset val="134"/>
      </rPr>
      <t>土地级别</t>
    </r>
    <phoneticPr fontId="5" type="noConversion"/>
  </si>
  <si>
    <r>
      <rPr>
        <sz val="10"/>
        <rFont val="宋体"/>
        <family val="3"/>
        <charset val="134"/>
      </rPr>
      <t>一级</t>
    </r>
    <phoneticPr fontId="5" type="noConversion"/>
  </si>
  <si>
    <r>
      <rPr>
        <sz val="10"/>
        <rFont val="宋体"/>
        <family val="3"/>
        <charset val="134"/>
      </rPr>
      <t>二级</t>
    </r>
    <phoneticPr fontId="5" type="noConversion"/>
  </si>
  <si>
    <r>
      <rPr>
        <sz val="10"/>
        <rFont val="宋体"/>
        <family val="3"/>
        <charset val="134"/>
      </rPr>
      <t>三级</t>
    </r>
    <phoneticPr fontId="5" type="noConversion"/>
  </si>
  <si>
    <r>
      <rPr>
        <sz val="10"/>
        <rFont val="宋体"/>
        <family val="3"/>
        <charset val="134"/>
      </rPr>
      <t>四级</t>
    </r>
    <phoneticPr fontId="5" type="noConversion"/>
  </si>
  <si>
    <r>
      <rPr>
        <sz val="10"/>
        <rFont val="宋体"/>
        <family val="3"/>
        <charset val="134"/>
      </rPr>
      <t>五级</t>
    </r>
    <phoneticPr fontId="5" type="noConversion"/>
  </si>
  <si>
    <r>
      <rPr>
        <sz val="10"/>
        <rFont val="宋体"/>
        <family val="3"/>
        <charset val="134"/>
      </rPr>
      <t>六级</t>
    </r>
    <phoneticPr fontId="5" type="noConversion"/>
  </si>
  <si>
    <r>
      <rPr>
        <sz val="10"/>
        <rFont val="宋体"/>
        <family val="3"/>
        <charset val="134"/>
      </rPr>
      <t>七级</t>
    </r>
    <phoneticPr fontId="5" type="noConversion"/>
  </si>
  <si>
    <r>
      <rPr>
        <sz val="10"/>
        <rFont val="宋体"/>
        <family val="3"/>
        <charset val="134"/>
      </rPr>
      <t>八级</t>
    </r>
    <phoneticPr fontId="5" type="noConversion"/>
  </si>
  <si>
    <r>
      <rPr>
        <sz val="10"/>
        <rFont val="宋体"/>
        <family val="3"/>
        <charset val="134"/>
      </rPr>
      <t>九级</t>
    </r>
    <phoneticPr fontId="5" type="noConversion"/>
  </si>
  <si>
    <r>
      <rPr>
        <sz val="10"/>
        <rFont val="宋体"/>
        <family val="3"/>
        <charset val="134"/>
      </rPr>
      <t>十级</t>
    </r>
    <phoneticPr fontId="5" type="noConversion"/>
  </si>
  <si>
    <r>
      <rPr>
        <sz val="10"/>
        <rFont val="宋体"/>
        <family val="3"/>
        <charset val="134"/>
      </rPr>
      <t>十一级</t>
    </r>
    <phoneticPr fontId="5" type="noConversion"/>
  </si>
  <si>
    <r>
      <rPr>
        <sz val="10"/>
        <rFont val="宋体"/>
        <family val="3"/>
        <charset val="134"/>
      </rPr>
      <t>十二级</t>
    </r>
    <phoneticPr fontId="5" type="noConversion"/>
  </si>
  <si>
    <r>
      <rPr>
        <sz val="10"/>
        <rFont val="宋体"/>
        <family val="3"/>
        <charset val="134"/>
      </rPr>
      <t>商业</t>
    </r>
    <phoneticPr fontId="5" type="noConversion"/>
  </si>
  <si>
    <r>
      <rPr>
        <sz val="10"/>
        <rFont val="宋体"/>
        <family val="3"/>
        <charset val="134"/>
      </rPr>
      <t>办公</t>
    </r>
    <phoneticPr fontId="5" type="noConversion"/>
  </si>
  <si>
    <r>
      <rPr>
        <sz val="10"/>
        <rFont val="宋体"/>
        <family val="3"/>
        <charset val="134"/>
      </rPr>
      <t>住宅</t>
    </r>
    <phoneticPr fontId="5" type="noConversion"/>
  </si>
  <si>
    <r>
      <rPr>
        <sz val="10"/>
        <rFont val="宋体"/>
        <family val="3"/>
        <charset val="134"/>
      </rPr>
      <t>工业</t>
    </r>
    <phoneticPr fontId="5"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</si>
  <si>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</si>
  <si>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</si>
  <si>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</si>
  <si>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</si>
  <si>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</si>
  <si>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</si>
  <si>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</si>
  <si>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</si>
  <si>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</si>
  <si>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</si>
  <si>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</si>
  <si>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</si>
  <si>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</si>
  <si>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</si>
  <si>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</si>
  <si>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</si>
  <si>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</si>
  <si>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</si>
  <si>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</si>
  <si>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8" type="noConversion"/>
  </si>
  <si>
    <t>承租人权益价值（单套）</t>
    <phoneticPr fontId="5" type="noConversion"/>
  </si>
  <si>
    <t>万元</t>
    <phoneticPr fontId="139" type="noConversion"/>
  </si>
  <si>
    <t>元/平方米</t>
  </si>
  <si>
    <t>2022-2</t>
    <phoneticPr fontId="5" type="noConversion"/>
  </si>
  <si>
    <t>需转化为价格</t>
    <phoneticPr fontId="136" type="noConversion"/>
  </si>
  <si>
    <t>租金</t>
    <phoneticPr fontId="136" type="noConversion"/>
  </si>
  <si>
    <t>直接资本化率</t>
    <phoneticPr fontId="136" type="noConversion"/>
  </si>
  <si>
    <t>需考虑建筑物残值</t>
  </si>
  <si>
    <t>2022-3</t>
    <phoneticPr fontId="136" type="noConversion"/>
  </si>
  <si>
    <t>2022-2</t>
    <phoneticPr fontId="5" type="noConversion"/>
  </si>
  <si>
    <t>2022-1</t>
    <phoneticPr fontId="5" type="noConversion"/>
  </si>
  <si>
    <t>2022-4</t>
    <phoneticPr fontId="5" type="noConversion"/>
  </si>
  <si>
    <t>2022-3</t>
    <phoneticPr fontId="5" type="noConversion"/>
  </si>
  <si>
    <t>2022-3</t>
    <phoneticPr fontId="5" type="noConversion"/>
  </si>
  <si>
    <t>2022-4</t>
    <phoneticPr fontId="5" type="noConversion"/>
  </si>
  <si>
    <t>2023-1</t>
    <phoneticPr fontId="5" type="noConversion"/>
  </si>
  <si>
    <t>2023-2</t>
    <phoneticPr fontId="5" type="noConversion"/>
  </si>
  <si>
    <t>2023-2</t>
    <phoneticPr fontId="5" type="noConversion"/>
  </si>
  <si>
    <t>2023-3</t>
    <phoneticPr fontId="5" type="noConversion"/>
  </si>
  <si>
    <t>2023-4</t>
    <phoneticPr fontId="5" type="noConversion"/>
  </si>
  <si>
    <t>2023-4</t>
    <phoneticPr fontId="5" type="noConversion"/>
  </si>
  <si>
    <t>2024-3</t>
    <phoneticPr fontId="5" type="noConversion"/>
  </si>
  <si>
    <t>2024-1</t>
    <phoneticPr fontId="5" type="noConversion"/>
  </si>
  <si>
    <t>2024-1</t>
    <phoneticPr fontId="5" type="noConversion"/>
  </si>
  <si>
    <t>2024-2</t>
    <phoneticPr fontId="5" type="noConversion"/>
  </si>
  <si>
    <t>2024-2</t>
    <phoneticPr fontId="5" type="noConversion"/>
  </si>
  <si>
    <t>公示增长率-城六区</t>
    <phoneticPr fontId="144" type="noConversion"/>
  </si>
  <si>
    <t>公示增长率-规划新城</t>
    <phoneticPr fontId="144" type="noConversion"/>
  </si>
  <si>
    <r>
      <t>非中心城区：除城六区外其余十一区，即</t>
    </r>
    <r>
      <rPr>
        <sz val="10"/>
        <rFont val="楷体_GB2312"/>
        <family val="3"/>
        <charset val="134"/>
      </rPr>
      <t>规划新城</t>
    </r>
    <phoneticPr fontId="144"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</si>
  <si>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4" type="noConversion"/>
  </si>
  <si>
    <t>2024-3</t>
    <phoneticPr fontId="5" type="noConversion"/>
  </si>
  <si>
    <r>
      <rPr>
        <sz val="10"/>
        <color rgb="FFFF0000"/>
        <rFont val="楷体_GB2312"/>
        <family val="3"/>
        <charset val="134"/>
      </rPr>
      <t>范围：5</t>
    </r>
    <r>
      <rPr>
        <sz val="10"/>
        <color rgb="FFFF0000"/>
        <rFont val="Arial"/>
        <family val="2"/>
      </rPr>
      <t>%-10%</t>
    </r>
    <phoneticPr fontId="5"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</si>
  <si>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5"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</si>
  <si>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5"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</si>
  <si>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5" type="noConversion"/>
  </si>
  <si>
    <t>建安计算</t>
    <phoneticPr fontId="136" type="noConversion"/>
  </si>
  <si>
    <t>项目</t>
    <phoneticPr fontId="136" type="noConversion"/>
  </si>
  <si>
    <t>面积</t>
    <phoneticPr fontId="136" type="noConversion"/>
  </si>
  <si>
    <t>单价</t>
    <phoneticPr fontId="136" type="noConversion"/>
  </si>
  <si>
    <t>总额</t>
    <phoneticPr fontId="136" type="noConversion"/>
  </si>
  <si>
    <t>主体</t>
    <phoneticPr fontId="136" type="noConversion"/>
  </si>
  <si>
    <t>地上</t>
    <phoneticPr fontId="136" type="noConversion"/>
  </si>
  <si>
    <t>地下</t>
    <phoneticPr fontId="136" type="noConversion"/>
  </si>
  <si>
    <t>设备</t>
    <phoneticPr fontId="136" type="noConversion"/>
  </si>
  <si>
    <t>装修</t>
    <phoneticPr fontId="136" type="noConversion"/>
  </si>
  <si>
    <t>综合</t>
    <phoneticPr fontId="136" type="noConversion"/>
  </si>
  <si>
    <t>室外工程</t>
    <phoneticPr fontId="136" type="noConversion"/>
  </si>
  <si>
    <t>人防工程</t>
    <phoneticPr fontId="136" type="noConversion"/>
  </si>
  <si>
    <t>合计</t>
    <phoneticPr fontId="136" type="noConversion"/>
  </si>
  <si>
    <r>
      <rPr>
        <sz val="10"/>
        <color rgb="FFFF0000"/>
        <rFont val="楷体_GB2312"/>
        <family val="3"/>
        <charset val="134"/>
      </rPr>
      <t>变化：</t>
    </r>
    <r>
      <rPr>
        <sz val="10"/>
        <color rgb="FFFF0000"/>
        <rFont val="Arial"/>
        <family val="2"/>
      </rPr>
      <t>2%-3%</t>
    </r>
    <phoneticPr fontId="5" type="noConversion"/>
  </si>
  <si>
    <t>2025-2</t>
    <phoneticPr fontId="5" type="noConversion"/>
  </si>
  <si>
    <t>2025-3</t>
    <phoneticPr fontId="5" type="noConversion"/>
  </si>
  <si>
    <t>2025-4</t>
    <phoneticPr fontId="5" type="noConversion"/>
  </si>
  <si>
    <t>平均</t>
  </si>
  <si>
    <t>住宅</t>
  </si>
  <si>
    <t>公共服务</t>
  </si>
  <si>
    <t>2025-1</t>
    <phoneticPr fontId="5" type="noConversion"/>
  </si>
  <si>
    <t>2024-4</t>
    <phoneticPr fontId="5" type="noConversion"/>
  </si>
  <si>
    <t>2025-1</t>
    <phoneticPr fontId="5" type="noConversion"/>
  </si>
  <si>
    <t>2025-2</t>
    <phoneticPr fontId="5" type="noConversion"/>
  </si>
  <si>
    <r>
      <t>3</t>
    </r>
    <r>
      <rPr>
        <sz val="11"/>
        <color theme="1"/>
        <rFont val="宋体"/>
        <family val="3"/>
        <charset val="134"/>
        <scheme val="minor"/>
      </rPr>
      <t>#</t>
    </r>
    <phoneticPr fontId="136" type="noConversion"/>
  </si>
  <si>
    <t>挖土方</t>
    <phoneticPr fontId="136" type="noConversion"/>
  </si>
  <si>
    <t>单位</t>
    <phoneticPr fontId="136" type="noConversion"/>
  </si>
  <si>
    <t>m³</t>
    <phoneticPr fontId="136" type="noConversion"/>
  </si>
  <si>
    <t>工程量</t>
    <phoneticPr fontId="136" type="noConversion"/>
  </si>
  <si>
    <t>定额单价</t>
    <phoneticPr fontId="136" type="noConversion"/>
  </si>
  <si>
    <t>基底面积</t>
    <phoneticPr fontId="136" type="noConversion"/>
  </si>
  <si>
    <t>墙高</t>
    <phoneticPr fontId="136" type="noConversion"/>
  </si>
  <si>
    <t>内墙-砌筑</t>
    <phoneticPr fontId="136" type="noConversion"/>
  </si>
  <si>
    <t>外墙厚-混凝土</t>
    <phoneticPr fontId="136" type="noConversion"/>
  </si>
  <si>
    <t>造价</t>
    <phoneticPr fontId="136" type="noConversion"/>
  </si>
  <si>
    <t>土方回填（仅车位后半部分）</t>
    <phoneticPr fontId="136" type="noConversion"/>
  </si>
  <si>
    <t>底板立面防水（地板周长×墙高）</t>
    <phoneticPr fontId="136" type="noConversion"/>
  </si>
  <si>
    <t>㎡</t>
    <phoneticPr fontId="136" type="noConversion"/>
  </si>
  <si>
    <t>地面防水（基底面积）</t>
    <phoneticPr fontId="136" type="noConversion"/>
  </si>
  <si>
    <t>外墙-混凝土模板（墙长×高）</t>
    <phoneticPr fontId="136" type="noConversion"/>
  </si>
  <si>
    <t>外墙-混凝土浇筑（墙长×高×厚）</t>
    <phoneticPr fontId="136" type="noConversion"/>
  </si>
  <si>
    <t>内墙厚</t>
    <phoneticPr fontId="136" type="noConversion"/>
  </si>
  <si>
    <t>内墙-混凝土浇筑</t>
    <phoneticPr fontId="136" type="noConversion"/>
  </si>
  <si>
    <t>内墙-混凝土浇筑模板</t>
    <phoneticPr fontId="136" type="noConversion"/>
  </si>
  <si>
    <t>窗户</t>
    <phoneticPr fontId="136" type="noConversion"/>
  </si>
  <si>
    <t>塑钢窗</t>
    <phoneticPr fontId="136" type="noConversion"/>
  </si>
  <si>
    <t>铝合金</t>
    <phoneticPr fontId="136" type="noConversion"/>
  </si>
  <si>
    <t>断桥铝</t>
    <phoneticPr fontId="136" type="noConversion"/>
  </si>
  <si>
    <t>项</t>
    <phoneticPr fontId="136" type="noConversion"/>
  </si>
  <si>
    <t>安装-预埋管（给排水）</t>
    <phoneticPr fontId="136" type="noConversion"/>
  </si>
  <si>
    <t>安装-预埋管（电路）</t>
    <phoneticPr fontId="136" type="noConversion"/>
  </si>
  <si>
    <t>措施费</t>
    <phoneticPr fontId="136" type="noConversion"/>
  </si>
  <si>
    <t>其他：</t>
  </si>
  <si>
    <t>自然人</t>
  </si>
  <si>
    <t>房地产市场价值</t>
  </si>
  <si>
    <t>核定资产</t>
  </si>
  <si>
    <t>编号</t>
    <phoneticPr fontId="136" type="noConversion"/>
  </si>
  <si>
    <t>区域</t>
    <phoneticPr fontId="136" type="noConversion"/>
  </si>
  <si>
    <t>地址</t>
    <phoneticPr fontId="136" type="noConversion"/>
  </si>
  <si>
    <t>楼栋号</t>
    <phoneticPr fontId="136" type="noConversion"/>
  </si>
  <si>
    <t>房号</t>
    <phoneticPr fontId="136" type="noConversion"/>
  </si>
  <si>
    <t>规划楼栋号</t>
    <phoneticPr fontId="136" type="noConversion"/>
  </si>
  <si>
    <t>分摊土地面积</t>
    <phoneticPr fontId="136" type="noConversion"/>
  </si>
  <si>
    <t>1层建筑面积</t>
    <phoneticPr fontId="136" type="noConversion"/>
  </si>
  <si>
    <t>2层建筑面积</t>
    <phoneticPr fontId="136" type="noConversion"/>
  </si>
  <si>
    <t>3层建筑面积</t>
    <phoneticPr fontId="136" type="noConversion"/>
  </si>
  <si>
    <t>地上总建筑面积</t>
    <phoneticPr fontId="136" type="noConversion"/>
  </si>
  <si>
    <t>地下1层建筑面积</t>
    <phoneticPr fontId="136" type="noConversion"/>
  </si>
  <si>
    <t>地上地下总建筑面积</t>
    <phoneticPr fontId="136" type="noConversion"/>
  </si>
  <si>
    <t>上市时间</t>
  </si>
  <si>
    <t>成交日期</t>
    <phoneticPr fontId="136" type="noConversion"/>
  </si>
  <si>
    <t>成交金额(万元)</t>
  </si>
  <si>
    <t>成交单价(元/㎡)</t>
  </si>
  <si>
    <t>建筑类型</t>
    <phoneticPr fontId="136" type="noConversion"/>
  </si>
  <si>
    <t>备注</t>
    <phoneticPr fontId="136" type="noConversion"/>
  </si>
  <si>
    <t>A</t>
    <phoneticPr fontId="136" type="noConversion"/>
  </si>
  <si>
    <t>珠海市金湾区秀峰街88号</t>
    <phoneticPr fontId="136" type="noConversion"/>
  </si>
  <si>
    <t>独栋</t>
    <phoneticPr fontId="136" type="noConversion"/>
  </si>
  <si>
    <t>B</t>
    <phoneticPr fontId="136" type="noConversion"/>
  </si>
  <si>
    <t>价格偏高</t>
    <phoneticPr fontId="136" type="noConversion"/>
  </si>
  <si>
    <t>联排？</t>
    <phoneticPr fontId="136" type="noConversion"/>
  </si>
  <si>
    <t>73栋</t>
    <phoneticPr fontId="136" type="noConversion"/>
  </si>
  <si>
    <t>价格偏低</t>
    <phoneticPr fontId="136" type="noConversion"/>
  </si>
  <si>
    <t>是</t>
  </si>
  <si>
    <t>地上</t>
  </si>
  <si>
    <t>地下</t>
  </si>
  <si>
    <r>
      <t>1</t>
    </r>
    <r>
      <rPr>
        <sz val="10"/>
        <color indexed="8"/>
        <rFont val="宋体"/>
        <family val="3"/>
        <charset val="134"/>
      </rPr>
      <t>层</t>
    </r>
    <phoneticPr fontId="5" type="noConversion"/>
  </si>
  <si>
    <r>
      <t>2</t>
    </r>
    <r>
      <rPr>
        <sz val="10"/>
        <color indexed="8"/>
        <rFont val="宋体"/>
        <family val="3"/>
        <charset val="134"/>
      </rPr>
      <t>层</t>
    </r>
    <phoneticPr fontId="5" type="noConversion"/>
  </si>
  <si>
    <r>
      <rPr>
        <sz val="10"/>
        <color indexed="8"/>
        <rFont val="宋体"/>
        <family val="3"/>
        <charset val="134"/>
      </rPr>
      <t>地下</t>
    </r>
    <r>
      <rPr>
        <sz val="10"/>
        <color indexed="8"/>
        <rFont val="Arial"/>
        <family val="2"/>
      </rPr>
      <t>1</t>
    </r>
    <r>
      <rPr>
        <sz val="10"/>
        <color indexed="8"/>
        <rFont val="宋体"/>
        <family val="3"/>
        <charset val="134"/>
      </rPr>
      <t>层</t>
    </r>
    <phoneticPr fontId="5" type="noConversion"/>
  </si>
  <si>
    <t>地下1层</t>
    <phoneticPr fontId="9" type="noConversion"/>
  </si>
  <si>
    <t>日照</t>
    <phoneticPr fontId="136" type="noConversion"/>
  </si>
  <si>
    <t>采光</t>
    <phoneticPr fontId="136" type="noConversion"/>
  </si>
  <si>
    <t>景观</t>
    <phoneticPr fontId="136" type="noConversion"/>
  </si>
  <si>
    <t>通风</t>
    <phoneticPr fontId="136" type="noConversion"/>
  </si>
  <si>
    <t>层高</t>
    <phoneticPr fontId="136" type="noConversion"/>
  </si>
  <si>
    <t>面宽</t>
    <phoneticPr fontId="136" type="noConversion"/>
  </si>
  <si>
    <t>进深</t>
    <phoneticPr fontId="136" type="noConversion"/>
  </si>
  <si>
    <t>共计182.75</t>
    <phoneticPr fontId="136" type="noConversion"/>
  </si>
  <si>
    <t>最低</t>
    <phoneticPr fontId="136" type="noConversion"/>
  </si>
  <si>
    <t>最高</t>
    <phoneticPr fontId="136" type="noConversion"/>
  </si>
  <si>
    <t>珠海市住房和城乡建设局</t>
  </si>
  <si>
    <r>
      <t>2</t>
    </r>
    <r>
      <rPr>
        <sz val="11"/>
        <color theme="1"/>
        <rFont val="宋体"/>
        <family val="3"/>
        <charset val="134"/>
        <scheme val="minor"/>
      </rPr>
      <t>022年城市基础设施费</t>
    </r>
    <phoneticPr fontId="136" type="noConversion"/>
  </si>
  <si>
    <r>
      <t>2</t>
    </r>
    <r>
      <rPr>
        <sz val="11"/>
        <color theme="1"/>
        <rFont val="宋体"/>
        <family val="3"/>
        <charset val="134"/>
        <scheme val="minor"/>
      </rPr>
      <t>024年城市基础设施配套费</t>
    </r>
    <phoneticPr fontId="136" type="noConversion"/>
  </si>
  <si>
    <r>
      <t>2</t>
    </r>
    <r>
      <rPr>
        <sz val="11"/>
        <color theme="1"/>
        <rFont val="宋体"/>
        <family val="3"/>
        <charset val="134"/>
        <scheme val="minor"/>
      </rPr>
      <t>020年城市基础设施配套费</t>
    </r>
    <phoneticPr fontId="136" type="noConversion"/>
  </si>
  <si>
    <t>珠海市自然资源局关于公布珠海市国有建设用地标定地价（2024年）的通知（珠自然资函〔2024〕146号）</t>
  </si>
  <si>
    <r>
      <t>2</t>
    </r>
    <r>
      <rPr>
        <sz val="11"/>
        <color theme="1"/>
        <rFont val="宋体"/>
        <family val="3"/>
        <charset val="134"/>
        <scheme val="minor"/>
      </rPr>
      <t>024标定地价</t>
    </r>
    <phoneticPr fontId="136" type="noConversion"/>
  </si>
  <si>
    <t>【有效】珠海市人民政府关于公布珠海市国有建设用地使用权基准地价的通知</t>
  </si>
  <si>
    <r>
      <t>2</t>
    </r>
    <r>
      <rPr>
        <sz val="11"/>
        <color theme="1"/>
        <rFont val="宋体"/>
        <family val="3"/>
        <charset val="134"/>
        <scheme val="minor"/>
      </rPr>
      <t>021年基准地价</t>
    </r>
    <phoneticPr fontId="136" type="noConversion"/>
  </si>
  <si>
    <t>楼层</t>
    <phoneticPr fontId="136" type="noConversion"/>
  </si>
  <si>
    <t>朝向</t>
    <phoneticPr fontId="136" type="noConversion"/>
  </si>
  <si>
    <t>特殊情况</t>
    <phoneticPr fontId="136" type="noConversion"/>
  </si>
  <si>
    <t>景观（山、湖、海、湿地、果岭）</t>
    <phoneticPr fontId="136" type="noConversion"/>
  </si>
  <si>
    <r>
      <t>1</t>
    </r>
    <r>
      <rPr>
        <sz val="11"/>
        <color theme="1"/>
        <rFont val="宋体"/>
        <family val="3"/>
        <charset val="134"/>
        <scheme val="minor"/>
      </rPr>
      <t>0栋</t>
    </r>
    <phoneticPr fontId="136" type="noConversion"/>
  </si>
  <si>
    <t>标定地价</t>
    <phoneticPr fontId="136" type="noConversion"/>
  </si>
  <si>
    <r>
      <t>5</t>
    </r>
    <r>
      <rPr>
        <sz val="11"/>
        <color theme="1"/>
        <rFont val="宋体"/>
        <family val="3"/>
        <charset val="134"/>
        <scheme val="minor"/>
      </rPr>
      <t>5号</t>
    </r>
    <phoneticPr fontId="136" type="noConversion"/>
  </si>
  <si>
    <t>金湾区西湖湿地国际花园项目二期2-02地块</t>
    <phoneticPr fontId="136" type="noConversion"/>
  </si>
  <si>
    <t>商住混合用地</t>
  </si>
  <si>
    <t>六通一平</t>
    <phoneticPr fontId="136" type="noConversion"/>
  </si>
  <si>
    <t>40/70</t>
    <phoneticPr fontId="136" type="noConversion"/>
  </si>
  <si>
    <r>
      <t>商业4级、住宅</t>
    </r>
    <r>
      <rPr>
        <sz val="11"/>
        <color theme="1"/>
        <rFont val="宋体"/>
        <family val="3"/>
        <charset val="134"/>
        <scheme val="minor"/>
      </rPr>
      <t>4级</t>
    </r>
    <phoneticPr fontId="136" type="noConversion"/>
  </si>
  <si>
    <t>位置</t>
    <phoneticPr fontId="136" type="noConversion"/>
  </si>
  <si>
    <t>土地面积</t>
    <phoneticPr fontId="136" type="noConversion"/>
  </si>
  <si>
    <t>容积率</t>
    <phoneticPr fontId="136" type="noConversion"/>
  </si>
  <si>
    <t>开发程度</t>
    <phoneticPr fontId="136" type="noConversion"/>
  </si>
  <si>
    <t>使用年期</t>
    <phoneticPr fontId="136" type="noConversion"/>
  </si>
  <si>
    <t>商业占比</t>
    <phoneticPr fontId="136" type="noConversion"/>
  </si>
  <si>
    <t>住宅占比</t>
    <phoneticPr fontId="136" type="noConversion"/>
  </si>
  <si>
    <t>地面价</t>
    <phoneticPr fontId="136" type="noConversion"/>
  </si>
  <si>
    <t>楼面价</t>
    <phoneticPr fontId="136" type="noConversion"/>
  </si>
  <si>
    <t>地级</t>
    <phoneticPr fontId="136" type="noConversion"/>
  </si>
  <si>
    <t>商业楼面地价</t>
    <phoneticPr fontId="136" type="noConversion"/>
  </si>
  <si>
    <t>住宅楼面地价</t>
    <phoneticPr fontId="136" type="noConversion"/>
  </si>
  <si>
    <r>
      <t>5</t>
    </r>
    <r>
      <rPr>
        <sz val="11"/>
        <color theme="1"/>
        <rFont val="宋体"/>
        <family val="3"/>
        <charset val="134"/>
        <scheme val="minor"/>
      </rPr>
      <t>3号</t>
    </r>
    <phoneticPr fontId="136" type="noConversion"/>
  </si>
  <si>
    <t>时代山湖海</t>
    <phoneticPr fontId="136" type="noConversion"/>
  </si>
  <si>
    <r>
      <t>6</t>
    </r>
    <r>
      <rPr>
        <sz val="11"/>
        <color theme="1"/>
        <rFont val="宋体"/>
        <family val="3"/>
        <charset val="134"/>
        <scheme val="minor"/>
      </rPr>
      <t>5号</t>
    </r>
    <phoneticPr fontId="136" type="noConversion"/>
  </si>
  <si>
    <t>中海湖畔岚庭</t>
    <phoneticPr fontId="136" type="noConversion"/>
  </si>
  <si>
    <t>商业5级、住宅6级</t>
    <phoneticPr fontId="136" type="noConversion"/>
  </si>
  <si>
    <t>交易情况修正</t>
    <phoneticPr fontId="136" type="noConversion"/>
  </si>
  <si>
    <t>估价对象</t>
    <phoneticPr fontId="136" type="noConversion"/>
  </si>
  <si>
    <t>期日修正</t>
    <phoneticPr fontId="136" type="noConversion"/>
  </si>
  <si>
    <t>珠海市自然资源局网站</t>
  </si>
  <si>
    <r>
      <t>2</t>
    </r>
    <r>
      <rPr>
        <sz val="11"/>
        <color theme="1"/>
        <rFont val="宋体"/>
        <family val="3"/>
        <charset val="134"/>
        <scheme val="minor"/>
      </rPr>
      <t>024-1</t>
    </r>
    <phoneticPr fontId="136" type="noConversion"/>
  </si>
  <si>
    <r>
      <t>2</t>
    </r>
    <r>
      <rPr>
        <sz val="11"/>
        <color theme="1"/>
        <rFont val="宋体"/>
        <family val="3"/>
        <charset val="134"/>
        <scheme val="minor"/>
      </rPr>
      <t>024-2</t>
    </r>
    <phoneticPr fontId="136" type="noConversion"/>
  </si>
  <si>
    <r>
      <t>2</t>
    </r>
    <r>
      <rPr>
        <sz val="11"/>
        <color theme="1"/>
        <rFont val="宋体"/>
        <family val="3"/>
        <charset val="134"/>
        <scheme val="minor"/>
      </rPr>
      <t>024-3</t>
    </r>
    <phoneticPr fontId="136" type="noConversion"/>
  </si>
  <si>
    <r>
      <t>2</t>
    </r>
    <r>
      <rPr>
        <sz val="11"/>
        <color theme="1"/>
        <rFont val="宋体"/>
        <family val="3"/>
        <charset val="134"/>
        <scheme val="minor"/>
      </rPr>
      <t>024-4</t>
    </r>
    <phoneticPr fontId="136" type="noConversion"/>
  </si>
  <si>
    <r>
      <t>2</t>
    </r>
    <r>
      <rPr>
        <sz val="11"/>
        <color theme="1"/>
        <rFont val="宋体"/>
        <family val="3"/>
        <charset val="134"/>
        <scheme val="minor"/>
      </rPr>
      <t>025-1</t>
    </r>
    <phoneticPr fontId="136" type="noConversion"/>
  </si>
  <si>
    <t>容积率修正</t>
    <phoneticPr fontId="136" type="noConversion"/>
  </si>
  <si>
    <t>容积率</t>
  </si>
  <si>
    <r>
      <t>1</t>
    </r>
    <r>
      <rPr>
        <sz val="11"/>
        <color theme="1"/>
        <rFont val="宋体"/>
        <family val="3"/>
        <charset val="134"/>
        <scheme val="minor"/>
      </rPr>
      <t>.76</t>
    </r>
    <phoneticPr fontId="136" type="noConversion"/>
  </si>
  <si>
    <r>
      <t>1</t>
    </r>
    <r>
      <rPr>
        <sz val="11"/>
        <color theme="1"/>
        <rFont val="宋体"/>
        <family val="3"/>
        <charset val="134"/>
        <scheme val="minor"/>
      </rPr>
      <t>.7</t>
    </r>
    <phoneticPr fontId="136" type="noConversion"/>
  </si>
  <si>
    <r>
      <t>1</t>
    </r>
    <r>
      <rPr>
        <sz val="11"/>
        <color theme="1"/>
        <rFont val="宋体"/>
        <family val="3"/>
        <charset val="134"/>
        <scheme val="minor"/>
      </rPr>
      <t>.8</t>
    </r>
    <phoneticPr fontId="136" type="noConversion"/>
  </si>
  <si>
    <t>公共配套修正</t>
    <phoneticPr fontId="136" type="noConversion"/>
  </si>
  <si>
    <t>宗地形状</t>
    <phoneticPr fontId="136" type="noConversion"/>
  </si>
  <si>
    <t>宗地面积</t>
    <phoneticPr fontId="136" type="noConversion"/>
  </si>
  <si>
    <t>地势</t>
    <phoneticPr fontId="136" type="noConversion"/>
  </si>
  <si>
    <t>环境条件</t>
    <phoneticPr fontId="136" type="noConversion"/>
  </si>
  <si>
    <t>临海岸线</t>
    <phoneticPr fontId="136" type="noConversion"/>
  </si>
  <si>
    <t>个别因素修正</t>
    <phoneticPr fontId="136" type="noConversion"/>
  </si>
  <si>
    <t>宗地地基承载力</t>
    <phoneticPr fontId="136" type="noConversion"/>
  </si>
  <si>
    <t>土地开发程度</t>
    <phoneticPr fontId="136" type="noConversion"/>
  </si>
  <si>
    <t>金湾区西湖湿地国际花园项目二期4-02地块</t>
    <phoneticPr fontId="136" type="noConversion"/>
  </si>
  <si>
    <t>使用年期修正</t>
    <phoneticPr fontId="136" type="noConversion"/>
  </si>
  <si>
    <t>楼面地价</t>
    <phoneticPr fontId="136" type="noConversion"/>
  </si>
  <si>
    <t>地下一层</t>
    <phoneticPr fontId="136" type="noConversion"/>
  </si>
  <si>
    <t>未包含在土地购买价格中</t>
  </si>
  <si>
    <t>已包含在土地取得成本中</t>
  </si>
  <si>
    <t>地块名称</t>
  </si>
  <si>
    <t>地块编号</t>
  </si>
  <si>
    <t>建设用地面积(㎡)</t>
  </si>
  <si>
    <t>规划建筑面积(㎡)</t>
  </si>
  <si>
    <t>用地性质</t>
  </si>
  <si>
    <t>详细规划</t>
  </si>
  <si>
    <t>容积率上限</t>
  </si>
  <si>
    <t>出让方式</t>
  </si>
  <si>
    <t>截止时间</t>
  </si>
  <si>
    <t>成交时间</t>
  </si>
  <si>
    <t>交易状态</t>
  </si>
  <si>
    <t>受让单位</t>
  </si>
  <si>
    <t>起始价(万元)</t>
  </si>
  <si>
    <t>保证金(万元)</t>
  </si>
  <si>
    <t>成交价(万元)</t>
  </si>
  <si>
    <t>成交楼面价(元/㎡)</t>
  </si>
  <si>
    <t>溢价率(%)</t>
  </si>
  <si>
    <t>金湾区金铭东路北侧、金城路东侧</t>
  </si>
  <si>
    <t>珠自然资储2024-09</t>
  </si>
  <si>
    <t>住宅用地</t>
  </si>
  <si>
    <t>普通商品住房用地(二类)</t>
  </si>
  <si>
    <t>1.000&lt;并且≤2.190</t>
  </si>
  <si>
    <t>挂牌</t>
  </si>
  <si>
    <t>已成交</t>
  </si>
  <si>
    <t>珠海兴格西部城市发展有限公司</t>
  </si>
  <si>
    <t>金湾区南水镇南港中路西北侧、南港五街西南侧</t>
  </si>
  <si>
    <t>珠自然资储2023-18</t>
  </si>
  <si>
    <t>保障性租赁住房</t>
  </si>
  <si>
    <t>1.000&lt; 并且 ≤2.500</t>
  </si>
  <si>
    <t>珠海格创投资控股有限公司</t>
  </si>
  <si>
    <t>金湾区三灶镇滨海商务区联珠路东侧、金腾路南侧</t>
  </si>
  <si>
    <t>珠自然资储2023-10</t>
  </si>
  <si>
    <t>城镇住宅-普通商品住房用地</t>
  </si>
  <si>
    <t>1.000&lt; 并且 &lt;2.930</t>
  </si>
  <si>
    <t>珠海华裕开发建设有限公司</t>
  </si>
  <si>
    <t>金湾区三灶镇滨海商务区联珠路东侧、恒星路南侧</t>
  </si>
  <si>
    <t>珠自然资储2023-09</t>
  </si>
  <si>
    <t>金湾区金瀚路南侧、金鹏路西侧</t>
  </si>
  <si>
    <t>珠自然资储2021-16(交易序号:21074)</t>
  </si>
  <si>
    <t>大于1并且小于或等于1.97</t>
  </si>
  <si>
    <t>珠海兴格城市发展有限公司</t>
  </si>
  <si>
    <t>金湾区白龙路西侧、丹凤二路北侧</t>
  </si>
  <si>
    <t>珠自然资储2021-18(交易序号:21068)</t>
  </si>
  <si>
    <t>大于1并且小于或等于2</t>
  </si>
  <si>
    <t>南光置业有限公司</t>
  </si>
  <si>
    <t>金湾区龙湖路西侧、丹凤二路北侧</t>
  </si>
  <si>
    <t>交易序号:21067</t>
  </si>
  <si>
    <t>二类居住</t>
  </si>
  <si>
    <t>≤约2.0且&gt;1.0</t>
  </si>
  <si>
    <t>金湾区金水路北侧、番怡南路西侧</t>
  </si>
  <si>
    <t>珠自然资储2020-42(交易序号:20254)</t>
  </si>
  <si>
    <t>大于1并且小于或等于1.87</t>
  </si>
  <si>
    <t>广州市新瑞企业管理有限公司</t>
  </si>
  <si>
    <t>金湾区珠海大道南侧、机场北路西侧</t>
  </si>
  <si>
    <t>珠自然资储2020-40(交易序号:20246)</t>
  </si>
  <si>
    <t>大于1并且小于或等于2.05</t>
  </si>
  <si>
    <t>中国铁建投资集团有限公司</t>
  </si>
  <si>
    <t>珠海市平沙镇庆平路东南侧、美华街东北侧</t>
  </si>
  <si>
    <t>珠自然资储2020-25</t>
  </si>
  <si>
    <t>大于1并且小于或等于1.27</t>
  </si>
  <si>
    <t>珠海市广拓置业有限公司</t>
  </si>
  <si>
    <t>金湾区金河东路北侧、金泓路西侧</t>
  </si>
  <si>
    <t>珠自然资储2020-22(交易序号:20074)</t>
  </si>
  <si>
    <t>城镇住宅用地</t>
  </si>
  <si>
    <t>大于1并且小于或等于2.1</t>
  </si>
  <si>
    <t>中山市卓跃置业有限公司</t>
  </si>
  <si>
    <t>金湾区丹凤四路北侧、龙湖路西侧</t>
  </si>
  <si>
    <t>珠自然资储2020-20(交易序号:20067)</t>
  </si>
  <si>
    <t>大于1并且小于或等于1.58</t>
  </si>
  <si>
    <t>珠海万科发展有限公司</t>
  </si>
  <si>
    <t>金湾区天豁路南侧、龙湖路西侧</t>
  </si>
  <si>
    <t>珠自然资储2020-18(交易序号:20065)</t>
  </si>
  <si>
    <t>大于1并且小于或等于1.7</t>
  </si>
  <si>
    <t>南光(横琴)置业有限公司</t>
  </si>
  <si>
    <t>金湾区双湖路西侧、金铭东路北侧</t>
  </si>
  <si>
    <t>珠自然资储2019-44</t>
  </si>
  <si>
    <t>大于1并且小于或等于2.23</t>
  </si>
  <si>
    <t>上海鹏炽实业发展有限公司</t>
  </si>
  <si>
    <t>金湾区金河东路南侧、金辉路西侧</t>
  </si>
  <si>
    <t>珠自然资储2019-42(交易序号:19173)</t>
  </si>
  <si>
    <t>大于1并且小于或等于2.39</t>
  </si>
  <si>
    <t>吉林天茂置业集团有限公司</t>
  </si>
  <si>
    <t>珠海市平沙镇升平大道南侧、庆平路北侧</t>
  </si>
  <si>
    <t>珠自然资储2019-35(交易序号:19150)</t>
  </si>
  <si>
    <t>大于1并且小于或等于1.99</t>
  </si>
  <si>
    <t>珠海九控房地产有限公司</t>
  </si>
  <si>
    <t>珠海市平沙镇美平三街东侧、平南路北侧</t>
  </si>
  <si>
    <t>珠自然资储2019-38(交易序号:19170)</t>
  </si>
  <si>
    <t>大于1并且小于或等于2.8</t>
  </si>
  <si>
    <t>珠海纳思达打印科技有限公司</t>
  </si>
  <si>
    <t>金湾区金河东路南侧、金泓路西侧</t>
  </si>
  <si>
    <t>珠自然资储2019-34(交易序号:19151)</t>
  </si>
  <si>
    <t>大于1并且小于或等于1.61</t>
  </si>
  <si>
    <t>金湾区金河东路南侧、金鑫路东侧</t>
  </si>
  <si>
    <t>珠自然资储2019-31号</t>
  </si>
  <si>
    <t>中海地产(珠海)有限公司</t>
  </si>
  <si>
    <t>金湾区顺达路东侧、金水路南侧</t>
  </si>
  <si>
    <t>珠自然资储2019-10</t>
  </si>
  <si>
    <t>&gt;1且≤1.29</t>
  </si>
  <si>
    <t>融创中国控股有限公司</t>
  </si>
  <si>
    <t>金湾区金河东路南侧</t>
  </si>
  <si>
    <t>珠自然资储2019-09号</t>
  </si>
  <si>
    <t>&gt;1且≤2</t>
  </si>
  <si>
    <t>珠海鹏瑞实业有限公司</t>
  </si>
  <si>
    <t>南水镇礼传路北侧、南港二路西侧</t>
  </si>
  <si>
    <t>珠自然资储2019-02号</t>
  </si>
  <si>
    <t>&gt;1且≤1.51</t>
  </si>
  <si>
    <t>珠海汇华置地投资有限公司</t>
  </si>
  <si>
    <t>金湾区红旗镇机场高速西侧、虹晖五路北侧</t>
  </si>
  <si>
    <t>珠国土储2017-48号</t>
  </si>
  <si>
    <t>公共租赁住房用地</t>
  </si>
  <si>
    <t>&gt;1且≤2.28</t>
  </si>
  <si>
    <t>珠海联港投资控股有限公司</t>
  </si>
  <si>
    <t>高栏港经济区平沙新城汇海路东北侧、邻善路东南侧</t>
  </si>
  <si>
    <t>珠国土储2017-13</t>
  </si>
  <si>
    <t>住宅及其服务设施用地</t>
  </si>
  <si>
    <t>&gt;1且≤2.5</t>
  </si>
  <si>
    <t>鹤山市共和碧桂园房地产开发有限公司</t>
  </si>
  <si>
    <t>高栏港经济区平沙新城汇海路东北侧、傍德路西北侧</t>
  </si>
  <si>
    <t>珠国土储2017-14</t>
  </si>
  <si>
    <t>保利粤东房地产开发有限公司</t>
  </si>
  <si>
    <t>珠海市平沙镇平东大道西侧</t>
  </si>
  <si>
    <t>珠国土储2017-07号</t>
  </si>
  <si>
    <t>二类住宅用地R21(台湾农民创业园配套住宅用地)</t>
  </si>
  <si>
    <t>&gt;1.0且≤1.5</t>
  </si>
  <si>
    <t>珠海台创园实业有限公司</t>
  </si>
  <si>
    <t>金湾区西湖片区启动区金河大道北侧、迎河东路东侧</t>
  </si>
  <si>
    <t>珠国土储2016-05</t>
  </si>
  <si>
    <t>二类住宅用地</t>
  </si>
  <si>
    <t>&gt;1且≤2.23</t>
  </si>
  <si>
    <t>珠海崇峰房地产开发有限公司</t>
  </si>
  <si>
    <t>金湾区西湖片区启动区金湖大道南侧、迎河东路东侧</t>
  </si>
  <si>
    <t>珠国土储2015-16</t>
  </si>
  <si>
    <t>二类住宅及其服务配套</t>
  </si>
  <si>
    <t>&gt;1且≤3</t>
  </si>
  <si>
    <t>深圳市龙光投资顾问有限公司</t>
  </si>
  <si>
    <t>金湾区红旗镇金荷路南侧、珠海大道北侧</t>
  </si>
  <si>
    <t>珠国土储2013-19号</t>
  </si>
  <si>
    <t>中低价位、中小套型普通商品住房用地</t>
  </si>
  <si>
    <t>&gt;1并且≤2</t>
  </si>
  <si>
    <t>珠海市藤荣实业有限公司</t>
  </si>
  <si>
    <t>珠海市平沙镇温泉大道南侧</t>
  </si>
  <si>
    <t>珠国土储2013-15号</t>
  </si>
  <si>
    <t>其他普通商品住房用地</t>
  </si>
  <si>
    <t>&gt;1并且≤1.01</t>
  </si>
  <si>
    <t>港中旅(珠海)海洋温泉有限公司</t>
  </si>
  <si>
    <t>珠国土储2013-14号</t>
  </si>
  <si>
    <t>&gt;1并且≤1.1</t>
  </si>
  <si>
    <t>金湾区三灶镇金岛路北侧、虹阳路东侧</t>
  </si>
  <si>
    <t>珠国土储2013-02</t>
  </si>
  <si>
    <t>≥1并且≤1.8</t>
  </si>
  <si>
    <t>珠海银通房地产开发有限公司</t>
  </si>
  <si>
    <t>金湾区三灶镇金海岸大道南侧</t>
  </si>
  <si>
    <t>珠国土储2012-09</t>
  </si>
  <si>
    <t>大于或等于1并且小于或等于2.5</t>
  </si>
  <si>
    <t>甘肃晋商投资发展股份有限公司、兰州天庆房地产开发有限公司</t>
  </si>
  <si>
    <t>珠海市平沙镇升平大道北侧</t>
  </si>
  <si>
    <t>珠国土储2012-05</t>
  </si>
  <si>
    <t>广州市时代胜誉投资有限公司</t>
  </si>
  <si>
    <t>珠国土储2012-06</t>
  </si>
  <si>
    <t>地下1层</t>
  </si>
  <si>
    <t>城市维护建设税</t>
    <phoneticPr fontId="5" type="noConversion"/>
  </si>
  <si>
    <t>一图了解《中华人民共和国城市维护建设税法》</t>
  </si>
  <si>
    <t>城市维护建设税</t>
    <phoneticPr fontId="136" type="noConversion"/>
  </si>
  <si>
    <t>教育费附加</t>
    <phoneticPr fontId="5" type="noConversion"/>
  </si>
  <si>
    <t>成新度</t>
  </si>
  <si>
    <t>现场层高</t>
    <phoneticPr fontId="136" type="noConversion"/>
  </si>
  <si>
    <r>
      <t>7</t>
    </r>
    <r>
      <rPr>
        <sz val="11"/>
        <color theme="1"/>
        <rFont val="宋体"/>
        <family val="3"/>
        <charset val="134"/>
        <scheme val="minor"/>
      </rPr>
      <t>.03/3.78</t>
    </r>
    <phoneticPr fontId="136" type="noConversion"/>
  </si>
  <si>
    <r>
      <t>7</t>
    </r>
    <r>
      <rPr>
        <sz val="11"/>
        <color theme="1"/>
        <rFont val="宋体"/>
        <family val="3"/>
        <charset val="134"/>
        <scheme val="minor"/>
      </rPr>
      <t>.05/3.77</t>
    </r>
    <phoneticPr fontId="136" type="noConversion"/>
  </si>
  <si>
    <r>
      <t>7</t>
    </r>
    <r>
      <rPr>
        <sz val="11"/>
        <color theme="1"/>
        <rFont val="宋体"/>
        <family val="3"/>
        <charset val="134"/>
        <scheme val="minor"/>
      </rPr>
      <t>.04/3.75</t>
    </r>
    <phoneticPr fontId="136" type="noConversion"/>
  </si>
  <si>
    <r>
      <t>7</t>
    </r>
    <r>
      <rPr>
        <sz val="11"/>
        <color theme="1"/>
        <rFont val="宋体"/>
        <family val="3"/>
        <charset val="134"/>
        <scheme val="minor"/>
      </rPr>
      <t>.03/3.75</t>
    </r>
    <phoneticPr fontId="136" type="noConversion"/>
  </si>
  <si>
    <r>
      <t>7</t>
    </r>
    <r>
      <rPr>
        <sz val="11"/>
        <color theme="1"/>
        <rFont val="宋体"/>
        <family val="3"/>
        <charset val="134"/>
        <scheme val="minor"/>
      </rPr>
      <t>.33/4.09</t>
    </r>
    <phoneticPr fontId="136" type="noConversion"/>
  </si>
  <si>
    <r>
      <t>7</t>
    </r>
    <r>
      <rPr>
        <sz val="11"/>
        <color theme="1"/>
        <rFont val="宋体"/>
        <family val="3"/>
        <charset val="134"/>
        <scheme val="minor"/>
      </rPr>
      <t>/3.77</t>
    </r>
    <phoneticPr fontId="136" type="noConversion"/>
  </si>
  <si>
    <r>
      <t>7</t>
    </r>
    <r>
      <rPr>
        <sz val="11"/>
        <color theme="1"/>
        <rFont val="宋体"/>
        <family val="3"/>
        <charset val="134"/>
        <scheme val="minor"/>
      </rPr>
      <t>.03/3.79</t>
    </r>
    <phoneticPr fontId="136" type="noConversion"/>
  </si>
  <si>
    <r>
      <t>7</t>
    </r>
    <r>
      <rPr>
        <sz val="11"/>
        <color theme="1"/>
        <rFont val="宋体"/>
        <family val="3"/>
        <charset val="134"/>
        <scheme val="minor"/>
      </rPr>
      <t>.02/3.78</t>
    </r>
    <phoneticPr fontId="136" type="noConversion"/>
  </si>
  <si>
    <r>
      <t>7</t>
    </r>
    <r>
      <rPr>
        <sz val="11"/>
        <color theme="1"/>
        <rFont val="宋体"/>
        <family val="3"/>
        <charset val="134"/>
        <scheme val="minor"/>
      </rPr>
      <t>.34/4.04</t>
    </r>
    <phoneticPr fontId="136" type="noConversion"/>
  </si>
  <si>
    <t>河、绿地</t>
    <phoneticPr fontId="136" type="noConversion"/>
  </si>
  <si>
    <t>果岭、河</t>
    <phoneticPr fontId="136" type="noConversion"/>
  </si>
  <si>
    <t>绿地</t>
    <phoneticPr fontId="136" type="noConversion"/>
  </si>
  <si>
    <t>现场层高（M)</t>
    <phoneticPr fontId="136" type="noConversion"/>
  </si>
  <si>
    <t>整体比例</t>
    <phoneticPr fontId="136" type="noConversion"/>
  </si>
  <si>
    <t>整体售价</t>
    <phoneticPr fontId="136" type="noConversion"/>
  </si>
  <si>
    <t>按比例分摊后1层售价</t>
    <phoneticPr fontId="136" type="noConversion"/>
  </si>
  <si>
    <t>按比例分摊后-1层售价</t>
    <phoneticPr fontId="136" type="noConversion"/>
  </si>
  <si>
    <t>地下1层成本法</t>
    <phoneticPr fontId="136" type="noConversion"/>
  </si>
  <si>
    <r>
      <t>0</t>
    </r>
    <r>
      <rPr>
        <sz val="11"/>
        <color theme="1"/>
        <rFont val="宋体"/>
        <family val="3"/>
        <charset val="134"/>
        <scheme val="minor"/>
      </rPr>
      <t>-100</t>
    </r>
    <phoneticPr fontId="136" type="noConversion"/>
  </si>
  <si>
    <r>
      <t>1</t>
    </r>
    <r>
      <rPr>
        <sz val="11"/>
        <color theme="1"/>
        <rFont val="宋体"/>
        <family val="3"/>
        <charset val="134"/>
        <scheme val="minor"/>
      </rPr>
      <t>00-150</t>
    </r>
    <phoneticPr fontId="136" type="noConversion"/>
  </si>
  <si>
    <t>150-200</t>
    <phoneticPr fontId="136" type="noConversion"/>
  </si>
  <si>
    <t>200-250</t>
    <phoneticPr fontId="136" type="noConversion"/>
  </si>
  <si>
    <t>250-300</t>
    <phoneticPr fontId="136" type="noConversion"/>
  </si>
  <si>
    <t>300-350</t>
    <phoneticPr fontId="136" type="noConversion"/>
  </si>
  <si>
    <t>＜3</t>
    <phoneticPr fontId="136" type="noConversion"/>
  </si>
  <si>
    <r>
      <t>3</t>
    </r>
    <r>
      <rPr>
        <sz val="11"/>
        <color theme="1"/>
        <rFont val="宋体"/>
        <family val="3"/>
        <charset val="134"/>
        <scheme val="minor"/>
      </rPr>
      <t>-3.2</t>
    </r>
    <phoneticPr fontId="136" type="noConversion"/>
  </si>
  <si>
    <t>3.2-3.4</t>
    <phoneticPr fontId="136" type="noConversion"/>
  </si>
  <si>
    <t>3.4-3.6</t>
    <phoneticPr fontId="136" type="noConversion"/>
  </si>
  <si>
    <t>3.6-3.8</t>
    <phoneticPr fontId="136" type="noConversion"/>
  </si>
  <si>
    <t>7.03/3.79</t>
    <phoneticPr fontId="136" type="noConversion"/>
  </si>
  <si>
    <t>7.05/3.77</t>
    <phoneticPr fontId="136" type="noConversion"/>
  </si>
  <si>
    <t>7.03/3.78</t>
    <phoneticPr fontId="136" type="noConversion"/>
  </si>
  <si>
    <t>7.04/3.75</t>
    <phoneticPr fontId="136" type="noConversion"/>
  </si>
  <si>
    <t>7.02/3.78</t>
    <phoneticPr fontId="136" type="noConversion"/>
  </si>
  <si>
    <t>7/3.77</t>
    <phoneticPr fontId="136" type="noConversion"/>
  </si>
  <si>
    <t>7.03/3.75</t>
    <phoneticPr fontId="136" type="noConversion"/>
  </si>
  <si>
    <t>7.34/4.04</t>
    <phoneticPr fontId="136" type="noConversion"/>
  </si>
  <si>
    <t>7.33/4.09</t>
    <phoneticPr fontId="136" type="noConversion"/>
  </si>
  <si>
    <t>层高修正</t>
    <phoneticPr fontId="136" type="noConversion"/>
  </si>
  <si>
    <t>总价</t>
    <phoneticPr fontId="136" type="noConversion"/>
  </si>
  <si>
    <t>整体单价</t>
    <phoneticPr fontId="136" type="noConversion"/>
  </si>
  <si>
    <t>总面积</t>
    <phoneticPr fontId="136" type="noConversion"/>
  </si>
  <si>
    <t>面积修正</t>
    <phoneticPr fontId="136" type="noConversion"/>
  </si>
  <si>
    <t>200-300</t>
    <phoneticPr fontId="136" type="noConversion"/>
  </si>
  <si>
    <t>0-100</t>
    <phoneticPr fontId="136" type="noConversion"/>
  </si>
  <si>
    <t>100-200</t>
    <phoneticPr fontId="136" type="noConversion"/>
  </si>
  <si>
    <t>3-3.3</t>
    <phoneticPr fontId="136" type="noConversion"/>
  </si>
  <si>
    <t>3.3-3.6</t>
    <phoneticPr fontId="136" type="noConversion"/>
  </si>
  <si>
    <t>3.6-3.9</t>
    <phoneticPr fontId="136" type="noConversion"/>
  </si>
  <si>
    <t>3.9+</t>
    <phoneticPr fontId="136" type="noConversion"/>
  </si>
  <si>
    <t>无日照</t>
    <phoneticPr fontId="136" type="noConversion"/>
  </si>
  <si>
    <t>三面日照</t>
    <phoneticPr fontId="136" type="noConversion"/>
  </si>
  <si>
    <t>西面日照</t>
    <phoneticPr fontId="136" type="noConversion"/>
  </si>
  <si>
    <t>东面日照</t>
    <phoneticPr fontId="136" type="noConversion"/>
  </si>
  <si>
    <t>单面采光</t>
    <phoneticPr fontId="136" type="noConversion"/>
  </si>
  <si>
    <t>单面采光+采光井</t>
    <phoneticPr fontId="136" type="noConversion"/>
  </si>
  <si>
    <t>四面采光</t>
    <phoneticPr fontId="136" type="noConversion"/>
  </si>
  <si>
    <t>单面通风</t>
    <phoneticPr fontId="136" type="noConversion"/>
  </si>
  <si>
    <t>四面通风</t>
    <phoneticPr fontId="136" type="noConversion"/>
  </si>
  <si>
    <t>日照修正</t>
    <phoneticPr fontId="136" type="noConversion"/>
  </si>
  <si>
    <t>采光修正</t>
    <phoneticPr fontId="136" type="noConversion"/>
  </si>
  <si>
    <t>通风修正</t>
    <phoneticPr fontId="136" type="noConversion"/>
  </si>
  <si>
    <t>总修正系数</t>
    <phoneticPr fontId="136" type="noConversion"/>
  </si>
  <si>
    <t>地上</t>
    <phoneticPr fontId="9" type="noConversion"/>
  </si>
  <si>
    <t>分层单价</t>
    <phoneticPr fontId="136" type="noConversion"/>
  </si>
  <si>
    <t>估价对象10栋</t>
    <phoneticPr fontId="136" type="noConversion"/>
  </si>
  <si>
    <r>
      <t>1</t>
    </r>
    <r>
      <rPr>
        <sz val="11"/>
        <color theme="1"/>
        <rFont val="宋体"/>
        <family val="3"/>
        <charset val="134"/>
        <scheme val="minor"/>
      </rPr>
      <t>.97</t>
    </r>
    <phoneticPr fontId="136" type="noConversion"/>
  </si>
  <si>
    <r>
      <t>1</t>
    </r>
    <r>
      <rPr>
        <sz val="11"/>
        <color theme="1"/>
        <rFont val="宋体"/>
        <family val="3"/>
        <charset val="134"/>
        <scheme val="minor"/>
      </rPr>
      <t>.9</t>
    </r>
    <phoneticPr fontId="136" type="noConversion"/>
  </si>
  <si>
    <t>2</t>
  </si>
  <si>
    <t>2</t>
    <phoneticPr fontId="136" type="noConversion"/>
  </si>
  <si>
    <t>交易情况修正</t>
  </si>
  <si>
    <t>期日修正</t>
  </si>
  <si>
    <t>公共配套修正</t>
  </si>
  <si>
    <t>个别因素修正</t>
  </si>
  <si>
    <t>宗地形状</t>
  </si>
  <si>
    <t>宗地面积</t>
  </si>
  <si>
    <t>地势</t>
  </si>
  <si>
    <t>宗地地基承载力</t>
  </si>
  <si>
    <t>环境条件</t>
  </si>
  <si>
    <t>临海岸线</t>
  </si>
  <si>
    <t>土地开发程度</t>
  </si>
  <si>
    <t>使用年期修正</t>
  </si>
  <si>
    <t>楼面地价</t>
  </si>
  <si>
    <t>地下一层</t>
  </si>
  <si>
    <t>地下室工程造价测算表</t>
  </si>
  <si>
    <t>工程名称：335户型48栋（108栋）-地下室工程</t>
  </si>
  <si>
    <t>序号</t>
  </si>
  <si>
    <t>成本科目</t>
  </si>
  <si>
    <t>工程量</t>
  </si>
  <si>
    <t>单位</t>
  </si>
  <si>
    <t xml:space="preserve">单价(元) </t>
  </si>
  <si>
    <t xml:space="preserve">合价(元) </t>
  </si>
  <si>
    <t>一</t>
  </si>
  <si>
    <t>主体建筑安装工程费</t>
  </si>
  <si>
    <t>1</t>
  </si>
  <si>
    <t>土石方工程</t>
  </si>
  <si>
    <t>1.1</t>
  </si>
  <si>
    <t>土石方开挖及场外弃土</t>
  </si>
  <si>
    <t>m3</t>
  </si>
  <si>
    <t>1.2</t>
  </si>
  <si>
    <t>灰土回填</t>
  </si>
  <si>
    <t>基坑支护及护壁护坡</t>
  </si>
  <si>
    <t>2.1</t>
  </si>
  <si>
    <t>喷锚、土钉护壁护坡（80厚喷射砼）</t>
  </si>
  <si>
    <t>m2</t>
  </si>
  <si>
    <t>3</t>
  </si>
  <si>
    <t>地下结构</t>
  </si>
  <si>
    <t>3.1</t>
  </si>
  <si>
    <t>地下室混凝土工程</t>
  </si>
  <si>
    <t>3.2</t>
  </si>
  <si>
    <t>地下室钢筋工程</t>
  </si>
  <si>
    <t>t</t>
  </si>
  <si>
    <t>3.3</t>
  </si>
  <si>
    <t>地下室-加气混凝土砌块墙</t>
  </si>
  <si>
    <t>8.1</t>
  </si>
  <si>
    <t>模板工程（（木模）</t>
  </si>
  <si>
    <t>4</t>
  </si>
  <si>
    <t>防水</t>
  </si>
  <si>
    <t>4.1</t>
  </si>
  <si>
    <t>地下室防水工程：
1.找平层:结构层上20厚1：3水泥砂浆
2.防水层:3厚APF自粘防水卷材
3.保护层:50厚挤塑聚苯板（沥青粘贴）</t>
  </si>
  <si>
    <t>5</t>
  </si>
  <si>
    <t>装修工程</t>
  </si>
  <si>
    <t>5.1</t>
  </si>
  <si>
    <t>天棚装修：
1、刮耐水腻子（两遍）；
2、无机装修涂料，一底一面；</t>
  </si>
  <si>
    <t>5.2</t>
  </si>
  <si>
    <t>墙面装修：
1、墙体，基层清理
2、满挂镀锌电焊钢丝网（Φ1.07×25×25），使用水泥钉钉挂
3、玻化微珠保温砂浆
4、3 厚聚合物抗裂砂浆
5、10 厚 DP - M20 水泥砂浆找平
6、满刮防霉防潮腻子二道</t>
  </si>
  <si>
    <t>5.3</t>
  </si>
  <si>
    <t>地面装修：
1.找平层-20mm厚DSM20地面砂浆抹灰</t>
  </si>
  <si>
    <t>5.4</t>
  </si>
  <si>
    <t>户内门 FMZ120230</t>
  </si>
  <si>
    <t>樘</t>
  </si>
  <si>
    <t>5.5</t>
  </si>
  <si>
    <t>防火窗</t>
  </si>
  <si>
    <r>
      <rPr>
        <sz val="9"/>
        <rFont val="宋体"/>
        <family val="3"/>
        <charset val="134"/>
      </rPr>
      <t>m</t>
    </r>
    <r>
      <rPr>
        <sz val="9"/>
        <rFont val="宋体"/>
        <family val="3"/>
        <charset val="134"/>
      </rPr>
      <t>2</t>
    </r>
  </si>
  <si>
    <t>5.6</t>
  </si>
  <si>
    <t>楼梯栏杆</t>
  </si>
  <si>
    <t>m</t>
  </si>
  <si>
    <t>6</t>
  </si>
  <si>
    <t>机电工程</t>
  </si>
  <si>
    <t>6.1</t>
  </si>
  <si>
    <t>给排水</t>
  </si>
  <si>
    <t>6.2</t>
  </si>
  <si>
    <t>照明动力系统</t>
  </si>
  <si>
    <t>6.3</t>
  </si>
  <si>
    <t>弱电工程</t>
  </si>
  <si>
    <t>7</t>
  </si>
  <si>
    <t>措施费、规费</t>
  </si>
  <si>
    <t>7.1</t>
  </si>
  <si>
    <t>脚手架</t>
  </si>
  <si>
    <t>7.2</t>
  </si>
  <si>
    <t>安全文明施工</t>
  </si>
  <si>
    <t>7.3</t>
  </si>
  <si>
    <t>其它措施费</t>
  </si>
  <si>
    <t>7.4</t>
  </si>
  <si>
    <t>总承包服务费</t>
  </si>
  <si>
    <t>7.5</t>
  </si>
  <si>
    <t>规费</t>
  </si>
  <si>
    <t>8</t>
  </si>
  <si>
    <t>税金</t>
  </si>
  <si>
    <t>9</t>
  </si>
  <si>
    <t>汇总</t>
  </si>
  <si>
    <t>单方造价：</t>
  </si>
  <si>
    <t>工程名称：195户型08栋(51栋)-地下室工程</t>
  </si>
  <si>
    <t>土地分摊面积与总面积占比</t>
    <phoneticPr fontId="136" type="noConversion"/>
  </si>
  <si>
    <r>
      <t>1</t>
    </r>
    <r>
      <rPr>
        <sz val="11"/>
        <color theme="1"/>
        <rFont val="宋体"/>
        <family val="3"/>
        <charset val="134"/>
        <scheme val="minor"/>
      </rPr>
      <t>17、98、107、07、10、08、14、100</t>
    </r>
    <phoneticPr fontId="136" type="noConversion"/>
  </si>
  <si>
    <r>
      <t>1</t>
    </r>
    <r>
      <rPr>
        <sz val="11"/>
        <color theme="1"/>
        <rFont val="宋体"/>
        <family val="3"/>
        <charset val="134"/>
        <scheme val="minor"/>
      </rPr>
      <t>11、31</t>
    </r>
    <phoneticPr fontId="136" type="noConversion"/>
  </si>
  <si>
    <t>80、87、88、85、86、48</t>
    <phoneticPr fontId="136" type="noConversion"/>
  </si>
  <si>
    <t>成本法</t>
    <phoneticPr fontId="136" type="noConversion"/>
  </si>
  <si>
    <r>
      <t>地下</t>
    </r>
    <r>
      <rPr>
        <sz val="11"/>
        <color theme="1"/>
        <rFont val="宋体"/>
        <family val="3"/>
        <charset val="134"/>
        <scheme val="minor"/>
      </rPr>
      <t>楼面地价</t>
    </r>
    <phoneticPr fontId="136" type="noConversion"/>
  </si>
  <si>
    <t>差价</t>
    <phoneticPr fontId="136" type="noConversion"/>
  </si>
  <si>
    <t>差价总价</t>
    <phoneticPr fontId="136" type="noConversion"/>
  </si>
  <si>
    <t>占售价比例</t>
    <phoneticPr fontId="136" type="noConversion"/>
  </si>
  <si>
    <t>分层价值</t>
    <phoneticPr fontId="136" type="noConversion"/>
  </si>
  <si>
    <t>好</t>
  </si>
  <si>
    <t>好</t>
    <phoneticPr fontId="136" type="noConversion"/>
  </si>
  <si>
    <t>较好</t>
  </si>
  <si>
    <t>较好</t>
    <phoneticPr fontId="136" type="noConversion"/>
  </si>
  <si>
    <t>一般</t>
    <phoneticPr fontId="136" type="noConversion"/>
  </si>
  <si>
    <t>较差</t>
  </si>
  <si>
    <t>较差</t>
    <phoneticPr fontId="136" type="noConversion"/>
  </si>
  <si>
    <t>差</t>
    <phoneticPr fontId="136" type="noConversion"/>
  </si>
  <si>
    <t>较差</t>
    <phoneticPr fontId="136" type="noConversion"/>
  </si>
  <si>
    <t>较好</t>
    <phoneticPr fontId="136" type="noConversion"/>
  </si>
  <si>
    <t>好</t>
    <phoneticPr fontId="136" type="noConversion"/>
  </si>
  <si>
    <t>无日照</t>
    <phoneticPr fontId="136" type="noConversion"/>
  </si>
  <si>
    <t>300-400</t>
    <phoneticPr fontId="136" type="noConversion"/>
  </si>
  <si>
    <t>400+</t>
    <phoneticPr fontId="136" type="noConversion"/>
  </si>
  <si>
    <t>视觉环境</t>
    <phoneticPr fontId="136" type="noConversion"/>
  </si>
  <si>
    <t>差额</t>
    <phoneticPr fontId="136" type="noConversion"/>
  </si>
  <si>
    <t>单面日照</t>
  </si>
  <si>
    <t>南面日照</t>
    <phoneticPr fontId="136" type="noConversion"/>
  </si>
  <si>
    <t>差额与成交价占比</t>
    <phoneticPr fontId="136" type="noConversion"/>
  </si>
  <si>
    <t>潮湿/舒适度</t>
    <phoneticPr fontId="136" type="noConversion"/>
  </si>
  <si>
    <t>潮湿/舒适</t>
    <phoneticPr fontId="136" type="noConversion"/>
  </si>
  <si>
    <t>视觉修正</t>
    <phoneticPr fontId="136" type="noConversion"/>
  </si>
  <si>
    <t>视觉环境修正</t>
    <phoneticPr fontId="136" type="noConversion"/>
  </si>
  <si>
    <t>修正系数</t>
    <phoneticPr fontId="136" type="noConversion"/>
  </si>
  <si>
    <t>一般</t>
  </si>
  <si>
    <t>8-13、15-46</t>
    <phoneticPr fontId="136" type="noConversion"/>
  </si>
  <si>
    <t>48-63</t>
    <phoneticPr fontId="136" type="noConversion"/>
  </si>
  <si>
    <t>102、104</t>
    <phoneticPr fontId="136" type="noConversion"/>
  </si>
  <si>
    <t>103、105-110</t>
    <phoneticPr fontId="136" type="noConversion"/>
  </si>
  <si>
    <t>112-128</t>
    <phoneticPr fontId="136" type="noConversion"/>
  </si>
  <si>
    <t>0-3.3</t>
    <phoneticPr fontId="136" type="noConversion"/>
  </si>
  <si>
    <t>3.3-3.6</t>
    <phoneticPr fontId="136" type="noConversion"/>
  </si>
  <si>
    <t>3.6-3.9</t>
    <phoneticPr fontId="136" type="noConversion"/>
  </si>
  <si>
    <t>3.9-4.2</t>
    <phoneticPr fontId="136" type="noConversion"/>
  </si>
  <si>
    <t>总建筑面积</t>
    <phoneticPr fontId="136" type="noConversion"/>
  </si>
  <si>
    <t>合同金额(万元)</t>
    <phoneticPr fontId="136" type="noConversion"/>
  </si>
  <si>
    <t>合同单价(元/㎡)</t>
    <phoneticPr fontId="136" type="noConversion"/>
  </si>
  <si>
    <t>房屋减损额（万元）</t>
    <phoneticPr fontId="136" type="noConversion"/>
  </si>
  <si>
    <t>地下一层通风系数</t>
    <phoneticPr fontId="136" type="noConversion"/>
  </si>
  <si>
    <t>地下一层采光系数</t>
    <phoneticPr fontId="136" type="noConversion"/>
  </si>
  <si>
    <t>成本价值</t>
    <phoneticPr fontId="136" type="noConversion"/>
  </si>
  <si>
    <t>重置成本</t>
    <phoneticPr fontId="136" type="noConversion"/>
  </si>
  <si>
    <t>区位、权益状况</t>
    <phoneticPr fontId="136" type="noConversion"/>
  </si>
  <si>
    <t>自然通风</t>
    <phoneticPr fontId="136" type="noConversion"/>
  </si>
  <si>
    <t>建设用地规划许可证</t>
    <phoneticPr fontId="136" type="noConversion"/>
  </si>
  <si>
    <t>地字第（金湾）2017-119号</t>
  </si>
  <si>
    <t>建设工程规划许可证</t>
  </si>
  <si>
    <t>建字第（金湾）2021-082号</t>
  </si>
  <si>
    <t>建筑工程施工许可证</t>
  </si>
  <si>
    <t>440404202104020201</t>
    <phoneticPr fontId="136" type="noConversion"/>
  </si>
  <si>
    <t>单位（子单位）竣工验收备案表</t>
  </si>
  <si>
    <t>GD-E1-916001</t>
  </si>
  <si>
    <t>珠海市不动产测量报告</t>
  </si>
  <si>
    <t>商品房买卖合同</t>
  </si>
  <si>
    <t>（预售）》[合同编号：2303004395</t>
    <phoneticPr fontId="136" type="noConversion"/>
  </si>
  <si>
    <t>不动产权登记表</t>
  </si>
  <si>
    <t>权利人</t>
    <phoneticPr fontId="136" type="noConversion"/>
  </si>
  <si>
    <t>黄纪瑚</t>
    <phoneticPr fontId="136" type="noConversion"/>
  </si>
  <si>
    <t>刘燕飞</t>
    <phoneticPr fontId="136" type="noConversion"/>
  </si>
  <si>
    <t>签订日期</t>
    <phoneticPr fontId="136" type="noConversion"/>
  </si>
  <si>
    <r>
      <t>（现售）》</t>
    </r>
    <r>
      <rPr>
        <sz val="10.5"/>
        <color theme="1"/>
        <rFont val="Arial"/>
        <family val="2"/>
      </rPr>
      <t>[</t>
    </r>
    <r>
      <rPr>
        <sz val="10.5"/>
        <color theme="1"/>
        <rFont val="宋体"/>
        <family val="3"/>
        <charset val="134"/>
        <scheme val="minor"/>
      </rPr>
      <t>合同编号：</t>
    </r>
    <r>
      <rPr>
        <sz val="10.5"/>
        <color theme="1"/>
        <rFont val="Arial"/>
        <family val="2"/>
      </rPr>
      <t>2403002650</t>
    </r>
    <phoneticPr fontId="136" type="noConversion"/>
  </si>
  <si>
    <t>（预售）》[合同编号：2303023869</t>
    <phoneticPr fontId="136" type="noConversion"/>
  </si>
  <si>
    <t>陈羽</t>
    <phoneticPr fontId="136" type="noConversion"/>
  </si>
  <si>
    <t>yhg2023934</t>
    <phoneticPr fontId="136" type="noConversion"/>
  </si>
  <si>
    <t>（预售）》[合同编号：2303025027</t>
    <phoneticPr fontId="136" type="noConversion"/>
  </si>
  <si>
    <t>jaj20244345</t>
    <phoneticPr fontId="136" type="noConversion"/>
  </si>
  <si>
    <t>（预售）》[合同编号：2303021588</t>
    <phoneticPr fontId="136" type="noConversion"/>
  </si>
  <si>
    <t>李梓轩</t>
    <phoneticPr fontId="136" type="noConversion"/>
  </si>
  <si>
    <t>（预售）》[合同编号：2303024316</t>
    <phoneticPr fontId="136" type="noConversion"/>
  </si>
  <si>
    <t>yhj20231477</t>
    <phoneticPr fontId="136" type="noConversion"/>
  </si>
  <si>
    <t>邬小艳</t>
    <phoneticPr fontId="136" type="noConversion"/>
  </si>
  <si>
    <t>（预售）》[合同编号：2202025123</t>
    <phoneticPr fontId="136" type="noConversion"/>
  </si>
  <si>
    <t>jaj2024298</t>
    <phoneticPr fontId="136" type="noConversion"/>
  </si>
  <si>
    <t>薄鹏辉</t>
    <phoneticPr fontId="136" type="noConversion"/>
  </si>
  <si>
    <t>（预售）》[合同编号：666-2023488101</t>
    <phoneticPr fontId="136" type="noConversion"/>
  </si>
  <si>
    <t>yhj2021775</t>
    <phoneticPr fontId="136" type="noConversion"/>
  </si>
  <si>
    <t>杨帆</t>
    <phoneticPr fontId="136" type="noConversion"/>
  </si>
  <si>
    <t>（预售）》[合同编号：2102062120</t>
    <phoneticPr fontId="136" type="noConversion"/>
  </si>
  <si>
    <t>yhj20217754</t>
    <phoneticPr fontId="136" type="noConversion"/>
  </si>
  <si>
    <t>江春华</t>
    <phoneticPr fontId="136" type="noConversion"/>
  </si>
  <si>
    <t>（预售）》[合同编号：2202026141</t>
    <phoneticPr fontId="136" type="noConversion"/>
  </si>
  <si>
    <t>丘嘉仪</t>
    <phoneticPr fontId="136" type="noConversion"/>
  </si>
  <si>
    <t>（预售）》[合同编号：2203011043</t>
    <phoneticPr fontId="136" type="noConversion"/>
  </si>
  <si>
    <t>陈玲</t>
    <phoneticPr fontId="136" type="noConversion"/>
  </si>
  <si>
    <t>（预售）》[合同编号：2303013544</t>
    <phoneticPr fontId="136" type="noConversion"/>
  </si>
  <si>
    <t>yhg2023571</t>
    <phoneticPr fontId="136" type="noConversion"/>
  </si>
  <si>
    <t>（现售）》[合同编号：2403012036</t>
    <phoneticPr fontId="136" type="noConversion"/>
  </si>
  <si>
    <t>jaj20244653</t>
    <phoneticPr fontId="136" type="noConversion"/>
  </si>
  <si>
    <t>陈丰登</t>
    <phoneticPr fontId="136" type="noConversion"/>
  </si>
  <si>
    <t>（预售）》[合同编号：2303001491</t>
    <phoneticPr fontId="136" type="noConversion"/>
  </si>
  <si>
    <t>yhj2023235</t>
    <phoneticPr fontId="136" type="noConversion"/>
  </si>
  <si>
    <t>杨韵卉</t>
    <phoneticPr fontId="136" type="noConversion"/>
  </si>
  <si>
    <t>yhj2023824</t>
    <phoneticPr fontId="136" type="noConversion"/>
  </si>
  <si>
    <t>jaj20241288</t>
    <phoneticPr fontId="136" type="noConversion"/>
  </si>
  <si>
    <t>何胜强</t>
    <phoneticPr fontId="136" type="noConversion"/>
  </si>
  <si>
    <t>jag202442</t>
    <phoneticPr fontId="136" type="noConversion"/>
  </si>
  <si>
    <t>（现售）》[合同编号：2403023827</t>
    <phoneticPr fontId="136" type="noConversion"/>
  </si>
  <si>
    <t>丁晓平</t>
    <phoneticPr fontId="136" type="noConversion"/>
  </si>
  <si>
    <t>（预售）》[合同编号：2202013544</t>
    <phoneticPr fontId="136" type="noConversion"/>
  </si>
  <si>
    <t>赖伟群</t>
    <phoneticPr fontId="136" type="noConversion"/>
  </si>
  <si>
    <t>jaj20246793</t>
    <phoneticPr fontId="136" type="noConversion"/>
  </si>
  <si>
    <t>建字第（金湾）2021-083号</t>
  </si>
  <si>
    <t>440404202105140501</t>
    <phoneticPr fontId="136" type="noConversion"/>
  </si>
  <si>
    <t>彭湘平、赵志祥</t>
    <phoneticPr fontId="136" type="noConversion"/>
  </si>
  <si>
    <t>共有</t>
    <phoneticPr fontId="136" type="noConversion"/>
  </si>
  <si>
    <t>yhg2023984</t>
    <phoneticPr fontId="136" type="noConversion"/>
  </si>
  <si>
    <t>3.3-3.5</t>
    <phoneticPr fontId="136" type="noConversion"/>
  </si>
  <si>
    <t>3.5-3.7</t>
    <phoneticPr fontId="136" type="noConversion"/>
  </si>
  <si>
    <t>3.7-3.9（含）</t>
    <phoneticPr fontId="136" type="noConversion"/>
  </si>
  <si>
    <t>0-3.3（含）</t>
    <phoneticPr fontId="136" type="noConversion"/>
  </si>
  <si>
    <t>标准宗地1比准价格=[10014+（280/1）-（280/1.8）]×（1/1）×（1/1）×（1.9/1.3593）×（1/1）×（1.0709/1.2018）×（0.9733/1）=11899（元/平方米）（取整）</t>
    <phoneticPr fontId="136" type="noConversion"/>
  </si>
  <si>
    <t>标准宗地2比准价格=[9360+（280/1）-（280/2.97）]×（1/1）×（0.9681/1）×（1.9/0.9634）×（1/1）×（1.0709/1.0818）×（0.9733/1）=11899（元/平方米）（取整）</t>
    <phoneticPr fontId="136" type="noConversion"/>
  </si>
  <si>
    <t>标准宗地3比准价格=[7733+（280/1）-（280/1.54）]×（1/1）×（0.9681/1）×（1.9/1.5513）×（1/1）×（1.0709/1.0394）×（0.9733/1）=17560（元/平方米）（取整）</t>
    <phoneticPr fontId="136"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</si>
</sst>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 numFmtId="197" formatCode="00&quot;栋&quot;"/>
    <numFmt numFmtId="198" formatCode="00"/>
    <numFmt numFmtId="199" formatCode="#,##0_);[Red]\(#,##0\)"/>
  </numFmts>
  <fonts count="288">
    <font>
      <sz val="11"/>
      <color theme="1"/>
      <name val="宋体"/>
      <charset val="134"/>
      <scheme val="minor"/>
    </font>
    <font>
      <sz val="11"/>
      <color theme="1"/>
      <name val="宋体"/>
      <family val="2"/>
      <scheme val="minor"/>
    </font>
    <font>
      <sz val="11"/>
      <color theme="1"/>
      <name val="宋体"/>
      <family val="2"/>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sz val="11"/>
      <color rgb="FFEE0000"/>
      <name val="宋体"/>
      <family val="3"/>
      <charset val="134"/>
    </font>
    <font>
      <sz val="10"/>
      <color indexed="8"/>
      <name val="Arial"/>
      <family val="3"/>
      <charset val="134"/>
    </font>
    <font>
      <sz val="11"/>
      <color rgb="FFFF0000"/>
      <name val="宋体"/>
      <family val="3"/>
      <charset val="134"/>
      <scheme val="minor"/>
    </font>
    <font>
      <u/>
      <sz val="11"/>
      <color theme="10"/>
      <name val="宋体"/>
      <family val="3"/>
      <charset val="134"/>
      <scheme val="minor"/>
    </font>
    <font>
      <sz val="11"/>
      <color rgb="FFEE0000"/>
      <name val="宋体"/>
      <family val="3"/>
      <charset val="134"/>
      <scheme val="minor"/>
    </font>
    <font>
      <sz val="12"/>
      <color theme="1"/>
      <name val="宋体"/>
      <family val="2"/>
      <scheme val="minor"/>
    </font>
    <font>
      <sz val="11"/>
      <name val="宋体"/>
      <family val="3"/>
      <charset val="134"/>
      <scheme val="minor"/>
    </font>
    <font>
      <b/>
      <sz val="10"/>
      <color theme="1"/>
      <name val="宋体"/>
      <family val="3"/>
      <charset val="134"/>
      <scheme val="major"/>
    </font>
    <font>
      <sz val="12"/>
      <name val="Times New Roman"/>
      <family val="1"/>
    </font>
    <font>
      <b/>
      <sz val="10"/>
      <name val="宋体"/>
      <family val="3"/>
      <charset val="134"/>
      <scheme val="major"/>
    </font>
    <font>
      <b/>
      <sz val="9"/>
      <color indexed="12"/>
      <name val="宋体"/>
      <family val="3"/>
      <charset val="134"/>
    </font>
    <font>
      <sz val="10"/>
      <name val="Helv"/>
      <family val="2"/>
    </font>
    <font>
      <sz val="10.5"/>
      <color theme="1"/>
      <name val="宋体"/>
      <family val="3"/>
      <charset val="134"/>
      <scheme val="minor"/>
    </font>
    <font>
      <sz val="10.5"/>
      <color theme="1"/>
      <name val="Arial"/>
      <family val="2"/>
    </font>
    <font>
      <sz val="10.5"/>
      <color theme="1"/>
      <name val="宋体"/>
      <family val="3"/>
      <charset val="134"/>
    </font>
  </fonts>
  <fills count="3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9" tint="0.79998168889431442"/>
        <bgColor indexed="64"/>
      </patternFill>
    </fill>
    <fill>
      <patternFill patternType="solid">
        <fgColor theme="3" tint="0.79998168889431442"/>
        <bgColor indexed="64"/>
      </patternFill>
    </fill>
    <fill>
      <patternFill patternType="solid">
        <fgColor theme="5" tint="0.79998168889431442"/>
        <bgColor indexed="64"/>
      </patternFill>
    </fill>
    <fill>
      <patternFill patternType="solid">
        <fgColor theme="4" tint="0.59999389629810485"/>
        <bgColor indexed="64"/>
      </patternFill>
    </fill>
    <fill>
      <patternFill patternType="solid">
        <fgColor theme="6" tint="0.79998168889431442"/>
        <bgColor indexed="64"/>
      </patternFill>
    </fill>
    <fill>
      <patternFill patternType="solid">
        <fgColor theme="4" tint="0.79998168889431442"/>
        <bgColor indexed="64"/>
      </patternFill>
    </fill>
    <fill>
      <patternFill patternType="solid">
        <fgColor theme="8" tint="0.79998168889431442"/>
        <bgColor indexed="64"/>
      </patternFill>
    </fill>
    <fill>
      <patternFill patternType="solid">
        <fgColor indexed="43"/>
        <bgColor indexed="64"/>
      </patternFill>
    </fill>
    <fill>
      <patternFill patternType="solid">
        <fgColor indexed="41"/>
        <bgColor indexed="64"/>
      </patternFill>
    </fill>
    <fill>
      <patternFill patternType="solid">
        <fgColor theme="9"/>
        <bgColor indexed="64"/>
      </patternFill>
    </fill>
    <fill>
      <patternFill patternType="solid">
        <fgColor theme="6"/>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5">
    <xf numFmtId="0" fontId="0" fillId="0" borderId="0">
      <alignment vertical="center"/>
    </xf>
    <xf numFmtId="0" fontId="97" fillId="0" borderId="0">
      <alignment vertical="center"/>
    </xf>
    <xf numFmtId="0" fontId="97" fillId="0" borderId="0"/>
    <xf numFmtId="0" fontId="97" fillId="0" borderId="0">
      <alignment vertical="center"/>
    </xf>
    <xf numFmtId="0" fontId="38" fillId="0" borderId="0"/>
    <xf numFmtId="0" fontId="97" fillId="0" borderId="0">
      <alignment vertical="center"/>
    </xf>
    <xf numFmtId="0" fontId="97" fillId="0" borderId="0"/>
    <xf numFmtId="0" fontId="97" fillId="0" borderId="0">
      <alignment vertical="center"/>
    </xf>
    <xf numFmtId="0" fontId="97" fillId="0" borderId="0">
      <alignment vertical="center"/>
    </xf>
    <xf numFmtId="0" fontId="4" fillId="0" borderId="0">
      <alignment vertical="center"/>
    </xf>
    <xf numFmtId="0" fontId="97" fillId="0" borderId="0">
      <alignment vertical="center"/>
    </xf>
    <xf numFmtId="0" fontId="3" fillId="0" borderId="0">
      <alignment vertical="center"/>
    </xf>
    <xf numFmtId="0" fontId="161" fillId="0" borderId="0"/>
    <xf numFmtId="0" fontId="3" fillId="0" borderId="0">
      <alignment vertical="center"/>
    </xf>
    <xf numFmtId="9" fontId="38" fillId="0" borderId="0" applyFont="0" applyFill="0" applyBorder="0" applyAlignment="0" applyProtection="0">
      <alignment vertical="center"/>
    </xf>
    <xf numFmtId="0" fontId="97" fillId="0" borderId="0">
      <alignment vertical="center"/>
    </xf>
    <xf numFmtId="0" fontId="3" fillId="0" borderId="0">
      <alignment vertical="center"/>
    </xf>
    <xf numFmtId="9" fontId="247" fillId="0" borderId="0" applyFont="0" applyFill="0" applyBorder="0" applyAlignment="0" applyProtection="0">
      <alignment vertical="center"/>
    </xf>
    <xf numFmtId="192" fontId="97" fillId="0" borderId="0">
      <alignment vertical="center"/>
    </xf>
    <xf numFmtId="0" fontId="2" fillId="0" borderId="0"/>
    <xf numFmtId="0" fontId="1" fillId="0" borderId="0"/>
    <xf numFmtId="0" fontId="276" fillId="0" borderId="0" applyNumberFormat="0" applyFill="0" applyBorder="0" applyAlignment="0" applyProtection="0">
      <alignment vertical="center"/>
    </xf>
    <xf numFmtId="0" fontId="278" fillId="0" borderId="0"/>
    <xf numFmtId="0" fontId="281" fillId="0" borderId="0"/>
    <xf numFmtId="0" fontId="284" fillId="0" borderId="0"/>
  </cellStyleXfs>
  <cellXfs count="3736">
    <xf numFmtId="0" fontId="0" fillId="0" borderId="0" xfId="0">
      <alignment vertical="center"/>
    </xf>
    <xf numFmtId="0" fontId="14" fillId="5" borderId="24" xfId="1" applyFont="1" applyFill="1" applyBorder="1" applyAlignment="1" applyProtection="1">
      <alignment horizontal="left" vertical="center"/>
      <protection locked="0"/>
    </xf>
    <xf numFmtId="0" fontId="23" fillId="6" borderId="0" xfId="1" applyFont="1" applyFill="1">
      <alignment vertical="center"/>
    </xf>
    <xf numFmtId="0" fontId="100" fillId="6" borderId="0" xfId="0" applyFont="1" applyFill="1" applyAlignment="1">
      <alignment horizontal="center" vertical="center"/>
    </xf>
    <xf numFmtId="0" fontId="100" fillId="6" borderId="0" xfId="0" applyFont="1" applyFill="1">
      <alignment vertical="center"/>
    </xf>
    <xf numFmtId="0" fontId="48" fillId="6" borderId="5" xfId="0" applyFont="1" applyFill="1" applyBorder="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1" fillId="6" borderId="1" xfId="0" applyNumberFormat="1" applyFont="1" applyFill="1" applyBorder="1" applyAlignment="1">
      <alignment horizontal="center" vertical="center" wrapText="1"/>
    </xf>
    <xf numFmtId="0" fontId="49" fillId="6" borderId="5" xfId="0" applyFont="1" applyFill="1" applyBorder="1" applyAlignment="1">
      <alignment horizontal="left" vertical="center"/>
    </xf>
    <xf numFmtId="176" fontId="49" fillId="6" borderId="1" xfId="0" applyNumberFormat="1" applyFont="1" applyFill="1" applyBorder="1" applyAlignment="1">
      <alignment horizontal="center" vertical="center" wrapText="1"/>
    </xf>
    <xf numFmtId="0" fontId="49" fillId="6" borderId="6" xfId="0" applyFont="1" applyFill="1" applyBorder="1" applyAlignment="1">
      <alignment horizontal="center" vertical="center" wrapText="1"/>
    </xf>
    <xf numFmtId="176" fontId="49" fillId="6" borderId="9" xfId="0" applyNumberFormat="1" applyFont="1" applyFill="1" applyBorder="1" applyAlignment="1">
      <alignment horizontal="center" vertical="center" wrapText="1"/>
    </xf>
    <xf numFmtId="176" fontId="49" fillId="6" borderId="10" xfId="0" applyNumberFormat="1" applyFont="1" applyFill="1" applyBorder="1" applyAlignment="1">
      <alignment horizontal="center" vertical="center" wrapText="1"/>
    </xf>
    <xf numFmtId="176" fontId="49" fillId="6" borderId="13" xfId="0" applyNumberFormat="1" applyFont="1" applyFill="1" applyBorder="1" applyAlignment="1">
      <alignment horizontal="center" vertical="center" wrapText="1"/>
    </xf>
    <xf numFmtId="176" fontId="49" fillId="6" borderId="23" xfId="0" applyNumberFormat="1" applyFont="1" applyFill="1" applyBorder="1" applyAlignment="1">
      <alignment horizontal="center" vertical="center" wrapText="1"/>
    </xf>
    <xf numFmtId="176" fontId="49" fillId="6" borderId="24" xfId="0" applyNumberFormat="1" applyFont="1" applyFill="1" applyBorder="1" applyAlignment="1">
      <alignment horizontal="center" vertical="center" wrapText="1"/>
    </xf>
    <xf numFmtId="0" fontId="49" fillId="6" borderId="13" xfId="0" applyFont="1" applyFill="1" applyBorder="1" applyAlignment="1">
      <alignment horizontal="center" vertical="center" wrapText="1"/>
    </xf>
    <xf numFmtId="0" fontId="49" fillId="6" borderId="1" xfId="0" applyFont="1" applyFill="1" applyBorder="1" applyAlignment="1">
      <alignment horizontal="center" vertical="center"/>
    </xf>
    <xf numFmtId="0" fontId="49" fillId="6" borderId="13" xfId="0" applyFont="1" applyFill="1" applyBorder="1" applyAlignment="1">
      <alignment horizontal="center" vertical="center"/>
    </xf>
    <xf numFmtId="0" fontId="49" fillId="6" borderId="48" xfId="0" applyFont="1" applyFill="1" applyBorder="1" applyAlignment="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lignment horizontal="center" vertical="center"/>
    </xf>
    <xf numFmtId="0" fontId="49" fillId="6" borderId="2" xfId="0" applyFont="1" applyFill="1" applyBorder="1" applyAlignment="1">
      <alignment horizontal="center" vertical="center"/>
    </xf>
    <xf numFmtId="0" fontId="49"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176" fontId="49" fillId="0" borderId="2" xfId="0" applyNumberFormat="1" applyFont="1" applyBorder="1" applyAlignment="1" applyProtection="1">
      <alignment horizontal="center" vertical="center" wrapText="1"/>
      <protection locked="0"/>
    </xf>
    <xf numFmtId="176" fontId="49" fillId="6" borderId="2" xfId="0" applyNumberFormat="1" applyFont="1" applyFill="1" applyBorder="1" applyAlignment="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lignment horizontal="center" vertical="center" wrapText="1"/>
    </xf>
    <xf numFmtId="176" fontId="46" fillId="0" borderId="2" xfId="0" applyNumberFormat="1" applyFont="1" applyBorder="1" applyAlignment="1" applyProtection="1">
      <alignment horizontal="center" vertical="center" wrapText="1"/>
      <protection locked="0"/>
    </xf>
    <xf numFmtId="176" fontId="46" fillId="6" borderId="2" xfId="0" applyNumberFormat="1" applyFont="1" applyFill="1" applyBorder="1" applyAlignment="1">
      <alignment horizontal="center" vertical="center" wrapText="1"/>
    </xf>
    <xf numFmtId="176" fontId="46" fillId="6" borderId="13" xfId="0" applyNumberFormat="1" applyFont="1" applyFill="1" applyBorder="1" applyAlignment="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0" fontId="46" fillId="6" borderId="3" xfId="0" applyFont="1" applyFill="1" applyBorder="1" applyAlignment="1">
      <alignment horizontal="center" vertical="center" wrapText="1"/>
    </xf>
    <xf numFmtId="176" fontId="46" fillId="6" borderId="24" xfId="0" applyNumberFormat="1" applyFont="1" applyFill="1" applyBorder="1" applyAlignment="1">
      <alignment horizontal="center" vertical="center" wrapText="1"/>
    </xf>
    <xf numFmtId="0" fontId="46" fillId="0" borderId="0" xfId="0" applyFont="1" applyAlignment="1" applyProtection="1">
      <alignment horizontal="center" vertical="center" wrapText="1"/>
      <protection locked="0"/>
    </xf>
    <xf numFmtId="0" fontId="48" fillId="6" borderId="13" xfId="0" applyFont="1" applyFill="1" applyBorder="1">
      <alignment vertical="center"/>
    </xf>
    <xf numFmtId="0" fontId="46" fillId="6" borderId="11" xfId="0" applyFont="1" applyFill="1" applyBorder="1">
      <alignment vertical="center"/>
    </xf>
    <xf numFmtId="0" fontId="46" fillId="6" borderId="1" xfId="0" applyFont="1" applyFill="1" applyBorder="1">
      <alignment vertical="center"/>
    </xf>
    <xf numFmtId="176" fontId="46" fillId="6" borderId="24" xfId="0" applyNumberFormat="1" applyFont="1" applyFill="1" applyBorder="1">
      <alignment vertical="center"/>
    </xf>
    <xf numFmtId="0" fontId="46" fillId="6" borderId="13" xfId="0" applyFont="1" applyFill="1" applyBorder="1">
      <alignment vertical="center"/>
    </xf>
    <xf numFmtId="0" fontId="46" fillId="6" borderId="24" xfId="0" applyFont="1" applyFill="1" applyBorder="1">
      <alignment vertical="center"/>
    </xf>
    <xf numFmtId="0" fontId="46" fillId="0" borderId="24" xfId="0" applyFont="1" applyBorder="1" applyProtection="1">
      <alignment vertical="center"/>
      <protection locked="0"/>
    </xf>
    <xf numFmtId="0" fontId="46" fillId="6" borderId="61" xfId="0" applyFont="1" applyFill="1" applyBorder="1">
      <alignment vertical="center"/>
    </xf>
    <xf numFmtId="179"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176" fontId="46" fillId="6" borderId="1" xfId="0" applyNumberFormat="1" applyFont="1" applyFill="1" applyBorder="1">
      <alignment vertical="center"/>
    </xf>
    <xf numFmtId="0" fontId="49" fillId="0" borderId="1" xfId="0" applyFont="1" applyBorder="1" applyAlignment="1" applyProtection="1">
      <alignment horizontal="center" vertical="center"/>
      <protection locked="0"/>
    </xf>
    <xf numFmtId="177" fontId="46" fillId="0" borderId="3" xfId="1" applyNumberFormat="1" applyFont="1" applyBorder="1" applyProtection="1">
      <alignment vertical="center"/>
      <protection locked="0"/>
    </xf>
    <xf numFmtId="0" fontId="46" fillId="6" borderId="3" xfId="0" applyFont="1" applyFill="1" applyBorder="1">
      <alignment vertical="center"/>
    </xf>
    <xf numFmtId="0" fontId="46" fillId="6" borderId="48" xfId="0" applyFont="1" applyFill="1" applyBorder="1">
      <alignment vertical="center"/>
    </xf>
    <xf numFmtId="0" fontId="46" fillId="6" borderId="22" xfId="0" applyFont="1" applyFill="1" applyBorder="1">
      <alignment vertical="center"/>
    </xf>
    <xf numFmtId="0" fontId="48" fillId="6" borderId="27" xfId="0" applyFont="1" applyFill="1" applyBorder="1" applyAlignment="1">
      <alignment vertical="center" wrapText="1"/>
    </xf>
    <xf numFmtId="0" fontId="46" fillId="6" borderId="29" xfId="0" applyFont="1" applyFill="1" applyBorder="1" applyAlignment="1">
      <alignment horizontal="center" vertical="center" wrapText="1"/>
    </xf>
    <xf numFmtId="0" fontId="46" fillId="6" borderId="10" xfId="0" applyFont="1" applyFill="1" applyBorder="1" applyAlignment="1">
      <alignment horizontal="center" vertical="center" wrapText="1"/>
    </xf>
    <xf numFmtId="0" fontId="46" fillId="6" borderId="28" xfId="0" applyFont="1" applyFill="1" applyBorder="1" applyAlignment="1">
      <alignment horizontal="center" vertical="center" wrapText="1"/>
    </xf>
    <xf numFmtId="179" fontId="53" fillId="6" borderId="1" xfId="1" applyNumberFormat="1" applyFont="1" applyFill="1" applyBorder="1" applyAlignment="1">
      <alignment horizontal="center" vertical="center"/>
    </xf>
    <xf numFmtId="180" fontId="53" fillId="6" borderId="1" xfId="1" applyNumberFormat="1" applyFont="1" applyFill="1" applyBorder="1" applyAlignment="1">
      <alignment horizontal="center" vertical="center"/>
    </xf>
    <xf numFmtId="181" fontId="46" fillId="0" borderId="1" xfId="0" applyNumberFormat="1" applyFont="1" applyBorder="1" applyAlignment="1" applyProtection="1">
      <alignment horizontal="center" vertical="center"/>
      <protection locked="0"/>
    </xf>
    <xf numFmtId="0" fontId="46" fillId="6" borderId="1" xfId="1" applyFont="1" applyFill="1" applyBorder="1" applyAlignment="1">
      <alignment horizontal="center" vertical="center"/>
    </xf>
    <xf numFmtId="0" fontId="46" fillId="6" borderId="5" xfId="0" applyFont="1" applyFill="1" applyBorder="1" applyAlignment="1">
      <alignment horizontal="center" vertical="center"/>
    </xf>
    <xf numFmtId="179" fontId="46" fillId="6" borderId="23" xfId="1" applyNumberFormat="1" applyFont="1" applyFill="1" applyBorder="1" applyAlignment="1">
      <alignment horizontal="center" vertical="center"/>
    </xf>
    <xf numFmtId="181" fontId="46" fillId="0" borderId="1" xfId="0" applyNumberFormat="1" applyFont="1" applyBorder="1" applyProtection="1">
      <alignment vertical="center"/>
      <protection locked="0"/>
    </xf>
    <xf numFmtId="181" fontId="46" fillId="0" borderId="24" xfId="0" applyNumberFormat="1" applyFont="1" applyBorder="1" applyProtection="1">
      <alignment vertical="center"/>
      <protection locked="0"/>
    </xf>
    <xf numFmtId="0" fontId="46" fillId="0" borderId="3" xfId="0" applyFont="1" applyBorder="1" applyProtection="1">
      <alignment vertical="center"/>
      <protection locked="0"/>
    </xf>
    <xf numFmtId="181" fontId="46" fillId="0" borderId="5" xfId="0" applyNumberFormat="1" applyFont="1" applyBorder="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2"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Border="1" applyAlignment="1" applyProtection="1">
      <alignment horizontal="center" vertical="center"/>
      <protection locked="0"/>
    </xf>
    <xf numFmtId="177" fontId="46" fillId="0" borderId="1" xfId="1" applyNumberFormat="1" applyFont="1" applyBorder="1" applyAlignment="1" applyProtection="1">
      <alignment horizontal="center" vertical="center"/>
      <protection locked="0"/>
    </xf>
    <xf numFmtId="10" fontId="46" fillId="0" borderId="1" xfId="1" applyNumberFormat="1" applyFont="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0" fontId="48" fillId="6" borderId="32" xfId="1" applyFont="1" applyFill="1" applyBorder="1">
      <alignment vertical="center"/>
    </xf>
    <xf numFmtId="0" fontId="48" fillId="6" borderId="32" xfId="1" applyFont="1" applyFill="1" applyBorder="1" applyAlignment="1">
      <alignment horizontal="center" vertical="center"/>
    </xf>
    <xf numFmtId="181" fontId="48" fillId="6" borderId="32" xfId="1" applyNumberFormat="1" applyFont="1" applyFill="1" applyBorder="1">
      <alignment vertical="center"/>
    </xf>
    <xf numFmtId="0" fontId="48" fillId="6" borderId="49" xfId="1" applyFont="1" applyFill="1" applyBorder="1">
      <alignment vertical="center"/>
    </xf>
    <xf numFmtId="176" fontId="46" fillId="6" borderId="25" xfId="0" applyNumberFormat="1" applyFont="1" applyFill="1" applyBorder="1" applyAlignment="1">
      <alignment horizontal="center" vertical="center"/>
    </xf>
    <xf numFmtId="0" fontId="46" fillId="6" borderId="32" xfId="1" applyFont="1" applyFill="1" applyBorder="1" applyAlignment="1">
      <alignment horizontal="center" vertical="center"/>
    </xf>
    <xf numFmtId="10" fontId="46" fillId="6" borderId="32" xfId="1" applyNumberFormat="1" applyFont="1" applyFill="1" applyBorder="1" applyAlignment="1">
      <alignment horizontal="center" vertical="center"/>
    </xf>
    <xf numFmtId="9" fontId="46" fillId="6" borderId="33" xfId="0" applyNumberFormat="1" applyFont="1" applyFill="1" applyBorder="1" applyAlignment="1">
      <alignment horizontal="center" vertical="center"/>
    </xf>
    <xf numFmtId="179" fontId="46" fillId="6" borderId="66" xfId="1" applyNumberFormat="1" applyFont="1" applyFill="1" applyBorder="1" applyAlignment="1">
      <alignment horizontal="center" vertical="center"/>
    </xf>
    <xf numFmtId="0" fontId="46" fillId="6" borderId="68" xfId="1" applyFont="1" applyFill="1" applyBorder="1" applyAlignment="1">
      <alignment horizontal="center" vertical="center"/>
    </xf>
    <xf numFmtId="0" fontId="46" fillId="6" borderId="25" xfId="0" applyFont="1" applyFill="1" applyBorder="1">
      <alignment vertical="center"/>
    </xf>
    <xf numFmtId="0" fontId="46" fillId="6" borderId="32" xfId="0" applyFont="1" applyFill="1" applyBorder="1">
      <alignment vertical="center"/>
    </xf>
    <xf numFmtId="0" fontId="46" fillId="6" borderId="49" xfId="0" applyFont="1" applyFill="1" applyBorder="1">
      <alignment vertical="center"/>
    </xf>
    <xf numFmtId="0" fontId="46" fillId="6" borderId="66" xfId="0" applyFont="1" applyFill="1" applyBorder="1">
      <alignment vertical="center"/>
    </xf>
    <xf numFmtId="0" fontId="46" fillId="6" borderId="33" xfId="0" applyFont="1" applyFill="1" applyBorder="1">
      <alignment vertical="center"/>
    </xf>
    <xf numFmtId="176" fontId="53" fillId="0" borderId="10" xfId="1" applyNumberFormat="1" applyFont="1" applyBorder="1" applyAlignment="1" applyProtection="1">
      <alignment horizontal="center" vertical="center"/>
      <protection locked="0"/>
    </xf>
    <xf numFmtId="176" fontId="46" fillId="0" borderId="24" xfId="1" applyNumberFormat="1" applyFont="1" applyBorder="1" applyAlignment="1" applyProtection="1">
      <alignment horizontal="center" vertical="center"/>
      <protection locked="0"/>
    </xf>
    <xf numFmtId="176" fontId="53" fillId="6" borderId="24" xfId="1" applyNumberFormat="1" applyFont="1" applyFill="1" applyBorder="1" applyAlignment="1">
      <alignment horizontal="center" vertical="center"/>
    </xf>
    <xf numFmtId="176" fontId="53" fillId="6" borderId="49" xfId="1" applyNumberFormat="1" applyFont="1" applyFill="1" applyBorder="1" applyAlignment="1">
      <alignment horizontal="center" vertical="center"/>
    </xf>
    <xf numFmtId="0" fontId="55" fillId="0" borderId="10" xfId="1" applyFont="1" applyBorder="1" applyAlignment="1" applyProtection="1">
      <alignment horizontal="center" vertical="center"/>
      <protection locked="0"/>
    </xf>
    <xf numFmtId="0" fontId="46" fillId="0" borderId="0" xfId="0" applyFont="1" applyAlignment="1" applyProtection="1">
      <alignment horizontal="center" vertical="center"/>
      <protection locked="0"/>
    </xf>
    <xf numFmtId="0" fontId="55" fillId="0" borderId="24" xfId="1" applyFont="1" applyBorder="1" applyAlignment="1" applyProtection="1">
      <alignment horizontal="center" vertical="center"/>
      <protection locked="0"/>
    </xf>
    <xf numFmtId="0" fontId="53" fillId="6" borderId="24" xfId="1" applyFont="1" applyFill="1" applyBorder="1" applyAlignment="1">
      <alignment horizontal="center" vertical="center"/>
    </xf>
    <xf numFmtId="0" fontId="55" fillId="0" borderId="49" xfId="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181" fontId="49" fillId="0" borderId="49" xfId="0" applyNumberFormat="1" applyFont="1" applyBorder="1" applyAlignment="1" applyProtection="1">
      <alignment horizontal="center" vertical="center"/>
      <protection locked="0"/>
    </xf>
    <xf numFmtId="181" fontId="49" fillId="0" borderId="8" xfId="0" applyNumberFormat="1" applyFont="1" applyBorder="1" applyAlignment="1" applyProtection="1">
      <alignment horizontal="center" vertical="center"/>
      <protection locked="0"/>
    </xf>
    <xf numFmtId="10" fontId="46" fillId="6" borderId="10" xfId="0" applyNumberFormat="1" applyFont="1" applyFill="1" applyBorder="1" applyAlignment="1">
      <alignment horizontal="center" vertical="center"/>
    </xf>
    <xf numFmtId="10" fontId="46" fillId="0" borderId="61" xfId="0" applyNumberFormat="1" applyFont="1" applyBorder="1" applyAlignment="1" applyProtection="1">
      <alignment horizontal="center" vertical="center"/>
      <protection locked="0"/>
    </xf>
    <xf numFmtId="182" fontId="46" fillId="6" borderId="61" xfId="0" applyNumberFormat="1" applyFont="1" applyFill="1" applyBorder="1" applyAlignment="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Border="1" applyAlignment="1" applyProtection="1">
      <alignment horizontal="center" vertical="center"/>
      <protection locked="0"/>
    </xf>
    <xf numFmtId="10" fontId="46" fillId="0" borderId="53" xfId="0" applyNumberFormat="1" applyFont="1" applyBorder="1" applyAlignment="1" applyProtection="1">
      <alignment horizontal="center" vertical="center"/>
      <protection locked="0"/>
    </xf>
    <xf numFmtId="10" fontId="46" fillId="6" borderId="62" xfId="0" applyNumberFormat="1" applyFont="1" applyFill="1" applyBorder="1" applyAlignment="1">
      <alignment horizontal="center" vertical="center"/>
    </xf>
    <xf numFmtId="10" fontId="46" fillId="6" borderId="49" xfId="0" applyNumberFormat="1" applyFont="1" applyFill="1" applyBorder="1" applyAlignment="1">
      <alignment horizontal="center" vertical="center"/>
    </xf>
    <xf numFmtId="178" fontId="46" fillId="6" borderId="62" xfId="0" applyNumberFormat="1" applyFont="1" applyFill="1" applyBorder="1" applyAlignment="1">
      <alignment horizontal="center" vertical="center"/>
    </xf>
    <xf numFmtId="0" fontId="46" fillId="0" borderId="49" xfId="0" applyFont="1" applyBorder="1" applyProtection="1">
      <alignment vertical="center"/>
      <protection locked="0"/>
    </xf>
    <xf numFmtId="0" fontId="46" fillId="6" borderId="24" xfId="0" applyFont="1" applyFill="1" applyBorder="1" applyAlignment="1">
      <alignment horizontal="center" vertical="center" wrapText="1"/>
    </xf>
    <xf numFmtId="0" fontId="46" fillId="6" borderId="49" xfId="0" applyFont="1" applyFill="1" applyBorder="1" applyAlignment="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lignment vertical="center"/>
    </xf>
    <xf numFmtId="0" fontId="46" fillId="6" borderId="2" xfId="0" applyFont="1" applyFill="1" applyBorder="1" applyAlignment="1">
      <alignment horizontal="center" vertical="center"/>
    </xf>
    <xf numFmtId="179" fontId="46" fillId="6" borderId="13" xfId="0" applyNumberFormat="1" applyFont="1" applyFill="1" applyBorder="1" applyAlignment="1">
      <alignment horizontal="center" vertical="center"/>
    </xf>
    <xf numFmtId="0" fontId="100" fillId="6" borderId="9" xfId="0" applyFont="1" applyFill="1" applyBorder="1" applyAlignment="1">
      <alignment horizontal="center" vertical="center"/>
    </xf>
    <xf numFmtId="0" fontId="100" fillId="6" borderId="10" xfId="0" applyFont="1" applyFill="1" applyBorder="1" applyAlignment="1">
      <alignment horizontal="center" vertical="center"/>
    </xf>
    <xf numFmtId="0" fontId="46" fillId="6" borderId="28" xfId="0" applyFont="1" applyFill="1" applyBorder="1" applyAlignment="1">
      <alignment horizontal="right" vertical="center"/>
    </xf>
    <xf numFmtId="0" fontId="100" fillId="6" borderId="1" xfId="0" applyFont="1" applyFill="1" applyBorder="1" applyAlignment="1">
      <alignment horizontal="center" vertical="center"/>
    </xf>
    <xf numFmtId="0" fontId="100" fillId="6" borderId="24" xfId="0" applyFont="1" applyFill="1" applyBorder="1" applyAlignment="1">
      <alignment horizontal="center" vertical="center"/>
    </xf>
    <xf numFmtId="0" fontId="46" fillId="6" borderId="5" xfId="0" applyFont="1" applyFill="1" applyBorder="1" applyAlignment="1">
      <alignment horizontal="right" vertical="center"/>
    </xf>
    <xf numFmtId="0" fontId="46" fillId="6" borderId="33" xfId="0" applyFont="1" applyFill="1" applyBorder="1" applyAlignment="1">
      <alignment horizontal="right" vertical="center"/>
    </xf>
    <xf numFmtId="0" fontId="46" fillId="6" borderId="4" xfId="0" applyFont="1" applyFill="1" applyBorder="1" applyAlignment="1">
      <alignment horizontal="right" vertical="center"/>
    </xf>
    <xf numFmtId="0" fontId="102" fillId="0" borderId="1" xfId="0" applyFont="1" applyBorder="1" applyAlignment="1" applyProtection="1">
      <alignment horizontal="center" vertical="center"/>
      <protection locked="0"/>
    </xf>
    <xf numFmtId="0" fontId="102" fillId="0" borderId="24" xfId="0" applyFont="1" applyBorder="1" applyAlignment="1" applyProtection="1">
      <alignment horizontal="center" vertical="center"/>
      <protection locked="0"/>
    </xf>
    <xf numFmtId="0" fontId="46" fillId="6" borderId="29"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0" fontId="49" fillId="6" borderId="1" xfId="0" applyFont="1" applyFill="1" applyBorder="1">
      <alignment vertical="center"/>
    </xf>
    <xf numFmtId="0" fontId="48" fillId="0" borderId="24" xfId="0" applyFont="1" applyBorder="1" applyAlignment="1" applyProtection="1">
      <alignment horizontal="center" vertical="center"/>
      <protection locked="0"/>
    </xf>
    <xf numFmtId="0" fontId="48" fillId="6" borderId="4" xfId="0" applyFont="1" applyFill="1" applyBorder="1" applyAlignment="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lignment vertical="center"/>
    </xf>
    <xf numFmtId="0" fontId="49" fillId="6" borderId="36" xfId="0" applyFont="1" applyFill="1" applyBorder="1" applyAlignment="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lignment horizontal="left" vertical="center" wrapText="1"/>
    </xf>
    <xf numFmtId="0" fontId="54" fillId="6" borderId="60" xfId="0" applyFont="1" applyFill="1" applyBorder="1" applyAlignment="1">
      <alignment horizontal="left" vertical="center" wrapText="1"/>
    </xf>
    <xf numFmtId="0" fontId="54" fillId="6" borderId="7" xfId="0" applyFont="1" applyFill="1" applyBorder="1" applyAlignment="1">
      <alignment horizontal="left" vertical="center" wrapText="1"/>
    </xf>
    <xf numFmtId="0" fontId="54" fillId="6" borderId="1" xfId="0" applyFont="1" applyFill="1" applyBorder="1" applyAlignment="1">
      <alignment horizontal="left" vertical="center" wrapText="1"/>
    </xf>
    <xf numFmtId="0" fontId="49" fillId="6" borderId="46" xfId="0" applyFont="1" applyFill="1" applyBorder="1">
      <alignment vertical="center"/>
    </xf>
    <xf numFmtId="10" fontId="49" fillId="6" borderId="5" xfId="0" applyNumberFormat="1" applyFont="1" applyFill="1" applyBorder="1" applyAlignment="1">
      <alignment horizontal="center" vertical="center"/>
    </xf>
    <xf numFmtId="0" fontId="49" fillId="6" borderId="10" xfId="0" applyFont="1" applyFill="1" applyBorder="1" applyAlignment="1">
      <alignment horizontal="left" vertical="center" wrapText="1"/>
    </xf>
    <xf numFmtId="0" fontId="56" fillId="6" borderId="2" xfId="0" applyFont="1" applyFill="1" applyBorder="1" applyAlignment="1">
      <alignment horizontal="left" vertical="center" wrapText="1"/>
    </xf>
    <xf numFmtId="0" fontId="49" fillId="6" borderId="8" xfId="0" applyFont="1" applyFill="1" applyBorder="1" applyAlignment="1">
      <alignment horizontal="left" vertical="center" wrapText="1"/>
    </xf>
    <xf numFmtId="49" fontId="49" fillId="6" borderId="23" xfId="0" applyNumberFormat="1" applyFont="1" applyFill="1" applyBorder="1" applyAlignment="1">
      <alignment horizontal="left" vertical="center" wrapText="1"/>
    </xf>
    <xf numFmtId="0" fontId="55" fillId="6" borderId="1" xfId="0" applyFont="1" applyFill="1" applyBorder="1" applyAlignment="1">
      <alignment horizontal="left" vertical="center" wrapText="1"/>
    </xf>
    <xf numFmtId="0" fontId="55" fillId="6" borderId="1" xfId="0" applyFont="1" applyFill="1" applyBorder="1" applyAlignment="1">
      <alignment horizontal="center" vertical="center" wrapText="1"/>
    </xf>
    <xf numFmtId="0" fontId="49" fillId="6" borderId="24" xfId="0" applyFont="1" applyFill="1" applyBorder="1" applyAlignment="1">
      <alignment horizontal="left" vertical="center" wrapText="1"/>
    </xf>
    <xf numFmtId="49" fontId="54" fillId="6" borderId="23" xfId="0" applyNumberFormat="1" applyFont="1" applyFill="1" applyBorder="1" applyAlignment="1">
      <alignment horizontal="left" vertical="center" wrapText="1"/>
    </xf>
    <xf numFmtId="0" fontId="56" fillId="6" borderId="1" xfId="0" applyFont="1" applyFill="1" applyBorder="1" applyAlignment="1">
      <alignment horizontal="left" vertical="center" wrapText="1"/>
    </xf>
    <xf numFmtId="0" fontId="56" fillId="6" borderId="1" xfId="0" applyFont="1" applyFill="1" applyBorder="1" applyAlignment="1">
      <alignment horizontal="center" vertical="center" wrapText="1"/>
    </xf>
    <xf numFmtId="49" fontId="54" fillId="6" borderId="25" xfId="0" applyNumberFormat="1" applyFont="1" applyFill="1" applyBorder="1" applyAlignment="1">
      <alignment horizontal="left" vertical="center" wrapText="1"/>
    </xf>
    <xf numFmtId="0" fontId="56" fillId="6" borderId="32" xfId="0" applyFont="1" applyFill="1" applyBorder="1" applyAlignment="1">
      <alignment horizontal="left" vertical="center" wrapText="1"/>
    </xf>
    <xf numFmtId="0" fontId="49" fillId="6" borderId="49" xfId="0" applyFont="1" applyFill="1" applyBorder="1" applyAlignment="1">
      <alignment horizontal="left" vertical="center"/>
    </xf>
    <xf numFmtId="0" fontId="49" fillId="6" borderId="28" xfId="0" applyFont="1" applyFill="1" applyBorder="1" applyAlignment="1">
      <alignment horizontal="left" vertical="center" wrapText="1"/>
    </xf>
    <xf numFmtId="0" fontId="49" fillId="6" borderId="20" xfId="0" applyFont="1" applyFill="1" applyBorder="1" applyAlignment="1">
      <alignment horizontal="left" vertical="center" wrapText="1"/>
    </xf>
    <xf numFmtId="0" fontId="46" fillId="6" borderId="21" xfId="2" applyFont="1" applyFill="1" applyBorder="1" applyAlignment="1">
      <alignment horizontal="left" vertical="center" wrapText="1"/>
    </xf>
    <xf numFmtId="0" fontId="46" fillId="6" borderId="48" xfId="2" applyFont="1" applyFill="1" applyBorder="1" applyAlignment="1">
      <alignment horizontal="left" vertical="center" wrapText="1"/>
    </xf>
    <xf numFmtId="0" fontId="55" fillId="0" borderId="1" xfId="0" applyFont="1" applyBorder="1" applyAlignment="1" applyProtection="1">
      <alignment horizontal="center" vertical="center" wrapText="1"/>
      <protection locked="0"/>
    </xf>
    <xf numFmtId="0" fontId="46" fillId="6" borderId="1" xfId="2" applyFont="1" applyFill="1" applyBorder="1" applyAlignment="1">
      <alignment horizontal="left" vertical="center" wrapText="1"/>
    </xf>
    <xf numFmtId="0" fontId="55" fillId="6" borderId="2" xfId="0" applyFont="1" applyFill="1" applyBorder="1" applyAlignment="1">
      <alignment horizontal="left" vertical="center" wrapText="1"/>
    </xf>
    <xf numFmtId="0" fontId="46" fillId="6" borderId="54" xfId="0" applyFont="1" applyFill="1" applyBorder="1" applyAlignment="1">
      <alignment horizontal="left" vertical="center"/>
    </xf>
    <xf numFmtId="0" fontId="55" fillId="6" borderId="32" xfId="0" applyFont="1" applyFill="1" applyBorder="1" applyAlignment="1">
      <alignment horizontal="center" vertical="center" wrapText="1"/>
    </xf>
    <xf numFmtId="0" fontId="49" fillId="6" borderId="33" xfId="0" applyFont="1" applyFill="1" applyBorder="1" applyAlignment="1">
      <alignment horizontal="left" vertical="center"/>
    </xf>
    <xf numFmtId="0" fontId="49" fillId="6" borderId="52" xfId="0" applyFont="1" applyFill="1" applyBorder="1" applyAlignment="1">
      <alignment horizontal="left" vertical="center" wrapText="1"/>
    </xf>
    <xf numFmtId="0" fontId="46" fillId="6" borderId="68" xfId="2" applyFont="1" applyFill="1" applyBorder="1" applyAlignment="1">
      <alignment horizontal="left" vertical="center" wrapText="1"/>
    </xf>
    <xf numFmtId="0" fontId="49" fillId="6" borderId="21" xfId="2" applyFont="1" applyFill="1" applyBorder="1" applyAlignment="1">
      <alignment horizontal="left" vertical="center" wrapText="1"/>
    </xf>
    <xf numFmtId="0" fontId="49" fillId="6" borderId="48" xfId="2" applyFont="1" applyFill="1" applyBorder="1" applyAlignment="1">
      <alignment horizontal="left" vertical="center" wrapText="1"/>
    </xf>
    <xf numFmtId="10" fontId="49" fillId="6" borderId="5" xfId="0" applyNumberFormat="1" applyFont="1" applyFill="1" applyBorder="1" applyAlignment="1">
      <alignment horizontal="left" vertical="center"/>
    </xf>
    <xf numFmtId="0" fontId="57" fillId="6" borderId="0" xfId="0" applyFont="1" applyFill="1" applyAlignment="1">
      <alignment horizontal="left" vertical="center"/>
    </xf>
    <xf numFmtId="0" fontId="49" fillId="6" borderId="68" xfId="2" applyFont="1" applyFill="1" applyBorder="1" applyAlignment="1">
      <alignment horizontal="left" vertical="center" wrapText="1"/>
    </xf>
    <xf numFmtId="0" fontId="103" fillId="6" borderId="51" xfId="1" applyFont="1" applyFill="1" applyBorder="1">
      <alignment vertical="center"/>
    </xf>
    <xf numFmtId="0" fontId="59" fillId="6" borderId="20" xfId="1" applyFont="1" applyFill="1" applyBorder="1">
      <alignment vertical="center"/>
    </xf>
    <xf numFmtId="0" fontId="59" fillId="6" borderId="19" xfId="1" applyFont="1" applyFill="1" applyBorder="1">
      <alignment vertical="center"/>
    </xf>
    <xf numFmtId="0" fontId="59" fillId="6" borderId="0" xfId="1" applyFont="1" applyFill="1">
      <alignment vertical="center"/>
    </xf>
    <xf numFmtId="0" fontId="60" fillId="3" borderId="0" xfId="0" applyFont="1" applyFill="1" applyProtection="1">
      <alignment vertical="center"/>
      <protection locked="0"/>
    </xf>
    <xf numFmtId="0" fontId="59" fillId="6" borderId="1" xfId="1" applyFont="1" applyFill="1" applyBorder="1">
      <alignment vertical="center"/>
    </xf>
    <xf numFmtId="177" fontId="59" fillId="6" borderId="1" xfId="1" applyNumberFormat="1" applyFont="1" applyFill="1" applyBorder="1" applyAlignment="1">
      <alignment horizontal="right" vertical="center"/>
    </xf>
    <xf numFmtId="0" fontId="59" fillId="6" borderId="13" xfId="1" applyFont="1" applyFill="1" applyBorder="1">
      <alignment vertical="center"/>
    </xf>
    <xf numFmtId="0" fontId="59" fillId="6" borderId="13" xfId="1" applyFont="1" applyFill="1" applyBorder="1" applyAlignment="1">
      <alignment horizontal="right" vertical="center"/>
    </xf>
    <xf numFmtId="49" fontId="59" fillId="6" borderId="51" xfId="1" applyNumberFormat="1" applyFont="1" applyFill="1" applyBorder="1" applyAlignment="1"/>
    <xf numFmtId="49" fontId="59" fillId="6" borderId="20" xfId="1" applyNumberFormat="1" applyFont="1" applyFill="1" applyBorder="1" applyAlignment="1"/>
    <xf numFmtId="49" fontId="59" fillId="6" borderId="21" xfId="1" applyNumberFormat="1" applyFont="1" applyFill="1" applyBorder="1" applyAlignment="1"/>
    <xf numFmtId="0" fontId="59" fillId="3" borderId="0" xfId="0" applyFont="1" applyFill="1" applyProtection="1">
      <alignment vertical="center"/>
      <protection locked="0"/>
    </xf>
    <xf numFmtId="0" fontId="56" fillId="6" borderId="23" xfId="1" applyFont="1" applyFill="1" applyBorder="1" applyAlignment="1">
      <alignment horizontal="left"/>
    </xf>
    <xf numFmtId="0" fontId="56" fillId="6" borderId="5" xfId="1" applyFont="1" applyFill="1" applyBorder="1" applyAlignment="1"/>
    <xf numFmtId="177" fontId="56" fillId="6" borderId="1" xfId="1" applyNumberFormat="1" applyFont="1" applyFill="1" applyBorder="1" applyAlignment="1">
      <alignment horizontal="center"/>
    </xf>
    <xf numFmtId="0" fontId="56" fillId="6" borderId="1" xfId="1" applyFont="1" applyFill="1" applyBorder="1" applyAlignment="1">
      <alignment horizontal="center"/>
    </xf>
    <xf numFmtId="0" fontId="56" fillId="6" borderId="24" xfId="1" applyFont="1" applyFill="1" applyBorder="1" applyAlignment="1">
      <alignment horizontal="left"/>
    </xf>
    <xf numFmtId="0" fontId="56" fillId="3" borderId="0" xfId="0" applyFont="1" applyFill="1" applyProtection="1">
      <alignment vertical="center"/>
      <protection locked="0"/>
    </xf>
    <xf numFmtId="0" fontId="55" fillId="6" borderId="5" xfId="1" applyFont="1" applyFill="1" applyBorder="1" applyAlignment="1"/>
    <xf numFmtId="177" fontId="55" fillId="0" borderId="1" xfId="1" applyNumberFormat="1" applyFont="1" applyBorder="1" applyAlignment="1" applyProtection="1">
      <alignment horizontal="center"/>
      <protection locked="0"/>
    </xf>
    <xf numFmtId="179" fontId="55" fillId="6" borderId="1" xfId="1" applyNumberFormat="1" applyFont="1" applyFill="1" applyBorder="1" applyAlignment="1">
      <alignment horizontal="center"/>
    </xf>
    <xf numFmtId="0" fontId="55" fillId="6" borderId="1" xfId="1" applyFont="1" applyFill="1" applyBorder="1" applyAlignment="1">
      <alignment horizontal="center"/>
    </xf>
    <xf numFmtId="0" fontId="55" fillId="6" borderId="24" xfId="1" applyFont="1" applyFill="1" applyBorder="1" applyAlignment="1">
      <alignment horizontal="left"/>
    </xf>
    <xf numFmtId="177" fontId="55" fillId="6" borderId="1" xfId="1" applyNumberFormat="1" applyFont="1" applyFill="1" applyBorder="1" applyAlignment="1">
      <alignment horizontal="center"/>
    </xf>
    <xf numFmtId="10" fontId="55" fillId="6" borderId="1" xfId="1" applyNumberFormat="1" applyFont="1" applyFill="1" applyBorder="1" applyAlignment="1">
      <alignment horizontal="center"/>
    </xf>
    <xf numFmtId="177" fontId="55" fillId="6" borderId="1" xfId="1" applyNumberFormat="1" applyFont="1" applyFill="1" applyBorder="1" applyAlignment="1"/>
    <xf numFmtId="0" fontId="56" fillId="0" borderId="0" xfId="0" applyFont="1" applyProtection="1">
      <alignment vertical="center"/>
      <protection locked="0"/>
    </xf>
    <xf numFmtId="0" fontId="61" fillId="6" borderId="5" xfId="1" applyFont="1" applyFill="1" applyBorder="1" applyAlignment="1"/>
    <xf numFmtId="177" fontId="61" fillId="6" borderId="1" xfId="1" applyNumberFormat="1" applyFont="1" applyFill="1" applyBorder="1" applyAlignment="1">
      <alignment horizontal="center"/>
    </xf>
    <xf numFmtId="0" fontId="55" fillId="6" borderId="24" xfId="1" applyFont="1" applyFill="1" applyBorder="1" applyAlignment="1">
      <alignment vertical="center" wrapText="1"/>
    </xf>
    <xf numFmtId="0" fontId="55" fillId="6" borderId="23" xfId="1" applyFont="1" applyFill="1" applyBorder="1" applyAlignment="1">
      <alignment horizontal="left"/>
    </xf>
    <xf numFmtId="0" fontId="55" fillId="6" borderId="0" xfId="1" applyFont="1" applyFill="1" applyAlignment="1">
      <alignment horizontal="center"/>
    </xf>
    <xf numFmtId="0" fontId="55" fillId="6" borderId="1" xfId="0" applyFont="1" applyFill="1" applyBorder="1">
      <alignment vertical="center"/>
    </xf>
    <xf numFmtId="179" fontId="56" fillId="6" borderId="1" xfId="1" applyNumberFormat="1" applyFont="1" applyFill="1" applyBorder="1" applyAlignment="1">
      <alignment horizontal="center"/>
    </xf>
    <xf numFmtId="9" fontId="56" fillId="6" borderId="5" xfId="1" applyNumberFormat="1" applyFont="1" applyFill="1" applyBorder="1" applyAlignment="1">
      <alignment horizontal="center"/>
    </xf>
    <xf numFmtId="0" fontId="56" fillId="6" borderId="1" xfId="0" applyFont="1" applyFill="1" applyBorder="1" applyAlignment="1">
      <alignment horizontal="center" vertical="center"/>
    </xf>
    <xf numFmtId="10" fontId="56" fillId="6" borderId="5" xfId="1" applyNumberFormat="1" applyFont="1" applyFill="1" applyBorder="1" applyAlignment="1">
      <alignment horizontal="center"/>
    </xf>
    <xf numFmtId="0" fontId="56" fillId="6" borderId="24" xfId="0" applyFont="1" applyFill="1" applyBorder="1">
      <alignment vertical="center"/>
    </xf>
    <xf numFmtId="0" fontId="56" fillId="6" borderId="1" xfId="0" applyFont="1" applyFill="1" applyBorder="1" applyAlignment="1">
      <alignment horizontal="right" vertical="center"/>
    </xf>
    <xf numFmtId="0" fontId="56" fillId="6" borderId="1" xfId="0" applyFont="1" applyFill="1" applyBorder="1" applyAlignment="1">
      <alignment horizontal="left" vertical="center"/>
    </xf>
    <xf numFmtId="10" fontId="56" fillId="6" borderId="5" xfId="1" applyNumberFormat="1" applyFont="1" applyFill="1" applyBorder="1" applyAlignment="1">
      <alignment horizontal="center" vertical="center"/>
    </xf>
    <xf numFmtId="0" fontId="55" fillId="6" borderId="1" xfId="0" applyFont="1" applyFill="1" applyBorder="1" applyAlignment="1">
      <alignment horizontal="center" vertical="center"/>
    </xf>
    <xf numFmtId="179" fontId="55" fillId="6" borderId="5" xfId="1" applyNumberFormat="1" applyFont="1" applyFill="1" applyBorder="1" applyAlignment="1">
      <alignment horizontal="center" vertical="center"/>
    </xf>
    <xf numFmtId="0" fontId="55" fillId="6" borderId="24" xfId="0" applyFont="1" applyFill="1" applyBorder="1">
      <alignment vertical="center"/>
    </xf>
    <xf numFmtId="0" fontId="56" fillId="6" borderId="1" xfId="0" applyFont="1" applyFill="1" applyBorder="1">
      <alignment vertical="center"/>
    </xf>
    <xf numFmtId="0" fontId="55" fillId="6" borderId="61" xfId="0" applyFont="1" applyFill="1" applyBorder="1" applyAlignment="1">
      <alignment vertical="center" wrapText="1"/>
    </xf>
    <xf numFmtId="0" fontId="55" fillId="6" borderId="8" xfId="0" applyFont="1" applyFill="1" applyBorder="1">
      <alignment vertical="center"/>
    </xf>
    <xf numFmtId="0" fontId="56" fillId="6" borderId="5" xfId="1" applyFont="1" applyFill="1" applyBorder="1">
      <alignment vertical="center"/>
    </xf>
    <xf numFmtId="177" fontId="56" fillId="6" borderId="1" xfId="1" applyNumberFormat="1" applyFont="1" applyFill="1" applyBorder="1" applyAlignment="1">
      <alignment horizontal="center" vertical="center"/>
    </xf>
    <xf numFmtId="9" fontId="56" fillId="6" borderId="5" xfId="1" applyNumberFormat="1" applyFont="1" applyFill="1" applyBorder="1" applyAlignment="1">
      <alignment horizontal="center" vertical="center"/>
    </xf>
    <xf numFmtId="0" fontId="56" fillId="6" borderId="24" xfId="0" applyFont="1" applyFill="1" applyBorder="1" applyAlignment="1">
      <alignment vertical="center" wrapText="1"/>
    </xf>
    <xf numFmtId="0" fontId="55" fillId="6" borderId="5" xfId="1" applyFont="1" applyFill="1" applyBorder="1" applyAlignment="1">
      <alignment horizontal="left"/>
    </xf>
    <xf numFmtId="177" fontId="55" fillId="6" borderId="1" xfId="1" applyNumberFormat="1" applyFont="1" applyFill="1" applyBorder="1" applyAlignment="1">
      <alignment horizontal="center" vertical="center"/>
    </xf>
    <xf numFmtId="9" fontId="56" fillId="6" borderId="1" xfId="1" applyNumberFormat="1" applyFont="1" applyFill="1" applyBorder="1" applyAlignment="1">
      <alignment horizontal="center"/>
    </xf>
    <xf numFmtId="0" fontId="55" fillId="3" borderId="0" xfId="0" applyFont="1" applyFill="1" applyProtection="1">
      <alignment vertical="center"/>
      <protection locked="0"/>
    </xf>
    <xf numFmtId="49" fontId="59" fillId="6" borderId="37" xfId="1" applyNumberFormat="1" applyFont="1" applyFill="1" applyBorder="1" applyAlignment="1"/>
    <xf numFmtId="49" fontId="59" fillId="6" borderId="54" xfId="1" applyNumberFormat="1" applyFont="1" applyFill="1" applyBorder="1" applyAlignment="1"/>
    <xf numFmtId="49" fontId="59" fillId="6" borderId="48" xfId="1" applyNumberFormat="1" applyFont="1" applyFill="1" applyBorder="1" applyAlignment="1"/>
    <xf numFmtId="49" fontId="56" fillId="6" borderId="23" xfId="1" applyNumberFormat="1" applyFont="1" applyFill="1" applyBorder="1" applyAlignment="1">
      <alignment horizontal="left"/>
    </xf>
    <xf numFmtId="177" fontId="56" fillId="6" borderId="1" xfId="0" applyNumberFormat="1" applyFont="1" applyFill="1" applyBorder="1" applyAlignment="1">
      <alignment horizontal="center" vertical="center"/>
    </xf>
    <xf numFmtId="181" fontId="56" fillId="6" borderId="5" xfId="1" applyNumberFormat="1" applyFont="1" applyFill="1" applyBorder="1" applyAlignment="1">
      <alignment horizontal="center"/>
    </xf>
    <xf numFmtId="0" fontId="55" fillId="0" borderId="0" xfId="0" applyFont="1" applyProtection="1">
      <alignment vertical="center"/>
      <protection locked="0"/>
    </xf>
    <xf numFmtId="10" fontId="55" fillId="6" borderId="5" xfId="1" applyNumberFormat="1" applyFont="1" applyFill="1" applyBorder="1" applyAlignment="1">
      <alignment horizontal="center"/>
    </xf>
    <xf numFmtId="0" fontId="55" fillId="6" borderId="24" xfId="0" applyFont="1" applyFill="1" applyBorder="1" applyAlignment="1">
      <alignment vertical="center" wrapText="1"/>
    </xf>
    <xf numFmtId="0" fontId="55" fillId="6" borderId="24" xfId="1" applyFont="1" applyFill="1" applyBorder="1" applyAlignment="1">
      <alignment horizontal="left" vertical="center"/>
    </xf>
    <xf numFmtId="10" fontId="56" fillId="6" borderId="1" xfId="0" applyNumberFormat="1" applyFont="1" applyFill="1" applyBorder="1" applyAlignment="1">
      <alignment horizontal="right" vertical="center"/>
    </xf>
    <xf numFmtId="184" fontId="56" fillId="6" borderId="1" xfId="0" applyNumberFormat="1" applyFont="1" applyFill="1" applyBorder="1" applyAlignment="1">
      <alignment horizontal="right" vertical="center"/>
    </xf>
    <xf numFmtId="10" fontId="56" fillId="6" borderId="1" xfId="1" applyNumberFormat="1" applyFont="1" applyFill="1" applyBorder="1" applyAlignment="1">
      <alignment horizontal="center" vertical="center"/>
    </xf>
    <xf numFmtId="49" fontId="59" fillId="6" borderId="38" xfId="1" applyNumberFormat="1" applyFont="1" applyFill="1" applyBorder="1" applyAlignment="1"/>
    <xf numFmtId="49" fontId="59" fillId="6" borderId="52" xfId="1" applyNumberFormat="1" applyFont="1" applyFill="1" applyBorder="1" applyAlignment="1"/>
    <xf numFmtId="177" fontId="56" fillId="6" borderId="32" xfId="0" applyNumberFormat="1" applyFont="1" applyFill="1" applyBorder="1" applyAlignment="1">
      <alignment horizontal="center" vertical="center"/>
    </xf>
    <xf numFmtId="49" fontId="59" fillId="6" borderId="68" xfId="1" applyNumberFormat="1" applyFont="1" applyFill="1" applyBorder="1" applyAlignment="1"/>
    <xf numFmtId="0" fontId="55" fillId="3" borderId="0" xfId="0" applyFont="1" applyFill="1" applyAlignment="1" applyProtection="1">
      <alignment horizontal="left" vertical="center"/>
      <protection locked="0"/>
    </xf>
    <xf numFmtId="0" fontId="62" fillId="6" borderId="1" xfId="0" applyFont="1" applyFill="1" applyBorder="1" applyAlignment="1">
      <alignment horizontal="left"/>
    </xf>
    <xf numFmtId="0" fontId="60" fillId="6" borderId="1" xfId="0" applyFont="1" applyFill="1" applyBorder="1" applyAlignment="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xf numFmtId="181" fontId="55" fillId="6" borderId="1" xfId="0" applyNumberFormat="1" applyFont="1" applyFill="1" applyBorder="1" applyAlignment="1">
      <alignment horizontal="center"/>
    </xf>
    <xf numFmtId="181" fontId="49" fillId="6" borderId="1" xfId="0" applyNumberFormat="1" applyFont="1" applyFill="1" applyBorder="1" applyAlignment="1">
      <alignment horizontal="center"/>
    </xf>
    <xf numFmtId="0" fontId="47" fillId="6" borderId="0" xfId="1" applyFont="1" applyFill="1">
      <alignment vertical="center"/>
    </xf>
    <xf numFmtId="176" fontId="101" fillId="6" borderId="1" xfId="0" applyNumberFormat="1" applyFont="1" applyFill="1" applyBorder="1" applyAlignment="1">
      <alignment horizontal="center" vertical="center"/>
    </xf>
    <xf numFmtId="176" fontId="101" fillId="6" borderId="24" xfId="0" applyNumberFormat="1" applyFont="1" applyFill="1" applyBorder="1" applyAlignment="1">
      <alignment horizontal="center" vertical="center"/>
    </xf>
    <xf numFmtId="177" fontId="49" fillId="6" borderId="1" xfId="0" applyNumberFormat="1" applyFont="1" applyFill="1" applyBorder="1" applyAlignment="1">
      <alignment horizontal="center" vertical="center"/>
    </xf>
    <xf numFmtId="0" fontId="48" fillId="6" borderId="1" xfId="0" applyFont="1" applyFill="1" applyBorder="1" applyAlignment="1">
      <alignment horizontal="right" vertical="center"/>
    </xf>
    <xf numFmtId="177" fontId="48" fillId="6" borderId="1" xfId="1" applyNumberFormat="1" applyFont="1" applyFill="1" applyBorder="1">
      <alignment vertical="center"/>
    </xf>
    <xf numFmtId="177" fontId="48" fillId="6" borderId="54" xfId="1" applyNumberFormat="1" applyFont="1" applyFill="1" applyBorder="1">
      <alignment vertical="center"/>
    </xf>
    <xf numFmtId="10" fontId="48" fillId="6" borderId="13" xfId="0" applyNumberFormat="1" applyFont="1" applyFill="1" applyBorder="1" applyAlignment="1">
      <alignment horizontal="center" vertical="center"/>
    </xf>
    <xf numFmtId="186" fontId="49" fillId="6" borderId="1" xfId="0" applyNumberFormat="1" applyFont="1" applyFill="1" applyBorder="1" applyAlignment="1">
      <alignment horizontal="center" vertical="center"/>
    </xf>
    <xf numFmtId="177" fontId="49" fillId="6" borderId="54" xfId="1" applyNumberFormat="1" applyFont="1" applyFill="1" applyBorder="1">
      <alignment vertical="center"/>
    </xf>
    <xf numFmtId="10" fontId="49" fillId="6" borderId="13" xfId="0" applyNumberFormat="1" applyFont="1" applyFill="1" applyBorder="1" applyAlignment="1">
      <alignment horizontal="center" vertical="center"/>
    </xf>
    <xf numFmtId="177" fontId="48" fillId="6" borderId="3" xfId="0" applyNumberFormat="1" applyFont="1" applyFill="1" applyBorder="1" applyAlignment="1">
      <alignment horizontal="center" vertical="center" wrapText="1"/>
    </xf>
    <xf numFmtId="10" fontId="48" fillId="6" borderId="1" xfId="0" applyNumberFormat="1" applyFont="1" applyFill="1" applyBorder="1" applyAlignment="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lignment horizontal="center" vertical="center" wrapText="1"/>
    </xf>
    <xf numFmtId="0" fontId="65" fillId="0" borderId="0" xfId="0" applyFont="1" applyProtection="1">
      <alignment vertical="center"/>
      <protection locked="0"/>
    </xf>
    <xf numFmtId="0" fontId="47" fillId="6" borderId="1" xfId="0" applyFont="1" applyFill="1" applyBorder="1" applyAlignment="1">
      <alignment horizontal="center" vertical="center"/>
    </xf>
    <xf numFmtId="49" fontId="49" fillId="6" borderId="6" xfId="0" applyNumberFormat="1" applyFont="1" applyFill="1" applyBorder="1" applyAlignment="1">
      <alignment horizontal="center" vertical="center"/>
    </xf>
    <xf numFmtId="0" fontId="49" fillId="6" borderId="9" xfId="0" applyFont="1" applyFill="1" applyBorder="1" applyAlignment="1">
      <alignment horizontal="center" vertical="center"/>
    </xf>
    <xf numFmtId="0" fontId="49" fillId="6" borderId="28" xfId="0" applyFont="1" applyFill="1" applyBorder="1" applyAlignment="1">
      <alignment horizontal="right" vertical="center"/>
    </xf>
    <xf numFmtId="0" fontId="49" fillId="6" borderId="21" xfId="0" applyFont="1" applyFill="1" applyBorder="1" applyAlignment="1">
      <alignment horizontal="center" vertical="center"/>
    </xf>
    <xf numFmtId="49" fontId="54" fillId="6" borderId="11" xfId="0" applyNumberFormat="1" applyFont="1" applyFill="1" applyBorder="1">
      <alignment vertical="center"/>
    </xf>
    <xf numFmtId="0" fontId="54" fillId="6" borderId="13" xfId="0" applyFont="1" applyFill="1" applyBorder="1" applyAlignment="1">
      <alignment vertical="center" wrapText="1"/>
    </xf>
    <xf numFmtId="0" fontId="54" fillId="6" borderId="13" xfId="0" applyFont="1" applyFill="1" applyBorder="1" applyAlignment="1">
      <alignment horizontal="center" vertical="center"/>
    </xf>
    <xf numFmtId="0" fontId="49" fillId="6" borderId="1" xfId="0" applyFont="1" applyFill="1" applyBorder="1" applyAlignment="1">
      <alignment horizontal="left" vertical="center"/>
    </xf>
    <xf numFmtId="0" fontId="54" fillId="6" borderId="24" xfId="0" applyFont="1" applyFill="1" applyBorder="1" applyAlignment="1">
      <alignment horizontal="center" vertical="center"/>
    </xf>
    <xf numFmtId="49" fontId="54" fillId="6" borderId="14" xfId="0" applyNumberFormat="1" applyFont="1" applyFill="1" applyBorder="1">
      <alignment vertical="center"/>
    </xf>
    <xf numFmtId="0" fontId="54" fillId="6" borderId="15" xfId="0" applyFont="1" applyFill="1" applyBorder="1" applyAlignment="1">
      <alignment vertical="center" wrapText="1"/>
    </xf>
    <xf numFmtId="0" fontId="54" fillId="6" borderId="15" xfId="0" applyFont="1" applyFill="1" applyBorder="1" applyAlignment="1">
      <alignment horizontal="center" vertical="center"/>
    </xf>
    <xf numFmtId="0" fontId="49" fillId="6" borderId="15" xfId="0" applyFont="1" applyFill="1" applyBorder="1">
      <alignment vertical="center"/>
    </xf>
    <xf numFmtId="49" fontId="54" fillId="6" borderId="41" xfId="0" applyNumberFormat="1" applyFont="1" applyFill="1" applyBorder="1">
      <alignment vertical="center"/>
    </xf>
    <xf numFmtId="0" fontId="54" fillId="6" borderId="2" xfId="0" applyFont="1" applyFill="1" applyBorder="1" applyAlignment="1">
      <alignment vertical="center" wrapText="1"/>
    </xf>
    <xf numFmtId="0" fontId="54" fillId="6" borderId="2" xfId="0" applyFont="1" applyFill="1" applyBorder="1" applyAlignment="1">
      <alignment horizontal="center" vertical="center"/>
    </xf>
    <xf numFmtId="0" fontId="49" fillId="6" borderId="2" xfId="0" applyFont="1" applyFill="1" applyBorder="1">
      <alignment vertical="center"/>
    </xf>
    <xf numFmtId="181" fontId="54" fillId="6" borderId="24" xfId="0" applyNumberFormat="1" applyFont="1" applyFill="1" applyBorder="1" applyAlignment="1">
      <alignment horizontal="center" vertical="center"/>
    </xf>
    <xf numFmtId="0" fontId="49" fillId="6" borderId="13" xfId="0" applyFont="1" applyFill="1" applyBorder="1" applyAlignment="1">
      <alignment horizontal="left" vertical="center"/>
    </xf>
    <xf numFmtId="181" fontId="54" fillId="6" borderId="61" xfId="0" applyNumberFormat="1" applyFont="1" applyFill="1" applyBorder="1" applyAlignment="1">
      <alignment horizontal="center" vertical="center"/>
    </xf>
    <xf numFmtId="49" fontId="54" fillId="6" borderId="23" xfId="0" applyNumberFormat="1" applyFont="1" applyFill="1" applyBorder="1" applyAlignment="1">
      <alignment horizontal="left" vertical="center"/>
    </xf>
    <xf numFmtId="0" fontId="54" fillId="6" borderId="1" xfId="0" applyFont="1" applyFill="1" applyBorder="1" applyAlignment="1">
      <alignment horizontal="center" vertical="center"/>
    </xf>
    <xf numFmtId="181" fontId="49" fillId="6" borderId="61" xfId="0" applyNumberFormat="1" applyFont="1" applyFill="1" applyBorder="1" applyAlignment="1">
      <alignment horizontal="center" vertical="center"/>
    </xf>
    <xf numFmtId="0" fontId="101" fillId="6" borderId="5" xfId="0" applyFont="1" applyFill="1" applyBorder="1" applyAlignment="1">
      <alignment horizontal="center" vertical="center"/>
    </xf>
    <xf numFmtId="179" fontId="54" fillId="6" borderId="48" xfId="0" applyNumberFormat="1" applyFont="1" applyFill="1" applyBorder="1" applyAlignment="1">
      <alignment horizontal="center" vertical="center"/>
    </xf>
    <xf numFmtId="0" fontId="49" fillId="6" borderId="2" xfId="0" applyFont="1" applyFill="1" applyBorder="1" applyAlignment="1">
      <alignment horizontal="left" vertical="center"/>
    </xf>
    <xf numFmtId="181" fontId="49" fillId="6" borderId="8" xfId="0" applyNumberFormat="1" applyFont="1" applyFill="1" applyBorder="1" applyAlignment="1">
      <alignment horizontal="center" vertical="center"/>
    </xf>
    <xf numFmtId="181" fontId="49" fillId="6" borderId="24" xfId="0" applyNumberFormat="1" applyFont="1" applyFill="1" applyBorder="1" applyAlignment="1">
      <alignment horizontal="center" vertical="center"/>
    </xf>
    <xf numFmtId="0" fontId="49" fillId="6" borderId="1" xfId="0" applyFont="1" applyFill="1" applyBorder="1" applyAlignment="1">
      <alignment vertical="center" wrapText="1"/>
    </xf>
    <xf numFmtId="0" fontId="49" fillId="6" borderId="13" xfId="0" applyFont="1" applyFill="1" applyBorder="1" applyAlignment="1">
      <alignment horizontal="left" vertical="center" wrapText="1"/>
    </xf>
    <xf numFmtId="0" fontId="49" fillId="6" borderId="24" xfId="0" applyFont="1" applyFill="1" applyBorder="1" applyAlignment="1">
      <alignment horizontal="center" vertical="center"/>
    </xf>
    <xf numFmtId="49" fontId="49" fillId="6" borderId="41" xfId="0" applyNumberFormat="1" applyFont="1" applyFill="1" applyBorder="1">
      <alignment vertical="center"/>
    </xf>
    <xf numFmtId="0" fontId="49" fillId="6" borderId="2" xfId="0" applyFont="1" applyFill="1" applyBorder="1" applyAlignment="1">
      <alignment horizontal="left" vertical="center" wrapText="1"/>
    </xf>
    <xf numFmtId="10" fontId="54" fillId="6" borderId="24" xfId="0" applyNumberFormat="1" applyFont="1" applyFill="1" applyBorder="1" applyAlignment="1">
      <alignment horizontal="center" vertical="center"/>
    </xf>
    <xf numFmtId="182" fontId="54" fillId="6" borderId="24" xfId="0" applyNumberFormat="1" applyFont="1" applyFill="1" applyBorder="1" applyAlignment="1">
      <alignment horizontal="center" vertical="center"/>
    </xf>
    <xf numFmtId="10" fontId="49" fillId="6" borderId="24" xfId="0" applyNumberFormat="1" applyFont="1" applyFill="1" applyBorder="1" applyAlignment="1">
      <alignment horizontal="center" vertical="center"/>
    </xf>
    <xf numFmtId="0" fontId="49" fillId="6" borderId="15" xfId="0" applyFont="1" applyFill="1" applyBorder="1" applyAlignment="1">
      <alignment horizontal="left" vertical="center" wrapText="1"/>
    </xf>
    <xf numFmtId="179" fontId="54" fillId="6" borderId="24"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4" fillId="6" borderId="32" xfId="0" applyFont="1" applyFill="1" applyBorder="1" applyAlignment="1">
      <alignment horizontal="left" vertical="center"/>
    </xf>
    <xf numFmtId="0" fontId="54" fillId="6" borderId="32" xfId="0" applyFont="1" applyFill="1" applyBorder="1" applyAlignment="1">
      <alignment horizontal="center" vertical="center"/>
    </xf>
    <xf numFmtId="0" fontId="49" fillId="6" borderId="32" xfId="0" applyFont="1" applyFill="1" applyBorder="1">
      <alignment vertical="center"/>
    </xf>
    <xf numFmtId="0" fontId="49" fillId="6" borderId="32" xfId="0" applyFont="1" applyFill="1" applyBorder="1" applyAlignment="1">
      <alignment horizontal="left" vertical="center"/>
    </xf>
    <xf numFmtId="179" fontId="54" fillId="6" borderId="49" xfId="0" applyNumberFormat="1" applyFont="1" applyFill="1" applyBorder="1" applyAlignment="1">
      <alignment horizontal="center" vertical="center"/>
    </xf>
    <xf numFmtId="0" fontId="55" fillId="6" borderId="1" xfId="0" applyFont="1" applyFill="1" applyBorder="1" applyAlignment="1">
      <alignment horizontal="left"/>
    </xf>
    <xf numFmtId="185" fontId="55" fillId="6" borderId="1" xfId="0" applyNumberFormat="1" applyFont="1" applyFill="1" applyBorder="1" applyAlignment="1">
      <alignment horizontal="center"/>
    </xf>
    <xf numFmtId="0" fontId="55" fillId="6" borderId="1" xfId="0" applyFont="1" applyFill="1" applyBorder="1" applyAlignment="1">
      <alignment vertical="center" wrapText="1"/>
    </xf>
    <xf numFmtId="181" fontId="54" fillId="6" borderId="1" xfId="0" applyNumberFormat="1" applyFont="1" applyFill="1" applyBorder="1" applyAlignment="1">
      <alignment horizontal="center" vertical="center"/>
    </xf>
    <xf numFmtId="0" fontId="104" fillId="6" borderId="1" xfId="0" applyFont="1" applyFill="1" applyBorder="1" applyAlignment="1">
      <alignment horizontal="left"/>
    </xf>
    <xf numFmtId="0" fontId="104" fillId="6" borderId="1" xfId="0" applyFont="1" applyFill="1" applyBorder="1" applyAlignment="1">
      <alignment horizontal="center"/>
    </xf>
    <xf numFmtId="0" fontId="62" fillId="6" borderId="1" xfId="0" applyFont="1" applyFill="1" applyBorder="1" applyAlignment="1">
      <alignment horizontal="center"/>
    </xf>
    <xf numFmtId="0" fontId="60" fillId="0" borderId="0" xfId="0" applyFont="1" applyAlignment="1" applyProtection="1">
      <alignment horizontal="center" vertical="center"/>
      <protection locked="0"/>
    </xf>
    <xf numFmtId="0" fontId="103" fillId="6" borderId="46" xfId="0" applyFont="1" applyFill="1" applyBorder="1">
      <alignment vertical="center"/>
    </xf>
    <xf numFmtId="0" fontId="64" fillId="6" borderId="36" xfId="0" applyFont="1" applyFill="1" applyBorder="1" applyAlignment="1">
      <alignment horizontal="right" vertical="center"/>
    </xf>
    <xf numFmtId="0" fontId="64" fillId="6" borderId="0" xfId="0" applyFont="1" applyFill="1" applyAlignment="1">
      <alignment horizontal="center" vertical="center"/>
    </xf>
    <xf numFmtId="0" fontId="65" fillId="0" borderId="0" xfId="0" applyFont="1" applyAlignment="1" applyProtection="1">
      <alignment horizontal="center" vertical="center"/>
      <protection locked="0"/>
    </xf>
    <xf numFmtId="0" fontId="59" fillId="6" borderId="13" xfId="0" applyFont="1" applyFill="1" applyBorder="1" applyAlignment="1">
      <alignment horizontal="right" vertical="center"/>
    </xf>
    <xf numFmtId="0" fontId="59" fillId="6" borderId="13" xfId="0" applyFont="1" applyFill="1" applyBorder="1" applyAlignment="1">
      <alignment horizontal="center" vertical="center"/>
    </xf>
    <xf numFmtId="0" fontId="52" fillId="6" borderId="16" xfId="0" applyFont="1" applyFill="1" applyBorder="1" applyAlignment="1">
      <alignment vertical="center" wrapText="1"/>
    </xf>
    <xf numFmtId="0" fontId="52" fillId="6" borderId="19" xfId="0" applyFont="1" applyFill="1" applyBorder="1" applyAlignment="1">
      <alignment vertical="center" wrapText="1"/>
    </xf>
    <xf numFmtId="0" fontId="53" fillId="0" borderId="0" xfId="0" applyFont="1" applyAlignment="1" applyProtection="1">
      <alignment horizontal="center" vertical="center"/>
      <protection locked="0"/>
    </xf>
    <xf numFmtId="0" fontId="52" fillId="6" borderId="18" xfId="0" applyFont="1" applyFill="1" applyBorder="1" applyAlignment="1">
      <alignment vertical="center" wrapText="1"/>
    </xf>
    <xf numFmtId="0" fontId="52" fillId="6" borderId="0" xfId="0" applyFont="1" applyFill="1" applyAlignment="1">
      <alignment vertical="center" wrapText="1"/>
    </xf>
    <xf numFmtId="0" fontId="52" fillId="6" borderId="42" xfId="0" applyFont="1" applyFill="1" applyBorder="1" applyAlignment="1">
      <alignment vertical="center" wrapText="1"/>
    </xf>
    <xf numFmtId="0" fontId="52" fillId="6" borderId="47" xfId="0" applyFont="1" applyFill="1" applyBorder="1" applyAlignment="1">
      <alignment vertical="center" wrapText="1"/>
    </xf>
    <xf numFmtId="0" fontId="48" fillId="6" borderId="63" xfId="0" applyFont="1" applyFill="1" applyBorder="1" applyAlignment="1">
      <alignment vertical="center" wrapText="1"/>
    </xf>
    <xf numFmtId="0" fontId="48" fillId="6" borderId="64" xfId="0" applyFont="1" applyFill="1" applyBorder="1" applyAlignment="1">
      <alignment vertical="center" wrapText="1"/>
    </xf>
    <xf numFmtId="183" fontId="46" fillId="6" borderId="26" xfId="0" applyNumberFormat="1" applyFont="1" applyFill="1" applyBorder="1" applyAlignment="1">
      <alignment horizontal="center" vertical="center" wrapText="1"/>
    </xf>
    <xf numFmtId="0" fontId="46" fillId="6" borderId="67" xfId="0" applyFont="1" applyFill="1" applyBorder="1" applyAlignment="1">
      <alignment horizontal="center" vertical="center" wrapText="1"/>
    </xf>
    <xf numFmtId="183" fontId="46" fillId="0" borderId="70" xfId="0" applyNumberFormat="1" applyFont="1" applyBorder="1" applyAlignment="1" applyProtection="1">
      <alignment horizontal="center" vertical="center" wrapText="1"/>
      <protection locked="0"/>
    </xf>
    <xf numFmtId="0" fontId="46" fillId="6" borderId="34" xfId="0" applyFont="1" applyFill="1" applyBorder="1" applyAlignment="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lignment vertical="center" wrapText="1"/>
    </xf>
    <xf numFmtId="0" fontId="46" fillId="0" borderId="51" xfId="0" applyFont="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lignment vertical="center" wrapText="1"/>
    </xf>
    <xf numFmtId="0" fontId="46" fillId="6" borderId="5" xfId="0" applyFont="1" applyFill="1" applyBorder="1" applyAlignment="1">
      <alignment horizontal="center" vertical="center" wrapText="1"/>
    </xf>
    <xf numFmtId="0" fontId="60" fillId="0" borderId="48" xfId="0" applyFont="1" applyBorder="1" applyAlignment="1" applyProtection="1">
      <alignment horizontal="center" vertical="center" wrapText="1"/>
      <protection locked="0"/>
    </xf>
    <xf numFmtId="0" fontId="69" fillId="0" borderId="0" xfId="0" applyFont="1" applyAlignment="1" applyProtection="1">
      <alignment horizontal="center" vertical="center"/>
      <protection locked="0"/>
    </xf>
    <xf numFmtId="0" fontId="52" fillId="6" borderId="14" xfId="0" applyFont="1" applyFill="1" applyBorder="1" applyAlignment="1">
      <alignment vertical="center" wrapText="1"/>
    </xf>
    <xf numFmtId="0" fontId="46" fillId="0" borderId="23" xfId="0" applyFont="1" applyBorder="1" applyAlignment="1" applyProtection="1">
      <alignment horizontal="center" vertical="center" wrapText="1"/>
      <protection locked="0"/>
    </xf>
    <xf numFmtId="0" fontId="46" fillId="0" borderId="3" xfId="0" applyFont="1" applyBorder="1" applyAlignment="1" applyProtection="1">
      <alignment horizontal="center" vertical="center" wrapText="1"/>
      <protection locked="0"/>
    </xf>
    <xf numFmtId="0" fontId="48" fillId="6" borderId="14" xfId="0" applyFont="1" applyFill="1" applyBorder="1" applyAlignment="1">
      <alignment vertical="center" wrapText="1"/>
    </xf>
    <xf numFmtId="0" fontId="46" fillId="0" borderId="41" xfId="0" applyFont="1" applyBorder="1" applyAlignment="1" applyProtection="1">
      <alignment horizontal="center" vertical="center" wrapText="1"/>
      <protection locked="0"/>
    </xf>
    <xf numFmtId="0" fontId="46" fillId="6" borderId="71" xfId="0" applyFont="1" applyFill="1" applyBorder="1" applyAlignment="1">
      <alignment horizontal="center" vertical="center" wrapText="1"/>
    </xf>
    <xf numFmtId="0" fontId="53" fillId="0" borderId="37" xfId="0" applyFont="1" applyBorder="1" applyAlignment="1" applyProtection="1">
      <alignment horizontal="center" vertical="center" wrapText="1"/>
      <protection locked="0"/>
    </xf>
    <xf numFmtId="0" fontId="53" fillId="6" borderId="24" xfId="0" applyFont="1" applyFill="1" applyBorder="1" applyAlignment="1">
      <alignment horizontal="center" vertical="center" wrapText="1"/>
    </xf>
    <xf numFmtId="0" fontId="52" fillId="6" borderId="12" xfId="0" applyFont="1" applyFill="1" applyBorder="1" applyAlignment="1">
      <alignment vertical="center" wrapText="1"/>
    </xf>
    <xf numFmtId="0" fontId="53" fillId="0" borderId="38" xfId="0" applyFont="1" applyBorder="1" applyAlignment="1" applyProtection="1">
      <alignment horizontal="center" vertical="center" wrapText="1"/>
      <protection locked="0"/>
    </xf>
    <xf numFmtId="0" fontId="53" fillId="6" borderId="49" xfId="0" applyFont="1" applyFill="1" applyBorder="1" applyAlignment="1">
      <alignment horizontal="center" vertical="center" wrapText="1"/>
    </xf>
    <xf numFmtId="0" fontId="53" fillId="6" borderId="33" xfId="0" applyFont="1" applyFill="1" applyBorder="1" applyAlignment="1">
      <alignment horizontal="center" vertical="center" wrapText="1"/>
    </xf>
    <xf numFmtId="0" fontId="52" fillId="6" borderId="40" xfId="0" applyFont="1" applyFill="1" applyBorder="1" applyAlignment="1">
      <alignment vertical="center" wrapText="1"/>
    </xf>
    <xf numFmtId="0" fontId="53" fillId="6" borderId="62" xfId="0" applyFont="1" applyFill="1" applyBorder="1" applyAlignment="1">
      <alignment horizontal="center" vertical="center" wrapText="1"/>
    </xf>
    <xf numFmtId="49" fontId="53" fillId="0" borderId="39" xfId="0" applyNumberFormat="1" applyFont="1" applyBorder="1" applyAlignment="1" applyProtection="1">
      <alignment horizontal="center" vertical="center" wrapText="1"/>
      <protection locked="0"/>
    </xf>
    <xf numFmtId="0" fontId="53" fillId="6" borderId="29" xfId="0" applyFont="1" applyFill="1" applyBorder="1" applyAlignment="1">
      <alignment horizontal="center" vertical="center" wrapText="1"/>
    </xf>
    <xf numFmtId="49" fontId="53" fillId="0" borderId="40" xfId="0" applyNumberFormat="1" applyFont="1" applyBorder="1" applyAlignment="1" applyProtection="1">
      <alignment horizontal="center" vertical="center" wrapText="1"/>
      <protection locked="0"/>
    </xf>
    <xf numFmtId="0" fontId="60" fillId="0" borderId="72" xfId="0" applyFont="1" applyBorder="1" applyAlignment="1" applyProtection="1">
      <alignment horizontal="center" vertical="center" wrapText="1"/>
      <protection locked="0"/>
    </xf>
    <xf numFmtId="0" fontId="53" fillId="6" borderId="0" xfId="0" applyFont="1" applyFill="1" applyAlignment="1">
      <alignment horizontal="center" vertical="center"/>
    </xf>
    <xf numFmtId="0" fontId="53" fillId="2" borderId="41" xfId="0" applyFont="1" applyFill="1" applyBorder="1" applyAlignment="1" applyProtection="1">
      <alignment horizontal="center" vertical="center" wrapText="1"/>
      <protection locked="0"/>
    </xf>
    <xf numFmtId="0" fontId="53" fillId="6" borderId="8" xfId="0" applyFont="1" applyFill="1" applyBorder="1" applyAlignment="1">
      <alignment horizontal="center" vertical="center" wrapText="1"/>
    </xf>
    <xf numFmtId="0" fontId="53" fillId="6" borderId="4" xfId="0" applyFont="1" applyFill="1" applyBorder="1" applyAlignment="1">
      <alignment horizontal="center" vertical="center" wrapText="1"/>
    </xf>
    <xf numFmtId="0" fontId="53" fillId="6" borderId="53" xfId="0" applyFont="1" applyFill="1" applyBorder="1" applyAlignment="1">
      <alignment horizontal="center" vertical="center" wrapText="1"/>
    </xf>
    <xf numFmtId="0" fontId="46" fillId="6" borderId="46" xfId="0" applyFont="1" applyFill="1" applyBorder="1" applyAlignment="1">
      <alignment horizontal="center" vertical="center" wrapText="1"/>
    </xf>
    <xf numFmtId="49" fontId="53" fillId="0" borderId="35" xfId="0" applyNumberFormat="1" applyFont="1" applyBorder="1" applyAlignment="1" applyProtection="1">
      <alignment horizontal="center" vertical="center" wrapText="1"/>
      <protection locked="0"/>
    </xf>
    <xf numFmtId="0" fontId="53" fillId="6" borderId="58" xfId="0" applyFont="1" applyFill="1" applyBorder="1" applyAlignment="1">
      <alignment horizontal="center" vertical="center" wrapText="1"/>
    </xf>
    <xf numFmtId="49" fontId="53" fillId="0" borderId="14" xfId="0" applyNumberFormat="1" applyFont="1" applyBorder="1" applyAlignment="1" applyProtection="1">
      <alignment horizontal="center" vertical="center" wrapText="1"/>
      <protection locked="0"/>
    </xf>
    <xf numFmtId="0" fontId="53" fillId="6" borderId="61" xfId="0" applyFont="1" applyFill="1" applyBorder="1" applyAlignment="1">
      <alignment horizontal="center" vertical="center" wrapText="1"/>
    </xf>
    <xf numFmtId="0" fontId="46" fillId="6" borderId="4" xfId="0" applyFont="1" applyFill="1" applyBorder="1" applyAlignment="1">
      <alignment horizontal="center" vertical="center" wrapText="1"/>
    </xf>
    <xf numFmtId="49" fontId="53" fillId="0" borderId="22" xfId="0" applyNumberFormat="1" applyFont="1" applyBorder="1" applyAlignment="1" applyProtection="1">
      <alignment horizontal="center" vertical="center" wrapText="1"/>
      <protection locked="0"/>
    </xf>
    <xf numFmtId="0" fontId="53" fillId="6" borderId="46" xfId="0" applyFont="1" applyFill="1" applyBorder="1" applyAlignment="1">
      <alignment horizontal="center" vertical="center" wrapText="1"/>
    </xf>
    <xf numFmtId="49" fontId="53" fillId="0" borderId="11" xfId="0" applyNumberFormat="1" applyFont="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6" borderId="5" xfId="0" applyFont="1" applyFill="1" applyBorder="1" applyAlignment="1">
      <alignment horizontal="center" vertical="center" wrapText="1"/>
    </xf>
    <xf numFmtId="0" fontId="46" fillId="6" borderId="8" xfId="0" applyFont="1" applyFill="1" applyBorder="1" applyAlignment="1">
      <alignment horizontal="center" vertical="center" wrapText="1"/>
    </xf>
    <xf numFmtId="49" fontId="46" fillId="0" borderId="7" xfId="0" applyNumberFormat="1" applyFont="1" applyBorder="1" applyAlignment="1" applyProtection="1">
      <alignment horizontal="center" vertical="center" wrapText="1"/>
      <protection locked="0"/>
    </xf>
    <xf numFmtId="49" fontId="46" fillId="0" borderId="41" xfId="0" applyNumberFormat="1" applyFont="1" applyBorder="1" applyAlignment="1" applyProtection="1">
      <alignment horizontal="center" vertical="center" wrapText="1"/>
      <protection locked="0"/>
    </xf>
    <xf numFmtId="0" fontId="52" fillId="6" borderId="40" xfId="0" applyFont="1" applyFill="1" applyBorder="1" applyAlignment="1">
      <alignment vertical="center" textRotation="255" wrapText="1"/>
    </xf>
    <xf numFmtId="0" fontId="53" fillId="6" borderId="10" xfId="0" applyFont="1" applyFill="1" applyBorder="1" applyAlignment="1">
      <alignment horizontal="center" vertical="center" wrapText="1"/>
    </xf>
    <xf numFmtId="0" fontId="71" fillId="6" borderId="14" xfId="0" applyFont="1" applyFill="1" applyBorder="1" applyAlignment="1">
      <alignment vertical="center" textRotation="255" wrapText="1"/>
    </xf>
    <xf numFmtId="0" fontId="46" fillId="0" borderId="37" xfId="0" applyFont="1" applyBorder="1" applyAlignment="1" applyProtection="1">
      <alignment horizontal="center" vertical="center" wrapText="1"/>
      <protection locked="0"/>
    </xf>
    <xf numFmtId="0" fontId="51" fillId="0" borderId="0" xfId="0" applyFont="1" applyAlignment="1" applyProtection="1">
      <alignment horizontal="center" vertical="center"/>
      <protection locked="0"/>
    </xf>
    <xf numFmtId="0" fontId="52" fillId="6" borderId="14" xfId="0" applyFont="1" applyFill="1" applyBorder="1" applyAlignment="1">
      <alignment vertical="center" textRotation="255" wrapText="1"/>
    </xf>
    <xf numFmtId="0" fontId="48" fillId="6" borderId="14" xfId="0" applyFont="1" applyFill="1" applyBorder="1" applyAlignment="1">
      <alignment vertical="center" textRotation="255" wrapText="1"/>
    </xf>
    <xf numFmtId="9" fontId="46" fillId="0" borderId="37" xfId="0" applyNumberFormat="1" applyFont="1" applyBorder="1" applyAlignment="1" applyProtection="1">
      <alignment horizontal="center" vertical="center" wrapText="1"/>
      <protection locked="0"/>
    </xf>
    <xf numFmtId="9" fontId="46" fillId="0" borderId="3" xfId="0" applyNumberFormat="1" applyFont="1" applyBorder="1" applyAlignment="1" applyProtection="1">
      <alignment horizontal="center" vertical="center" wrapText="1"/>
      <protection locked="0"/>
    </xf>
    <xf numFmtId="9" fontId="46" fillId="0" borderId="23" xfId="0" applyNumberFormat="1" applyFont="1" applyBorder="1" applyAlignment="1" applyProtection="1">
      <alignment horizontal="center" vertical="center" wrapText="1"/>
      <protection locked="0"/>
    </xf>
    <xf numFmtId="0" fontId="53" fillId="0" borderId="3" xfId="0" applyFont="1" applyBorder="1" applyAlignment="1" applyProtection="1">
      <alignment horizontal="center" vertical="center" wrapText="1"/>
      <protection locked="0"/>
    </xf>
    <xf numFmtId="0" fontId="52" fillId="6" borderId="12" xfId="0" applyFont="1" applyFill="1" applyBorder="1" applyAlignment="1">
      <alignment vertical="center" textRotation="255" wrapText="1"/>
    </xf>
    <xf numFmtId="49" fontId="52" fillId="6" borderId="51" xfId="0" applyNumberFormat="1" applyFont="1" applyFill="1" applyBorder="1">
      <alignment vertical="center"/>
    </xf>
    <xf numFmtId="49" fontId="52" fillId="6" borderId="20" xfId="0" applyNumberFormat="1" applyFont="1" applyFill="1" applyBorder="1">
      <alignment vertical="center"/>
    </xf>
    <xf numFmtId="0" fontId="52" fillId="6" borderId="21" xfId="0" applyFont="1" applyFill="1" applyBorder="1" applyAlignment="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lignment vertical="center" wrapText="1"/>
    </xf>
    <xf numFmtId="49" fontId="52" fillId="6" borderId="38" xfId="0" applyNumberFormat="1" applyFont="1" applyFill="1" applyBorder="1">
      <alignment vertical="center"/>
    </xf>
    <xf numFmtId="49" fontId="52" fillId="6" borderId="52" xfId="0" applyNumberFormat="1" applyFont="1" applyFill="1" applyBorder="1">
      <alignment vertical="center"/>
    </xf>
    <xf numFmtId="185" fontId="52" fillId="6" borderId="38" xfId="0" applyNumberFormat="1" applyFont="1" applyFill="1" applyBorder="1" applyAlignment="1">
      <alignment vertical="center" wrapText="1"/>
    </xf>
    <xf numFmtId="185" fontId="52" fillId="6" borderId="52" xfId="0" applyNumberFormat="1" applyFont="1" applyFill="1" applyBorder="1" applyAlignment="1">
      <alignment vertical="center" wrapText="1"/>
    </xf>
    <xf numFmtId="49" fontId="52" fillId="0" borderId="42" xfId="0" applyNumberFormat="1" applyFont="1" applyBorder="1" applyProtection="1">
      <alignment vertical="center"/>
      <protection locked="0"/>
    </xf>
    <xf numFmtId="49" fontId="52" fillId="0" borderId="43" xfId="0" applyNumberFormat="1" applyFont="1" applyBorder="1" applyProtection="1">
      <alignment vertical="center"/>
      <protection locked="0"/>
    </xf>
    <xf numFmtId="185" fontId="52" fillId="6" borderId="47" xfId="0" applyNumberFormat="1" applyFont="1" applyFill="1" applyBorder="1" applyAlignment="1">
      <alignment vertical="center" wrapText="1"/>
    </xf>
    <xf numFmtId="188" fontId="53" fillId="0" borderId="0" xfId="0" applyNumberFormat="1" applyFont="1" applyAlignment="1" applyProtection="1">
      <alignment horizontal="center" vertical="center"/>
      <protection locked="0"/>
    </xf>
    <xf numFmtId="181" fontId="53" fillId="0" borderId="0" xfId="0" applyNumberFormat="1" applyFont="1" applyAlignment="1" applyProtection="1">
      <alignment horizontal="center" vertical="center"/>
      <protection locked="0"/>
    </xf>
    <xf numFmtId="0" fontId="52" fillId="6" borderId="1" xfId="0" applyFont="1" applyFill="1" applyBorder="1" applyAlignment="1">
      <alignment horizontal="left" vertical="center"/>
    </xf>
    <xf numFmtId="0" fontId="52" fillId="6" borderId="1" xfId="0" applyFont="1" applyFill="1" applyBorder="1" applyAlignment="1">
      <alignment horizontal="center" vertical="center" wrapText="1"/>
    </xf>
    <xf numFmtId="181" fontId="53" fillId="6" borderId="5" xfId="0" applyNumberFormat="1" applyFont="1" applyFill="1" applyBorder="1" applyAlignment="1">
      <alignment horizontal="center" vertical="center"/>
    </xf>
    <xf numFmtId="181" fontId="53" fillId="6" borderId="3" xfId="0" applyNumberFormat="1" applyFont="1" applyFill="1" applyBorder="1">
      <alignment vertical="center"/>
    </xf>
    <xf numFmtId="0" fontId="52" fillId="6" borderId="3" xfId="0" applyFont="1" applyFill="1" applyBorder="1" applyAlignment="1">
      <alignment horizontal="center" vertical="center" wrapText="1"/>
    </xf>
    <xf numFmtId="0" fontId="70" fillId="0" borderId="0" xfId="0" applyFont="1" applyAlignment="1" applyProtection="1">
      <alignment horizontal="center" vertical="center"/>
      <protection locked="0"/>
    </xf>
    <xf numFmtId="0" fontId="53" fillId="0" borderId="0" xfId="0" applyFont="1" applyAlignment="1" applyProtection="1">
      <protection locked="0"/>
    </xf>
    <xf numFmtId="9" fontId="46" fillId="0" borderId="0" xfId="0" applyNumberFormat="1" applyFont="1" applyAlignment="1" applyProtection="1">
      <alignment horizontal="center" vertical="center" wrapText="1"/>
      <protection locked="0"/>
    </xf>
    <xf numFmtId="0" fontId="48" fillId="6" borderId="16" xfId="0" applyFont="1" applyFill="1" applyBorder="1" applyAlignment="1">
      <alignment vertical="center" wrapText="1"/>
    </xf>
    <xf numFmtId="0" fontId="48" fillId="6" borderId="39" xfId="0" applyFont="1" applyFill="1" applyBorder="1" applyAlignment="1">
      <alignment vertical="center" wrapText="1"/>
    </xf>
    <xf numFmtId="49" fontId="46" fillId="0" borderId="0" xfId="0" applyNumberFormat="1" applyFont="1" applyAlignment="1" applyProtection="1">
      <alignment horizontal="center" vertical="center"/>
      <protection locked="0"/>
    </xf>
    <xf numFmtId="0" fontId="48" fillId="6" borderId="18" xfId="0" applyFont="1" applyFill="1" applyBorder="1" applyAlignment="1">
      <alignment vertical="center" wrapText="1"/>
    </xf>
    <xf numFmtId="0" fontId="48" fillId="6" borderId="35" xfId="0" applyFont="1" applyFill="1" applyBorder="1" applyAlignment="1">
      <alignment vertical="center" wrapText="1"/>
    </xf>
    <xf numFmtId="0" fontId="46" fillId="0" borderId="22" xfId="0" applyFont="1" applyBorder="1" applyAlignment="1" applyProtection="1">
      <alignment horizontal="center" vertical="center" wrapText="1"/>
      <protection locked="0"/>
    </xf>
    <xf numFmtId="0" fontId="46" fillId="0" borderId="13" xfId="0" applyFont="1" applyBorder="1" applyAlignment="1" applyProtection="1">
      <alignment horizontal="center" vertical="center" wrapText="1"/>
      <protection locked="0"/>
    </xf>
    <xf numFmtId="0" fontId="46" fillId="0" borderId="46" xfId="0" applyFont="1" applyBorder="1" applyAlignment="1" applyProtection="1">
      <alignment horizontal="center" vertical="center" wrapText="1"/>
      <protection locked="0"/>
    </xf>
    <xf numFmtId="0" fontId="46" fillId="0" borderId="61" xfId="0" applyFont="1" applyBorder="1" applyAlignment="1" applyProtection="1">
      <alignment horizontal="center" vertical="center" wrapText="1"/>
      <protection locked="0"/>
    </xf>
    <xf numFmtId="0" fontId="48" fillId="6" borderId="42" xfId="0" applyFont="1" applyFill="1" applyBorder="1">
      <alignment vertical="center"/>
    </xf>
    <xf numFmtId="0" fontId="48" fillId="6" borderId="73" xfId="0" applyFont="1" applyFill="1" applyBorder="1" applyAlignment="1">
      <alignment vertical="center" wrapText="1"/>
    </xf>
    <xf numFmtId="0" fontId="46" fillId="0" borderId="73" xfId="0" applyFont="1" applyBorder="1" applyAlignment="1" applyProtection="1">
      <alignment horizontal="center" vertical="center" wrapText="1"/>
      <protection locked="0"/>
    </xf>
    <xf numFmtId="0" fontId="46" fillId="0" borderId="74" xfId="0" applyFont="1" applyBorder="1" applyAlignment="1" applyProtection="1">
      <alignment horizontal="center" vertical="center" wrapText="1"/>
      <protection locked="0"/>
    </xf>
    <xf numFmtId="0" fontId="46" fillId="0" borderId="75" xfId="0" applyFont="1" applyBorder="1" applyAlignment="1" applyProtection="1">
      <alignment horizontal="center" vertical="center" wrapText="1"/>
      <protection locked="0"/>
    </xf>
    <xf numFmtId="0" fontId="46" fillId="0" borderId="76" xfId="0" applyFont="1" applyBorder="1" applyAlignment="1" applyProtection="1">
      <alignment horizontal="center" vertical="center" wrapText="1"/>
      <protection locked="0"/>
    </xf>
    <xf numFmtId="0" fontId="48" fillId="6" borderId="58" xfId="0" applyFont="1" applyFill="1" applyBorder="1" applyAlignment="1">
      <alignment vertical="center" wrapText="1"/>
    </xf>
    <xf numFmtId="0" fontId="46" fillId="6" borderId="7" xfId="0" applyFont="1" applyFill="1" applyBorder="1" applyAlignment="1">
      <alignment horizontal="center" vertical="center" wrapText="1"/>
    </xf>
    <xf numFmtId="0" fontId="46" fillId="0" borderId="2" xfId="0" applyFont="1" applyBorder="1" applyAlignment="1" applyProtection="1">
      <alignment horizontal="left" vertical="center" wrapText="1"/>
      <protection locked="0"/>
    </xf>
    <xf numFmtId="0" fontId="46" fillId="0" borderId="8" xfId="0" applyFont="1" applyBorder="1" applyAlignment="1" applyProtection="1">
      <alignment horizontal="center" vertical="center" wrapText="1"/>
      <protection locked="0"/>
    </xf>
    <xf numFmtId="0" fontId="100" fillId="0" borderId="0" xfId="0" applyFont="1" applyProtection="1">
      <alignment vertical="center"/>
      <protection locked="0"/>
    </xf>
    <xf numFmtId="0" fontId="46" fillId="6" borderId="17" xfId="0" applyFont="1" applyFill="1" applyBorder="1" applyAlignment="1">
      <alignment horizontal="center" vertical="center" wrapText="1"/>
    </xf>
    <xf numFmtId="0" fontId="53" fillId="6" borderId="9" xfId="0" applyFont="1" applyFill="1" applyBorder="1" applyAlignment="1">
      <alignment horizontal="center" vertical="center" wrapText="1"/>
    </xf>
    <xf numFmtId="0" fontId="53" fillId="0" borderId="9" xfId="0" applyFont="1" applyBorder="1" applyAlignment="1" applyProtection="1">
      <alignment horizontal="center" vertical="center" wrapText="1"/>
      <protection locked="0"/>
    </xf>
    <xf numFmtId="0" fontId="70" fillId="0" borderId="9" xfId="0" applyFont="1" applyBorder="1" applyAlignment="1" applyProtection="1">
      <alignment horizontal="center" vertical="center" wrapText="1"/>
      <protection locked="0"/>
    </xf>
    <xf numFmtId="0" fontId="70" fillId="0" borderId="9" xfId="0" applyFont="1" applyBorder="1" applyAlignment="1" applyProtection="1">
      <alignment horizontal="left" vertical="center" wrapText="1"/>
      <protection locked="0"/>
    </xf>
    <xf numFmtId="0" fontId="70" fillId="0" borderId="10" xfId="0" applyFont="1" applyBorder="1" applyAlignment="1" applyProtection="1">
      <alignment horizontal="center" vertical="center" wrapText="1"/>
      <protection locked="0"/>
    </xf>
    <xf numFmtId="0" fontId="51" fillId="6" borderId="77" xfId="0" applyFont="1" applyFill="1" applyBorder="1" applyAlignment="1">
      <alignment horizontal="center" vertical="center" wrapText="1"/>
    </xf>
    <xf numFmtId="0" fontId="53" fillId="0" borderId="78" xfId="0" applyFont="1" applyBorder="1" applyAlignment="1" applyProtection="1">
      <alignment horizontal="center" vertical="center" wrapText="1"/>
      <protection locked="0"/>
    </xf>
    <xf numFmtId="0" fontId="53" fillId="0" borderId="79" xfId="0" applyFont="1" applyBorder="1" applyAlignment="1" applyProtection="1">
      <alignment horizontal="center" vertical="center" wrapText="1"/>
      <protection locked="0"/>
    </xf>
    <xf numFmtId="0" fontId="46" fillId="6" borderId="57" xfId="0" applyFont="1" applyFill="1" applyBorder="1" applyAlignment="1">
      <alignment horizontal="center" vertical="center" wrapText="1"/>
    </xf>
    <xf numFmtId="0" fontId="53" fillId="6" borderId="44" xfId="0" applyFont="1" applyFill="1" applyBorder="1" applyAlignment="1">
      <alignment horizontal="center" vertical="center" wrapText="1"/>
    </xf>
    <xf numFmtId="0" fontId="70" fillId="6" borderId="44" xfId="0" applyFont="1" applyFill="1" applyBorder="1" applyAlignment="1">
      <alignment horizontal="center" vertical="center" wrapText="1"/>
    </xf>
    <xf numFmtId="0" fontId="70" fillId="6" borderId="44" xfId="0" applyFont="1" applyFill="1" applyBorder="1" applyAlignment="1">
      <alignment horizontal="left" vertical="center" wrapText="1"/>
    </xf>
    <xf numFmtId="0" fontId="70" fillId="6" borderId="45" xfId="0" applyFont="1" applyFill="1" applyBorder="1" applyAlignment="1">
      <alignment horizontal="center" vertical="center" wrapText="1"/>
    </xf>
    <xf numFmtId="0" fontId="46" fillId="6" borderId="77" xfId="0" applyFont="1" applyFill="1" applyBorder="1" applyAlignment="1">
      <alignment horizontal="center" vertical="center" wrapText="1"/>
    </xf>
    <xf numFmtId="0" fontId="53" fillId="6" borderId="78" xfId="0" applyFont="1" applyFill="1" applyBorder="1" applyAlignment="1">
      <alignment horizontal="center" vertical="center" wrapText="1"/>
    </xf>
    <xf numFmtId="0" fontId="53" fillId="6" borderId="79" xfId="0" applyFont="1" applyFill="1" applyBorder="1" applyAlignment="1">
      <alignment horizontal="center" vertical="center" wrapText="1"/>
    </xf>
    <xf numFmtId="0" fontId="46" fillId="6" borderId="15"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3" fillId="0" borderId="1" xfId="0" applyFont="1" applyBorder="1" applyAlignment="1" applyProtection="1">
      <alignment horizontal="center" vertical="center" wrapText="1"/>
      <protection locked="0"/>
    </xf>
    <xf numFmtId="0" fontId="70" fillId="0" borderId="1" xfId="0" applyFont="1" applyBorder="1" applyAlignment="1" applyProtection="1">
      <alignment horizontal="center" vertical="center" wrapText="1"/>
      <protection locked="0"/>
    </xf>
    <xf numFmtId="0" fontId="70" fillId="0" borderId="1" xfId="0" applyFont="1" applyBorder="1" applyAlignment="1" applyProtection="1">
      <alignment horizontal="left" vertical="center" wrapText="1"/>
      <protection locked="0"/>
    </xf>
    <xf numFmtId="0" fontId="70" fillId="0" borderId="24" xfId="0" applyFont="1" applyBorder="1" applyAlignment="1" applyProtection="1">
      <alignment horizontal="center" vertical="center" wrapText="1"/>
      <protection locked="0"/>
    </xf>
    <xf numFmtId="0" fontId="71" fillId="6" borderId="14" xfId="0" applyFont="1" applyFill="1" applyBorder="1" applyAlignment="1">
      <alignment vertical="center" wrapText="1"/>
    </xf>
    <xf numFmtId="0" fontId="46" fillId="0" borderId="44" xfId="0" applyFont="1" applyBorder="1" applyAlignment="1" applyProtection="1">
      <alignment horizontal="center" vertical="center" wrapText="1"/>
      <protection locked="0"/>
    </xf>
    <xf numFmtId="0" fontId="51" fillId="0" borderId="44" xfId="0" applyFont="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6" fillId="0" borderId="78" xfId="0" applyFont="1" applyBorder="1" applyAlignment="1" applyProtection="1">
      <alignment horizontal="center" vertical="center" wrapText="1"/>
      <protection locked="0"/>
    </xf>
    <xf numFmtId="9" fontId="51" fillId="0" borderId="0" xfId="0" applyNumberFormat="1" applyFont="1" applyAlignment="1" applyProtection="1">
      <alignment horizontal="center" vertical="center"/>
      <protection locked="0"/>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51" fillId="0" borderId="2" xfId="0" applyFont="1" applyBorder="1" applyAlignment="1" applyProtection="1">
      <alignment horizontal="left" vertical="center" wrapText="1"/>
      <protection locked="0"/>
    </xf>
    <xf numFmtId="0" fontId="51" fillId="0" borderId="8" xfId="0" applyFont="1" applyBorder="1" applyAlignment="1" applyProtection="1">
      <alignment horizontal="center" vertical="center" wrapText="1"/>
      <protection locked="0"/>
    </xf>
    <xf numFmtId="0" fontId="51" fillId="0" borderId="0" xfId="0" applyFont="1" applyAlignment="1" applyProtection="1">
      <alignment vertical="center" wrapText="1"/>
      <protection locked="0"/>
    </xf>
    <xf numFmtId="0" fontId="71" fillId="6" borderId="12" xfId="0" applyFont="1" applyFill="1" applyBorder="1" applyAlignment="1">
      <alignment vertical="center" wrapText="1"/>
    </xf>
    <xf numFmtId="0" fontId="46" fillId="6" borderId="74" xfId="0" applyFont="1" applyFill="1" applyBorder="1" applyAlignment="1">
      <alignment horizontal="center" vertical="center" wrapText="1"/>
    </xf>
    <xf numFmtId="0" fontId="46" fillId="0" borderId="32"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6" fillId="6" borderId="9" xfId="0" applyFont="1" applyFill="1" applyBorder="1" applyAlignment="1">
      <alignment horizontal="center" vertical="center" wrapText="1"/>
    </xf>
    <xf numFmtId="0" fontId="70" fillId="6" borderId="9" xfId="0" applyFont="1" applyFill="1" applyBorder="1" applyAlignment="1">
      <alignment horizontal="center" vertical="center" wrapText="1"/>
    </xf>
    <xf numFmtId="0" fontId="70" fillId="6" borderId="9" xfId="0" applyFont="1" applyFill="1" applyBorder="1" applyAlignment="1">
      <alignment horizontal="left" vertical="center" wrapText="1"/>
    </xf>
    <xf numFmtId="0" fontId="70" fillId="6" borderId="10" xfId="0" applyFont="1" applyFill="1" applyBorder="1" applyAlignment="1">
      <alignment horizontal="center" vertical="center" wrapText="1"/>
    </xf>
    <xf numFmtId="0" fontId="46" fillId="0" borderId="0" xfId="0" applyFont="1" applyAlignment="1" applyProtection="1">
      <alignment vertical="center" wrapText="1"/>
      <protection locked="0"/>
    </xf>
    <xf numFmtId="0" fontId="46" fillId="6" borderId="44" xfId="0" applyFont="1" applyFill="1" applyBorder="1" applyAlignment="1">
      <alignment horizontal="center" vertical="center" wrapText="1"/>
    </xf>
    <xf numFmtId="0" fontId="46" fillId="0" borderId="44" xfId="0" applyFont="1" applyBorder="1" applyAlignment="1" applyProtection="1">
      <alignment horizontal="left" vertical="center" wrapText="1"/>
      <protection locked="0"/>
    </xf>
    <xf numFmtId="0" fontId="46" fillId="0" borderId="45" xfId="0" applyFont="1" applyBorder="1" applyAlignment="1" applyProtection="1">
      <alignment horizontal="center" vertical="center" wrapText="1"/>
      <protection locked="0"/>
    </xf>
    <xf numFmtId="0" fontId="46" fillId="6" borderId="78" xfId="0" applyFont="1" applyFill="1" applyBorder="1" applyAlignment="1">
      <alignment horizontal="center" vertical="center" wrapText="1"/>
    </xf>
    <xf numFmtId="0" fontId="53" fillId="0" borderId="44" xfId="0" applyFont="1" applyBorder="1" applyAlignment="1" applyProtection="1">
      <alignment horizontal="center" vertical="center" wrapText="1"/>
      <protection locked="0"/>
    </xf>
    <xf numFmtId="0" fontId="70" fillId="0" borderId="44" xfId="0" applyFont="1" applyBorder="1" applyAlignment="1" applyProtection="1">
      <alignment horizontal="center" vertical="center" wrapText="1"/>
      <protection locked="0"/>
    </xf>
    <xf numFmtId="0" fontId="70" fillId="0" borderId="44" xfId="0" applyFont="1" applyBorder="1" applyAlignment="1" applyProtection="1">
      <alignment horizontal="left" vertical="center" wrapText="1"/>
      <protection locked="0"/>
    </xf>
    <xf numFmtId="0" fontId="70" fillId="0" borderId="45" xfId="0" applyFont="1" applyBorder="1" applyAlignment="1" applyProtection="1">
      <alignment horizontal="center" vertical="center" wrapText="1"/>
      <protection locked="0"/>
    </xf>
    <xf numFmtId="0" fontId="53" fillId="0" borderId="2" xfId="0" applyFont="1" applyBorder="1" applyAlignment="1" applyProtection="1">
      <alignment horizontal="center" vertical="center" wrapText="1"/>
      <protection locked="0"/>
    </xf>
    <xf numFmtId="0" fontId="70" fillId="0" borderId="2" xfId="0" applyFont="1" applyBorder="1" applyAlignment="1" applyProtection="1">
      <alignment horizontal="center" vertical="center" wrapText="1"/>
      <protection locked="0"/>
    </xf>
    <xf numFmtId="0" fontId="70" fillId="0" borderId="2" xfId="0" applyFont="1" applyBorder="1" applyAlignment="1" applyProtection="1">
      <alignment horizontal="left" vertical="center" wrapText="1"/>
      <protection locked="0"/>
    </xf>
    <xf numFmtId="0" fontId="70" fillId="0" borderId="8" xfId="0" applyFont="1" applyBorder="1" applyAlignment="1" applyProtection="1">
      <alignment horizontal="center" vertical="center" wrapText="1"/>
      <protection locked="0"/>
    </xf>
    <xf numFmtId="0" fontId="53" fillId="0" borderId="32" xfId="0" applyFont="1" applyBorder="1" applyAlignment="1" applyProtection="1">
      <alignment horizontal="center" vertical="center" wrapText="1"/>
      <protection locked="0"/>
    </xf>
    <xf numFmtId="0" fontId="53" fillId="0" borderId="49" xfId="0" applyFont="1" applyBorder="1" applyAlignment="1" applyProtection="1">
      <alignment horizontal="center" vertical="center" wrapText="1"/>
      <protection locked="0"/>
    </xf>
    <xf numFmtId="0" fontId="46" fillId="6" borderId="58" xfId="0" applyFont="1" applyFill="1" applyBorder="1" applyAlignment="1">
      <alignment horizontal="center" vertical="center"/>
    </xf>
    <xf numFmtId="0" fontId="51" fillId="0" borderId="1" xfId="0" applyFont="1" applyBorder="1" applyAlignment="1" applyProtection="1">
      <alignment horizontal="center" vertical="center" wrapText="1"/>
      <protection locked="0"/>
    </xf>
    <xf numFmtId="0" fontId="51" fillId="0" borderId="1" xfId="0" applyFont="1" applyBorder="1" applyAlignment="1" applyProtection="1">
      <alignment horizontal="left" vertical="center" wrapText="1"/>
      <protection locked="0"/>
    </xf>
    <xf numFmtId="0" fontId="51" fillId="0" borderId="24" xfId="0" applyFont="1" applyBorder="1" applyAlignment="1" applyProtection="1">
      <alignment horizontal="center" vertical="center" wrapText="1"/>
      <protection locked="0"/>
    </xf>
    <xf numFmtId="0" fontId="51" fillId="6" borderId="44" xfId="0" applyFont="1" applyFill="1" applyBorder="1" applyAlignment="1">
      <alignment horizontal="center" vertical="center" wrapText="1"/>
    </xf>
    <xf numFmtId="0" fontId="51" fillId="6" borderId="44" xfId="0" applyFont="1" applyFill="1" applyBorder="1" applyAlignment="1">
      <alignment horizontal="left" vertical="center" wrapText="1"/>
    </xf>
    <xf numFmtId="0" fontId="51" fillId="6" borderId="45" xfId="0" applyFont="1" applyFill="1" applyBorder="1" applyAlignment="1">
      <alignment horizontal="center" vertical="center" wrapText="1"/>
    </xf>
    <xf numFmtId="0" fontId="46"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24"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185" fontId="59" fillId="6" borderId="13" xfId="0" applyNumberFormat="1" applyFont="1" applyFill="1" applyBorder="1" applyAlignment="1">
      <alignment horizontal="right" vertical="center"/>
    </xf>
    <xf numFmtId="188" fontId="46" fillId="6" borderId="3" xfId="0" applyNumberFormat="1" applyFont="1" applyFill="1" applyBorder="1" applyAlignment="1">
      <alignment horizontal="center" vertical="center" wrapText="1"/>
    </xf>
    <xf numFmtId="0" fontId="60" fillId="0" borderId="3" xfId="0" applyFont="1" applyBorder="1" applyAlignment="1" applyProtection="1">
      <alignment horizontal="center" vertical="center" wrapText="1"/>
      <protection locked="0"/>
    </xf>
    <xf numFmtId="0" fontId="60" fillId="6" borderId="3" xfId="0" applyFont="1" applyFill="1" applyBorder="1" applyAlignment="1">
      <alignment horizontal="center" vertical="center" wrapText="1"/>
    </xf>
    <xf numFmtId="0" fontId="60" fillId="0" borderId="11" xfId="0" applyFont="1" applyBorder="1" applyAlignment="1" applyProtection="1">
      <alignment horizontal="center" vertical="center" wrapText="1"/>
      <protection locked="0"/>
    </xf>
    <xf numFmtId="0" fontId="60" fillId="6" borderId="41" xfId="0" applyFont="1" applyFill="1" applyBorder="1" applyAlignment="1">
      <alignment horizontal="center" vertical="center" wrapText="1"/>
    </xf>
    <xf numFmtId="0" fontId="53" fillId="2" borderId="37" xfId="0" applyFont="1" applyFill="1" applyBorder="1" applyAlignment="1" applyProtection="1">
      <alignment horizontal="center" vertical="center" wrapText="1"/>
      <protection locked="0"/>
    </xf>
    <xf numFmtId="17" fontId="51" fillId="0" borderId="37" xfId="0" applyNumberFormat="1" applyFont="1" applyBorder="1" applyAlignment="1" applyProtection="1">
      <alignment horizontal="center" vertical="center" wrapText="1"/>
      <protection locked="0"/>
    </xf>
    <xf numFmtId="0" fontId="51" fillId="0" borderId="37" xfId="0" applyFont="1" applyBorder="1" applyAlignment="1" applyProtection="1">
      <alignment horizontal="center" vertical="center" wrapText="1"/>
      <protection locked="0"/>
    </xf>
    <xf numFmtId="188" fontId="53" fillId="3" borderId="3" xfId="0" applyNumberFormat="1" applyFont="1" applyFill="1" applyBorder="1" applyAlignment="1" applyProtection="1">
      <alignment horizontal="center" vertical="center"/>
      <protection locked="0"/>
    </xf>
    <xf numFmtId="188" fontId="53" fillId="3" borderId="1" xfId="0" applyNumberFormat="1" applyFont="1" applyFill="1" applyBorder="1" applyAlignment="1" applyProtection="1">
      <alignment horizontal="center" vertical="center" wrapText="1"/>
      <protection locked="0"/>
    </xf>
    <xf numFmtId="0" fontId="46" fillId="6" borderId="45" xfId="0" applyFont="1" applyFill="1" applyBorder="1" applyAlignment="1">
      <alignment horizontal="center" vertical="center" wrapText="1"/>
    </xf>
    <xf numFmtId="0" fontId="53" fillId="0" borderId="15" xfId="0" applyFont="1" applyBorder="1" applyAlignment="1" applyProtection="1">
      <alignment horizontal="center" vertical="center" wrapText="1"/>
      <protection locked="0"/>
    </xf>
    <xf numFmtId="0" fontId="70" fillId="0" borderId="15" xfId="0" applyFont="1" applyBorder="1" applyAlignment="1" applyProtection="1">
      <alignment horizontal="center" vertical="center" wrapText="1"/>
      <protection locked="0"/>
    </xf>
    <xf numFmtId="0" fontId="70" fillId="0" borderId="15" xfId="0" applyFont="1" applyBorder="1" applyAlignment="1" applyProtection="1">
      <alignment horizontal="left" vertical="center" wrapText="1"/>
      <protection locked="0"/>
    </xf>
    <xf numFmtId="0" fontId="70" fillId="0" borderId="53" xfId="0" applyFont="1" applyBorder="1" applyAlignment="1" applyProtection="1">
      <alignment horizontal="center" vertical="center" wrapText="1"/>
      <protection locked="0"/>
    </xf>
    <xf numFmtId="0" fontId="100" fillId="0" borderId="44" xfId="0" applyFont="1" applyBorder="1" applyAlignment="1" applyProtection="1">
      <alignment horizontal="center" vertical="center" wrapText="1"/>
      <protection locked="0"/>
    </xf>
    <xf numFmtId="0" fontId="46" fillId="0" borderId="12" xfId="0" applyFont="1" applyBorder="1" applyAlignment="1" applyProtection="1">
      <alignment horizontal="center" vertical="center" wrapText="1"/>
      <protection locked="0"/>
    </xf>
    <xf numFmtId="0" fontId="46" fillId="6" borderId="62" xfId="0" applyFont="1" applyFill="1" applyBorder="1" applyAlignment="1">
      <alignment horizontal="center" vertical="center" wrapText="1"/>
    </xf>
    <xf numFmtId="0" fontId="53" fillId="6" borderId="56" xfId="0" applyFont="1" applyFill="1" applyBorder="1" applyAlignment="1">
      <alignment horizontal="center" vertical="center"/>
    </xf>
    <xf numFmtId="0" fontId="46" fillId="6" borderId="61" xfId="0" applyFont="1" applyFill="1" applyBorder="1" applyAlignment="1">
      <alignment horizontal="center" vertical="center" wrapText="1"/>
    </xf>
    <xf numFmtId="0" fontId="46" fillId="6" borderId="53" xfId="0" applyFont="1" applyFill="1" applyBorder="1" applyAlignment="1">
      <alignment horizontal="center" vertical="center" wrapText="1"/>
    </xf>
    <xf numFmtId="0" fontId="53" fillId="2" borderId="54" xfId="0" applyFont="1" applyFill="1" applyBorder="1" applyAlignment="1" applyProtection="1">
      <alignment horizontal="center" vertical="center" wrapText="1"/>
      <protection locked="0"/>
    </xf>
    <xf numFmtId="0" fontId="46" fillId="0" borderId="49" xfId="0" applyFont="1" applyBorder="1" applyAlignment="1" applyProtection="1">
      <alignment horizontal="center" vertical="center" wrapText="1"/>
      <protection locked="0"/>
    </xf>
    <xf numFmtId="0" fontId="53" fillId="6" borderId="57" xfId="0"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9" fontId="53" fillId="0" borderId="0" xfId="0" applyNumberFormat="1" applyFont="1" applyAlignment="1" applyProtection="1">
      <alignment horizontal="center" vertical="center" wrapText="1"/>
      <protection locked="0"/>
    </xf>
    <xf numFmtId="0" fontId="46" fillId="6" borderId="22" xfId="0" applyFont="1" applyFill="1" applyBorder="1" applyAlignment="1">
      <alignment horizontal="center" vertical="center" wrapText="1"/>
    </xf>
    <xf numFmtId="0" fontId="46" fillId="6" borderId="20" xfId="0" applyFont="1" applyFill="1" applyBorder="1" applyAlignment="1">
      <alignment horizontal="center" vertical="center" wrapText="1"/>
    </xf>
    <xf numFmtId="0" fontId="68" fillId="6" borderId="80" xfId="0" applyFont="1" applyFill="1" applyBorder="1" applyAlignment="1">
      <alignment vertical="center" wrapText="1"/>
    </xf>
    <xf numFmtId="0" fontId="46" fillId="6" borderId="54" xfId="0" applyFont="1" applyFill="1" applyBorder="1" applyAlignment="1">
      <alignment horizontal="center" vertical="center" wrapText="1"/>
    </xf>
    <xf numFmtId="0" fontId="52" fillId="6" borderId="80" xfId="0" applyFont="1" applyFill="1" applyBorder="1" applyAlignment="1">
      <alignment vertical="center" wrapText="1"/>
    </xf>
    <xf numFmtId="0" fontId="46" fillId="0" borderId="36" xfId="0" applyFont="1" applyBorder="1" applyAlignment="1" applyProtection="1">
      <alignment horizontal="center" vertical="center" wrapText="1"/>
      <protection locked="0"/>
    </xf>
    <xf numFmtId="0" fontId="48" fillId="6" borderId="80" xfId="0" applyFont="1" applyFill="1" applyBorder="1" applyAlignment="1">
      <alignment vertical="center" wrapText="1"/>
    </xf>
    <xf numFmtId="0" fontId="52" fillId="6" borderId="81" xfId="0" applyFont="1" applyFill="1" applyBorder="1" applyAlignment="1">
      <alignment vertical="center" wrapText="1"/>
    </xf>
    <xf numFmtId="0" fontId="53" fillId="6" borderId="53" xfId="0" applyFont="1" applyFill="1" applyBorder="1" applyAlignment="1">
      <alignment horizontal="center" vertical="center"/>
    </xf>
    <xf numFmtId="0" fontId="46" fillId="6" borderId="76" xfId="0" applyFont="1" applyFill="1" applyBorder="1" applyAlignment="1">
      <alignment horizontal="center" vertical="center" wrapText="1"/>
    </xf>
    <xf numFmtId="0" fontId="46" fillId="6" borderId="75" xfId="0" applyFont="1" applyFill="1" applyBorder="1" applyAlignment="1">
      <alignment horizontal="center" vertical="center" wrapText="1"/>
    </xf>
    <xf numFmtId="0" fontId="52" fillId="6" borderId="16" xfId="0" applyFont="1" applyFill="1" applyBorder="1" applyAlignment="1">
      <alignment vertical="center" textRotation="255" wrapText="1"/>
    </xf>
    <xf numFmtId="0" fontId="71" fillId="6" borderId="18" xfId="0" applyFont="1" applyFill="1" applyBorder="1" applyAlignment="1">
      <alignment vertical="center" textRotation="255" wrapText="1"/>
    </xf>
    <xf numFmtId="49" fontId="46" fillId="0" borderId="37" xfId="0" applyNumberFormat="1" applyFont="1" applyBorder="1" applyAlignment="1" applyProtection="1">
      <alignment horizontal="center" vertical="center" wrapText="1"/>
      <protection locked="0"/>
    </xf>
    <xf numFmtId="0" fontId="52" fillId="6" borderId="18" xfId="0" applyFont="1" applyFill="1" applyBorder="1" applyAlignment="1">
      <alignment vertical="center" textRotation="255" wrapText="1"/>
    </xf>
    <xf numFmtId="0" fontId="46" fillId="2" borderId="37" xfId="0" applyFont="1" applyFill="1" applyBorder="1" applyAlignment="1" applyProtection="1">
      <alignment horizontal="center" vertical="center" wrapText="1"/>
      <protection locked="0"/>
    </xf>
    <xf numFmtId="0" fontId="48" fillId="6" borderId="18" xfId="0" applyFont="1" applyFill="1" applyBorder="1" applyAlignment="1">
      <alignment vertical="center" textRotation="255" wrapText="1"/>
    </xf>
    <xf numFmtId="0" fontId="52" fillId="6" borderId="42" xfId="0" applyFont="1" applyFill="1" applyBorder="1" applyAlignment="1">
      <alignment vertical="center" textRotation="255" wrapText="1"/>
    </xf>
    <xf numFmtId="0" fontId="53" fillId="6" borderId="15" xfId="0" applyFont="1" applyFill="1" applyBorder="1" applyAlignment="1">
      <alignment horizontal="center" vertical="center" wrapText="1"/>
    </xf>
    <xf numFmtId="49" fontId="53" fillId="0" borderId="9" xfId="0" applyNumberFormat="1" applyFont="1" applyBorder="1" applyAlignment="1" applyProtection="1">
      <alignment horizontal="center" vertical="center" wrapText="1"/>
      <protection locked="0"/>
    </xf>
    <xf numFmtId="49" fontId="70" fillId="0" borderId="9" xfId="0" applyNumberFormat="1" applyFont="1" applyBorder="1" applyAlignment="1" applyProtection="1">
      <alignment horizontal="center" vertical="center" wrapText="1"/>
      <protection locked="0"/>
    </xf>
    <xf numFmtId="49" fontId="70" fillId="0" borderId="9" xfId="0" applyNumberFormat="1" applyFont="1" applyBorder="1" applyAlignment="1" applyProtection="1">
      <alignment horizontal="left" vertical="center" wrapText="1"/>
      <protection locked="0"/>
    </xf>
    <xf numFmtId="49" fontId="70" fillId="0" borderId="10" xfId="0" applyNumberFormat="1" applyFont="1" applyBorder="1" applyAlignment="1" applyProtection="1">
      <alignment horizontal="center" vertical="center" wrapText="1"/>
      <protection locked="0"/>
    </xf>
    <xf numFmtId="0" fontId="46" fillId="6" borderId="58" xfId="0" applyFont="1" applyFill="1" applyBorder="1" applyAlignment="1">
      <alignment horizontal="center" vertical="center" wrapText="1"/>
    </xf>
    <xf numFmtId="0" fontId="53" fillId="6" borderId="28" xfId="0" applyFont="1" applyFill="1" applyBorder="1" applyAlignment="1">
      <alignment horizontal="center" vertical="center" wrapText="1"/>
    </xf>
    <xf numFmtId="0" fontId="70" fillId="6" borderId="15" xfId="0" applyFont="1" applyFill="1" applyBorder="1" applyAlignment="1">
      <alignment horizontal="center" vertical="center" wrapText="1"/>
    </xf>
    <xf numFmtId="0" fontId="70" fillId="6" borderId="15" xfId="0" applyFont="1" applyFill="1" applyBorder="1" applyAlignment="1">
      <alignment horizontal="left" vertical="center" wrapText="1"/>
    </xf>
    <xf numFmtId="0" fontId="70" fillId="6" borderId="53" xfId="0" applyFont="1" applyFill="1" applyBorder="1" applyAlignment="1">
      <alignment horizontal="center" vertical="center" wrapText="1"/>
    </xf>
    <xf numFmtId="177" fontId="59" fillId="6" borderId="1" xfId="0" applyNumberFormat="1" applyFont="1" applyFill="1" applyBorder="1" applyAlignment="1">
      <alignment horizontal="right" vertical="center"/>
    </xf>
    <xf numFmtId="0" fontId="63" fillId="6" borderId="3" xfId="0" applyFont="1" applyFill="1" applyBorder="1" applyAlignment="1">
      <alignment horizontal="center" vertical="center" wrapText="1"/>
    </xf>
    <xf numFmtId="0" fontId="63" fillId="0" borderId="3" xfId="0" applyFont="1" applyBorder="1" applyAlignment="1" applyProtection="1">
      <alignment horizontal="center" vertical="center" wrapText="1"/>
      <protection locked="0"/>
    </xf>
    <xf numFmtId="0" fontId="53" fillId="0" borderId="23" xfId="0" applyFont="1" applyBorder="1" applyAlignment="1" applyProtection="1">
      <alignment horizontal="center" vertical="center" wrapText="1"/>
      <protection locked="0"/>
    </xf>
    <xf numFmtId="0" fontId="53" fillId="6" borderId="18" xfId="0" applyFont="1" applyFill="1" applyBorder="1" applyAlignment="1">
      <alignment horizontal="center" vertical="center"/>
    </xf>
    <xf numFmtId="0" fontId="71" fillId="6" borderId="42" xfId="0" applyFont="1" applyFill="1" applyBorder="1" applyAlignment="1">
      <alignment vertical="center" textRotation="255" wrapText="1"/>
    </xf>
    <xf numFmtId="0" fontId="53" fillId="0" borderId="13" xfId="0" applyFont="1" applyBorder="1" applyAlignment="1" applyProtection="1">
      <alignment horizontal="center" vertical="center" wrapText="1"/>
      <protection locked="0"/>
    </xf>
    <xf numFmtId="0" fontId="53" fillId="0" borderId="25" xfId="0" applyFont="1" applyBorder="1" applyAlignment="1" applyProtection="1">
      <alignment horizontal="center" vertical="center" wrapText="1"/>
      <protection locked="0"/>
    </xf>
    <xf numFmtId="0" fontId="53" fillId="0" borderId="6"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73" fillId="6" borderId="3" xfId="0" applyFont="1" applyFill="1" applyBorder="1" applyAlignment="1">
      <alignment horizontal="center" vertical="center" wrapText="1"/>
    </xf>
    <xf numFmtId="0" fontId="52" fillId="6" borderId="20" xfId="0" applyFont="1" applyFill="1" applyBorder="1" applyAlignment="1">
      <alignment horizontal="right" vertical="center" wrapText="1"/>
    </xf>
    <xf numFmtId="49" fontId="52" fillId="6" borderId="68" xfId="0" applyNumberFormat="1" applyFont="1" applyFill="1" applyBorder="1">
      <alignment vertical="center"/>
    </xf>
    <xf numFmtId="14" fontId="53" fillId="6" borderId="6" xfId="0" applyNumberFormat="1" applyFont="1" applyFill="1" applyBorder="1" applyAlignment="1">
      <alignment horizontal="left" vertical="center"/>
    </xf>
    <xf numFmtId="176" fontId="53" fillId="6" borderId="9" xfId="0" applyNumberFormat="1" applyFont="1" applyFill="1" applyBorder="1" applyAlignment="1">
      <alignment horizontal="center" vertical="center"/>
    </xf>
    <xf numFmtId="0" fontId="53" fillId="6" borderId="9" xfId="0" applyFont="1" applyFill="1" applyBorder="1" applyAlignment="1">
      <alignment horizontal="center" vertical="center"/>
    </xf>
    <xf numFmtId="0" fontId="53" fillId="6" borderId="10" xfId="0" applyFont="1" applyFill="1" applyBorder="1" applyAlignment="1">
      <alignment horizontal="center" vertical="center"/>
    </xf>
    <xf numFmtId="0" fontId="55" fillId="6" borderId="23" xfId="0" applyFont="1" applyFill="1" applyBorder="1" applyAlignment="1"/>
    <xf numFmtId="185" fontId="55" fillId="6" borderId="1" xfId="1" applyNumberFormat="1" applyFont="1" applyFill="1" applyBorder="1" applyAlignment="1">
      <alignment horizontal="center"/>
    </xf>
    <xf numFmtId="0" fontId="55" fillId="6" borderId="1" xfId="0" applyFont="1" applyFill="1" applyBorder="1" applyAlignment="1">
      <alignment horizontal="center"/>
    </xf>
    <xf numFmtId="177" fontId="55" fillId="6" borderId="24" xfId="1" applyNumberFormat="1" applyFont="1" applyFill="1" applyBorder="1" applyAlignment="1">
      <alignment horizontal="center"/>
    </xf>
    <xf numFmtId="0" fontId="74" fillId="0" borderId="0" xfId="0" applyFont="1" applyAlignment="1" applyProtection="1">
      <alignment horizontal="center" vertical="center"/>
      <protection locked="0"/>
    </xf>
    <xf numFmtId="0" fontId="55" fillId="6" borderId="23" xfId="1" applyFont="1" applyFill="1" applyBorder="1" applyAlignment="1"/>
    <xf numFmtId="179" fontId="55" fillId="0" borderId="1" xfId="1" applyNumberFormat="1" applyFont="1" applyBorder="1" applyAlignment="1" applyProtection="1">
      <alignment horizontal="center"/>
      <protection locked="0"/>
    </xf>
    <xf numFmtId="0" fontId="56" fillId="6" borderId="25" xfId="1" applyFont="1" applyFill="1" applyBorder="1" applyAlignment="1"/>
    <xf numFmtId="0" fontId="55" fillId="6" borderId="32" xfId="0" applyFont="1" applyFill="1" applyBorder="1" applyAlignment="1">
      <alignment horizontal="center"/>
    </xf>
    <xf numFmtId="177" fontId="56" fillId="6" borderId="49" xfId="0" applyNumberFormat="1" applyFont="1" applyFill="1" applyBorder="1" applyAlignment="1">
      <alignment horizontal="center"/>
    </xf>
    <xf numFmtId="0" fontId="46" fillId="6" borderId="44" xfId="0" applyFont="1" applyFill="1" applyBorder="1" applyAlignment="1">
      <alignment horizontal="left" vertical="center" wrapText="1"/>
    </xf>
    <xf numFmtId="0" fontId="53" fillId="0" borderId="61" xfId="0" applyFont="1" applyBorder="1" applyAlignment="1" applyProtection="1">
      <alignment horizontal="center" vertical="center" wrapText="1"/>
      <protection locked="0"/>
    </xf>
    <xf numFmtId="0" fontId="51" fillId="6" borderId="74" xfId="0" applyFont="1" applyFill="1" applyBorder="1" applyAlignment="1">
      <alignment horizontal="center" vertical="center" wrapText="1"/>
    </xf>
    <xf numFmtId="0" fontId="53" fillId="0" borderId="66" xfId="0" applyFont="1" applyBorder="1" applyAlignment="1" applyProtection="1">
      <alignment horizontal="center" vertical="center" wrapText="1"/>
      <protection locked="0"/>
    </xf>
    <xf numFmtId="0" fontId="49" fillId="6" borderId="16" xfId="0" applyFont="1" applyFill="1" applyBorder="1" applyAlignment="1">
      <alignment horizontal="center" vertical="center" wrapText="1"/>
    </xf>
    <xf numFmtId="0" fontId="49" fillId="6" borderId="9" xfId="0" applyFont="1" applyFill="1" applyBorder="1" applyAlignment="1">
      <alignment horizontal="center" vertical="center" wrapText="1"/>
    </xf>
    <xf numFmtId="0" fontId="49" fillId="6" borderId="31" xfId="0" applyFont="1" applyFill="1" applyBorder="1" applyAlignment="1">
      <alignment horizontal="center" vertical="center" wrapText="1"/>
    </xf>
    <xf numFmtId="0" fontId="55" fillId="0" borderId="0" xfId="0" applyFont="1" applyAlignment="1" applyProtection="1">
      <alignment horizontal="center" vertical="center"/>
      <protection locked="0"/>
    </xf>
    <xf numFmtId="0" fontId="49" fillId="6" borderId="18" xfId="0" applyFont="1" applyFill="1" applyBorder="1" applyAlignment="1">
      <alignment horizontal="center" vertical="center"/>
    </xf>
    <xf numFmtId="0" fontId="49" fillId="0" borderId="23" xfId="0" applyFont="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0" fontId="50" fillId="6" borderId="59" xfId="0" applyFont="1" applyFill="1" applyBorder="1" applyAlignment="1">
      <alignment horizontal="center" vertical="center" wrapText="1"/>
    </xf>
    <xf numFmtId="0" fontId="50" fillId="0" borderId="0" xfId="0" applyFont="1" applyAlignment="1" applyProtection="1">
      <alignment horizontal="center" vertical="center"/>
      <protection locked="0"/>
    </xf>
    <xf numFmtId="0" fontId="49" fillId="0" borderId="56" xfId="0" applyFont="1" applyBorder="1" applyAlignment="1" applyProtection="1">
      <alignment horizontal="center" vertical="center" wrapText="1"/>
      <protection locked="0"/>
    </xf>
    <xf numFmtId="0" fontId="47" fillId="6" borderId="1" xfId="0" applyFont="1" applyFill="1" applyBorder="1">
      <alignment vertical="center"/>
    </xf>
    <xf numFmtId="0" fontId="62" fillId="0" borderId="1" xfId="0" applyFont="1" applyBorder="1" applyAlignment="1" applyProtection="1">
      <alignment horizontal="center" vertical="center"/>
      <protection locked="0"/>
    </xf>
    <xf numFmtId="0" fontId="62" fillId="6" borderId="1" xfId="0" applyFont="1" applyFill="1" applyBorder="1" applyAlignment="1">
      <alignment horizontal="center" vertical="center"/>
    </xf>
    <xf numFmtId="0" fontId="62" fillId="2" borderId="1" xfId="0" applyFont="1" applyFill="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lignment vertical="center"/>
    </xf>
    <xf numFmtId="0" fontId="55" fillId="0" borderId="8" xfId="1" applyFont="1" applyBorder="1" applyAlignment="1" applyProtection="1">
      <alignment horizontal="center" vertical="center"/>
      <protection locked="0"/>
    </xf>
    <xf numFmtId="0" fontId="55" fillId="0" borderId="61" xfId="1" applyFont="1" applyBorder="1" applyAlignment="1" applyProtection="1">
      <alignment horizontal="center" vertical="center"/>
      <protection locked="0"/>
    </xf>
    <xf numFmtId="181" fontId="49" fillId="0" borderId="10" xfId="0" applyNumberFormat="1" applyFont="1" applyBorder="1" applyAlignment="1" applyProtection="1">
      <alignment horizontal="center" vertical="center"/>
      <protection locked="0"/>
    </xf>
    <xf numFmtId="0" fontId="48" fillId="0" borderId="32" xfId="0" applyFont="1" applyBorder="1" applyAlignment="1" applyProtection="1">
      <alignment horizontal="center" vertical="center"/>
      <protection locked="0"/>
    </xf>
    <xf numFmtId="0" fontId="100" fillId="0" borderId="0" xfId="0" applyFont="1">
      <alignment vertical="center"/>
    </xf>
    <xf numFmtId="179" fontId="48" fillId="6" borderId="66" xfId="0" applyNumberFormat="1" applyFont="1" applyFill="1" applyBorder="1">
      <alignment vertical="center"/>
    </xf>
    <xf numFmtId="179" fontId="48" fillId="6" borderId="32" xfId="0" applyNumberFormat="1" applyFont="1" applyFill="1" applyBorder="1">
      <alignment vertical="center"/>
    </xf>
    <xf numFmtId="179" fontId="48" fillId="6" borderId="49" xfId="0" applyNumberFormat="1" applyFont="1" applyFill="1" applyBorder="1">
      <alignment vertical="center"/>
    </xf>
    <xf numFmtId="0" fontId="49" fillId="6" borderId="0" xfId="0" applyFont="1" applyFill="1">
      <alignment vertical="center"/>
    </xf>
    <xf numFmtId="0" fontId="100" fillId="6" borderId="0" xfId="0" applyFont="1" applyFill="1" applyAlignment="1">
      <alignment horizontal="left" vertical="center"/>
    </xf>
    <xf numFmtId="0" fontId="100" fillId="6" borderId="0" xfId="2" applyFont="1" applyFill="1" applyAlignment="1">
      <alignment horizontal="left"/>
    </xf>
    <xf numFmtId="49" fontId="59" fillId="6" borderId="0" xfId="0" applyNumberFormat="1" applyFont="1" applyFill="1" applyAlignment="1">
      <alignment horizontal="center"/>
    </xf>
    <xf numFmtId="0" fontId="67" fillId="6" borderId="36" xfId="0" applyFont="1" applyFill="1" applyBorder="1">
      <alignment vertical="center"/>
    </xf>
    <xf numFmtId="0" fontId="64" fillId="6" borderId="36" xfId="0" applyFont="1" applyFill="1" applyBorder="1">
      <alignment vertical="center"/>
    </xf>
    <xf numFmtId="188" fontId="64" fillId="6" borderId="36" xfId="0" applyNumberFormat="1" applyFont="1" applyFill="1" applyBorder="1" applyAlignment="1">
      <alignment horizontal="center" vertical="center"/>
    </xf>
    <xf numFmtId="181" fontId="64" fillId="6" borderId="36" xfId="0" applyNumberFormat="1" applyFont="1" applyFill="1" applyBorder="1">
      <alignment vertical="center"/>
    </xf>
    <xf numFmtId="0" fontId="64" fillId="6" borderId="36" xfId="0" applyFont="1" applyFill="1" applyBorder="1" applyAlignment="1">
      <alignment horizontal="center" vertical="center"/>
    </xf>
    <xf numFmtId="0" fontId="70" fillId="6" borderId="0" xfId="0" applyFont="1" applyFill="1" applyAlignment="1">
      <alignment horizontal="center" vertical="center"/>
    </xf>
    <xf numFmtId="14" fontId="53" fillId="6" borderId="0" xfId="0" applyNumberFormat="1" applyFont="1" applyFill="1" applyAlignment="1">
      <alignment horizontal="center" vertical="center"/>
    </xf>
    <xf numFmtId="176" fontId="53" fillId="6" borderId="0" xfId="0" applyNumberFormat="1" applyFont="1" applyFill="1" applyAlignment="1">
      <alignment horizontal="center" vertical="center"/>
    </xf>
    <xf numFmtId="0" fontId="58" fillId="6" borderId="0" xfId="0" applyFont="1" applyFill="1" applyAlignment="1"/>
    <xf numFmtId="0" fontId="53" fillId="6" borderId="0" xfId="0" applyFont="1" applyFill="1" applyAlignment="1"/>
    <xf numFmtId="0" fontId="53" fillId="6" borderId="0" xfId="0" applyFont="1" applyFill="1" applyAlignment="1">
      <alignment horizontal="center"/>
    </xf>
    <xf numFmtId="188" fontId="53" fillId="6" borderId="0" xfId="0" applyNumberFormat="1" applyFont="1" applyFill="1" applyAlignment="1">
      <alignment horizontal="center"/>
    </xf>
    <xf numFmtId="181" fontId="53" fillId="6" borderId="0" xfId="0" applyNumberFormat="1" applyFont="1" applyFill="1" applyAlignment="1"/>
    <xf numFmtId="0" fontId="65" fillId="6" borderId="0" xfId="0" applyFont="1" applyFill="1" applyAlignment="1">
      <alignment horizontal="center" vertical="center"/>
    </xf>
    <xf numFmtId="187" fontId="46" fillId="6" borderId="5" xfId="0" applyNumberFormat="1" applyFont="1" applyFill="1" applyBorder="1" applyAlignment="1">
      <alignment horizontal="center" vertical="center"/>
    </xf>
    <xf numFmtId="49" fontId="46" fillId="6" borderId="3" xfId="0" applyNumberFormat="1" applyFont="1" applyFill="1" applyBorder="1" applyAlignment="1">
      <alignment horizontal="center" vertical="center"/>
    </xf>
    <xf numFmtId="0" fontId="46" fillId="6" borderId="15" xfId="0" applyFont="1" applyFill="1" applyBorder="1" applyAlignment="1">
      <alignment horizontal="center" vertical="center"/>
    </xf>
    <xf numFmtId="187" fontId="53" fillId="6" borderId="5" xfId="0" applyNumberFormat="1" applyFont="1" applyFill="1" applyBorder="1" applyAlignment="1">
      <alignment horizontal="center" vertical="center"/>
    </xf>
    <xf numFmtId="49" fontId="53" fillId="6" borderId="3" xfId="0" applyNumberFormat="1"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0" fontId="51" fillId="6" borderId="15" xfId="0" applyFont="1" applyFill="1" applyBorder="1" applyAlignment="1">
      <alignment horizontal="center" vertical="center"/>
    </xf>
    <xf numFmtId="0" fontId="51" fillId="6" borderId="1" xfId="0" applyFont="1" applyFill="1" applyBorder="1" applyAlignment="1">
      <alignment horizontal="center" vertical="center"/>
    </xf>
    <xf numFmtId="0" fontId="53" fillId="6" borderId="2" xfId="0" applyFont="1" applyFill="1" applyBorder="1" applyAlignment="1">
      <alignment vertical="center" textRotation="255" wrapText="1"/>
    </xf>
    <xf numFmtId="188" fontId="53" fillId="6" borderId="3" xfId="0" applyNumberFormat="1" applyFont="1" applyFill="1" applyBorder="1" applyAlignment="1">
      <alignment horizontal="center" vertical="center"/>
    </xf>
    <xf numFmtId="188" fontId="53" fillId="6" borderId="1" xfId="0" applyNumberFormat="1" applyFont="1" applyFill="1" applyBorder="1" applyAlignment="1">
      <alignment horizontal="center" vertical="center" wrapText="1"/>
    </xf>
    <xf numFmtId="0" fontId="64" fillId="6" borderId="60" xfId="0" applyFont="1" applyFill="1" applyBorder="1" applyAlignment="1">
      <alignment horizontal="center" vertical="center"/>
    </xf>
    <xf numFmtId="0" fontId="55" fillId="6" borderId="0" xfId="0" applyFont="1" applyFill="1" applyAlignment="1"/>
    <xf numFmtId="0" fontId="46" fillId="6" borderId="32" xfId="0" applyFont="1" applyFill="1" applyBorder="1" applyAlignment="1">
      <alignment horizontal="center" vertical="center"/>
    </xf>
    <xf numFmtId="0" fontId="46" fillId="6" borderId="49" xfId="0" applyFont="1" applyFill="1" applyBorder="1" applyAlignment="1">
      <alignment horizontal="center" vertical="center"/>
    </xf>
    <xf numFmtId="181" fontId="107" fillId="6" borderId="65" xfId="0" applyNumberFormat="1" applyFont="1" applyFill="1" applyBorder="1" applyAlignment="1">
      <alignment horizontal="center" vertical="center"/>
    </xf>
    <xf numFmtId="179" fontId="55" fillId="7" borderId="0" xfId="0" applyNumberFormat="1" applyFont="1" applyFill="1" applyAlignment="1" applyProtection="1">
      <alignment horizontal="center" vertical="center"/>
      <protection locked="0"/>
    </xf>
    <xf numFmtId="49" fontId="56" fillId="7" borderId="0" xfId="0" applyNumberFormat="1" applyFont="1" applyFill="1" applyAlignment="1" applyProtection="1">
      <alignment horizontal="left" vertical="center"/>
      <protection locked="0"/>
    </xf>
    <xf numFmtId="0" fontId="65" fillId="7" borderId="0" xfId="0" applyFont="1" applyFill="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Border="1" applyAlignment="1" applyProtection="1">
      <alignment horizontal="center" vertical="center"/>
      <protection locked="0"/>
    </xf>
    <xf numFmtId="181" fontId="101" fillId="0" borderId="1" xfId="0" applyNumberFormat="1" applyFont="1" applyBorder="1" applyAlignment="1" applyProtection="1">
      <alignment horizontal="center" vertical="center"/>
      <protection locked="0"/>
    </xf>
    <xf numFmtId="177" fontId="49" fillId="0" borderId="1" xfId="1" applyNumberFormat="1" applyFont="1" applyBorder="1" applyAlignment="1" applyProtection="1">
      <alignment horizontal="center" vertical="center"/>
      <protection locked="0"/>
    </xf>
    <xf numFmtId="9" fontId="49" fillId="0" borderId="5" xfId="0" applyNumberFormat="1" applyFont="1" applyBorder="1" applyAlignment="1" applyProtection="1">
      <alignment horizontal="center" vertical="center"/>
      <protection locked="0"/>
    </xf>
    <xf numFmtId="181" fontId="49" fillId="0" borderId="1" xfId="0" applyNumberFormat="1" applyFont="1" applyBorder="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2" fontId="49" fillId="0" borderId="1" xfId="0" applyNumberFormat="1" applyFont="1" applyBorder="1" applyAlignment="1" applyProtection="1">
      <alignment horizontal="center" vertical="center"/>
      <protection locked="0"/>
    </xf>
    <xf numFmtId="0" fontId="63" fillId="6" borderId="3" xfId="0" applyFont="1" applyFill="1" applyBorder="1" applyAlignment="1" applyProtection="1">
      <alignment horizontal="center" vertical="center" wrapText="1"/>
      <protection locked="0"/>
    </xf>
    <xf numFmtId="0" fontId="111" fillId="6" borderId="20" xfId="0" applyFont="1" applyFill="1" applyBorder="1">
      <alignment vertical="center"/>
    </xf>
    <xf numFmtId="0" fontId="111" fillId="6" borderId="21" xfId="0" applyFont="1" applyFill="1" applyBorder="1" applyAlignment="1">
      <alignment horizontal="center" vertical="center"/>
    </xf>
    <xf numFmtId="0" fontId="55" fillId="6" borderId="24" xfId="0" applyFont="1" applyFill="1" applyBorder="1" applyAlignment="1">
      <alignment horizontal="center" vertical="center" wrapText="1"/>
    </xf>
    <xf numFmtId="10" fontId="55" fillId="6" borderId="61" xfId="0" applyNumberFormat="1" applyFont="1" applyFill="1" applyBorder="1" applyAlignment="1">
      <alignment horizontal="center" vertical="center" wrapText="1"/>
    </xf>
    <xf numFmtId="10" fontId="55" fillId="6" borderId="53" xfId="0" applyNumberFormat="1" applyFont="1" applyFill="1" applyBorder="1" applyAlignment="1">
      <alignment vertical="center" wrapText="1"/>
    </xf>
    <xf numFmtId="10" fontId="55" fillId="6" borderId="76" xfId="0" applyNumberFormat="1" applyFont="1" applyFill="1" applyBorder="1" applyAlignment="1">
      <alignment vertical="center" wrapText="1"/>
    </xf>
    <xf numFmtId="10" fontId="55" fillId="6" borderId="53" xfId="0" applyNumberFormat="1" applyFont="1" applyFill="1" applyBorder="1" applyAlignment="1">
      <alignment horizontal="center" vertical="center" wrapText="1"/>
    </xf>
    <xf numFmtId="10" fontId="55" fillId="6" borderId="76" xfId="0" applyNumberFormat="1" applyFont="1" applyFill="1" applyBorder="1" applyAlignment="1">
      <alignment horizontal="center" vertical="center" wrapText="1"/>
    </xf>
    <xf numFmtId="0" fontId="80" fillId="0" borderId="60" xfId="3" applyFont="1" applyBorder="1">
      <alignment vertical="center"/>
    </xf>
    <xf numFmtId="179" fontId="53" fillId="6" borderId="1" xfId="0" applyNumberFormat="1" applyFont="1" applyFill="1" applyBorder="1" applyAlignment="1">
      <alignment horizontal="center" vertical="center" wrapText="1"/>
    </xf>
    <xf numFmtId="0" fontId="52" fillId="6" borderId="36" xfId="0" applyFont="1" applyFill="1" applyBorder="1" applyAlignment="1">
      <alignment horizontal="center" vertical="center"/>
    </xf>
    <xf numFmtId="0" fontId="56" fillId="6" borderId="34" xfId="0" applyFont="1" applyFill="1" applyBorder="1" applyAlignment="1">
      <alignment horizontal="center" vertical="center"/>
    </xf>
    <xf numFmtId="0" fontId="56" fillId="6" borderId="28" xfId="0" applyFont="1" applyFill="1" applyBorder="1" applyAlignment="1">
      <alignment horizontal="center" vertical="center" wrapText="1"/>
    </xf>
    <xf numFmtId="0" fontId="55" fillId="6" borderId="2" xfId="0" applyFont="1" applyFill="1" applyBorder="1" applyAlignment="1">
      <alignment horizontal="center" vertical="center" wrapText="1"/>
    </xf>
    <xf numFmtId="0" fontId="55" fillId="6" borderId="4" xfId="0" applyFont="1" applyFill="1" applyBorder="1" applyAlignment="1">
      <alignment horizontal="center" vertical="center" wrapText="1"/>
    </xf>
    <xf numFmtId="9" fontId="55" fillId="6" borderId="1" xfId="0" applyNumberFormat="1" applyFont="1" applyFill="1" applyBorder="1" applyAlignment="1">
      <alignment horizontal="center" vertical="center" wrapText="1"/>
    </xf>
    <xf numFmtId="0" fontId="55" fillId="6" borderId="13" xfId="0" applyFont="1" applyFill="1" applyBorder="1" applyAlignment="1">
      <alignment horizontal="center" vertical="center" wrapText="1"/>
    </xf>
    <xf numFmtId="186" fontId="52" fillId="6" borderId="84" xfId="0" applyNumberFormat="1" applyFont="1" applyFill="1" applyBorder="1" applyAlignment="1">
      <alignment horizontal="center" vertical="center" wrapText="1"/>
    </xf>
    <xf numFmtId="14" fontId="53" fillId="6" borderId="84" xfId="0" applyNumberFormat="1" applyFont="1" applyFill="1" applyBorder="1" applyAlignment="1">
      <alignment horizontal="center" vertical="center" wrapText="1"/>
    </xf>
    <xf numFmtId="14" fontId="53" fillId="6" borderId="64" xfId="0" applyNumberFormat="1" applyFont="1" applyFill="1" applyBorder="1" applyAlignment="1">
      <alignment horizontal="center" vertical="center" wrapText="1"/>
    </xf>
    <xf numFmtId="0" fontId="101" fillId="6" borderId="67" xfId="0" applyFont="1" applyFill="1" applyBorder="1" applyAlignment="1">
      <alignment horizontal="center" vertical="center" wrapText="1"/>
    </xf>
    <xf numFmtId="186" fontId="52" fillId="6" borderId="17" xfId="0" applyNumberFormat="1" applyFont="1" applyFill="1" applyBorder="1" applyAlignment="1">
      <alignment horizontal="center" vertical="center" wrapText="1"/>
    </xf>
    <xf numFmtId="0" fontId="56" fillId="6" borderId="20" xfId="0" applyFont="1" applyFill="1" applyBorder="1" applyAlignment="1">
      <alignment horizontal="center" vertical="center" wrapText="1"/>
    </xf>
    <xf numFmtId="0" fontId="56" fillId="6" borderId="15" xfId="0" applyFont="1" applyFill="1" applyBorder="1" applyAlignment="1">
      <alignment horizontal="center" vertical="center" wrapText="1"/>
    </xf>
    <xf numFmtId="0" fontId="56" fillId="6" borderId="32" xfId="0" applyFont="1" applyFill="1" applyBorder="1" applyAlignment="1">
      <alignment horizontal="center" vertical="center" wrapText="1"/>
    </xf>
    <xf numFmtId="181" fontId="101" fillId="6" borderId="17" xfId="0" applyNumberFormat="1" applyFont="1" applyFill="1" applyBorder="1" applyAlignment="1">
      <alignment horizontal="center" vertical="center" wrapText="1"/>
    </xf>
    <xf numFmtId="0" fontId="55" fillId="6" borderId="29" xfId="0" applyFont="1" applyFill="1" applyBorder="1" applyAlignment="1">
      <alignment horizontal="center" vertical="center" wrapText="1"/>
    </xf>
    <xf numFmtId="0" fontId="55" fillId="6" borderId="62" xfId="0" applyFont="1" applyFill="1" applyBorder="1" applyAlignment="1">
      <alignment horizontal="center" vertical="center" wrapText="1"/>
    </xf>
    <xf numFmtId="0" fontId="101" fillId="6" borderId="1" xfId="0" applyFont="1" applyFill="1" applyBorder="1" applyAlignment="1">
      <alignment horizontal="center" vertical="center"/>
    </xf>
    <xf numFmtId="0" fontId="101" fillId="0" borderId="1" xfId="0" applyFont="1" applyBorder="1" applyAlignment="1" applyProtection="1">
      <alignment horizontal="center" vertical="center"/>
      <protection locked="0"/>
    </xf>
    <xf numFmtId="177" fontId="53" fillId="0" borderId="1" xfId="0" applyNumberFormat="1" applyFont="1" applyBorder="1" applyAlignment="1" applyProtection="1">
      <alignment horizontal="center" vertical="center" wrapText="1"/>
      <protection locked="0"/>
    </xf>
    <xf numFmtId="0" fontId="55" fillId="0" borderId="9" xfId="0" applyFont="1" applyBorder="1" applyAlignment="1" applyProtection="1">
      <alignment horizontal="center" vertical="center" wrapText="1"/>
      <protection locked="0"/>
    </xf>
    <xf numFmtId="49" fontId="82" fillId="6" borderId="23" xfId="1" applyNumberFormat="1" applyFont="1" applyFill="1" applyBorder="1" applyAlignment="1">
      <alignment horizontal="left"/>
    </xf>
    <xf numFmtId="49" fontId="55" fillId="6" borderId="23" xfId="1" applyNumberFormat="1" applyFont="1" applyFill="1" applyBorder="1" applyAlignment="1">
      <alignment horizontal="center"/>
    </xf>
    <xf numFmtId="0" fontId="61" fillId="6" borderId="23" xfId="1" applyFont="1" applyFill="1" applyBorder="1" applyAlignment="1">
      <alignment horizontal="right"/>
    </xf>
    <xf numFmtId="0" fontId="55" fillId="6" borderId="23" xfId="0" applyFont="1" applyFill="1" applyBorder="1" applyAlignment="1">
      <alignment horizontal="center" vertical="center"/>
    </xf>
    <xf numFmtId="0" fontId="49" fillId="3" borderId="0" xfId="0" applyFont="1" applyFill="1" applyProtection="1">
      <alignment vertical="center"/>
      <protection locked="0"/>
    </xf>
    <xf numFmtId="0" fontId="47" fillId="6" borderId="51" xfId="0" applyFont="1" applyFill="1" applyBorder="1">
      <alignment vertical="center"/>
    </xf>
    <xf numFmtId="0" fontId="47" fillId="6" borderId="20" xfId="0" applyFont="1" applyFill="1" applyBorder="1">
      <alignment vertical="center"/>
    </xf>
    <xf numFmtId="0" fontId="47" fillId="6" borderId="21" xfId="0" applyFont="1" applyFill="1" applyBorder="1">
      <alignment vertical="center"/>
    </xf>
    <xf numFmtId="0" fontId="63" fillId="7" borderId="0" xfId="0" applyFont="1" applyFill="1" applyProtection="1">
      <alignment vertical="center"/>
      <protection locked="0"/>
    </xf>
    <xf numFmtId="0" fontId="48" fillId="6" borderId="23" xfId="0" applyFont="1" applyFill="1" applyBorder="1" applyAlignment="1">
      <alignment horizontal="center" vertical="center"/>
    </xf>
    <xf numFmtId="0" fontId="48" fillId="6" borderId="46"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49" fontId="49" fillId="6" borderId="23" xfId="0" applyNumberFormat="1" applyFont="1" applyFill="1" applyBorder="1" applyAlignment="1">
      <alignment horizontal="center" vertical="center"/>
    </xf>
    <xf numFmtId="185" fontId="49" fillId="0" borderId="1" xfId="0" applyNumberFormat="1" applyFont="1" applyBorder="1" applyAlignment="1" applyProtection="1">
      <alignment horizontal="center" vertical="center"/>
      <protection locked="0"/>
    </xf>
    <xf numFmtId="185" fontId="49" fillId="0" borderId="24" xfId="0" applyNumberFormat="1" applyFont="1" applyBorder="1" applyAlignment="1" applyProtection="1">
      <alignment horizontal="center" vertical="center"/>
      <protection locked="0"/>
    </xf>
    <xf numFmtId="185" fontId="48" fillId="6" borderId="1" xfId="0" applyNumberFormat="1" applyFont="1" applyFill="1" applyBorder="1" applyAlignment="1">
      <alignment horizontal="center" vertical="center"/>
    </xf>
    <xf numFmtId="0" fontId="48" fillId="6" borderId="1" xfId="0" applyFont="1" applyFill="1" applyBorder="1" applyAlignment="1">
      <alignment horizontal="center" vertical="center"/>
    </xf>
    <xf numFmtId="0" fontId="48" fillId="6" borderId="54" xfId="0" applyFont="1" applyFill="1" applyBorder="1">
      <alignment vertical="center"/>
    </xf>
    <xf numFmtId="0" fontId="48" fillId="6" borderId="48" xfId="0" applyFont="1" applyFill="1" applyBorder="1">
      <alignment vertical="center"/>
    </xf>
    <xf numFmtId="0" fontId="46" fillId="7" borderId="0" xfId="0" applyFont="1" applyFill="1" applyProtection="1">
      <alignment vertical="center"/>
      <protection locked="0"/>
    </xf>
    <xf numFmtId="0" fontId="49" fillId="6" borderId="23" xfId="1" applyFont="1" applyFill="1" applyBorder="1" applyAlignment="1">
      <alignment horizontal="right" vertical="center"/>
    </xf>
    <xf numFmtId="0" fontId="49" fillId="6" borderId="5" xfId="1" applyFont="1" applyFill="1" applyBorder="1">
      <alignment vertical="center"/>
    </xf>
    <xf numFmtId="179" fontId="49" fillId="6" borderId="1" xfId="1" applyNumberFormat="1" applyFont="1" applyFill="1" applyBorder="1" applyAlignment="1">
      <alignment horizontal="center" vertical="center"/>
    </xf>
    <xf numFmtId="0" fontId="51" fillId="7" borderId="0" xfId="0" applyFont="1" applyFill="1" applyProtection="1">
      <alignment vertical="center"/>
      <protection locked="0"/>
    </xf>
    <xf numFmtId="9" fontId="49" fillId="6" borderId="1" xfId="1" applyNumberFormat="1" applyFont="1" applyFill="1" applyBorder="1" applyAlignment="1">
      <alignment horizontal="center" vertical="center"/>
    </xf>
    <xf numFmtId="0" fontId="51" fillId="0" borderId="0" xfId="0" applyFont="1" applyProtection="1">
      <alignment vertical="center"/>
      <protection locked="0"/>
    </xf>
    <xf numFmtId="177" fontId="49" fillId="6" borderId="1" xfId="1" applyNumberFormat="1" applyFont="1" applyFill="1" applyBorder="1">
      <alignment vertical="center"/>
    </xf>
    <xf numFmtId="0" fontId="49" fillId="6" borderId="54" xfId="0" applyFont="1" applyFill="1" applyBorder="1">
      <alignment vertical="center"/>
    </xf>
    <xf numFmtId="0" fontId="49" fillId="6" borderId="48" xfId="0" applyFont="1" applyFill="1" applyBorder="1">
      <alignment vertical="center"/>
    </xf>
    <xf numFmtId="0" fontId="49" fillId="6" borderId="54" xfId="0" applyFont="1" applyFill="1" applyBorder="1" applyAlignment="1">
      <alignment horizontal="left" vertical="center"/>
    </xf>
    <xf numFmtId="0" fontId="49" fillId="6" borderId="48" xfId="0" applyFont="1" applyFill="1" applyBorder="1" applyAlignment="1">
      <alignment horizontal="left" vertical="center"/>
    </xf>
    <xf numFmtId="177" fontId="49" fillId="6" borderId="1" xfId="1" applyNumberFormat="1" applyFont="1" applyFill="1" applyBorder="1" applyAlignment="1">
      <alignment horizontal="center" vertical="center"/>
    </xf>
    <xf numFmtId="10" fontId="49" fillId="6" borderId="1" xfId="1" applyNumberFormat="1" applyFont="1" applyFill="1" applyBorder="1" applyAlignment="1">
      <alignment horizontal="center" vertical="center"/>
    </xf>
    <xf numFmtId="0" fontId="48" fillId="6" borderId="5" xfId="1" applyFont="1" applyFill="1" applyBorder="1">
      <alignment vertical="center"/>
    </xf>
    <xf numFmtId="177" fontId="48" fillId="6" borderId="1" xfId="1" applyNumberFormat="1" applyFont="1" applyFill="1" applyBorder="1" applyAlignment="1">
      <alignment horizontal="center" vertical="center"/>
    </xf>
    <xf numFmtId="0" fontId="48" fillId="6" borderId="1" xfId="1" applyFont="1" applyFill="1" applyBorder="1">
      <alignment vertical="center"/>
    </xf>
    <xf numFmtId="10" fontId="48" fillId="6" borderId="1" xfId="1" applyNumberFormat="1" applyFont="1" applyFill="1" applyBorder="1" applyAlignment="1">
      <alignment horizontal="center" vertical="center"/>
    </xf>
    <xf numFmtId="0" fontId="46" fillId="6" borderId="5" xfId="0" applyFont="1" applyFill="1" applyBorder="1">
      <alignment vertical="center"/>
    </xf>
    <xf numFmtId="0" fontId="46" fillId="6" borderId="54" xfId="0" applyFont="1" applyFill="1" applyBorder="1">
      <alignment vertical="center"/>
    </xf>
    <xf numFmtId="0" fontId="49" fillId="6" borderId="1" xfId="1" applyFont="1" applyFill="1" applyBorder="1" applyAlignment="1">
      <alignment horizontal="left" vertical="center"/>
    </xf>
    <xf numFmtId="0" fontId="50" fillId="3" borderId="0" xfId="0" applyFont="1" applyFill="1" applyProtection="1">
      <alignment vertical="center"/>
      <protection locked="0"/>
    </xf>
    <xf numFmtId="0" fontId="49" fillId="6" borderId="5" xfId="1" applyFont="1" applyFill="1" applyBorder="1" applyAlignment="1">
      <alignment horizontal="left" vertical="center"/>
    </xf>
    <xf numFmtId="185" fontId="49" fillId="3" borderId="0" xfId="0" applyNumberFormat="1" applyFont="1" applyFill="1" applyAlignment="1" applyProtection="1">
      <alignment horizontal="center" vertical="center"/>
      <protection locked="0"/>
    </xf>
    <xf numFmtId="185" fontId="48" fillId="6" borderId="28" xfId="0" applyNumberFormat="1" applyFont="1" applyFill="1" applyBorder="1" applyAlignment="1">
      <alignment horizontal="center" vertical="center"/>
    </xf>
    <xf numFmtId="185" fontId="101" fillId="0" borderId="13" xfId="0" applyNumberFormat="1" applyFont="1" applyBorder="1" applyAlignment="1" applyProtection="1">
      <alignment horizontal="center" vertical="center"/>
      <protection locked="0"/>
    </xf>
    <xf numFmtId="185" fontId="49" fillId="0" borderId="13" xfId="0" applyNumberFormat="1" applyFont="1" applyBorder="1" applyAlignment="1" applyProtection="1">
      <alignment horizontal="center" vertical="center"/>
      <protection locked="0"/>
    </xf>
    <xf numFmtId="185" fontId="49" fillId="0" borderId="61" xfId="0" applyNumberFormat="1" applyFont="1" applyBorder="1" applyAlignment="1" applyProtection="1">
      <alignment horizontal="center" vertical="center"/>
      <protection locked="0"/>
    </xf>
    <xf numFmtId="0" fontId="48" fillId="6" borderId="47" xfId="0" applyFont="1" applyFill="1" applyBorder="1">
      <alignment vertical="center"/>
    </xf>
    <xf numFmtId="185" fontId="47" fillId="6" borderId="74" xfId="0" applyNumberFormat="1" applyFont="1" applyFill="1" applyBorder="1" applyAlignment="1">
      <alignment horizontal="center" vertical="center"/>
    </xf>
    <xf numFmtId="0" fontId="47" fillId="6" borderId="75" xfId="0" applyFont="1" applyFill="1" applyBorder="1">
      <alignment vertical="center"/>
    </xf>
    <xf numFmtId="0" fontId="48" fillId="6" borderId="43" xfId="0" applyFont="1" applyFill="1" applyBorder="1">
      <alignment vertical="center"/>
    </xf>
    <xf numFmtId="0" fontId="48" fillId="6" borderId="33" xfId="1" applyFont="1" applyFill="1" applyBorder="1">
      <alignment vertical="center"/>
    </xf>
    <xf numFmtId="177" fontId="48" fillId="6" borderId="32" xfId="0" applyNumberFormat="1" applyFont="1" applyFill="1" applyBorder="1" applyAlignment="1">
      <alignment horizontal="center" vertical="center"/>
    </xf>
    <xf numFmtId="0" fontId="48" fillId="6" borderId="32" xfId="0" applyFont="1" applyFill="1" applyBorder="1">
      <alignment vertical="center"/>
    </xf>
    <xf numFmtId="177" fontId="48" fillId="6" borderId="32" xfId="0" applyNumberFormat="1" applyFont="1" applyFill="1" applyBorder="1">
      <alignment vertical="center"/>
    </xf>
    <xf numFmtId="10" fontId="48" fillId="6" borderId="32" xfId="0" applyNumberFormat="1" applyFont="1" applyFill="1" applyBorder="1" applyAlignment="1">
      <alignment horizontal="center" vertical="center"/>
    </xf>
    <xf numFmtId="177" fontId="48" fillId="6" borderId="33" xfId="0" applyNumberFormat="1" applyFont="1" applyFill="1" applyBorder="1">
      <alignment vertical="center"/>
    </xf>
    <xf numFmtId="177" fontId="48" fillId="6" borderId="52" xfId="0" applyNumberFormat="1" applyFont="1" applyFill="1" applyBorder="1">
      <alignment vertical="center"/>
    </xf>
    <xf numFmtId="177" fontId="48" fillId="6" borderId="68" xfId="0" applyNumberFormat="1" applyFont="1" applyFill="1" applyBorder="1">
      <alignment vertical="center"/>
    </xf>
    <xf numFmtId="0" fontId="52" fillId="6" borderId="15" xfId="0" applyFont="1" applyFill="1" applyBorder="1" applyAlignment="1">
      <alignment horizontal="center" vertical="center" wrapText="1"/>
    </xf>
    <xf numFmtId="0" fontId="117" fillId="0" borderId="0" xfId="5" applyFont="1">
      <alignment vertical="center"/>
    </xf>
    <xf numFmtId="0" fontId="97" fillId="0" borderId="0" xfId="5">
      <alignment vertical="center"/>
    </xf>
    <xf numFmtId="0" fontId="117" fillId="0" borderId="0" xfId="5" applyFont="1" applyAlignment="1">
      <alignment vertical="top" wrapText="1"/>
    </xf>
    <xf numFmtId="0" fontId="61" fillId="6" borderId="1" xfId="1" applyFont="1" applyFill="1" applyBorder="1" applyAlignment="1"/>
    <xf numFmtId="0" fontId="49" fillId="6" borderId="1" xfId="1" applyFont="1" applyFill="1" applyBorder="1" applyAlignment="1">
      <alignment horizontal="center" vertical="center"/>
    </xf>
    <xf numFmtId="0" fontId="47" fillId="0" borderId="2" xfId="7" applyFont="1" applyBorder="1" applyAlignment="1">
      <alignment horizontal="center" vertical="center" wrapText="1"/>
    </xf>
    <xf numFmtId="0" fontId="47" fillId="0" borderId="1" xfId="7" applyFont="1" applyBorder="1" applyAlignment="1">
      <alignment horizontal="center" vertical="center" wrapText="1"/>
    </xf>
    <xf numFmtId="0" fontId="63" fillId="0" borderId="1" xfId="7" applyFont="1" applyBorder="1" applyAlignment="1">
      <alignment horizontal="center" vertical="center" wrapText="1"/>
    </xf>
    <xf numFmtId="0" fontId="47" fillId="0" borderId="3" xfId="7" applyFont="1" applyBorder="1" applyAlignment="1">
      <alignment horizontal="center" vertical="center" wrapText="1"/>
    </xf>
    <xf numFmtId="0" fontId="63" fillId="0" borderId="1" xfId="0" applyFont="1" applyBorder="1" applyAlignment="1">
      <alignment horizontal="center" vertical="center" wrapText="1"/>
    </xf>
    <xf numFmtId="0" fontId="46" fillId="6" borderId="24" xfId="0" applyFont="1" applyFill="1" applyBorder="1" applyAlignment="1">
      <alignment horizontal="center" vertical="center"/>
    </xf>
    <xf numFmtId="183" fontId="49" fillId="0" borderId="1" xfId="0" applyNumberFormat="1" applyFont="1" applyBorder="1" applyAlignment="1" applyProtection="1">
      <alignment horizontal="center" vertical="center" shrinkToFit="1"/>
      <protection locked="0"/>
    </xf>
    <xf numFmtId="183" fontId="49" fillId="6" borderId="1" xfId="0" applyNumberFormat="1" applyFont="1" applyFill="1" applyBorder="1" applyAlignment="1">
      <alignment horizontal="center" vertical="center"/>
    </xf>
    <xf numFmtId="177" fontId="49" fillId="6" borderId="23" xfId="1" applyNumberFormat="1" applyFont="1" applyFill="1" applyBorder="1" applyAlignment="1">
      <alignment horizontal="center" vertical="center"/>
    </xf>
    <xf numFmtId="0" fontId="63" fillId="0" borderId="3" xfId="7" applyFont="1" applyBorder="1" applyAlignment="1">
      <alignment horizontal="center" vertical="center" wrapText="1"/>
    </xf>
    <xf numFmtId="0" fontId="63" fillId="0" borderId="78" xfId="7" applyFont="1" applyBorder="1" applyAlignment="1">
      <alignment horizontal="center" vertical="center" wrapText="1"/>
    </xf>
    <xf numFmtId="181" fontId="46" fillId="6" borderId="8" xfId="0" applyNumberFormat="1" applyFont="1" applyFill="1" applyBorder="1">
      <alignment vertical="center"/>
    </xf>
    <xf numFmtId="181" fontId="54" fillId="6" borderId="59" xfId="0" applyNumberFormat="1" applyFont="1" applyFill="1" applyBorder="1" applyAlignment="1">
      <alignment horizontal="center" vertical="center"/>
    </xf>
    <xf numFmtId="0" fontId="100" fillId="6" borderId="28" xfId="0" applyFont="1" applyFill="1" applyBorder="1">
      <alignment vertical="center"/>
    </xf>
    <xf numFmtId="0" fontId="100" fillId="6" borderId="5" xfId="0" applyFont="1" applyFill="1" applyBorder="1">
      <alignment vertical="center"/>
    </xf>
    <xf numFmtId="0" fontId="100" fillId="6" borderId="33" xfId="0" applyFont="1" applyFill="1" applyBorder="1">
      <alignment vertical="center"/>
    </xf>
    <xf numFmtId="10" fontId="55" fillId="6" borderId="1" xfId="0" applyNumberFormat="1" applyFont="1" applyFill="1" applyBorder="1" applyAlignment="1">
      <alignment vertical="center" wrapText="1"/>
    </xf>
    <xf numFmtId="0" fontId="60" fillId="6" borderId="41" xfId="0" applyFont="1" applyFill="1" applyBorder="1" applyAlignment="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6" fontId="60" fillId="6" borderId="8" xfId="0" applyNumberFormat="1" applyFont="1" applyFill="1" applyBorder="1" applyAlignment="1">
      <alignment horizontal="center" vertical="center"/>
    </xf>
    <xf numFmtId="0" fontId="60" fillId="6" borderId="23" xfId="0" applyFont="1" applyFill="1" applyBorder="1" applyAlignment="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lignment horizontal="center" vertical="center"/>
    </xf>
    <xf numFmtId="178" fontId="60" fillId="6" borderId="24" xfId="0" applyNumberFormat="1" applyFont="1" applyFill="1" applyBorder="1" applyAlignment="1">
      <alignment horizontal="center" vertical="center"/>
    </xf>
    <xf numFmtId="178" fontId="60" fillId="0" borderId="24" xfId="0" applyNumberFormat="1" applyFont="1" applyBorder="1" applyAlignment="1" applyProtection="1">
      <alignment horizontal="center" vertical="center"/>
      <protection locked="0"/>
    </xf>
    <xf numFmtId="0" fontId="100" fillId="0" borderId="92" xfId="0" applyFont="1" applyBorder="1" applyAlignment="1" applyProtection="1">
      <alignment horizontal="center" vertical="center"/>
      <protection locked="0"/>
    </xf>
    <xf numFmtId="0" fontId="60" fillId="6" borderId="32" xfId="0" applyFont="1" applyFill="1" applyBorder="1" applyAlignment="1">
      <alignment horizontal="center" vertical="center"/>
    </xf>
    <xf numFmtId="0" fontId="60" fillId="6" borderId="47" xfId="0" applyFont="1" applyFill="1" applyBorder="1" applyAlignment="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lignment horizontal="center" vertical="center"/>
    </xf>
    <xf numFmtId="177" fontId="55" fillId="6" borderId="5" xfId="1" applyNumberFormat="1" applyFont="1" applyFill="1" applyBorder="1" applyAlignment="1">
      <alignment horizontal="center"/>
    </xf>
    <xf numFmtId="0" fontId="74" fillId="6" borderId="1" xfId="0" applyFont="1" applyFill="1" applyBorder="1" applyAlignment="1">
      <alignment horizontal="center" vertical="center"/>
    </xf>
    <xf numFmtId="188"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lignment horizontal="center" vertical="center"/>
    </xf>
    <xf numFmtId="0" fontId="101" fillId="6" borderId="24" xfId="0" applyFont="1" applyFill="1" applyBorder="1" applyAlignment="1">
      <alignment horizontal="center" vertical="center"/>
    </xf>
    <xf numFmtId="0" fontId="74" fillId="5" borderId="23" xfId="0" applyFont="1" applyFill="1" applyBorder="1" applyAlignment="1" applyProtection="1">
      <alignment horizontal="center" vertical="center"/>
      <protection locked="0"/>
    </xf>
    <xf numFmtId="0" fontId="101" fillId="6" borderId="49" xfId="0" applyFont="1" applyFill="1" applyBorder="1" applyAlignment="1">
      <alignment horizontal="center" vertical="center"/>
    </xf>
    <xf numFmtId="0" fontId="101" fillId="6" borderId="86" xfId="0" applyFont="1" applyFill="1" applyBorder="1" applyAlignment="1">
      <alignment horizontal="center" vertical="center"/>
    </xf>
    <xf numFmtId="0" fontId="101" fillId="0" borderId="86" xfId="0" applyFont="1" applyBorder="1" applyAlignment="1" applyProtection="1">
      <alignment horizontal="center" vertical="center"/>
      <protection locked="0"/>
    </xf>
    <xf numFmtId="0" fontId="101" fillId="0" borderId="96" xfId="0" applyFont="1" applyBorder="1" applyAlignment="1" applyProtection="1">
      <alignment horizontal="center" vertical="center"/>
      <protection locked="0"/>
    </xf>
    <xf numFmtId="0" fontId="74" fillId="6" borderId="32" xfId="0" applyFont="1" applyFill="1" applyBorder="1" applyAlignment="1">
      <alignment horizontal="center" vertical="center"/>
    </xf>
    <xf numFmtId="0" fontId="49" fillId="0" borderId="2" xfId="0" applyFont="1" applyBorder="1" applyAlignment="1" applyProtection="1">
      <alignment horizontal="center" vertical="center" wrapText="1"/>
      <protection locked="0"/>
    </xf>
    <xf numFmtId="0" fontId="49" fillId="6" borderId="97" xfId="0" applyFont="1" applyFill="1" applyBorder="1" applyAlignment="1">
      <alignment horizontal="center" vertical="center" wrapText="1"/>
    </xf>
    <xf numFmtId="0" fontId="55" fillId="0" borderId="98" xfId="0" applyFont="1" applyBorder="1" applyAlignment="1" applyProtection="1">
      <alignment horizontal="center" vertical="center" wrapText="1"/>
      <protection locked="0"/>
    </xf>
    <xf numFmtId="0" fontId="55" fillId="6" borderId="99" xfId="0" applyFont="1" applyFill="1" applyBorder="1" applyAlignment="1">
      <alignment horizontal="center" vertical="center" wrapText="1"/>
    </xf>
    <xf numFmtId="0" fontId="55" fillId="6" borderId="98" xfId="0" applyFont="1" applyFill="1" applyBorder="1" applyAlignment="1">
      <alignment horizontal="center" vertical="center" wrapText="1"/>
    </xf>
    <xf numFmtId="0" fontId="49" fillId="0" borderId="100" xfId="0" applyFont="1" applyBorder="1" applyAlignment="1" applyProtection="1">
      <alignment horizontal="center" vertical="center" wrapText="1"/>
      <protection locked="0"/>
    </xf>
    <xf numFmtId="0" fontId="49" fillId="0" borderId="41" xfId="0" applyFont="1" applyBorder="1" applyAlignment="1" applyProtection="1">
      <alignment horizontal="center" vertical="center" wrapText="1"/>
      <protection locked="0"/>
    </xf>
    <xf numFmtId="0" fontId="49" fillId="6" borderId="100" xfId="0" applyFont="1" applyFill="1" applyBorder="1" applyAlignment="1">
      <alignment horizontal="center" vertical="center" wrapText="1"/>
    </xf>
    <xf numFmtId="0" fontId="53" fillId="0" borderId="58" xfId="0" applyFont="1" applyBorder="1" applyAlignment="1" applyProtection="1">
      <alignment horizontal="center" vertical="center"/>
      <protection locked="0"/>
    </xf>
    <xf numFmtId="0" fontId="59" fillId="6" borderId="0" xfId="0" applyFont="1" applyFill="1" applyProtection="1">
      <alignment vertical="center"/>
      <protection locked="0"/>
    </xf>
    <xf numFmtId="0" fontId="64" fillId="6" borderId="0" xfId="0" applyFont="1" applyFill="1" applyProtection="1">
      <alignment vertical="center"/>
      <protection locked="0"/>
    </xf>
    <xf numFmtId="0" fontId="67" fillId="6" borderId="0" xfId="0" applyFont="1" applyFill="1" applyProtection="1">
      <alignment vertical="center"/>
      <protection locked="0"/>
    </xf>
    <xf numFmtId="188" fontId="64" fillId="6" borderId="0" xfId="0" applyNumberFormat="1" applyFont="1" applyFill="1" applyAlignment="1" applyProtection="1">
      <alignment horizontal="center" vertical="center"/>
      <protection locked="0"/>
    </xf>
    <xf numFmtId="181" fontId="64" fillId="6" borderId="0" xfId="0" applyNumberFormat="1" applyFont="1" applyFill="1" applyProtection="1">
      <alignment vertical="center"/>
      <protection locked="0"/>
    </xf>
    <xf numFmtId="0" fontId="64" fillId="6" borderId="0" xfId="0" applyFont="1" applyFill="1" applyAlignment="1" applyProtection="1">
      <alignment horizontal="center" vertical="center"/>
      <protection locked="0"/>
    </xf>
    <xf numFmtId="181" fontId="46" fillId="6" borderId="0" xfId="0" applyNumberFormat="1" applyFont="1" applyFill="1" applyAlignment="1" applyProtection="1">
      <alignment vertical="center" wrapText="1"/>
      <protection locked="0"/>
    </xf>
    <xf numFmtId="0" fontId="53" fillId="6" borderId="0" xfId="0" applyFont="1" applyFill="1" applyAlignment="1" applyProtection="1">
      <alignment horizontal="center" vertical="center"/>
      <protection locked="0"/>
    </xf>
    <xf numFmtId="181" fontId="46" fillId="6" borderId="0" xfId="0" applyNumberFormat="1" applyFont="1" applyFill="1" applyAlignment="1" applyProtection="1">
      <alignment horizontal="center" vertical="center" wrapText="1"/>
      <protection locked="0"/>
    </xf>
    <xf numFmtId="0" fontId="46" fillId="6" borderId="0" xfId="0" applyFont="1" applyFill="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Alignment="1" applyProtection="1">
      <alignment horizontal="center" vertical="center" wrapText="1"/>
      <protection locked="0"/>
    </xf>
    <xf numFmtId="0" fontId="69" fillId="6" borderId="0" xfId="0" applyFont="1" applyFill="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Alignment="1" applyProtection="1">
      <alignment horizontal="center" vertical="center" wrapText="1"/>
      <protection locked="0"/>
    </xf>
    <xf numFmtId="0" fontId="51" fillId="6" borderId="0" xfId="0" applyFont="1" applyFill="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Alignment="1" applyProtection="1">
      <alignment vertical="center" wrapText="1"/>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Font="1" applyFill="1" applyAlignment="1" applyProtection="1">
      <alignment horizontal="center" vertical="center" wrapText="1"/>
      <protection locked="0"/>
    </xf>
    <xf numFmtId="0" fontId="70" fillId="6" borderId="0" xfId="0" applyFont="1" applyFill="1" applyAlignment="1" applyProtection="1">
      <alignment horizontal="center" vertical="center" wrapText="1"/>
      <protection locked="0"/>
    </xf>
    <xf numFmtId="0" fontId="53"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53" fillId="0" borderId="0" xfId="0" applyFont="1" applyAlignment="1">
      <alignment horizontal="center" vertical="center"/>
    </xf>
    <xf numFmtId="188" fontId="53" fillId="0" borderId="0" xfId="0" applyNumberFormat="1" applyFont="1" applyAlignment="1">
      <alignment horizontal="center" vertical="center"/>
    </xf>
    <xf numFmtId="181" fontId="53" fillId="0" borderId="0" xfId="0" applyNumberFormat="1" applyFont="1" applyAlignment="1">
      <alignment horizontal="center" vertical="center"/>
    </xf>
    <xf numFmtId="0" fontId="55" fillId="6" borderId="0" xfId="0" applyFont="1" applyFill="1" applyAlignment="1" applyProtection="1">
      <protection locked="0"/>
    </xf>
    <xf numFmtId="0" fontId="53" fillId="6" borderId="0" xfId="0" applyFont="1" applyFill="1" applyAlignment="1" applyProtection="1">
      <protection locked="0"/>
    </xf>
    <xf numFmtId="188" fontId="53" fillId="6" borderId="0" xfId="0" applyNumberFormat="1" applyFont="1" applyFill="1" applyAlignment="1" applyProtection="1">
      <alignment horizontal="center"/>
      <protection locked="0"/>
    </xf>
    <xf numFmtId="181" fontId="53" fillId="6" borderId="0" xfId="0" applyNumberFormat="1" applyFont="1" applyFill="1" applyAlignment="1" applyProtection="1">
      <protection locked="0"/>
    </xf>
    <xf numFmtId="0" fontId="46" fillId="0" borderId="43" xfId="0" applyFont="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Protection="1">
      <alignment vertical="center"/>
      <protection locked="0"/>
    </xf>
    <xf numFmtId="49" fontId="54" fillId="6" borderId="41" xfId="0" applyNumberFormat="1" applyFont="1" applyFill="1" applyBorder="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lignment horizontal="left" vertical="center"/>
    </xf>
    <xf numFmtId="0" fontId="49" fillId="6" borderId="32" xfId="0" applyFont="1" applyFill="1" applyBorder="1" applyAlignment="1">
      <alignment horizontal="center" vertical="center"/>
    </xf>
    <xf numFmtId="0" fontId="56" fillId="6" borderId="46" xfId="0" applyFont="1" applyFill="1" applyBorder="1" applyAlignment="1" applyProtection="1">
      <alignment vertical="center" wrapText="1"/>
      <protection locked="0"/>
    </xf>
    <xf numFmtId="0" fontId="49" fillId="6" borderId="21" xfId="0" applyFont="1" applyFill="1" applyBorder="1" applyAlignment="1">
      <alignment horizontal="center" vertical="center" wrapText="1"/>
    </xf>
    <xf numFmtId="0" fontId="62" fillId="6" borderId="58" xfId="0" applyFont="1" applyFill="1" applyBorder="1" applyAlignment="1" applyProtection="1">
      <alignment vertical="center" textRotation="255" wrapText="1"/>
      <protection locked="0"/>
    </xf>
    <xf numFmtId="0" fontId="62" fillId="6" borderId="58" xfId="0" applyFont="1" applyFill="1" applyBorder="1" applyAlignment="1" applyProtection="1">
      <alignment vertical="center" wrapText="1"/>
      <protection locked="0"/>
    </xf>
    <xf numFmtId="0" fontId="49" fillId="6" borderId="18" xfId="0" applyFont="1" applyFill="1" applyBorder="1" applyAlignment="1">
      <alignment horizontal="center" vertical="center" wrapText="1"/>
    </xf>
    <xf numFmtId="0" fontId="49" fillId="0" borderId="11" xfId="0" applyFont="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0" fontId="55" fillId="0" borderId="46" xfId="0" applyFont="1" applyBorder="1" applyAlignment="1" applyProtection="1">
      <alignment horizontal="center" vertical="center" wrapText="1"/>
      <protection locked="0"/>
    </xf>
    <xf numFmtId="0" fontId="55" fillId="0" borderId="59" xfId="0" applyFont="1" applyBorder="1" applyAlignment="1" applyProtection="1">
      <alignment horizontal="center" vertical="center" wrapText="1"/>
      <protection locked="0"/>
    </xf>
    <xf numFmtId="0" fontId="55" fillId="6" borderId="56" xfId="0" applyFont="1" applyFill="1" applyBorder="1" applyAlignment="1">
      <alignment horizontal="center" vertical="center" wrapText="1"/>
    </xf>
    <xf numFmtId="0" fontId="49" fillId="0" borderId="109" xfId="0" applyFont="1" applyBorder="1" applyAlignment="1" applyProtection="1">
      <alignment horizontal="center" vertical="center" wrapText="1"/>
      <protection locked="0"/>
    </xf>
    <xf numFmtId="0" fontId="49" fillId="0" borderId="110" xfId="0" applyFont="1" applyBorder="1" applyAlignment="1" applyProtection="1">
      <alignment horizontal="center" vertical="center" wrapText="1"/>
      <protection locked="0"/>
    </xf>
    <xf numFmtId="0" fontId="49" fillId="0" borderId="111" xfId="0" applyFont="1" applyBorder="1" applyAlignment="1" applyProtection="1">
      <alignment horizontal="center" vertical="center" wrapText="1"/>
      <protection locked="0"/>
    </xf>
    <xf numFmtId="0" fontId="49" fillId="0" borderId="113" xfId="0" applyFont="1" applyBorder="1" applyAlignment="1" applyProtection="1">
      <alignment horizontal="center" vertical="center" wrapText="1"/>
      <protection locked="0"/>
    </xf>
    <xf numFmtId="0" fontId="49" fillId="6" borderId="11" xfId="0" applyFont="1" applyFill="1" applyBorder="1" applyAlignment="1">
      <alignment horizontal="center" vertical="center" wrapText="1"/>
    </xf>
    <xf numFmtId="0" fontId="49" fillId="0" borderId="116" xfId="0" applyFont="1" applyBorder="1" applyAlignment="1" applyProtection="1">
      <alignment horizontal="center" vertical="center"/>
      <protection locked="0"/>
    </xf>
    <xf numFmtId="0" fontId="49" fillId="0" borderId="117" xfId="0" applyFont="1" applyBorder="1" applyAlignment="1" applyProtection="1">
      <alignment horizontal="center" vertical="center" wrapText="1"/>
      <protection locked="0"/>
    </xf>
    <xf numFmtId="9" fontId="49" fillId="0" borderId="117" xfId="0" applyNumberFormat="1" applyFont="1" applyBorder="1" applyAlignment="1" applyProtection="1">
      <alignment horizontal="center" vertical="center" wrapText="1"/>
      <protection locked="0"/>
    </xf>
    <xf numFmtId="0" fontId="49" fillId="0" borderId="117" xfId="0" applyFont="1" applyBorder="1" applyAlignment="1" applyProtection="1">
      <alignment horizontal="center" vertical="center"/>
      <protection locked="0"/>
    </xf>
    <xf numFmtId="0" fontId="49" fillId="0" borderId="113" xfId="0" applyFont="1" applyBorder="1" applyAlignment="1" applyProtection="1">
      <alignment horizontal="center" vertical="center"/>
      <protection locked="0"/>
    </xf>
    <xf numFmtId="0" fontId="49" fillId="6" borderId="113" xfId="0" applyFont="1" applyFill="1" applyBorder="1" applyAlignment="1">
      <alignment horizontal="center" vertical="center" wrapText="1"/>
    </xf>
    <xf numFmtId="0" fontId="55" fillId="0" borderId="114" xfId="0" applyFont="1" applyBorder="1" applyAlignment="1" applyProtection="1">
      <alignment horizontal="center" vertical="center" wrapText="1"/>
      <protection locked="0"/>
    </xf>
    <xf numFmtId="0" fontId="55" fillId="0" borderId="115" xfId="0" applyFont="1" applyBorder="1" applyAlignment="1" applyProtection="1">
      <alignment horizontal="center" vertical="center" wrapText="1"/>
      <protection locked="0"/>
    </xf>
    <xf numFmtId="0" fontId="49" fillId="10" borderId="6" xfId="0" applyFont="1" applyFill="1" applyBorder="1" applyAlignment="1" applyProtection="1">
      <alignment horizontal="center" vertical="center" wrapText="1"/>
      <protection locked="0"/>
    </xf>
    <xf numFmtId="0" fontId="49" fillId="10" borderId="9" xfId="0" applyFont="1" applyFill="1" applyBorder="1" applyAlignment="1" applyProtection="1">
      <alignment horizontal="center" vertical="center" wrapText="1"/>
      <protection locked="0"/>
    </xf>
    <xf numFmtId="0" fontId="49" fillId="10" borderId="9" xfId="0" applyFont="1" applyFill="1" applyBorder="1" applyAlignment="1" applyProtection="1">
      <alignment horizontal="left" vertical="center" wrapText="1"/>
      <protection locked="0"/>
    </xf>
    <xf numFmtId="0" fontId="49" fillId="10" borderId="28" xfId="0"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Font="1" applyFill="1" applyBorder="1" applyAlignment="1" applyProtection="1">
      <alignment vertical="center" wrapText="1"/>
      <protection locked="0"/>
    </xf>
    <xf numFmtId="0" fontId="49" fillId="10" borderId="42" xfId="0" applyFont="1" applyFill="1" applyBorder="1" applyAlignment="1">
      <alignment horizontal="center" vertical="center" wrapText="1"/>
    </xf>
    <xf numFmtId="0" fontId="49" fillId="10" borderId="25" xfId="0" applyFont="1" applyFill="1" applyBorder="1" applyAlignment="1" applyProtection="1">
      <alignment horizontal="center" vertical="center" wrapText="1"/>
      <protection locked="0"/>
    </xf>
    <xf numFmtId="0" fontId="55" fillId="10" borderId="32" xfId="0" applyFont="1" applyFill="1" applyBorder="1" applyAlignment="1" applyProtection="1">
      <alignment horizontal="center" vertical="center" wrapText="1"/>
      <protection locked="0"/>
    </xf>
    <xf numFmtId="0" fontId="55" fillId="10" borderId="33" xfId="0" applyFont="1" applyFill="1" applyBorder="1" applyAlignment="1" applyProtection="1">
      <alignment horizontal="center" vertical="center" wrapText="1"/>
      <protection locked="0"/>
    </xf>
    <xf numFmtId="0" fontId="55" fillId="10" borderId="68" xfId="0" applyFont="1" applyFill="1" applyBorder="1" applyAlignment="1" applyProtection="1">
      <alignment horizontal="center" vertical="center" wrapText="1"/>
      <protection locked="0"/>
    </xf>
    <xf numFmtId="0" fontId="46" fillId="6" borderId="1" xfId="0" applyFont="1" applyFill="1" applyBorder="1" applyAlignment="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lignment horizontal="center" vertical="center"/>
    </xf>
    <xf numFmtId="177" fontId="46" fillId="6" borderId="1" xfId="1" applyNumberFormat="1" applyFont="1" applyFill="1" applyBorder="1" applyAlignment="1">
      <alignment horizontal="center" vertical="center"/>
    </xf>
    <xf numFmtId="10" fontId="46" fillId="6" borderId="1" xfId="1" applyNumberFormat="1" applyFont="1" applyFill="1" applyBorder="1" applyAlignment="1">
      <alignment horizontal="center" vertical="center"/>
    </xf>
    <xf numFmtId="9" fontId="46" fillId="6" borderId="5" xfId="0" applyNumberFormat="1" applyFont="1" applyFill="1" applyBorder="1" applyAlignment="1">
      <alignment horizontal="center" vertical="center"/>
    </xf>
    <xf numFmtId="179" fontId="46" fillId="6" borderId="25" xfId="1" applyNumberFormat="1" applyFont="1" applyFill="1" applyBorder="1" applyAlignment="1">
      <alignment horizontal="center" vertical="center"/>
    </xf>
    <xf numFmtId="181" fontId="46" fillId="6" borderId="1" xfId="0" applyNumberFormat="1" applyFont="1" applyFill="1" applyBorder="1">
      <alignment vertical="center"/>
    </xf>
    <xf numFmtId="181" fontId="46" fillId="6" borderId="5" xfId="0" applyNumberFormat="1" applyFont="1" applyFill="1" applyBorder="1">
      <alignment vertical="center"/>
    </xf>
    <xf numFmtId="181" fontId="46" fillId="6" borderId="24" xfId="0" applyNumberFormat="1" applyFont="1" applyFill="1" applyBorder="1">
      <alignment vertical="center"/>
    </xf>
    <xf numFmtId="181" fontId="46" fillId="6" borderId="1" xfId="0" applyNumberFormat="1" applyFont="1" applyFill="1" applyBorder="1" applyAlignment="1">
      <alignment horizontal="center" vertical="center"/>
    </xf>
    <xf numFmtId="181" fontId="46" fillId="6" borderId="5" xfId="0" applyNumberFormat="1" applyFont="1" applyFill="1" applyBorder="1" applyAlignment="1">
      <alignment horizontal="center" vertical="center"/>
    </xf>
    <xf numFmtId="0" fontId="46" fillId="6" borderId="23" xfId="0" applyFont="1" applyFill="1" applyBorder="1" applyAlignment="1">
      <alignment horizontal="center" vertical="center"/>
    </xf>
    <xf numFmtId="10" fontId="46" fillId="6" borderId="1" xfId="0" applyNumberFormat="1" applyFont="1" applyFill="1" applyBorder="1" applyAlignment="1">
      <alignment horizontal="center" vertical="center"/>
    </xf>
    <xf numFmtId="182" fontId="46" fillId="6" borderId="1" xfId="0" applyNumberFormat="1" applyFont="1" applyFill="1" applyBorder="1" applyAlignment="1">
      <alignment horizontal="center" vertical="center"/>
    </xf>
    <xf numFmtId="181" fontId="46" fillId="6" borderId="24" xfId="0" applyNumberFormat="1" applyFont="1" applyFill="1" applyBorder="1" applyAlignment="1">
      <alignment horizontal="center" vertical="center"/>
    </xf>
    <xf numFmtId="14" fontId="46" fillId="6" borderId="67" xfId="0" applyNumberFormat="1" applyFont="1" applyFill="1" applyBorder="1" applyAlignment="1">
      <alignment horizontal="center" vertical="center"/>
    </xf>
    <xf numFmtId="0" fontId="46" fillId="6" borderId="6" xfId="0" applyFont="1" applyFill="1" applyBorder="1" applyAlignment="1">
      <alignment horizontal="center" vertical="center" wrapText="1"/>
    </xf>
    <xf numFmtId="0" fontId="49" fillId="6" borderId="46" xfId="0" applyFont="1" applyFill="1" applyBorder="1" applyAlignment="1">
      <alignment horizontal="center" vertical="center" wrapText="1"/>
    </xf>
    <xf numFmtId="0" fontId="101"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horizontal="center" vertical="center" wrapText="1"/>
      <protection locked="0"/>
    </xf>
    <xf numFmtId="179" fontId="46" fillId="6" borderId="2" xfId="0" applyNumberFormat="1" applyFont="1" applyFill="1" applyBorder="1">
      <alignment vertical="center"/>
    </xf>
    <xf numFmtId="181" fontId="54" fillId="0" borderId="24" xfId="0" applyNumberFormat="1" applyFont="1" applyBorder="1" applyAlignment="1" applyProtection="1">
      <alignment horizontal="center" vertical="center"/>
      <protection locked="0"/>
    </xf>
    <xf numFmtId="0" fontId="49" fillId="6" borderId="46" xfId="0" applyFont="1" applyFill="1" applyBorder="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lignment horizontal="center" vertical="center"/>
    </xf>
    <xf numFmtId="0" fontId="60" fillId="6" borderId="0" xfId="0" applyFont="1" applyFill="1" applyAlignment="1">
      <alignment horizontal="center"/>
    </xf>
    <xf numFmtId="10" fontId="100"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lignment horizontal="center" vertical="center" wrapText="1"/>
    </xf>
    <xf numFmtId="10" fontId="101" fillId="6" borderId="1" xfId="0" applyNumberFormat="1" applyFont="1" applyFill="1" applyBorder="1" applyAlignment="1">
      <alignment horizontal="center" vertical="center" wrapText="1"/>
    </xf>
    <xf numFmtId="10" fontId="100" fillId="6" borderId="1" xfId="0" applyNumberFormat="1" applyFont="1" applyFill="1" applyBorder="1" applyAlignment="1">
      <alignment horizontal="center" vertical="center"/>
    </xf>
    <xf numFmtId="0" fontId="14" fillId="6" borderId="24" xfId="0" applyFont="1" applyFill="1" applyBorder="1">
      <alignment vertical="center"/>
    </xf>
    <xf numFmtId="0" fontId="54" fillId="6" borderId="4" xfId="0" applyFont="1" applyFill="1" applyBorder="1" applyAlignment="1">
      <alignment horizontal="center" vertical="center"/>
    </xf>
    <xf numFmtId="49" fontId="49" fillId="6" borderId="11" xfId="0" applyNumberFormat="1" applyFont="1" applyFill="1" applyBorder="1" applyAlignment="1">
      <alignment horizontal="left" vertical="center"/>
    </xf>
    <xf numFmtId="0" fontId="49" fillId="6" borderId="15" xfId="0" applyFont="1" applyFill="1" applyBorder="1" applyAlignment="1">
      <alignment horizontal="center" vertical="center"/>
    </xf>
    <xf numFmtId="0" fontId="49" fillId="6" borderId="4" xfId="0" applyFont="1" applyFill="1" applyBorder="1" applyAlignment="1">
      <alignment horizontal="right" vertical="center"/>
    </xf>
    <xf numFmtId="0" fontId="49" fillId="6" borderId="71" xfId="0" applyFont="1" applyFill="1" applyBorder="1" applyAlignment="1">
      <alignment horizontal="center" vertical="center"/>
    </xf>
    <xf numFmtId="49" fontId="49" fillId="6" borderId="35" xfId="0" applyNumberFormat="1" applyFont="1" applyFill="1" applyBorder="1" applyAlignment="1">
      <alignment horizontal="left" vertical="center"/>
    </xf>
    <xf numFmtId="0" fontId="54" fillId="6" borderId="22" xfId="0" applyFont="1" applyFill="1" applyBorder="1" applyAlignment="1">
      <alignment horizontal="center" vertical="center"/>
    </xf>
    <xf numFmtId="0" fontId="54" fillId="6" borderId="0" xfId="0" applyFont="1" applyFill="1" applyAlignment="1">
      <alignment horizontal="center" vertical="center"/>
    </xf>
    <xf numFmtId="0" fontId="49" fillId="6" borderId="3" xfId="0" applyFont="1" applyFill="1" applyBorder="1" applyAlignment="1">
      <alignment horizontal="left" vertical="center"/>
    </xf>
    <xf numFmtId="49" fontId="54" fillId="6" borderId="69" xfId="0" applyNumberFormat="1" applyFont="1" applyFill="1" applyBorder="1">
      <alignment vertical="center"/>
    </xf>
    <xf numFmtId="10" fontId="49" fillId="6" borderId="61" xfId="0" applyNumberFormat="1" applyFont="1" applyFill="1" applyBorder="1" applyAlignment="1">
      <alignment horizontal="center" vertical="center"/>
    </xf>
    <xf numFmtId="49" fontId="54" fillId="6" borderId="41" xfId="0" applyNumberFormat="1" applyFont="1" applyFill="1" applyBorder="1" applyAlignment="1">
      <alignment horizontal="left" vertical="center"/>
    </xf>
    <xf numFmtId="0" fontId="54" fillId="6" borderId="2" xfId="0" applyFont="1" applyFill="1" applyBorder="1" applyAlignment="1">
      <alignment horizontal="left" vertical="center"/>
    </xf>
    <xf numFmtId="0" fontId="49" fillId="6" borderId="15" xfId="0" applyFont="1" applyFill="1" applyBorder="1" applyAlignment="1">
      <alignment horizontal="left" vertical="center"/>
    </xf>
    <xf numFmtId="181" fontId="49" fillId="6" borderId="53" xfId="0" applyNumberFormat="1" applyFont="1" applyFill="1" applyBorder="1" applyAlignment="1">
      <alignment horizontal="center" vertical="center"/>
    </xf>
    <xf numFmtId="49" fontId="49" fillId="6" borderId="91" xfId="0" applyNumberFormat="1" applyFont="1" applyFill="1" applyBorder="1">
      <alignment vertical="center"/>
    </xf>
    <xf numFmtId="0" fontId="54" fillId="0" borderId="78" xfId="0" applyFont="1" applyBorder="1" applyAlignment="1" applyProtection="1">
      <alignment horizontal="center" vertical="center"/>
      <protection locked="0"/>
    </xf>
    <xf numFmtId="0" fontId="49" fillId="6" borderId="78" xfId="0" applyFont="1" applyFill="1" applyBorder="1">
      <alignment vertical="center"/>
    </xf>
    <xf numFmtId="181" fontId="54" fillId="6" borderId="79" xfId="0" applyNumberFormat="1" applyFont="1" applyFill="1" applyBorder="1" applyAlignment="1">
      <alignment horizontal="center" vertical="center"/>
    </xf>
    <xf numFmtId="0" fontId="49" fillId="6" borderId="4" xfId="0" applyFont="1" applyFill="1" applyBorder="1" applyAlignment="1">
      <alignment horizontal="left" vertical="center"/>
    </xf>
    <xf numFmtId="0" fontId="49" fillId="6" borderId="60" xfId="0" applyFont="1" applyFill="1" applyBorder="1" applyAlignment="1">
      <alignment horizontal="center" vertical="center"/>
    </xf>
    <xf numFmtId="49" fontId="49" fillId="6" borderId="91" xfId="0" applyNumberFormat="1" applyFont="1" applyFill="1" applyBorder="1" applyAlignment="1">
      <alignment horizontal="left" vertical="center"/>
    </xf>
    <xf numFmtId="0" fontId="49" fillId="6" borderId="78" xfId="0" applyFont="1" applyFill="1" applyBorder="1" applyAlignment="1">
      <alignment horizontal="left" vertical="center"/>
    </xf>
    <xf numFmtId="0" fontId="49" fillId="6" borderId="78" xfId="0" applyFont="1" applyFill="1" applyBorder="1" applyAlignment="1">
      <alignment horizontal="center" vertical="center"/>
    </xf>
    <xf numFmtId="0" fontId="49" fillId="6" borderId="78" xfId="0" applyFont="1" applyFill="1" applyBorder="1" applyAlignment="1">
      <alignment horizontal="left" vertical="center" wrapText="1"/>
    </xf>
    <xf numFmtId="181" fontId="49" fillId="6" borderId="79" xfId="0" applyNumberFormat="1" applyFont="1" applyFill="1" applyBorder="1" applyAlignment="1">
      <alignment horizontal="center" vertical="center"/>
    </xf>
    <xf numFmtId="0" fontId="54" fillId="6" borderId="2" xfId="0" applyFont="1" applyFill="1" applyBorder="1" applyAlignment="1">
      <alignment horizontal="left" vertical="center" wrapText="1"/>
    </xf>
    <xf numFmtId="0" fontId="49" fillId="6" borderId="4" xfId="0" applyFont="1" applyFill="1" applyBorder="1" applyAlignment="1">
      <alignment horizontal="left" vertical="center" wrapText="1"/>
    </xf>
    <xf numFmtId="0" fontId="49" fillId="6" borderId="60" xfId="0" applyFont="1" applyFill="1" applyBorder="1" applyAlignment="1">
      <alignment horizontal="center" vertical="center" wrapText="1"/>
    </xf>
    <xf numFmtId="0" fontId="49" fillId="6" borderId="71" xfId="0" applyFont="1" applyFill="1" applyBorder="1" applyAlignment="1">
      <alignment horizontal="center" vertical="center" wrapText="1"/>
    </xf>
    <xf numFmtId="0" fontId="49" fillId="6" borderId="85" xfId="0" applyFont="1" applyFill="1" applyBorder="1">
      <alignment vertical="center"/>
    </xf>
    <xf numFmtId="181" fontId="54" fillId="6" borderId="78" xfId="0" applyNumberFormat="1" applyFont="1" applyFill="1" applyBorder="1" applyAlignment="1">
      <alignment horizontal="center" vertical="center"/>
    </xf>
    <xf numFmtId="0" fontId="49" fillId="6" borderId="85" xfId="0" applyFont="1" applyFill="1" applyBorder="1" applyAlignment="1">
      <alignment horizontal="left" vertical="center"/>
    </xf>
    <xf numFmtId="0" fontId="49" fillId="6" borderId="7" xfId="0" applyFont="1" applyFill="1" applyBorder="1">
      <alignment vertical="center"/>
    </xf>
    <xf numFmtId="49" fontId="49" fillId="6" borderId="41" xfId="0" applyNumberFormat="1" applyFont="1" applyFill="1" applyBorder="1" applyAlignment="1">
      <alignment horizontal="left" vertical="center"/>
    </xf>
    <xf numFmtId="49" fontId="49" fillId="6" borderId="7" xfId="0" applyNumberFormat="1" applyFont="1" applyFill="1" applyBorder="1">
      <alignment vertical="center"/>
    </xf>
    <xf numFmtId="178" fontId="56" fillId="6" borderId="1" xfId="0" applyNumberFormat="1" applyFont="1" applyFill="1" applyBorder="1" applyAlignment="1">
      <alignment horizontal="center" vertical="center"/>
    </xf>
    <xf numFmtId="178" fontId="55" fillId="6" borderId="1" xfId="0" applyNumberFormat="1" applyFont="1" applyFill="1" applyBorder="1" applyAlignment="1">
      <alignment horizontal="center" vertical="center"/>
    </xf>
    <xf numFmtId="177" fontId="48" fillId="6" borderId="0" xfId="0" applyNumberFormat="1" applyFont="1" applyFill="1" applyAlignment="1">
      <alignment horizontal="center" vertical="center"/>
    </xf>
    <xf numFmtId="186" fontId="49" fillId="6" borderId="3" xfId="0" applyNumberFormat="1" applyFont="1" applyFill="1" applyBorder="1" applyAlignment="1">
      <alignment horizontal="center" vertical="center"/>
    </xf>
    <xf numFmtId="177" fontId="49" fillId="6" borderId="0" xfId="0" applyNumberFormat="1" applyFont="1" applyFill="1" applyAlignment="1">
      <alignment horizontal="center" vertical="center"/>
    </xf>
    <xf numFmtId="0" fontId="48" fillId="6" borderId="39" xfId="0" applyFont="1" applyFill="1" applyBorder="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lignment horizontal="center" vertical="center"/>
    </xf>
    <xf numFmtId="0" fontId="59" fillId="6" borderId="0" xfId="0" applyFont="1" applyFill="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lignment horizontal="center" vertical="center"/>
    </xf>
    <xf numFmtId="0" fontId="54" fillId="6" borderId="58" xfId="0" applyFont="1" applyFill="1" applyBorder="1" applyAlignment="1">
      <alignment horizontal="center" vertical="center"/>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lignment horizontal="center" vertical="center" wrapText="1"/>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Alignment="1">
      <alignment horizontal="right" vertical="center"/>
    </xf>
    <xf numFmtId="0" fontId="53" fillId="6" borderId="45" xfId="0" applyFont="1" applyFill="1" applyBorder="1" applyAlignment="1">
      <alignment horizontal="center" vertical="center" wrapText="1"/>
    </xf>
    <xf numFmtId="0" fontId="60" fillId="6" borderId="1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6" fillId="0" borderId="5" xfId="0" applyFont="1" applyBorder="1" applyAlignment="1" applyProtection="1">
      <alignment horizontal="center" vertical="center" wrapText="1"/>
      <protection locked="0"/>
    </xf>
    <xf numFmtId="0" fontId="53" fillId="0" borderId="5" xfId="0" applyFont="1" applyBorder="1" applyAlignment="1" applyProtection="1">
      <alignment horizontal="center" vertical="center"/>
      <protection locked="0"/>
    </xf>
    <xf numFmtId="0" fontId="51" fillId="0" borderId="33" xfId="0" applyFont="1" applyBorder="1" applyAlignment="1" applyProtection="1">
      <alignment horizontal="center" vertical="center"/>
      <protection locked="0"/>
    </xf>
    <xf numFmtId="0" fontId="53" fillId="6" borderId="37" xfId="0" applyFont="1" applyFill="1" applyBorder="1" applyAlignment="1">
      <alignment horizontal="center" vertical="center" wrapText="1"/>
    </xf>
    <xf numFmtId="0" fontId="141" fillId="3" borderId="3" xfId="0" applyFont="1" applyFill="1" applyBorder="1" applyProtection="1">
      <alignment vertical="center"/>
      <protection locked="0"/>
    </xf>
    <xf numFmtId="0" fontId="46" fillId="6" borderId="0" xfId="0" applyFont="1" applyFill="1" applyProtection="1">
      <alignment vertical="center"/>
      <protection locked="0"/>
    </xf>
    <xf numFmtId="176" fontId="48" fillId="6" borderId="1" xfId="0" applyNumberFormat="1" applyFont="1" applyFill="1" applyBorder="1">
      <alignment vertical="center"/>
    </xf>
    <xf numFmtId="176" fontId="48" fillId="6" borderId="1" xfId="0" applyNumberFormat="1" applyFont="1" applyFill="1" applyBorder="1" applyAlignment="1">
      <alignment horizontal="center" vertical="center"/>
    </xf>
    <xf numFmtId="176" fontId="48" fillId="6" borderId="24" xfId="0" applyNumberFormat="1" applyFont="1" applyFill="1" applyBorder="1">
      <alignment vertical="center"/>
    </xf>
    <xf numFmtId="176" fontId="48" fillId="6" borderId="25" xfId="0" applyNumberFormat="1" applyFont="1" applyFill="1" applyBorder="1">
      <alignment vertical="center"/>
    </xf>
    <xf numFmtId="176" fontId="48" fillId="6" borderId="76" xfId="0" applyNumberFormat="1" applyFont="1" applyFill="1" applyBorder="1">
      <alignment vertical="center"/>
    </xf>
    <xf numFmtId="0" fontId="48" fillId="6" borderId="25" xfId="0" applyFont="1" applyFill="1" applyBorder="1">
      <alignment vertical="center"/>
    </xf>
    <xf numFmtId="0" fontId="48" fillId="6" borderId="49" xfId="0" applyFont="1" applyFill="1" applyBorder="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Font="1" applyFill="1" applyBorder="1" applyAlignment="1">
      <alignment horizontal="right" vertical="center" wrapText="1"/>
    </xf>
    <xf numFmtId="0" fontId="52" fillId="6" borderId="38" xfId="0" applyFont="1" applyFill="1" applyBorder="1" applyAlignment="1">
      <alignment vertical="center" wrapText="1"/>
    </xf>
    <xf numFmtId="0" fontId="52" fillId="6" borderId="52" xfId="0" applyFont="1" applyFill="1" applyBorder="1" applyAlignment="1">
      <alignment vertical="center" wrapText="1"/>
    </xf>
    <xf numFmtId="0" fontId="52" fillId="6" borderId="47" xfId="0" applyFont="1" applyFill="1" applyBorder="1" applyAlignment="1" applyProtection="1">
      <alignment vertical="center" wrapText="1"/>
      <protection locked="0"/>
    </xf>
    <xf numFmtId="0" fontId="59" fillId="6" borderId="2" xfId="0" applyFont="1" applyFill="1" applyBorder="1" applyAlignment="1">
      <alignment horizontal="right" vertical="center"/>
    </xf>
    <xf numFmtId="0" fontId="64" fillId="6" borderId="58" xfId="0" applyFont="1" applyFill="1" applyBorder="1" applyAlignment="1">
      <alignment horizontal="center" vertical="center"/>
    </xf>
    <xf numFmtId="0" fontId="58" fillId="6" borderId="0" xfId="0" applyFont="1" applyFill="1" applyAlignment="1" applyProtection="1">
      <protection locked="0"/>
    </xf>
    <xf numFmtId="0" fontId="53" fillId="6" borderId="0" xfId="0" applyFont="1" applyFill="1" applyAlignment="1" applyProtection="1">
      <alignment horizontal="center"/>
      <protection locked="0"/>
    </xf>
    <xf numFmtId="0" fontId="59" fillId="6" borderId="5" xfId="1" applyFont="1" applyFill="1" applyBorder="1" applyAlignment="1">
      <alignment horizontal="right" vertical="center"/>
    </xf>
    <xf numFmtId="0" fontId="48" fillId="6" borderId="33" xfId="0" applyFont="1" applyFill="1" applyBorder="1" applyAlignment="1">
      <alignment horizontal="center" vertical="center"/>
    </xf>
    <xf numFmtId="181" fontId="46" fillId="6" borderId="49" xfId="0" applyNumberFormat="1" applyFont="1" applyFill="1" applyBorder="1">
      <alignment vertical="center"/>
    </xf>
    <xf numFmtId="0" fontId="46" fillId="6" borderId="24" xfId="1" applyFont="1" applyFill="1" applyBorder="1" applyAlignment="1">
      <alignment horizontal="center" vertical="center"/>
    </xf>
    <xf numFmtId="10" fontId="53" fillId="0" borderId="3" xfId="8" applyNumberFormat="1" applyFont="1" applyBorder="1" applyAlignment="1" applyProtection="1">
      <alignment horizontal="center" vertical="center" wrapText="1"/>
      <protection locked="0"/>
    </xf>
    <xf numFmtId="10" fontId="55" fillId="6" borderId="24" xfId="8" applyNumberFormat="1" applyFont="1" applyFill="1" applyBorder="1" applyAlignment="1">
      <alignment horizontal="center" vertical="center" wrapText="1"/>
    </xf>
    <xf numFmtId="10" fontId="53" fillId="0" borderId="66" xfId="8" applyNumberFormat="1" applyFont="1" applyBorder="1" applyAlignment="1" applyProtection="1">
      <alignment horizontal="center" vertical="center" wrapText="1"/>
      <protection locked="0"/>
    </xf>
    <xf numFmtId="10" fontId="55" fillId="6" borderId="49" xfId="8" applyNumberFormat="1" applyFont="1" applyFill="1" applyBorder="1" applyAlignment="1">
      <alignment horizontal="center" vertical="center" wrapText="1"/>
    </xf>
    <xf numFmtId="0" fontId="46" fillId="6" borderId="22" xfId="0" applyFont="1" applyFill="1" applyBorder="1" applyAlignment="1" applyProtection="1">
      <alignment horizontal="center" vertical="center" wrapText="1"/>
      <protection locked="0"/>
    </xf>
    <xf numFmtId="0" fontId="46" fillId="0" borderId="48" xfId="0" applyFont="1" applyBorder="1" applyAlignment="1" applyProtection="1">
      <alignment horizontal="center" vertical="center" wrapText="1"/>
      <protection locked="0"/>
    </xf>
    <xf numFmtId="0" fontId="46" fillId="0" borderId="24" xfId="0" applyFont="1" applyBorder="1" applyAlignment="1" applyProtection="1">
      <alignment horizontal="center" vertical="center" wrapText="1"/>
      <protection locked="0"/>
    </xf>
    <xf numFmtId="49" fontId="46" fillId="0" borderId="18" xfId="0" applyNumberFormat="1" applyFont="1" applyBorder="1" applyAlignment="1" applyProtection="1">
      <alignment horizontal="center" vertical="center"/>
      <protection locked="0"/>
    </xf>
    <xf numFmtId="0" fontId="46" fillId="6" borderId="30" xfId="0" applyFont="1" applyFill="1" applyBorder="1" applyAlignment="1">
      <alignment horizontal="center" vertical="center" wrapText="1"/>
    </xf>
    <xf numFmtId="0" fontId="53" fillId="6" borderId="13" xfId="0" applyFont="1" applyFill="1" applyBorder="1" applyAlignment="1" applyProtection="1">
      <alignment horizontal="center" vertical="center" wrapText="1"/>
      <protection locked="0"/>
    </xf>
    <xf numFmtId="189" fontId="46" fillId="6" borderId="30" xfId="0" applyNumberFormat="1" applyFont="1" applyFill="1" applyBorder="1" applyAlignment="1">
      <alignment horizontal="center" vertical="center" wrapText="1"/>
    </xf>
    <xf numFmtId="189" fontId="46" fillId="6" borderId="9" xfId="0" applyNumberFormat="1" applyFont="1" applyFill="1" applyBorder="1" applyAlignment="1">
      <alignment horizontal="center" vertical="center" wrapText="1"/>
    </xf>
    <xf numFmtId="189" fontId="46" fillId="6" borderId="39" xfId="0" applyNumberFormat="1" applyFont="1" applyFill="1" applyBorder="1" applyAlignment="1">
      <alignment horizontal="center" vertical="center" wrapText="1"/>
    </xf>
    <xf numFmtId="0" fontId="49" fillId="0" borderId="54" xfId="0" applyFont="1" applyBorder="1" applyProtection="1">
      <alignment vertical="center"/>
      <protection locked="0"/>
    </xf>
    <xf numFmtId="0" fontId="49" fillId="6" borderId="36" xfId="0" applyFont="1" applyFill="1" applyBorder="1">
      <alignment vertical="center"/>
    </xf>
    <xf numFmtId="0" fontId="49" fillId="6" borderId="60" xfId="0" applyFont="1" applyFill="1" applyBorder="1" applyAlignment="1">
      <alignment horizontal="left" vertical="center"/>
    </xf>
    <xf numFmtId="0" fontId="47" fillId="5" borderId="3" xfId="1" applyFont="1" applyFill="1" applyBorder="1">
      <alignment vertical="center"/>
    </xf>
    <xf numFmtId="0" fontId="47" fillId="5" borderId="5" xfId="1" applyFont="1" applyFill="1" applyBorder="1" applyAlignment="1" applyProtection="1">
      <alignment horizontal="left" vertical="center"/>
      <protection locked="0"/>
    </xf>
    <xf numFmtId="0" fontId="64" fillId="0" borderId="32" xfId="0" applyFont="1" applyBorder="1" applyProtection="1">
      <alignment vertical="center"/>
      <protection locked="0"/>
    </xf>
    <xf numFmtId="0" fontId="149" fillId="0" borderId="0" xfId="11" applyFont="1" applyAlignment="1">
      <alignment vertical="center" wrapText="1"/>
    </xf>
    <xf numFmtId="0" fontId="126" fillId="0" borderId="78" xfId="0" applyFont="1" applyBorder="1" applyAlignment="1">
      <alignment horizontal="left" vertical="center"/>
    </xf>
    <xf numFmtId="0" fontId="149" fillId="0" borderId="78" xfId="11" applyFont="1" applyBorder="1" applyAlignment="1">
      <alignment horizontal="left" vertical="center" wrapText="1"/>
    </xf>
    <xf numFmtId="0" fontId="149" fillId="0" borderId="87" xfId="0" applyFont="1" applyBorder="1">
      <alignment vertical="center"/>
    </xf>
    <xf numFmtId="0" fontId="149" fillId="0" borderId="44" xfId="11" applyFont="1" applyBorder="1" applyAlignment="1">
      <alignment vertical="center" wrapText="1"/>
    </xf>
    <xf numFmtId="0" fontId="149" fillId="0" borderId="44" xfId="0" applyFont="1" applyBorder="1" applyAlignment="1">
      <alignment horizontal="left" vertical="center"/>
    </xf>
    <xf numFmtId="0" fontId="149" fillId="0" borderId="83" xfId="0" applyFont="1" applyBorder="1">
      <alignment vertical="center"/>
    </xf>
    <xf numFmtId="0" fontId="149" fillId="0" borderId="1" xfId="11" applyFont="1" applyBorder="1" applyAlignment="1">
      <alignment vertical="center" wrapText="1"/>
    </xf>
    <xf numFmtId="0" fontId="149" fillId="0" borderId="1" xfId="0" applyFont="1" applyBorder="1" applyAlignment="1">
      <alignment horizontal="left" vertical="center"/>
    </xf>
    <xf numFmtId="0" fontId="149" fillId="0" borderId="0" xfId="0" applyFont="1">
      <alignment vertical="center"/>
    </xf>
    <xf numFmtId="0" fontId="149" fillId="0" borderId="78" xfId="11" applyFont="1" applyBorder="1" applyAlignment="1">
      <alignment vertical="center" wrapText="1"/>
    </xf>
    <xf numFmtId="0" fontId="149" fillId="0" borderId="78" xfId="0" applyFont="1" applyBorder="1" applyAlignment="1">
      <alignment horizontal="left" vertical="center"/>
    </xf>
    <xf numFmtId="192" fontId="149" fillId="0" borderId="78" xfId="0" applyNumberFormat="1" applyFont="1" applyBorder="1" applyAlignment="1">
      <alignment horizontal="left" vertical="center"/>
    </xf>
    <xf numFmtId="0" fontId="149" fillId="0" borderId="2" xfId="11" applyFont="1" applyBorder="1" applyAlignment="1">
      <alignment vertical="center" wrapText="1"/>
    </xf>
    <xf numFmtId="14" fontId="149" fillId="0" borderId="2" xfId="0" applyNumberFormat="1" applyFont="1" applyBorder="1" applyAlignment="1">
      <alignment horizontal="left" vertical="center"/>
    </xf>
    <xf numFmtId="14" fontId="149" fillId="0" borderId="1" xfId="0" applyNumberFormat="1" applyFont="1" applyBorder="1" applyAlignment="1">
      <alignment horizontal="left" vertical="center"/>
    </xf>
    <xf numFmtId="0" fontId="149" fillId="0" borderId="0" xfId="0" applyFont="1" applyAlignment="1">
      <alignment horizontal="left" vertical="center"/>
    </xf>
    <xf numFmtId="0" fontId="60" fillId="6" borderId="1" xfId="8" applyFont="1" applyFill="1" applyBorder="1" applyAlignment="1">
      <alignment horizontal="center" vertical="center" wrapText="1"/>
    </xf>
    <xf numFmtId="0" fontId="60" fillId="0" borderId="1" xfId="8" applyFont="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lignment horizontal="center" vertical="center" wrapText="1"/>
    </xf>
    <xf numFmtId="0" fontId="55" fillId="0" borderId="0" xfId="8" applyFont="1" applyAlignment="1">
      <alignment horizontal="center" vertical="center" wrapText="1"/>
    </xf>
    <xf numFmtId="0" fontId="101" fillId="6" borderId="1" xfId="8" applyFont="1" applyFill="1" applyBorder="1" applyAlignment="1">
      <alignment horizontal="center" vertical="center"/>
    </xf>
    <xf numFmtId="0" fontId="59" fillId="6" borderId="2" xfId="1" applyFont="1" applyFill="1" applyBorder="1">
      <alignment vertical="center"/>
    </xf>
    <xf numFmtId="0" fontId="103" fillId="6" borderId="85" xfId="0" applyFont="1" applyFill="1" applyBorder="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lignment horizontal="center" vertical="center"/>
    </xf>
    <xf numFmtId="0" fontId="64" fillId="2" borderId="88" xfId="0" applyFont="1" applyFill="1" applyBorder="1" applyProtection="1">
      <alignment vertical="center"/>
      <protection locked="0"/>
    </xf>
    <xf numFmtId="0" fontId="64" fillId="6" borderId="88" xfId="0" applyFont="1" applyFill="1" applyBorder="1" applyProtection="1">
      <alignment vertical="center"/>
      <protection locked="0"/>
    </xf>
    <xf numFmtId="0" fontId="67" fillId="6" borderId="88" xfId="0" applyFont="1" applyFill="1" applyBorder="1" applyProtection="1">
      <alignment vertical="center"/>
      <protection locked="0"/>
    </xf>
    <xf numFmtId="188"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lignment horizontal="center" vertical="center"/>
    </xf>
    <xf numFmtId="0" fontId="65" fillId="6" borderId="87" xfId="0" applyFont="1" applyFill="1" applyBorder="1" applyAlignment="1">
      <alignment horizontal="center" vertical="center"/>
    </xf>
    <xf numFmtId="0" fontId="65" fillId="0" borderId="87" xfId="0" applyFont="1" applyBorder="1" applyAlignment="1" applyProtection="1">
      <alignment horizontal="center" vertical="center"/>
      <protection locked="0"/>
    </xf>
    <xf numFmtId="0" fontId="64" fillId="6" borderId="88" xfId="0" applyFont="1" applyFill="1" applyBorder="1">
      <alignment vertical="center"/>
    </xf>
    <xf numFmtId="0" fontId="67" fillId="6" borderId="88" xfId="0" applyFont="1" applyFill="1" applyBorder="1">
      <alignment vertical="center"/>
    </xf>
    <xf numFmtId="188" fontId="64" fillId="6" borderId="88" xfId="0" applyNumberFormat="1" applyFont="1" applyFill="1" applyBorder="1" applyAlignment="1">
      <alignment horizontal="center" vertical="center"/>
    </xf>
    <xf numFmtId="181" fontId="64" fillId="6" borderId="88" xfId="0" applyNumberFormat="1" applyFont="1" applyFill="1" applyBorder="1">
      <alignment vertical="center"/>
    </xf>
    <xf numFmtId="0" fontId="64" fillId="6" borderId="88" xfId="0" applyFont="1" applyFill="1" applyBorder="1" applyAlignment="1">
      <alignment horizontal="center" vertical="center"/>
    </xf>
    <xf numFmtId="0" fontId="0" fillId="0" borderId="0" xfId="0" applyAlignment="1"/>
    <xf numFmtId="0" fontId="98" fillId="6" borderId="0" xfId="0" applyFont="1" applyFill="1" applyAlignment="1"/>
    <xf numFmtId="0" fontId="82" fillId="6" borderId="0" xfId="2" applyFont="1" applyFill="1"/>
    <xf numFmtId="0" fontId="21" fillId="6" borderId="0" xfId="2" applyFont="1" applyFill="1"/>
    <xf numFmtId="0" fontId="21" fillId="6" borderId="6" xfId="2" applyFont="1" applyFill="1" applyBorder="1"/>
    <xf numFmtId="0" fontId="124" fillId="6" borderId="9" xfId="2" applyFont="1" applyFill="1" applyBorder="1" applyAlignment="1">
      <alignment horizontal="center" vertical="center" wrapText="1"/>
    </xf>
    <xf numFmtId="0" fontId="21" fillId="6" borderId="10" xfId="2" applyFont="1" applyFill="1" applyBorder="1" applyAlignment="1">
      <alignment horizontal="center"/>
    </xf>
    <xf numFmtId="0" fontId="124" fillId="6" borderId="6" xfId="2" applyFont="1" applyFill="1" applyBorder="1" applyAlignment="1">
      <alignment horizontal="center" vertical="center" wrapText="1"/>
    </xf>
    <xf numFmtId="0" fontId="21" fillId="6" borderId="9" xfId="2" applyFont="1" applyFill="1" applyBorder="1" applyAlignment="1">
      <alignment horizontal="center"/>
    </xf>
    <xf numFmtId="0" fontId="21" fillId="0" borderId="0" xfId="2" applyFont="1"/>
    <xf numFmtId="0" fontId="21" fillId="6" borderId="23" xfId="2" applyFont="1" applyFill="1" applyBorder="1"/>
    <xf numFmtId="0" fontId="124" fillId="6" borderId="1" xfId="2" applyFont="1" applyFill="1" applyBorder="1" applyAlignment="1">
      <alignment horizontal="center" vertical="center" wrapText="1"/>
    </xf>
    <xf numFmtId="0" fontId="21" fillId="6" borderId="24" xfId="2" applyFont="1" applyFill="1" applyBorder="1" applyAlignment="1">
      <alignment horizontal="center"/>
    </xf>
    <xf numFmtId="0" fontId="124" fillId="6" borderId="23" xfId="2" applyFont="1" applyFill="1" applyBorder="1" applyAlignment="1">
      <alignment horizontal="center" vertical="center" wrapText="1"/>
    </xf>
    <xf numFmtId="0" fontId="21" fillId="6" borderId="1" xfId="2" applyFont="1" applyFill="1" applyBorder="1" applyAlignment="1">
      <alignment horizontal="center"/>
    </xf>
    <xf numFmtId="0" fontId="21" fillId="6" borderId="25" xfId="2" applyFont="1" applyFill="1" applyBorder="1"/>
    <xf numFmtId="0" fontId="124" fillId="6" borderId="32" xfId="2" applyFont="1" applyFill="1" applyBorder="1" applyAlignment="1">
      <alignment horizontal="center" vertical="center" wrapText="1"/>
    </xf>
    <xf numFmtId="0" fontId="21" fillId="6" borderId="49" xfId="2" applyFont="1" applyFill="1" applyBorder="1" applyAlignment="1">
      <alignment horizontal="center"/>
    </xf>
    <xf numFmtId="0" fontId="124" fillId="6" borderId="25" xfId="2" applyFont="1" applyFill="1" applyBorder="1" applyAlignment="1">
      <alignment horizontal="center" vertical="center" wrapText="1"/>
    </xf>
    <xf numFmtId="0" fontId="21" fillId="6" borderId="32" xfId="2" applyFont="1" applyFill="1" applyBorder="1" applyAlignment="1">
      <alignment horizontal="center"/>
    </xf>
    <xf numFmtId="0" fontId="21" fillId="6" borderId="0" xfId="2" applyFont="1" applyFill="1" applyAlignment="1">
      <alignment horizontal="center"/>
    </xf>
    <xf numFmtId="0" fontId="21" fillId="6" borderId="0" xfId="2" applyFont="1" applyFill="1" applyAlignment="1">
      <alignment horizontal="right"/>
    </xf>
    <xf numFmtId="14" fontId="21" fillId="6" borderId="0" xfId="2" applyNumberFormat="1" applyFont="1" applyFill="1" applyAlignment="1">
      <alignment horizontal="center"/>
    </xf>
    <xf numFmtId="0" fontId="154" fillId="6" borderId="0" xfId="2" applyFont="1" applyFill="1" applyAlignment="1">
      <alignment horizontal="center"/>
    </xf>
    <xf numFmtId="0" fontId="155" fillId="6" borderId="0" xfId="2" applyFont="1" applyFill="1" applyAlignment="1">
      <alignment horizontal="left"/>
    </xf>
    <xf numFmtId="14" fontId="154" fillId="6" borderId="0" xfId="2" applyNumberFormat="1" applyFont="1" applyFill="1" applyAlignment="1">
      <alignment horizontal="center"/>
    </xf>
    <xf numFmtId="0" fontId="154" fillId="6" borderId="0" xfId="2" applyFont="1" applyFill="1"/>
    <xf numFmtId="0" fontId="154" fillId="0" borderId="0" xfId="2" applyFont="1"/>
    <xf numFmtId="0" fontId="154" fillId="0" borderId="0" xfId="0" applyFont="1" applyAlignment="1"/>
    <xf numFmtId="0" fontId="156" fillId="6" borderId="0" xfId="2" applyFont="1" applyFill="1"/>
    <xf numFmtId="0" fontId="157" fillId="6" borderId="0" xfId="2" applyFont="1" applyFill="1"/>
    <xf numFmtId="0" fontId="156" fillId="0" borderId="0" xfId="2" applyFont="1"/>
    <xf numFmtId="0" fontId="124" fillId="6" borderId="0" xfId="2" applyFont="1" applyFill="1"/>
    <xf numFmtId="0" fontId="138" fillId="6" borderId="13" xfId="2" applyFont="1" applyFill="1" applyBorder="1" applyAlignment="1">
      <alignment horizontal="center" vertical="center"/>
    </xf>
    <xf numFmtId="0" fontId="138" fillId="6" borderId="13" xfId="2" applyFont="1" applyFill="1" applyBorder="1" applyAlignment="1">
      <alignment vertical="center"/>
    </xf>
    <xf numFmtId="0" fontId="138" fillId="6" borderId="5" xfId="2" applyFont="1" applyFill="1" applyBorder="1" applyAlignment="1">
      <alignment vertical="center"/>
    </xf>
    <xf numFmtId="0" fontId="138" fillId="6" borderId="3" xfId="2" applyFont="1" applyFill="1" applyBorder="1" applyAlignment="1">
      <alignment vertical="center"/>
    </xf>
    <xf numFmtId="0" fontId="138" fillId="6" borderId="54" xfId="2" applyFont="1" applyFill="1" applyBorder="1" applyAlignment="1">
      <alignment vertical="center"/>
    </xf>
    <xf numFmtId="0" fontId="124" fillId="0" borderId="0" xfId="2" applyFont="1"/>
    <xf numFmtId="0" fontId="138" fillId="6" borderId="2" xfId="2" applyFont="1" applyFill="1" applyBorder="1" applyAlignment="1">
      <alignment horizontal="center" vertical="center" wrapText="1"/>
    </xf>
    <xf numFmtId="0" fontId="138" fillId="6" borderId="2" xfId="2" applyFont="1" applyFill="1" applyBorder="1" applyAlignment="1">
      <alignment vertical="center" wrapText="1"/>
    </xf>
    <xf numFmtId="0" fontId="21" fillId="6" borderId="1" xfId="2" applyFont="1" applyFill="1" applyBorder="1"/>
    <xf numFmtId="0" fontId="138" fillId="6" borderId="1" xfId="2" applyFont="1" applyFill="1" applyBorder="1" applyAlignment="1">
      <alignment horizontal="center" vertical="center" wrapText="1"/>
    </xf>
    <xf numFmtId="0" fontId="159" fillId="6" borderId="0" xfId="2" applyFont="1" applyFill="1" applyAlignment="1">
      <alignment vertical="center"/>
    </xf>
    <xf numFmtId="0" fontId="159" fillId="6" borderId="1" xfId="2" applyFont="1" applyFill="1" applyBorder="1" applyAlignment="1">
      <alignment horizontal="left" vertical="center" wrapText="1"/>
    </xf>
    <xf numFmtId="0" fontId="159" fillId="6" borderId="1" xfId="2" applyFont="1" applyFill="1" applyBorder="1" applyAlignment="1">
      <alignment horizontal="center" vertical="center" wrapText="1"/>
    </xf>
    <xf numFmtId="14" fontId="159" fillId="6" borderId="1" xfId="2" applyNumberFormat="1" applyFont="1" applyFill="1" applyBorder="1" applyAlignment="1">
      <alignment horizontal="center" vertical="center" wrapText="1"/>
    </xf>
    <xf numFmtId="0" fontId="159" fillId="5" borderId="0" xfId="2" applyFont="1" applyFill="1" applyAlignment="1">
      <alignment vertical="center"/>
    </xf>
    <xf numFmtId="0" fontId="160" fillId="0" borderId="0" xfId="0" applyFont="1" applyAlignment="1"/>
    <xf numFmtId="0" fontId="21" fillId="6" borderId="1" xfId="2" applyFont="1" applyFill="1" applyBorder="1" applyAlignment="1">
      <alignment horizontal="center" wrapText="1"/>
    </xf>
    <xf numFmtId="14" fontId="21" fillId="6" borderId="1" xfId="2" applyNumberFormat="1" applyFont="1" applyFill="1" applyBorder="1" applyAlignment="1">
      <alignment horizontal="center" wrapText="1"/>
    </xf>
    <xf numFmtId="14" fontId="131" fillId="6" borderId="1" xfId="2" applyNumberFormat="1" applyFont="1" applyFill="1" applyBorder="1" applyAlignment="1">
      <alignment horizontal="center" wrapText="1"/>
    </xf>
    <xf numFmtId="0" fontId="21" fillId="6" borderId="0" xfId="2" applyFont="1" applyFill="1" applyAlignment="1">
      <alignment horizontal="center" wrapText="1"/>
    </xf>
    <xf numFmtId="14" fontId="21" fillId="6" borderId="0" xfId="2" applyNumberFormat="1" applyFont="1" applyFill="1" applyAlignment="1">
      <alignment horizontal="center" wrapText="1"/>
    </xf>
    <xf numFmtId="0" fontId="140" fillId="6" borderId="87" xfId="2" applyFont="1" applyFill="1" applyBorder="1"/>
    <xf numFmtId="14" fontId="140" fillId="6" borderId="78" xfId="2" applyNumberFormat="1" applyFont="1" applyFill="1" applyBorder="1" applyAlignment="1">
      <alignment horizontal="center"/>
    </xf>
    <xf numFmtId="0" fontId="140" fillId="6" borderId="78" xfId="2" applyFont="1" applyFill="1" applyBorder="1" applyAlignment="1">
      <alignment horizontal="center"/>
    </xf>
    <xf numFmtId="10" fontId="140" fillId="6" borderId="78" xfId="2" applyNumberFormat="1" applyFont="1" applyFill="1" applyBorder="1" applyAlignment="1">
      <alignment horizontal="center"/>
    </xf>
    <xf numFmtId="0" fontId="140" fillId="0" borderId="87" xfId="2" applyFont="1" applyBorder="1"/>
    <xf numFmtId="0" fontId="110" fillId="0" borderId="87" xfId="0" applyFont="1" applyBorder="1" applyAlignment="1"/>
    <xf numFmtId="0" fontId="110" fillId="0" borderId="0" xfId="0" applyFont="1" applyAlignment="1"/>
    <xf numFmtId="0" fontId="138" fillId="6" borderId="78" xfId="2" applyFont="1" applyFill="1" applyBorder="1" applyAlignment="1">
      <alignment horizontal="center"/>
    </xf>
    <xf numFmtId="177" fontId="138" fillId="6" borderId="87" xfId="2" applyNumberFormat="1" applyFont="1" applyFill="1" applyBorder="1" applyAlignment="1">
      <alignment horizontal="center"/>
    </xf>
    <xf numFmtId="0" fontId="120" fillId="0" borderId="1" xfId="5" applyFont="1" applyBorder="1" applyAlignment="1">
      <alignment horizontal="left" vertical="center"/>
    </xf>
    <xf numFmtId="0" fontId="101" fillId="0" borderId="1" xfId="0" applyFont="1" applyBorder="1" applyAlignment="1" applyProtection="1">
      <alignment horizontal="center" vertical="center" wrapText="1"/>
      <protection locked="0"/>
    </xf>
    <xf numFmtId="0" fontId="101" fillId="0" borderId="1" xfId="0" applyFont="1" applyBorder="1" applyAlignment="1" applyProtection="1">
      <alignment horizontal="left" vertical="center" wrapText="1"/>
      <protection locked="0"/>
    </xf>
    <xf numFmtId="0" fontId="101" fillId="0" borderId="5" xfId="0" applyFont="1" applyBorder="1" applyAlignment="1" applyProtection="1">
      <alignment horizontal="center" vertical="center" wrapText="1"/>
      <protection locked="0"/>
    </xf>
    <xf numFmtId="0" fontId="101" fillId="0" borderId="48" xfId="0" applyFont="1" applyBorder="1" applyAlignment="1" applyProtection="1">
      <alignment horizontal="center" vertical="center" wrapText="1"/>
      <protection locked="0"/>
    </xf>
    <xf numFmtId="0" fontId="101" fillId="0" borderId="13" xfId="0" applyFont="1" applyBorder="1" applyAlignment="1" applyProtection="1">
      <alignment horizontal="center" vertical="center" wrapText="1"/>
      <protection locked="0"/>
    </xf>
    <xf numFmtId="0" fontId="101" fillId="0" borderId="46" xfId="0" applyFont="1" applyBorder="1" applyAlignment="1" applyProtection="1">
      <alignment horizontal="center" vertical="center" wrapText="1"/>
      <protection locked="0"/>
    </xf>
    <xf numFmtId="0" fontId="101" fillId="0" borderId="59" xfId="0" applyFont="1" applyBorder="1" applyAlignment="1" applyProtection="1">
      <alignment horizontal="center" vertical="center" wrapText="1"/>
      <protection locked="0"/>
    </xf>
    <xf numFmtId="0" fontId="101" fillId="0" borderId="110" xfId="0" applyFont="1" applyBorder="1" applyAlignment="1" applyProtection="1">
      <alignment horizontal="center" vertical="center" wrapText="1"/>
      <protection locked="0"/>
    </xf>
    <xf numFmtId="0" fontId="101" fillId="0" borderId="110" xfId="0" applyFont="1" applyBorder="1" applyAlignment="1" applyProtection="1">
      <alignment horizontal="left" vertical="center" wrapText="1"/>
      <protection locked="0"/>
    </xf>
    <xf numFmtId="0" fontId="101" fillId="0" borderId="111" xfId="0" applyFont="1" applyBorder="1" applyAlignment="1" applyProtection="1">
      <alignment horizontal="center" vertical="center" wrapText="1"/>
      <protection locked="0"/>
    </xf>
    <xf numFmtId="0" fontId="101" fillId="0" borderId="112" xfId="0" applyFont="1" applyBorder="1" applyAlignment="1" applyProtection="1">
      <alignment horizontal="center" vertical="center" wrapText="1"/>
      <protection locked="0"/>
    </xf>
    <xf numFmtId="0" fontId="101" fillId="6" borderId="98" xfId="0" applyFont="1" applyFill="1" applyBorder="1" applyAlignment="1">
      <alignment horizontal="center" vertical="center" wrapText="1"/>
    </xf>
    <xf numFmtId="0" fontId="101" fillId="0" borderId="2" xfId="0" applyFont="1" applyBorder="1" applyAlignment="1" applyProtection="1">
      <alignment horizontal="center" vertical="center" wrapText="1"/>
      <protection locked="0"/>
    </xf>
    <xf numFmtId="0" fontId="101" fillId="0" borderId="4" xfId="0" applyFont="1" applyBorder="1" applyAlignment="1" applyProtection="1">
      <alignment horizontal="center" vertical="center" wrapText="1"/>
      <protection locked="0"/>
    </xf>
    <xf numFmtId="0" fontId="101" fillId="0" borderId="58" xfId="0" applyFont="1" applyBorder="1" applyAlignment="1" applyProtection="1">
      <alignment horizontal="center" vertical="center"/>
      <protection locked="0"/>
    </xf>
    <xf numFmtId="0" fontId="101" fillId="0" borderId="15" xfId="0" applyFont="1" applyBorder="1" applyAlignment="1" applyProtection="1">
      <alignment horizontal="center" vertical="center" wrapText="1"/>
      <protection locked="0"/>
    </xf>
    <xf numFmtId="9" fontId="101" fillId="0" borderId="15" xfId="0" applyNumberFormat="1" applyFont="1" applyBorder="1" applyAlignment="1" applyProtection="1">
      <alignment horizontal="center" vertical="center" wrapText="1"/>
      <protection locked="0"/>
    </xf>
    <xf numFmtId="0" fontId="101" fillId="0" borderId="15" xfId="0" applyFont="1" applyBorder="1" applyAlignment="1" applyProtection="1">
      <alignment horizontal="center" vertical="center"/>
      <protection locked="0"/>
    </xf>
    <xf numFmtId="0" fontId="101" fillId="0" borderId="56" xfId="0" applyFont="1" applyBorder="1" applyAlignment="1" applyProtection="1">
      <alignment horizontal="center" vertical="center"/>
      <protection locked="0"/>
    </xf>
    <xf numFmtId="0" fontId="101" fillId="0" borderId="2" xfId="0" applyFont="1" applyBorder="1" applyAlignment="1" applyProtection="1">
      <alignment horizontal="left" vertical="center" wrapText="1"/>
      <protection locked="0"/>
    </xf>
    <xf numFmtId="0" fontId="101" fillId="6" borderId="13" xfId="0" applyFont="1" applyFill="1" applyBorder="1" applyAlignment="1">
      <alignment horizontal="center" vertical="center" wrapText="1"/>
    </xf>
    <xf numFmtId="0" fontId="60" fillId="6" borderId="10" xfId="0" applyFont="1" applyFill="1" applyBorder="1" applyAlignment="1">
      <alignment horizontal="center" vertical="center" wrapText="1"/>
    </xf>
    <xf numFmtId="0" fontId="60" fillId="6" borderId="49" xfId="0" applyFont="1" applyFill="1" applyBorder="1" applyAlignment="1">
      <alignment horizontal="center" vertical="center" wrapText="1"/>
    </xf>
    <xf numFmtId="0" fontId="49" fillId="0" borderId="24" xfId="0" applyFont="1" applyBorder="1" applyProtection="1">
      <alignment vertical="center"/>
      <protection locked="0"/>
    </xf>
    <xf numFmtId="0" fontId="162" fillId="0" borderId="1" xfId="12" applyFont="1" applyBorder="1" applyAlignment="1" applyProtection="1">
      <alignment horizontal="left" vertical="center" wrapText="1"/>
      <protection locked="0"/>
    </xf>
    <xf numFmtId="0" fontId="166" fillId="6" borderId="1" xfId="0" applyFont="1" applyFill="1" applyBorder="1" applyAlignment="1">
      <alignment horizontal="left" vertical="center" wrapText="1"/>
    </xf>
    <xf numFmtId="0" fontId="100" fillId="6" borderId="9" xfId="0" applyFont="1" applyFill="1" applyBorder="1" applyAlignment="1">
      <alignment horizontal="center" vertical="center" wrapText="1"/>
    </xf>
    <xf numFmtId="0" fontId="100" fillId="6" borderId="10" xfId="0" applyFont="1" applyFill="1" applyBorder="1" applyAlignment="1">
      <alignment horizontal="center" vertical="center" wrapText="1"/>
    </xf>
    <xf numFmtId="10" fontId="55" fillId="6" borderId="17" xfId="0" applyNumberFormat="1" applyFont="1" applyFill="1" applyBorder="1" applyAlignment="1">
      <alignment horizontal="center" vertical="center" wrapText="1"/>
    </xf>
    <xf numFmtId="0" fontId="170" fillId="0" borderId="108" xfId="0" applyFont="1" applyBorder="1" applyAlignment="1" applyProtection="1">
      <alignment horizontal="center" vertical="center" wrapText="1"/>
      <protection locked="0"/>
    </xf>
    <xf numFmtId="0" fontId="170" fillId="0" borderId="18" xfId="0" applyFont="1" applyBorder="1" applyAlignment="1" applyProtection="1">
      <alignment horizontal="center" vertical="center" wrapText="1"/>
      <protection locked="0"/>
    </xf>
    <xf numFmtId="0" fontId="115" fillId="6" borderId="24" xfId="0" applyFont="1" applyFill="1" applyBorder="1" applyAlignment="1">
      <alignment horizontal="left" vertical="center"/>
    </xf>
    <xf numFmtId="0" fontId="171" fillId="6" borderId="32" xfId="0" applyFont="1" applyFill="1" applyBorder="1" applyAlignment="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lignment horizontal="left" vertical="center" wrapText="1"/>
    </xf>
    <xf numFmtId="0" fontId="49" fillId="6" borderId="1" xfId="0" applyFont="1" applyFill="1" applyBorder="1" applyAlignment="1">
      <alignment horizontal="left" vertical="center" wrapText="1"/>
    </xf>
    <xf numFmtId="0" fontId="49" fillId="6" borderId="5" xfId="0" applyFont="1" applyFill="1" applyBorder="1" applyAlignment="1">
      <alignment horizontal="left" vertical="center" wrapText="1"/>
    </xf>
    <xf numFmtId="0" fontId="49" fillId="6" borderId="5" xfId="0" applyFont="1" applyFill="1" applyBorder="1" applyAlignment="1">
      <alignment horizontal="center" vertical="center" wrapText="1"/>
    </xf>
    <xf numFmtId="0" fontId="49" fillId="6" borderId="54" xfId="0" applyFont="1" applyFill="1" applyBorder="1" applyAlignment="1">
      <alignment horizontal="center" vertical="center" wrapText="1"/>
    </xf>
    <xf numFmtId="0" fontId="49" fillId="6" borderId="3" xfId="0" applyFont="1" applyFill="1" applyBorder="1" applyAlignment="1">
      <alignment horizontal="center" vertical="center" wrapText="1"/>
    </xf>
    <xf numFmtId="0" fontId="101" fillId="6" borderId="2" xfId="0" applyFont="1" applyFill="1" applyBorder="1" applyAlignment="1">
      <alignment horizontal="center" vertical="center" wrapText="1"/>
    </xf>
    <xf numFmtId="0" fontId="101" fillId="6" borderId="1" xfId="0" applyFont="1" applyFill="1" applyBorder="1" applyAlignment="1">
      <alignment horizontal="center" vertical="center" wrapText="1"/>
    </xf>
    <xf numFmtId="0" fontId="53" fillId="6" borderId="1" xfId="0" applyFont="1" applyFill="1" applyBorder="1" applyAlignment="1">
      <alignment horizontal="center" vertical="center" wrapText="1"/>
    </xf>
    <xf numFmtId="0" fontId="53" fillId="6" borderId="1" xfId="0" applyFont="1" applyFill="1" applyBorder="1" applyAlignment="1">
      <alignment horizontal="center" vertical="center"/>
    </xf>
    <xf numFmtId="0" fontId="53" fillId="6" borderId="15" xfId="0" applyFont="1" applyFill="1" applyBorder="1" applyAlignment="1">
      <alignment horizontal="center" vertical="center"/>
    </xf>
    <xf numFmtId="0" fontId="46" fillId="6" borderId="3" xfId="0" applyFont="1" applyFill="1" applyBorder="1" applyAlignment="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lignment horizontal="center" vertical="center"/>
    </xf>
    <xf numFmtId="0" fontId="49" fillId="6" borderId="54" xfId="0" applyFont="1" applyFill="1" applyBorder="1" applyAlignment="1">
      <alignment horizontal="center" vertical="center"/>
    </xf>
    <xf numFmtId="0" fontId="49" fillId="6" borderId="3" xfId="0" applyFont="1" applyFill="1" applyBorder="1" applyAlignment="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Alignment="1">
      <alignment horizontal="center"/>
    </xf>
    <xf numFmtId="0" fontId="55" fillId="6" borderId="13" xfId="0" applyFont="1" applyFill="1" applyBorder="1">
      <alignment vertical="center"/>
    </xf>
    <xf numFmtId="0" fontId="49" fillId="6" borderId="22" xfId="0" applyFont="1" applyFill="1" applyBorder="1" applyAlignment="1">
      <alignment vertical="center" wrapText="1"/>
    </xf>
    <xf numFmtId="0" fontId="173" fillId="6" borderId="1" xfId="0" applyFont="1" applyFill="1" applyBorder="1" applyAlignment="1">
      <alignment horizontal="right" vertical="center" wrapText="1"/>
    </xf>
    <xf numFmtId="0" fontId="115" fillId="6" borderId="15" xfId="0" applyFont="1" applyFill="1" applyBorder="1">
      <alignment vertical="center"/>
    </xf>
    <xf numFmtId="0" fontId="49" fillId="6" borderId="118" xfId="0" applyFont="1" applyFill="1" applyBorder="1" applyAlignment="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lignment vertical="center" wrapText="1"/>
    </xf>
    <xf numFmtId="0" fontId="49" fillId="6" borderId="36" xfId="0" applyFont="1" applyFill="1" applyBorder="1" applyAlignment="1">
      <alignment horizontal="left" vertical="center"/>
    </xf>
    <xf numFmtId="49" fontId="66" fillId="6" borderId="60" xfId="0" applyNumberFormat="1" applyFont="1" applyFill="1" applyBorder="1" applyAlignment="1"/>
    <xf numFmtId="0" fontId="79" fillId="6" borderId="13" xfId="0" applyFont="1" applyFill="1" applyBorder="1">
      <alignment vertical="center"/>
    </xf>
    <xf numFmtId="0" fontId="79" fillId="6" borderId="22" xfId="0" applyFont="1" applyFill="1" applyBorder="1">
      <alignment vertical="center"/>
    </xf>
    <xf numFmtId="177" fontId="59" fillId="6" borderId="60" xfId="0" applyNumberFormat="1" applyFont="1" applyFill="1" applyBorder="1" applyAlignment="1"/>
    <xf numFmtId="49" fontId="59" fillId="2" borderId="27" xfId="0" applyNumberFormat="1" applyFont="1" applyFill="1" applyBorder="1" applyAlignment="1" applyProtection="1">
      <alignment horizontal="right"/>
      <protection locked="0"/>
    </xf>
    <xf numFmtId="0" fontId="55" fillId="6" borderId="0" xfId="0" applyFont="1" applyFill="1" applyAlignment="1">
      <alignment horizontal="center" vertical="center"/>
    </xf>
    <xf numFmtId="0" fontId="55" fillId="6" borderId="0" xfId="0" applyFont="1" applyFill="1">
      <alignment vertical="center"/>
    </xf>
    <xf numFmtId="49" fontId="56" fillId="6" borderId="0" xfId="0" applyNumberFormat="1" applyFont="1" applyFill="1" applyAlignment="1">
      <alignment horizontal="center"/>
    </xf>
    <xf numFmtId="49" fontId="56" fillId="6" borderId="0" xfId="0" applyNumberFormat="1" applyFont="1" applyFill="1" applyAlignment="1">
      <alignment horizontal="left"/>
    </xf>
    <xf numFmtId="0" fontId="55" fillId="7" borderId="0" xfId="0" applyFont="1" applyFill="1" applyProtection="1">
      <alignment vertical="center"/>
      <protection locked="0"/>
    </xf>
    <xf numFmtId="0" fontId="56" fillId="6" borderId="1" xfId="1" applyFont="1" applyFill="1" applyBorder="1">
      <alignment vertical="center"/>
    </xf>
    <xf numFmtId="0" fontId="54" fillId="6" borderId="1" xfId="0" applyFont="1" applyFill="1" applyBorder="1" applyAlignment="1">
      <alignment horizontal="right" vertical="center"/>
    </xf>
    <xf numFmtId="49" fontId="55" fillId="6" borderId="0" xfId="0" applyNumberFormat="1" applyFont="1" applyFill="1" applyAlignment="1"/>
    <xf numFmtId="49" fontId="56" fillId="6" borderId="0" xfId="0" applyNumberFormat="1" applyFont="1" applyFill="1" applyAlignment="1"/>
    <xf numFmtId="0" fontId="56" fillId="6" borderId="32" xfId="1" applyFont="1" applyFill="1" applyBorder="1">
      <alignment vertical="center"/>
    </xf>
    <xf numFmtId="0" fontId="54" fillId="6" borderId="32" xfId="0" applyFont="1" applyFill="1" applyBorder="1" applyAlignment="1">
      <alignment horizontal="right" vertical="center"/>
    </xf>
    <xf numFmtId="0" fontId="49" fillId="6" borderId="60" xfId="0" applyFont="1" applyFill="1" applyBorder="1">
      <alignment vertical="center"/>
    </xf>
    <xf numFmtId="0" fontId="49" fillId="6" borderId="71" xfId="0" applyFont="1" applyFill="1" applyBorder="1">
      <alignment vertical="center"/>
    </xf>
    <xf numFmtId="0" fontId="49" fillId="6" borderId="88" xfId="0" applyFont="1" applyFill="1" applyBorder="1">
      <alignment vertical="center"/>
    </xf>
    <xf numFmtId="0" fontId="49" fillId="6" borderId="90" xfId="0" applyFont="1" applyFill="1" applyBorder="1">
      <alignment vertical="center"/>
    </xf>
    <xf numFmtId="0" fontId="50" fillId="7" borderId="0" xfId="0" applyFont="1" applyFill="1" applyProtection="1">
      <alignment vertical="center"/>
      <protection locked="0"/>
    </xf>
    <xf numFmtId="0" fontId="50" fillId="0" borderId="0" xfId="0" applyFont="1" applyProtection="1">
      <alignment vertical="center"/>
      <protection locked="0"/>
    </xf>
    <xf numFmtId="0" fontId="56" fillId="6" borderId="0" xfId="0" applyFont="1" applyFill="1" applyAlignment="1" applyProtection="1">
      <alignment horizontal="left" vertical="center"/>
      <protection locked="0"/>
    </xf>
    <xf numFmtId="0" fontId="62" fillId="6" borderId="0" xfId="0" applyFont="1" applyFill="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1" fillId="6" borderId="0" xfId="0" applyFont="1" applyFill="1">
      <alignment vertical="center"/>
    </xf>
    <xf numFmtId="0" fontId="141" fillId="7" borderId="0" xfId="0" applyFont="1" applyFill="1" applyAlignment="1" applyProtection="1">
      <protection locked="0"/>
    </xf>
    <xf numFmtId="0" fontId="55" fillId="6" borderId="16" xfId="0" applyFont="1" applyFill="1" applyBorder="1" applyAlignment="1">
      <alignment horizontal="center" vertical="center"/>
    </xf>
    <xf numFmtId="0" fontId="49" fillId="6" borderId="31" xfId="0" applyFont="1" applyFill="1" applyBorder="1" applyAlignment="1"/>
    <xf numFmtId="0" fontId="141" fillId="7" borderId="63" xfId="0" applyFont="1" applyFill="1" applyBorder="1" applyProtection="1">
      <alignment vertical="center"/>
      <protection locked="0"/>
    </xf>
    <xf numFmtId="0" fontId="55" fillId="7" borderId="64" xfId="0" applyFont="1" applyFill="1" applyBorder="1" applyProtection="1">
      <alignment vertical="center"/>
      <protection locked="0"/>
    </xf>
    <xf numFmtId="0" fontId="55" fillId="7" borderId="65" xfId="0" applyFont="1" applyFill="1" applyBorder="1" applyAlignment="1" applyProtection="1">
      <alignment horizontal="left" vertical="center"/>
      <protection locked="0"/>
    </xf>
    <xf numFmtId="0" fontId="104" fillId="6" borderId="82" xfId="0" applyFont="1" applyFill="1" applyBorder="1" applyAlignment="1">
      <alignment horizontal="center" vertical="center"/>
    </xf>
    <xf numFmtId="0" fontId="101" fillId="6" borderId="82" xfId="0" applyFont="1" applyFill="1" applyBorder="1" applyAlignment="1">
      <alignment vertical="center" wrapText="1"/>
    </xf>
    <xf numFmtId="0" fontId="101" fillId="6" borderId="65" xfId="0" applyFont="1" applyFill="1" applyBorder="1">
      <alignment vertical="center"/>
    </xf>
    <xf numFmtId="0" fontId="101" fillId="6" borderId="65" xfId="0" applyFont="1" applyFill="1" applyBorder="1" applyAlignment="1">
      <alignment vertical="center" wrapText="1"/>
    </xf>
    <xf numFmtId="0" fontId="55" fillId="6" borderId="6" xfId="0" applyFont="1" applyFill="1" applyBorder="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lignment horizontal="center" vertical="center"/>
    </xf>
    <xf numFmtId="0" fontId="101" fillId="6" borderId="81" xfId="0" applyFont="1" applyFill="1" applyBorder="1" applyAlignment="1">
      <alignment vertical="center" wrapText="1"/>
    </xf>
    <xf numFmtId="0" fontId="101" fillId="6" borderId="43" xfId="0" applyFont="1" applyFill="1" applyBorder="1">
      <alignment vertical="center"/>
    </xf>
    <xf numFmtId="0" fontId="101" fillId="6" borderId="43" xfId="0" applyFont="1" applyFill="1" applyBorder="1" applyAlignment="1">
      <alignment vertical="center" wrapText="1"/>
    </xf>
    <xf numFmtId="0" fontId="55" fillId="6" borderId="23" xfId="0" applyFont="1" applyFill="1" applyBorder="1">
      <alignment vertical="center"/>
    </xf>
    <xf numFmtId="0" fontId="101" fillId="5" borderId="24" xfId="0" applyFont="1" applyFill="1" applyBorder="1" applyAlignment="1" applyProtection="1">
      <alignment horizontal="center"/>
      <protection locked="0"/>
    </xf>
    <xf numFmtId="0" fontId="101" fillId="6" borderId="23" xfId="0" applyFont="1" applyFill="1" applyBorder="1" applyAlignment="1" applyProtection="1">
      <alignment horizontal="left"/>
      <protection locked="0"/>
    </xf>
    <xf numFmtId="0" fontId="55" fillId="6" borderId="24" xfId="0" applyFont="1" applyFill="1" applyBorder="1" applyAlignment="1">
      <alignment horizontal="center" vertical="center"/>
    </xf>
    <xf numFmtId="0" fontId="55" fillId="7" borderId="24" xfId="0" applyFont="1" applyFill="1" applyBorder="1" applyAlignment="1" applyProtection="1">
      <alignment horizontal="center" vertical="center"/>
      <protection locked="0"/>
    </xf>
    <xf numFmtId="0" fontId="55" fillId="0" borderId="24" xfId="0" applyFont="1" applyBorder="1" applyAlignment="1" applyProtection="1">
      <alignment horizontal="center" vertical="center"/>
      <protection locked="0"/>
    </xf>
    <xf numFmtId="0" fontId="101" fillId="6" borderId="81" xfId="0" applyFont="1" applyFill="1" applyBorder="1" applyAlignment="1">
      <alignment horizontal="right" vertical="center" wrapText="1"/>
    </xf>
    <xf numFmtId="0" fontId="101" fillId="6" borderId="24" xfId="0" applyFont="1" applyFill="1" applyBorder="1" applyAlignment="1">
      <alignment horizontal="center"/>
    </xf>
    <xf numFmtId="0" fontId="55" fillId="7" borderId="35" xfId="0" applyFont="1" applyFill="1" applyBorder="1" applyAlignment="1" applyProtection="1">
      <alignment vertical="center" wrapText="1"/>
      <protection locked="0"/>
    </xf>
    <xf numFmtId="10" fontId="101" fillId="6" borderId="43" xfId="0" applyNumberFormat="1" applyFont="1" applyFill="1" applyBorder="1" applyAlignment="1">
      <alignment vertical="center" wrapText="1"/>
    </xf>
    <xf numFmtId="49" fontId="55" fillId="6" borderId="23" xfId="0" applyNumberFormat="1" applyFont="1" applyFill="1" applyBorder="1" applyAlignment="1">
      <alignment horizontal="left" vertical="center"/>
    </xf>
    <xf numFmtId="0" fontId="55" fillId="6" borderId="23" xfId="0" applyFont="1" applyFill="1" applyBorder="1" applyProtection="1">
      <alignment vertical="center"/>
      <protection locked="0"/>
    </xf>
    <xf numFmtId="193" fontId="55" fillId="6" borderId="24" xfId="0" applyNumberFormat="1" applyFont="1" applyFill="1" applyBorder="1" applyAlignment="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lignment vertical="center"/>
    </xf>
    <xf numFmtId="10" fontId="55" fillId="0" borderId="49" xfId="0" applyNumberFormat="1" applyFont="1" applyBorder="1" applyAlignment="1" applyProtection="1">
      <alignment horizontal="center" vertical="center"/>
      <protection locked="0"/>
    </xf>
    <xf numFmtId="0" fontId="55" fillId="6" borderId="26" xfId="0" applyFont="1" applyFill="1" applyBorder="1" applyAlignment="1">
      <alignment vertical="center" wrapText="1"/>
    </xf>
    <xf numFmtId="0" fontId="55" fillId="6" borderId="48" xfId="0" applyFont="1" applyFill="1" applyBorder="1" applyProtection="1">
      <alignment vertical="center"/>
      <protection locked="0"/>
    </xf>
    <xf numFmtId="0" fontId="115" fillId="6" borderId="0" xfId="0" applyFont="1" applyFill="1" applyProtection="1">
      <alignment vertical="center"/>
      <protection locked="0"/>
    </xf>
    <xf numFmtId="0" fontId="115" fillId="6" borderId="47" xfId="0" applyFont="1" applyFill="1" applyBorder="1" applyAlignment="1">
      <alignment vertical="center" wrapText="1"/>
    </xf>
    <xf numFmtId="0" fontId="56" fillId="6" borderId="51" xfId="0" applyFont="1" applyFill="1" applyBorder="1" applyAlignment="1">
      <alignment horizontal="left" vertical="center" wrapText="1"/>
    </xf>
    <xf numFmtId="181" fontId="55" fillId="6" borderId="9" xfId="0" applyNumberFormat="1" applyFont="1" applyFill="1" applyBorder="1" applyAlignment="1">
      <alignment horizontal="center" vertical="center"/>
    </xf>
    <xf numFmtId="0" fontId="56" fillId="6" borderId="16" xfId="0" applyFont="1" applyFill="1" applyBorder="1" applyAlignment="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Protection="1">
      <alignment vertical="center"/>
      <protection locked="0"/>
    </xf>
    <xf numFmtId="0" fontId="55" fillId="6" borderId="54" xfId="0" applyFont="1" applyFill="1" applyBorder="1" applyProtection="1">
      <alignment vertical="center"/>
      <protection locked="0"/>
    </xf>
    <xf numFmtId="0" fontId="55" fillId="6" borderId="41" xfId="0" applyFont="1" applyFill="1" applyBorder="1" applyAlignment="1">
      <alignment vertical="center" wrapText="1"/>
    </xf>
    <xf numFmtId="0" fontId="55" fillId="5" borderId="0" xfId="0" applyFont="1" applyFill="1" applyAlignment="1" applyProtection="1">
      <alignment horizontal="center" vertical="center"/>
      <protection locked="0"/>
    </xf>
    <xf numFmtId="0" fontId="55" fillId="6" borderId="18" xfId="0" applyFont="1" applyFill="1" applyBorder="1" applyProtection="1">
      <alignment vertical="center"/>
      <protection locked="0"/>
    </xf>
    <xf numFmtId="0" fontId="55" fillId="6" borderId="4" xfId="0" applyFont="1" applyFill="1" applyBorder="1" applyProtection="1">
      <alignment vertical="center"/>
      <protection locked="0"/>
    </xf>
    <xf numFmtId="0" fontId="55" fillId="6" borderId="60" xfId="0" applyFont="1" applyFill="1" applyBorder="1" applyProtection="1">
      <alignment vertical="center"/>
      <protection locked="0"/>
    </xf>
    <xf numFmtId="0" fontId="55" fillId="6" borderId="71" xfId="0" applyFont="1" applyFill="1" applyBorder="1" applyProtection="1">
      <alignment vertical="center"/>
      <protection locked="0"/>
    </xf>
    <xf numFmtId="0" fontId="55" fillId="6" borderId="23" xfId="0" applyFont="1" applyFill="1" applyBorder="1" applyAlignment="1">
      <alignment vertical="center" wrapText="1"/>
    </xf>
    <xf numFmtId="0" fontId="55" fillId="6" borderId="5" xfId="0" applyFont="1" applyFill="1" applyBorder="1" applyAlignment="1">
      <alignment horizontal="center" vertical="center"/>
    </xf>
    <xf numFmtId="181" fontId="55" fillId="6" borderId="5" xfId="0" applyNumberFormat="1" applyFont="1" applyFill="1" applyBorder="1" applyAlignment="1">
      <alignment horizontal="center" vertical="center"/>
    </xf>
    <xf numFmtId="49" fontId="56" fillId="6" borderId="25" xfId="0" applyNumberFormat="1" applyFont="1" applyFill="1" applyBorder="1" applyAlignment="1">
      <alignment horizontal="left" vertical="center"/>
    </xf>
    <xf numFmtId="0" fontId="55" fillId="6" borderId="49" xfId="0" applyFont="1" applyFill="1" applyBorder="1" applyAlignment="1">
      <alignment horizontal="center" vertical="center"/>
    </xf>
    <xf numFmtId="0" fontId="56" fillId="6" borderId="25" xfId="0" applyFont="1" applyFill="1" applyBorder="1" applyAlignment="1">
      <alignment horizontal="center" vertical="center"/>
    </xf>
    <xf numFmtId="0" fontId="55" fillId="6" borderId="0" xfId="0" applyFont="1" applyFill="1" applyProtection="1">
      <alignment vertical="center"/>
      <protection locked="0"/>
    </xf>
    <xf numFmtId="0" fontId="55" fillId="6" borderId="1" xfId="0" applyFont="1" applyFill="1" applyBorder="1" applyAlignment="1"/>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3" fontId="101" fillId="6" borderId="43" xfId="0" applyNumberFormat="1" applyFont="1" applyFill="1" applyBorder="1" applyAlignment="1">
      <alignment vertical="center" wrapText="1"/>
    </xf>
    <xf numFmtId="0" fontId="166" fillId="6" borderId="43" xfId="0" applyFont="1" applyFill="1" applyBorder="1">
      <alignment vertical="center"/>
    </xf>
    <xf numFmtId="0" fontId="55" fillId="0" borderId="0" xfId="0" applyFont="1" applyAlignment="1" applyProtection="1">
      <alignment horizontal="left" vertical="center"/>
      <protection locked="0"/>
    </xf>
    <xf numFmtId="0" fontId="49" fillId="6" borderId="1" xfId="0" applyFont="1" applyFill="1" applyBorder="1" applyAlignment="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lignment vertical="center"/>
    </xf>
    <xf numFmtId="0" fontId="49" fillId="6" borderId="0" xfId="0" applyFont="1" applyFill="1" applyAlignment="1"/>
    <xf numFmtId="0" fontId="173" fillId="6" borderId="3" xfId="0" applyFont="1" applyFill="1" applyBorder="1" applyAlignment="1">
      <alignment horizontal="right" vertical="center" wrapText="1"/>
    </xf>
    <xf numFmtId="0" fontId="188" fillId="0" borderId="0" xfId="5" applyFont="1">
      <alignment vertical="center"/>
    </xf>
    <xf numFmtId="0" fontId="97" fillId="0" borderId="0" xfId="0" applyFont="1" applyProtection="1">
      <alignment vertical="center"/>
      <protection locked="0"/>
    </xf>
    <xf numFmtId="0" fontId="197" fillId="0" borderId="0" xfId="0" applyFont="1" applyAlignment="1">
      <alignment horizontal="center" vertical="center"/>
    </xf>
    <xf numFmtId="0" fontId="198" fillId="0" borderId="0" xfId="0" applyFont="1">
      <alignment vertical="center"/>
    </xf>
    <xf numFmtId="0" fontId="132" fillId="0" borderId="0" xfId="0" applyFont="1" applyAlignment="1">
      <alignment vertical="center" wrapText="1"/>
    </xf>
    <xf numFmtId="0" fontId="199" fillId="0" borderId="0" xfId="0" applyFont="1">
      <alignment vertical="center"/>
    </xf>
    <xf numFmtId="0" fontId="200" fillId="0" borderId="0" xfId="0" applyFont="1">
      <alignment vertical="center"/>
    </xf>
    <xf numFmtId="0" fontId="201" fillId="0" borderId="0" xfId="0" applyFont="1" applyAlignment="1" applyProtection="1">
      <alignment vertical="center" wrapText="1"/>
      <protection locked="0"/>
    </xf>
    <xf numFmtId="183" fontId="132" fillId="0" borderId="0" xfId="0" applyNumberFormat="1" applyFont="1" applyAlignment="1">
      <alignment horizontal="left" vertical="center"/>
    </xf>
    <xf numFmtId="0" fontId="132" fillId="0" borderId="0" xfId="0" applyFont="1">
      <alignment vertical="center"/>
    </xf>
    <xf numFmtId="0" fontId="202" fillId="5" borderId="0" xfId="0" applyFont="1" applyFill="1" applyProtection="1">
      <alignment vertical="center"/>
      <protection locked="0"/>
    </xf>
    <xf numFmtId="0" fontId="198" fillId="0" borderId="0" xfId="7" applyFont="1">
      <alignment vertical="center"/>
    </xf>
    <xf numFmtId="0" fontId="100" fillId="0" borderId="0" xfId="7" applyFont="1">
      <alignment vertical="center"/>
    </xf>
    <xf numFmtId="0" fontId="198" fillId="0" borderId="0" xfId="7" applyFont="1" applyAlignment="1">
      <alignment horizontal="center" vertical="center"/>
    </xf>
    <xf numFmtId="0" fontId="126" fillId="0" borderId="2" xfId="7" applyFont="1" applyBorder="1" applyAlignment="1">
      <alignment horizontal="left" vertical="center" wrapText="1"/>
    </xf>
    <xf numFmtId="0" fontId="127" fillId="0" borderId="1" xfId="7" applyFont="1" applyBorder="1" applyAlignment="1">
      <alignment horizontal="left" vertical="center" wrapText="1"/>
    </xf>
    <xf numFmtId="0" fontId="205" fillId="0" borderId="1" xfId="7" applyFont="1" applyBorder="1" applyAlignment="1">
      <alignment horizontal="left" vertical="center" wrapText="1"/>
    </xf>
    <xf numFmtId="0" fontId="63" fillId="0" borderId="5" xfId="7" applyFont="1" applyBorder="1" applyAlignment="1">
      <alignment vertical="center" wrapText="1"/>
    </xf>
    <xf numFmtId="0" fontId="106" fillId="0" borderId="1" xfId="7" applyFont="1" applyBorder="1" applyAlignment="1">
      <alignment horizontal="left" vertical="center" wrapText="1"/>
    </xf>
    <xf numFmtId="0" fontId="126" fillId="0" borderId="1" xfId="7" applyFont="1" applyBorder="1" applyAlignment="1">
      <alignment horizontal="left" vertical="center" wrapText="1"/>
    </xf>
    <xf numFmtId="0" fontId="206" fillId="0" borderId="1" xfId="7" applyFont="1" applyBorder="1" applyAlignment="1">
      <alignment horizontal="center" vertical="center"/>
    </xf>
    <xf numFmtId="0" fontId="127" fillId="0" borderId="78" xfId="7" applyFont="1" applyBorder="1" applyAlignment="1">
      <alignment horizontal="left" vertical="center" wrapText="1"/>
    </xf>
    <xf numFmtId="0" fontId="101" fillId="0" borderId="0" xfId="7" applyFont="1">
      <alignment vertical="center"/>
    </xf>
    <xf numFmtId="0" fontId="100" fillId="0" borderId="0" xfId="7" applyFont="1" applyProtection="1">
      <alignment vertical="center"/>
      <protection locked="0"/>
    </xf>
    <xf numFmtId="0" fontId="132" fillId="0" borderId="0" xfId="7" applyFont="1" applyProtection="1">
      <alignment vertical="center"/>
      <protection locked="0"/>
    </xf>
    <xf numFmtId="0" fontId="63" fillId="0" borderId="1" xfId="0" applyFont="1" applyBorder="1" applyAlignment="1">
      <alignment horizontal="left" vertical="center" wrapText="1"/>
    </xf>
    <xf numFmtId="0" fontId="132" fillId="0" borderId="0" xfId="0" applyFont="1" applyProtection="1">
      <alignment vertical="center"/>
      <protection locked="0"/>
    </xf>
    <xf numFmtId="0" fontId="97" fillId="0" borderId="0" xfId="0" applyFont="1">
      <alignment vertical="center"/>
    </xf>
    <xf numFmtId="0" fontId="195" fillId="0" borderId="0" xfId="0" applyFont="1" applyAlignment="1">
      <alignment horizontal="left" vertical="center"/>
    </xf>
    <xf numFmtId="0" fontId="213" fillId="0" borderId="0" xfId="0" applyFont="1" applyAlignment="1">
      <alignment horizontal="center" vertical="center" wrapText="1"/>
    </xf>
    <xf numFmtId="14" fontId="132" fillId="0" borderId="0" xfId="0" applyNumberFormat="1" applyFont="1" applyAlignment="1">
      <alignment horizontal="center" vertical="center" wrapText="1"/>
    </xf>
    <xf numFmtId="0" fontId="132" fillId="0" borderId="0" xfId="0" applyFont="1" applyAlignment="1">
      <alignment horizontal="center" vertical="center" wrapText="1"/>
    </xf>
    <xf numFmtId="0" fontId="213" fillId="0" borderId="60" xfId="0" applyFont="1" applyBorder="1" applyAlignment="1">
      <alignment horizontal="justify" vertical="center" wrapText="1"/>
    </xf>
    <xf numFmtId="0" fontId="213" fillId="0" borderId="0" xfId="0" applyFont="1" applyAlignment="1">
      <alignment horizontal="right" vertical="center" wrapText="1"/>
    </xf>
    <xf numFmtId="0" fontId="213" fillId="0" borderId="54" xfId="0" applyFont="1" applyBorder="1" applyAlignment="1">
      <alignment horizontal="justify" vertical="center" wrapText="1"/>
    </xf>
    <xf numFmtId="0" fontId="214" fillId="0" borderId="0" xfId="0" applyFont="1" applyAlignment="1" applyProtection="1">
      <alignment horizontal="center" vertical="center" wrapText="1"/>
      <protection locked="0"/>
    </xf>
    <xf numFmtId="0" fontId="198" fillId="0" borderId="0" xfId="0" applyFont="1" applyAlignment="1">
      <alignment horizontal="left" vertical="center"/>
    </xf>
    <xf numFmtId="0" fontId="100" fillId="0" borderId="0" xfId="0" applyFont="1" applyAlignment="1" applyProtection="1">
      <alignment vertical="center" wrapText="1"/>
      <protection locked="0"/>
    </xf>
    <xf numFmtId="0" fontId="132" fillId="0" borderId="0" xfId="0" applyFont="1" applyAlignment="1">
      <alignment horizontal="right" vertical="center"/>
    </xf>
    <xf numFmtId="0" fontId="196" fillId="0" borderId="0" xfId="0" applyFont="1" applyProtection="1">
      <alignment vertical="center"/>
      <protection locked="0"/>
    </xf>
    <xf numFmtId="0" fontId="217" fillId="0" borderId="0" xfId="0" applyFont="1">
      <alignment vertical="center"/>
    </xf>
    <xf numFmtId="0" fontId="196" fillId="0" borderId="0" xfId="0" applyFont="1">
      <alignment vertical="center"/>
    </xf>
    <xf numFmtId="0" fontId="204" fillId="0" borderId="1" xfId="0" applyFont="1" applyBorder="1" applyAlignment="1">
      <alignment horizontal="center" vertical="center" wrapText="1"/>
    </xf>
    <xf numFmtId="0" fontId="97" fillId="0" borderId="0" xfId="0" applyFont="1" applyAlignment="1">
      <alignment horizontal="left" vertical="center"/>
    </xf>
    <xf numFmtId="0" fontId="204" fillId="0" borderId="0" xfId="0" applyFont="1">
      <alignment vertical="center"/>
    </xf>
    <xf numFmtId="0" fontId="204" fillId="2" borderId="1" xfId="0" applyFont="1" applyFill="1" applyBorder="1" applyAlignment="1">
      <alignment horizontal="center" vertical="center" wrapText="1"/>
    </xf>
    <xf numFmtId="0" fontId="204" fillId="6" borderId="1" xfId="0" applyFont="1" applyFill="1" applyBorder="1" applyAlignment="1">
      <alignment horizontal="center" vertical="center" wrapText="1"/>
    </xf>
    <xf numFmtId="0" fontId="220" fillId="4" borderId="1" xfId="0" applyFont="1" applyFill="1" applyBorder="1" applyAlignment="1">
      <alignment horizontal="center" vertical="center"/>
    </xf>
    <xf numFmtId="0" fontId="221" fillId="0" borderId="1" xfId="0" applyFont="1" applyBorder="1" applyAlignment="1">
      <alignment horizontal="center" vertical="center"/>
    </xf>
    <xf numFmtId="0" fontId="219" fillId="0" borderId="0" xfId="0" applyFont="1">
      <alignment vertical="center"/>
    </xf>
    <xf numFmtId="0" fontId="118" fillId="0" borderId="1" xfId="0" applyFont="1" applyBorder="1" applyAlignment="1">
      <alignment horizontal="center" vertical="center"/>
    </xf>
    <xf numFmtId="0" fontId="97" fillId="0" borderId="1" xfId="0" applyFont="1" applyBorder="1" applyAlignment="1">
      <alignment horizontal="left" vertical="center"/>
    </xf>
    <xf numFmtId="0" fontId="97" fillId="8" borderId="5" xfId="0" applyFont="1" applyFill="1" applyBorder="1">
      <alignment vertical="center"/>
    </xf>
    <xf numFmtId="0" fontId="97" fillId="7" borderId="54" xfId="0" applyFont="1" applyFill="1" applyBorder="1">
      <alignment vertical="center"/>
    </xf>
    <xf numFmtId="0" fontId="97" fillId="7" borderId="3" xfId="0" applyFont="1" applyFill="1" applyBorder="1">
      <alignment vertical="center"/>
    </xf>
    <xf numFmtId="0" fontId="222" fillId="0" borderId="0" xfId="0" applyFont="1">
      <alignment vertical="center"/>
    </xf>
    <xf numFmtId="0" fontId="219" fillId="0" borderId="0" xfId="0" applyFont="1" applyAlignment="1">
      <alignment horizontal="left" vertical="center"/>
    </xf>
    <xf numFmtId="176" fontId="219" fillId="0" borderId="0" xfId="0" applyNumberFormat="1" applyFont="1" applyAlignment="1">
      <alignment horizontal="left" vertical="center"/>
    </xf>
    <xf numFmtId="0" fontId="219" fillId="6" borderId="35" xfId="0" applyFont="1" applyFill="1" applyBorder="1" applyAlignment="1">
      <alignment horizontal="center" vertical="center" wrapText="1"/>
    </xf>
    <xf numFmtId="0" fontId="97" fillId="6" borderId="15" xfId="0" applyFont="1" applyFill="1" applyBorder="1" applyAlignment="1">
      <alignment horizontal="center" vertical="center" wrapText="1"/>
    </xf>
    <xf numFmtId="0" fontId="97" fillId="6" borderId="0" xfId="0" applyFont="1" applyFill="1" applyAlignment="1">
      <alignment horizontal="center" vertical="center" wrapText="1"/>
    </xf>
    <xf numFmtId="0" fontId="219" fillId="6" borderId="0" xfId="0" applyFont="1" applyFill="1" applyAlignment="1">
      <alignment horizontal="center" vertical="center" wrapText="1"/>
    </xf>
    <xf numFmtId="0" fontId="97" fillId="0" borderId="0" xfId="0" applyFont="1" applyAlignment="1">
      <alignment horizontal="center" vertical="center" wrapText="1"/>
    </xf>
    <xf numFmtId="0" fontId="97" fillId="0" borderId="1" xfId="0" applyFont="1" applyBorder="1" applyAlignment="1" applyProtection="1">
      <alignment horizontal="left" vertical="center"/>
      <protection locked="0"/>
    </xf>
    <xf numFmtId="0" fontId="97" fillId="6" borderId="0" xfId="0" applyFont="1" applyFill="1" applyAlignment="1" applyProtection="1">
      <alignment horizontal="center" vertical="center"/>
      <protection locked="0"/>
    </xf>
    <xf numFmtId="0" fontId="97" fillId="6" borderId="0" xfId="0" applyFont="1" applyFill="1" applyAlignment="1">
      <alignment horizontal="center" vertical="center"/>
    </xf>
    <xf numFmtId="0" fontId="219" fillId="0" borderId="1" xfId="0" applyFont="1" applyBorder="1" applyAlignment="1" applyProtection="1">
      <alignment horizontal="left" vertical="center"/>
      <protection locked="0"/>
    </xf>
    <xf numFmtId="0" fontId="97" fillId="6" borderId="0" xfId="0" applyFont="1" applyFill="1">
      <alignment vertical="center"/>
    </xf>
    <xf numFmtId="0" fontId="219" fillId="6" borderId="0" xfId="0" applyFont="1" applyFill="1" applyAlignment="1" applyProtection="1">
      <alignment horizontal="center" vertical="center"/>
      <protection locked="0"/>
    </xf>
    <xf numFmtId="0" fontId="97" fillId="6" borderId="0" xfId="0" applyFont="1" applyFill="1" applyAlignment="1">
      <alignment horizontal="left" vertical="center"/>
    </xf>
    <xf numFmtId="0" fontId="97" fillId="0" borderId="0" xfId="0" applyFont="1" applyAlignment="1">
      <alignment horizontal="center" vertical="center"/>
    </xf>
    <xf numFmtId="0" fontId="46" fillId="6" borderId="0" xfId="0" applyFont="1" applyFill="1" applyAlignment="1">
      <alignment vertical="center" wrapText="1"/>
    </xf>
    <xf numFmtId="0" fontId="46" fillId="6" borderId="0" xfId="0" applyFont="1" applyFill="1" applyAlignment="1">
      <alignment horizontal="center" vertical="center" wrapText="1"/>
    </xf>
    <xf numFmtId="0" fontId="46" fillId="0" borderId="0" xfId="0" applyFont="1">
      <alignment vertical="center"/>
    </xf>
    <xf numFmtId="0" fontId="46" fillId="0" borderId="0" xfId="0" applyFont="1" applyAlignment="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49" fillId="5" borderId="74" xfId="0" applyFont="1" applyFill="1" applyBorder="1" applyAlignment="1" applyProtection="1">
      <alignment horizontal="center" vertical="center" wrapText="1"/>
      <protection locked="0"/>
    </xf>
    <xf numFmtId="0" fontId="115" fillId="6" borderId="74" xfId="0" applyFont="1" applyFill="1" applyBorder="1" applyAlignment="1">
      <alignment vertical="center" wrapText="1"/>
    </xf>
    <xf numFmtId="0" fontId="49" fillId="5" borderId="76" xfId="0" applyFont="1" applyFill="1" applyBorder="1" applyAlignment="1" applyProtection="1">
      <alignment horizontal="center" vertical="center" wrapText="1"/>
      <protection locked="0"/>
    </xf>
    <xf numFmtId="0" fontId="170" fillId="0" borderId="23" xfId="0" applyFont="1" applyBorder="1" applyAlignment="1" applyProtection="1">
      <alignment vertical="center" wrapText="1"/>
      <protection locked="0"/>
    </xf>
    <xf numFmtId="0" fontId="49" fillId="6" borderId="58" xfId="0" applyFont="1" applyFill="1" applyBorder="1" applyAlignment="1">
      <alignment horizontal="center" vertical="center" wrapText="1"/>
    </xf>
    <xf numFmtId="0" fontId="49" fillId="0" borderId="1" xfId="0" applyFont="1" applyBorder="1" applyAlignment="1" applyProtection="1">
      <alignment vertical="center" wrapText="1"/>
      <protection locked="0"/>
    </xf>
    <xf numFmtId="0" fontId="46" fillId="0" borderId="0" xfId="0" applyFont="1" applyAlignment="1">
      <alignment horizontal="center" vertical="center" wrapText="1"/>
    </xf>
    <xf numFmtId="0" fontId="105" fillId="6" borderId="0" xfId="0" applyFont="1" applyFill="1" applyAlignment="1">
      <alignment horizontal="left" vertical="center"/>
    </xf>
    <xf numFmtId="0" fontId="103" fillId="6" borderId="0" xfId="0" applyFont="1" applyFill="1" applyAlignment="1">
      <alignment horizontal="left" vertical="center"/>
    </xf>
    <xf numFmtId="0" fontId="49" fillId="6" borderId="0" xfId="0" applyFont="1" applyFill="1" applyAlignment="1">
      <alignment horizontal="center" vertical="center" wrapText="1"/>
    </xf>
    <xf numFmtId="0" fontId="49" fillId="6" borderId="0" xfId="0" applyFont="1" applyFill="1" applyAlignment="1">
      <alignment horizontal="center" vertical="center"/>
    </xf>
    <xf numFmtId="0" fontId="49" fillId="0" borderId="0" xfId="0" applyFont="1" applyAlignment="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lignment horizontal="left" vertical="center"/>
    </xf>
    <xf numFmtId="179" fontId="49" fillId="6" borderId="0" xfId="0" applyNumberFormat="1" applyFont="1" applyFill="1" applyAlignment="1">
      <alignment horizontal="center" vertical="center" wrapText="1"/>
    </xf>
    <xf numFmtId="179" fontId="50" fillId="6" borderId="0" xfId="0" applyNumberFormat="1" applyFont="1" applyFill="1" applyAlignment="1">
      <alignment horizontal="center" vertical="center" wrapText="1"/>
    </xf>
    <xf numFmtId="176" fontId="49" fillId="6" borderId="0" xfId="0" applyNumberFormat="1" applyFont="1" applyFill="1" applyAlignment="1">
      <alignment horizontal="center" vertical="center" wrapText="1"/>
    </xf>
    <xf numFmtId="176" fontId="49" fillId="6" borderId="54" xfId="0" applyNumberFormat="1" applyFont="1" applyFill="1" applyBorder="1" applyAlignment="1">
      <alignment horizontal="center" vertical="center" wrapText="1"/>
    </xf>
    <xf numFmtId="176" fontId="49" fillId="6" borderId="3" xfId="0" applyNumberFormat="1" applyFont="1" applyFill="1" applyBorder="1" applyAlignment="1">
      <alignment horizontal="center" vertical="center" wrapText="1"/>
    </xf>
    <xf numFmtId="176" fontId="49" fillId="6" borderId="5" xfId="0" applyNumberFormat="1" applyFont="1" applyFill="1" applyBorder="1" applyAlignment="1">
      <alignment horizontal="center" vertical="center" wrapText="1"/>
    </xf>
    <xf numFmtId="176" fontId="49" fillId="0" borderId="0" xfId="0" applyNumberFormat="1" applyFont="1" applyAlignment="1">
      <alignment horizontal="center" vertical="center" wrapText="1"/>
    </xf>
    <xf numFmtId="0" fontId="49" fillId="6" borderId="46" xfId="0" applyFont="1" applyFill="1" applyBorder="1" applyAlignment="1">
      <alignment horizontal="left" vertical="center"/>
    </xf>
    <xf numFmtId="0" fontId="49" fillId="6" borderId="36" xfId="0" applyFont="1" applyFill="1" applyBorder="1" applyAlignment="1">
      <alignment horizontal="center" vertical="center" wrapText="1"/>
    </xf>
    <xf numFmtId="0" fontId="49" fillId="6" borderId="36" xfId="0" applyFont="1" applyFill="1" applyBorder="1" applyAlignment="1">
      <alignment horizontal="center" vertical="center"/>
    </xf>
    <xf numFmtId="0" fontId="49" fillId="6" borderId="59" xfId="0" applyFont="1" applyFill="1" applyBorder="1" applyAlignment="1">
      <alignment horizontal="center" vertical="center" wrapText="1"/>
    </xf>
    <xf numFmtId="0" fontId="49" fillId="6" borderId="58" xfId="0" applyFont="1" applyFill="1" applyBorder="1" applyAlignment="1">
      <alignment horizontal="center" vertical="center"/>
    </xf>
    <xf numFmtId="0" fontId="49" fillId="6" borderId="46" xfId="0" applyFont="1" applyFill="1" applyBorder="1" applyAlignment="1">
      <alignment horizontal="center" vertical="center"/>
    </xf>
    <xf numFmtId="179" fontId="49" fillId="6" borderId="5" xfId="0" applyNumberFormat="1" applyFont="1" applyFill="1" applyBorder="1" applyAlignment="1">
      <alignment horizontal="left" vertical="center"/>
    </xf>
    <xf numFmtId="0" fontId="50" fillId="6" borderId="54" xfId="0" applyFont="1" applyFill="1" applyBorder="1" applyAlignment="1">
      <alignment horizontal="center" vertical="center"/>
    </xf>
    <xf numFmtId="179" fontId="49" fillId="6" borderId="54" xfId="0" applyNumberFormat="1" applyFont="1" applyFill="1" applyBorder="1" applyAlignment="1">
      <alignment horizontal="center" vertical="center"/>
    </xf>
    <xf numFmtId="179" fontId="49" fillId="6" borderId="3" xfId="0" applyNumberFormat="1" applyFont="1" applyFill="1" applyBorder="1" applyAlignment="1">
      <alignment horizontal="center" vertical="center"/>
    </xf>
    <xf numFmtId="0" fontId="50" fillId="6" borderId="36" xfId="0" applyFont="1" applyFill="1" applyBorder="1" applyAlignment="1">
      <alignment horizontal="center" vertical="center"/>
    </xf>
    <xf numFmtId="0" fontId="49" fillId="0" borderId="0" xfId="0" applyFont="1" applyAlignment="1">
      <alignment horizontal="center" vertical="center"/>
    </xf>
    <xf numFmtId="179" fontId="49" fillId="6" borderId="0" xfId="0" applyNumberFormat="1" applyFont="1" applyFill="1" applyAlignment="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lignment horizontal="left" vertical="center"/>
    </xf>
    <xf numFmtId="0" fontId="49" fillId="6" borderId="7" xfId="0" applyFont="1" applyFill="1" applyBorder="1" applyAlignment="1">
      <alignment horizontal="left" vertical="center"/>
    </xf>
    <xf numFmtId="179" fontId="49" fillId="6" borderId="4" xfId="0" applyNumberFormat="1" applyFont="1" applyFill="1" applyBorder="1" applyAlignment="1">
      <alignment horizontal="center" vertical="center"/>
    </xf>
    <xf numFmtId="0" fontId="50" fillId="6" borderId="60" xfId="0" applyFont="1" applyFill="1" applyBorder="1" applyAlignment="1">
      <alignment horizontal="center" vertical="center"/>
    </xf>
    <xf numFmtId="179" fontId="49" fillId="6" borderId="7" xfId="0" applyNumberFormat="1" applyFont="1" applyFill="1" applyBorder="1" applyAlignment="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lignment horizontal="right" vertical="center"/>
    </xf>
    <xf numFmtId="179" fontId="49" fillId="6" borderId="35" xfId="0" applyNumberFormat="1" applyFont="1" applyFill="1" applyBorder="1" applyAlignment="1">
      <alignment horizontal="center" vertical="center"/>
    </xf>
    <xf numFmtId="0" fontId="49" fillId="6" borderId="7" xfId="0" applyFont="1" applyFill="1" applyBorder="1" applyAlignment="1">
      <alignment horizontal="center" vertical="center"/>
    </xf>
    <xf numFmtId="0" fontId="49" fillId="6" borderId="8" xfId="0" applyFont="1" applyFill="1" applyBorder="1" applyAlignment="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lignment horizontal="left" vertical="center"/>
    </xf>
    <xf numFmtId="0" fontId="115" fillId="6" borderId="5" xfId="0" applyFont="1" applyFill="1" applyBorder="1" applyAlignment="1">
      <alignment horizontal="left" vertical="center"/>
    </xf>
    <xf numFmtId="0" fontId="225" fillId="6" borderId="3" xfId="0" applyFont="1" applyFill="1" applyBorder="1" applyAlignment="1">
      <alignment horizontal="right" vertical="center"/>
    </xf>
    <xf numFmtId="0" fontId="49" fillId="6" borderId="61" xfId="0" applyFont="1" applyFill="1" applyBorder="1" applyAlignment="1">
      <alignment horizontal="center" vertical="center"/>
    </xf>
    <xf numFmtId="0" fontId="49" fillId="6" borderId="4" xfId="0" applyFont="1" applyFill="1" applyBorder="1" applyAlignment="1">
      <alignment horizontal="center" vertical="center" wrapText="1"/>
    </xf>
    <xf numFmtId="179" fontId="49" fillId="6" borderId="7" xfId="0" applyNumberFormat="1" applyFont="1" applyFill="1" applyBorder="1" applyAlignment="1">
      <alignment horizontal="center" vertical="center" wrapText="1"/>
    </xf>
    <xf numFmtId="179" fontId="49" fillId="6" borderId="2" xfId="0" applyNumberFormat="1" applyFont="1" applyFill="1" applyBorder="1" applyAlignment="1">
      <alignment horizontal="center" vertical="center" wrapText="1"/>
    </xf>
    <xf numFmtId="179" fontId="49" fillId="6" borderId="4" xfId="0" applyNumberFormat="1" applyFont="1" applyFill="1" applyBorder="1" applyAlignment="1">
      <alignment horizontal="center" vertical="center" wrapText="1"/>
    </xf>
    <xf numFmtId="0" fontId="49" fillId="6" borderId="35" xfId="0" applyFont="1" applyFill="1" applyBorder="1" applyAlignment="1">
      <alignment horizontal="center" vertical="center" wrapText="1"/>
    </xf>
    <xf numFmtId="179" fontId="49" fillId="6" borderId="1" xfId="0" applyNumberFormat="1" applyFont="1" applyFill="1" applyBorder="1" applyAlignment="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176" fontId="46" fillId="0" borderId="0" xfId="0" applyNumberFormat="1" applyFont="1" applyAlignment="1">
      <alignment horizontal="center" vertical="center" wrapText="1"/>
    </xf>
    <xf numFmtId="0" fontId="51" fillId="0" borderId="0" xfId="0" applyFont="1" applyAlignment="1">
      <alignment horizontal="center" vertical="center" wrapText="1"/>
    </xf>
    <xf numFmtId="0" fontId="51" fillId="0" borderId="0" xfId="0" applyFont="1" applyAlignment="1">
      <alignment horizontal="center" vertical="center"/>
    </xf>
    <xf numFmtId="0" fontId="105" fillId="6" borderId="0" xfId="0" applyFont="1" applyFill="1">
      <alignment vertical="center"/>
    </xf>
    <xf numFmtId="0" fontId="46" fillId="0" borderId="0" xfId="0" applyFont="1" applyProtection="1">
      <alignment vertical="center"/>
      <protection locked="0"/>
    </xf>
    <xf numFmtId="176" fontId="52" fillId="6" borderId="1" xfId="1" applyNumberFormat="1" applyFont="1" applyFill="1" applyBorder="1" applyAlignment="1">
      <alignment horizontal="center" vertical="center"/>
    </xf>
    <xf numFmtId="0" fontId="48" fillId="6" borderId="9" xfId="0" applyFont="1" applyFill="1" applyBorder="1" applyAlignment="1">
      <alignment horizontal="center" vertical="center"/>
    </xf>
    <xf numFmtId="176" fontId="52" fillId="6" borderId="10" xfId="1" applyNumberFormat="1" applyFont="1" applyFill="1" applyBorder="1" applyAlignment="1">
      <alignment horizontal="center" vertical="center"/>
    </xf>
    <xf numFmtId="0" fontId="46" fillId="6" borderId="2" xfId="0" applyFont="1" applyFill="1" applyBorder="1">
      <alignment vertical="center"/>
    </xf>
    <xf numFmtId="0" fontId="46" fillId="6" borderId="12" xfId="0" applyFont="1" applyFill="1" applyBorder="1">
      <alignment vertical="center"/>
    </xf>
    <xf numFmtId="176" fontId="48" fillId="6" borderId="10" xfId="1" applyNumberFormat="1" applyFont="1" applyFill="1" applyBorder="1" applyAlignment="1">
      <alignment horizontal="center" vertical="center"/>
    </xf>
    <xf numFmtId="0" fontId="46" fillId="6" borderId="14" xfId="0" applyFont="1" applyFill="1" applyBorder="1">
      <alignment vertical="center"/>
    </xf>
    <xf numFmtId="0" fontId="46" fillId="6" borderId="15" xfId="0" applyFont="1" applyFill="1" applyBorder="1">
      <alignment vertical="center"/>
    </xf>
    <xf numFmtId="0" fontId="48" fillId="6" borderId="51" xfId="0" applyFont="1" applyFill="1" applyBorder="1">
      <alignment vertical="center"/>
    </xf>
    <xf numFmtId="0" fontId="46" fillId="6" borderId="21" xfId="0" applyFont="1" applyFill="1" applyBorder="1">
      <alignment vertical="center"/>
    </xf>
    <xf numFmtId="0" fontId="46" fillId="6" borderId="16" xfId="0" applyFont="1" applyFill="1" applyBorder="1">
      <alignment vertical="center"/>
    </xf>
    <xf numFmtId="0" fontId="46" fillId="6" borderId="17" xfId="0" applyFont="1" applyFill="1" applyBorder="1">
      <alignment vertical="center"/>
    </xf>
    <xf numFmtId="0" fontId="46" fillId="6" borderId="19" xfId="0" applyFont="1" applyFill="1" applyBorder="1">
      <alignment vertical="center"/>
    </xf>
    <xf numFmtId="0" fontId="48" fillId="6" borderId="17" xfId="0" applyFont="1" applyFill="1" applyBorder="1" applyAlignment="1">
      <alignment horizontal="center" vertical="center"/>
    </xf>
    <xf numFmtId="176" fontId="52" fillId="6" borderId="29" xfId="1" applyNumberFormat="1" applyFont="1" applyFill="1" applyBorder="1" applyAlignment="1">
      <alignment horizontal="center" vertical="center"/>
    </xf>
    <xf numFmtId="176" fontId="52" fillId="6" borderId="20" xfId="1" applyNumberFormat="1" applyFont="1" applyFill="1" applyBorder="1" applyAlignment="1">
      <alignment horizontal="center" vertical="center"/>
    </xf>
    <xf numFmtId="176" fontId="52" fillId="6" borderId="21" xfId="1" applyNumberFormat="1" applyFont="1" applyFill="1" applyBorder="1" applyAlignment="1">
      <alignment horizontal="center" vertical="center"/>
    </xf>
    <xf numFmtId="0" fontId="48" fillId="6" borderId="55" xfId="0" applyFont="1" applyFill="1" applyBorder="1" applyAlignment="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0" xfId="0" applyFont="1" applyFill="1">
      <alignment vertical="center"/>
    </xf>
    <xf numFmtId="0" fontId="48" fillId="6" borderId="2" xfId="0" applyFont="1" applyFill="1" applyBorder="1" applyAlignment="1">
      <alignment horizontal="center" vertical="center"/>
    </xf>
    <xf numFmtId="176" fontId="53" fillId="6" borderId="2" xfId="1" applyNumberFormat="1" applyFont="1" applyFill="1" applyBorder="1" applyAlignment="1">
      <alignment horizontal="center" vertical="center"/>
    </xf>
    <xf numFmtId="0" fontId="46" fillId="6" borderId="7" xfId="0" applyFont="1" applyFill="1" applyBorder="1" applyAlignment="1">
      <alignment horizontal="center" vertical="center"/>
    </xf>
    <xf numFmtId="0" fontId="46" fillId="6" borderId="8" xfId="0" applyFont="1" applyFill="1" applyBorder="1" applyAlignment="1">
      <alignment horizontal="center" vertical="center"/>
    </xf>
    <xf numFmtId="179" fontId="46" fillId="6" borderId="24" xfId="0" applyNumberFormat="1" applyFont="1" applyFill="1" applyBorder="1" applyAlignment="1">
      <alignment horizontal="center" vertical="center"/>
    </xf>
    <xf numFmtId="0" fontId="46" fillId="6" borderId="1" xfId="0" applyFont="1" applyFill="1" applyBorder="1" applyAlignment="1">
      <alignment horizontal="left" vertical="center"/>
    </xf>
    <xf numFmtId="0" fontId="46" fillId="6" borderId="18" xfId="0" applyFont="1" applyFill="1" applyBorder="1">
      <alignment vertical="center"/>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lignment horizontal="left" vertical="center"/>
    </xf>
    <xf numFmtId="0" fontId="46" fillId="6" borderId="3" xfId="0" applyFont="1" applyFill="1" applyBorder="1" applyAlignment="1">
      <alignment horizontal="left" vertical="center"/>
    </xf>
    <xf numFmtId="0" fontId="48" fillId="6" borderId="22" xfId="0" applyFont="1" applyFill="1" applyBorder="1" applyAlignment="1">
      <alignment horizontal="left" vertical="center"/>
    </xf>
    <xf numFmtId="0" fontId="46" fillId="6" borderId="42" xfId="0" applyFont="1" applyFill="1" applyBorder="1">
      <alignment vertical="center"/>
    </xf>
    <xf numFmtId="176" fontId="46" fillId="0" borderId="0" xfId="0" applyNumberFormat="1" applyFont="1" applyProtection="1">
      <alignment vertical="center"/>
      <protection locked="0"/>
    </xf>
    <xf numFmtId="0" fontId="105" fillId="6" borderId="0" xfId="0" applyFont="1" applyFill="1" applyAlignment="1">
      <alignment vertical="center" wrapText="1"/>
    </xf>
    <xf numFmtId="179" fontId="49" fillId="6" borderId="0" xfId="0" applyNumberFormat="1" applyFont="1" applyFill="1" applyProtection="1">
      <alignment vertical="center"/>
      <protection locked="0"/>
    </xf>
    <xf numFmtId="0" fontId="49" fillId="0" borderId="0" xfId="0" applyFont="1">
      <alignment vertical="center"/>
    </xf>
    <xf numFmtId="0" fontId="48" fillId="6" borderId="26" xfId="0" applyFont="1" applyFill="1" applyBorder="1" applyAlignment="1">
      <alignment vertical="center" wrapText="1"/>
    </xf>
    <xf numFmtId="179" fontId="46" fillId="6" borderId="0" xfId="0" applyNumberFormat="1" applyFont="1" applyFill="1" applyProtection="1">
      <alignment vertical="center"/>
      <protection locked="0"/>
    </xf>
    <xf numFmtId="0" fontId="46" fillId="6" borderId="63" xfId="0" applyFont="1" applyFill="1" applyBorder="1">
      <alignment vertical="center"/>
    </xf>
    <xf numFmtId="0" fontId="46" fillId="6" borderId="64" xfId="0" applyFont="1" applyFill="1" applyBorder="1">
      <alignment vertical="center"/>
    </xf>
    <xf numFmtId="179" fontId="46" fillId="6" borderId="64" xfId="0" applyNumberFormat="1" applyFont="1" applyFill="1" applyBorder="1">
      <alignment vertical="center"/>
    </xf>
    <xf numFmtId="0" fontId="46" fillId="6" borderId="65" xfId="0" applyFont="1" applyFill="1" applyBorder="1">
      <alignment vertical="center"/>
    </xf>
    <xf numFmtId="0" fontId="46" fillId="6" borderId="63" xfId="0" applyFont="1" applyFill="1" applyBorder="1" applyAlignment="1">
      <alignment horizontal="center" vertical="center"/>
    </xf>
    <xf numFmtId="0" fontId="46" fillId="6" borderId="64" xfId="0" applyFont="1" applyFill="1" applyBorder="1" applyAlignment="1">
      <alignment horizontal="center" vertical="center"/>
    </xf>
    <xf numFmtId="0" fontId="46" fillId="6" borderId="31" xfId="0" applyFont="1" applyFill="1" applyBorder="1">
      <alignment vertical="center"/>
    </xf>
    <xf numFmtId="0" fontId="46" fillId="6" borderId="6" xfId="1" applyFont="1" applyFill="1" applyBorder="1" applyAlignment="1">
      <alignment vertical="center" wrapText="1"/>
    </xf>
    <xf numFmtId="0" fontId="46" fillId="6" borderId="9" xfId="1" applyFont="1" applyFill="1" applyBorder="1" applyAlignment="1">
      <alignment vertical="center" wrapText="1"/>
    </xf>
    <xf numFmtId="0" fontId="46" fillId="6" borderId="28" xfId="1" applyFont="1" applyFill="1" applyBorder="1" applyAlignment="1">
      <alignment vertical="center" wrapText="1"/>
    </xf>
    <xf numFmtId="180" fontId="53" fillId="6" borderId="6" xfId="1" applyNumberFormat="1" applyFont="1" applyFill="1" applyBorder="1" applyAlignment="1">
      <alignment horizontal="center" vertical="center" wrapText="1"/>
    </xf>
    <xf numFmtId="179" fontId="46" fillId="6" borderId="9" xfId="0" applyNumberFormat="1" applyFont="1" applyFill="1" applyBorder="1" applyAlignment="1">
      <alignment horizontal="center" vertical="center" wrapText="1"/>
    </xf>
    <xf numFmtId="177" fontId="46" fillId="6" borderId="6" xfId="1" applyNumberFormat="1" applyFont="1" applyFill="1" applyBorder="1" applyAlignment="1">
      <alignment horizontal="center" vertical="center" wrapText="1"/>
    </xf>
    <xf numFmtId="0" fontId="46" fillId="6" borderId="9" xfId="1" applyFont="1" applyFill="1" applyBorder="1" applyAlignment="1">
      <alignment horizontal="center" vertical="center" wrapText="1"/>
    </xf>
    <xf numFmtId="179" fontId="46" fillId="6" borderId="9" xfId="1" applyNumberFormat="1" applyFont="1" applyFill="1" applyBorder="1" applyAlignment="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lignment horizontal="center" vertical="center" wrapText="1"/>
    </xf>
    <xf numFmtId="0" fontId="46" fillId="6" borderId="6" xfId="1" applyFont="1" applyFill="1" applyBorder="1" applyAlignment="1">
      <alignment horizontal="center" vertical="center" wrapText="1"/>
    </xf>
    <xf numFmtId="0" fontId="46" fillId="6" borderId="19" xfId="1" applyFont="1" applyFill="1" applyBorder="1" applyAlignment="1">
      <alignment horizontal="center" vertical="center" wrapText="1"/>
    </xf>
    <xf numFmtId="0" fontId="46" fillId="6" borderId="62" xfId="1" applyFont="1" applyFill="1" applyBorder="1" applyAlignment="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lignment horizontal="center" vertical="center" wrapText="1"/>
    </xf>
    <xf numFmtId="177" fontId="49" fillId="6" borderId="23" xfId="1" applyNumberFormat="1" applyFont="1" applyFill="1" applyBorder="1" applyAlignment="1">
      <alignment horizontal="left" vertical="center"/>
    </xf>
    <xf numFmtId="177" fontId="46" fillId="6" borderId="1" xfId="1" applyNumberFormat="1" applyFont="1" applyFill="1" applyBorder="1">
      <alignment vertical="center"/>
    </xf>
    <xf numFmtId="177" fontId="46" fillId="2" borderId="5" xfId="1" applyNumberFormat="1" applyFont="1" applyFill="1" applyBorder="1" applyProtection="1">
      <alignment vertical="center"/>
      <protection locked="0"/>
    </xf>
    <xf numFmtId="0" fontId="100" fillId="2" borderId="3" xfId="0" applyFont="1" applyFill="1" applyBorder="1" applyAlignment="1" applyProtection="1">
      <alignment horizontal="center" vertical="center"/>
      <protection locked="0"/>
    </xf>
    <xf numFmtId="0" fontId="46" fillId="6" borderId="1" xfId="0" applyFont="1" applyFill="1" applyBorder="1" applyAlignment="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lignment vertical="center"/>
    </xf>
    <xf numFmtId="0" fontId="48" fillId="6" borderId="25" xfId="1" applyFont="1" applyFill="1" applyBorder="1" applyAlignment="1">
      <alignment vertical="center" wrapText="1"/>
    </xf>
    <xf numFmtId="0" fontId="48" fillId="6" borderId="25" xfId="1" applyFont="1" applyFill="1" applyBorder="1">
      <alignment vertical="center"/>
    </xf>
    <xf numFmtId="0" fontId="54" fillId="6" borderId="0" xfId="0" applyFont="1" applyFill="1" applyAlignment="1">
      <alignment vertical="center" wrapText="1"/>
    </xf>
    <xf numFmtId="176" fontId="53" fillId="6" borderId="6" xfId="1" applyNumberFormat="1" applyFont="1" applyFill="1" applyBorder="1" applyAlignment="1">
      <alignment vertical="center" wrapText="1"/>
    </xf>
    <xf numFmtId="176" fontId="53" fillId="6" borderId="23" xfId="1" applyNumberFormat="1" applyFont="1" applyFill="1" applyBorder="1" applyAlignment="1">
      <alignment vertical="center" wrapText="1"/>
    </xf>
    <xf numFmtId="176" fontId="46" fillId="6" borderId="23" xfId="1" applyNumberFormat="1" applyFont="1" applyFill="1" applyBorder="1" applyAlignment="1">
      <alignment vertical="center" wrapText="1"/>
    </xf>
    <xf numFmtId="176" fontId="53" fillId="6" borderId="25" xfId="1" applyNumberFormat="1" applyFont="1" applyFill="1" applyBorder="1" applyAlignment="1">
      <alignment vertical="center" wrapText="1"/>
    </xf>
    <xf numFmtId="0" fontId="46" fillId="6" borderId="34" xfId="0" applyFont="1" applyFill="1" applyBorder="1" applyAlignment="1">
      <alignment horizontal="center" vertical="center"/>
    </xf>
    <xf numFmtId="0" fontId="46" fillId="6" borderId="6" xfId="0" applyFont="1" applyFill="1" applyBorder="1" applyAlignment="1">
      <alignment vertical="center" wrapText="1"/>
    </xf>
    <xf numFmtId="0" fontId="46" fillId="6" borderId="23" xfId="0" applyFont="1" applyFill="1" applyBorder="1" applyAlignment="1">
      <alignment vertical="center" wrapText="1"/>
    </xf>
    <xf numFmtId="0" fontId="46" fillId="6" borderId="25" xfId="0" applyFont="1" applyFill="1" applyBorder="1" applyAlignment="1">
      <alignment vertical="center" wrapText="1"/>
    </xf>
    <xf numFmtId="0" fontId="46" fillId="6" borderId="41" xfId="0" applyFont="1" applyFill="1" applyBorder="1" applyAlignment="1">
      <alignment vertical="center" wrapText="1"/>
    </xf>
    <xf numFmtId="0" fontId="46" fillId="6" borderId="11" xfId="0" applyFont="1" applyFill="1" applyBorder="1" applyAlignment="1">
      <alignment vertical="center" wrapText="1"/>
    </xf>
    <xf numFmtId="0" fontId="46" fillId="6" borderId="11" xfId="0" applyFont="1" applyFill="1" applyBorder="1" applyAlignment="1">
      <alignment horizontal="left" vertical="center" wrapText="1"/>
    </xf>
    <xf numFmtId="0" fontId="46" fillId="6" borderId="11" xfId="0" applyFont="1" applyFill="1" applyBorder="1" applyAlignment="1">
      <alignment horizontal="right" vertical="center" wrapText="1"/>
    </xf>
    <xf numFmtId="0" fontId="46" fillId="6" borderId="25" xfId="0" applyFont="1" applyFill="1" applyBorder="1" applyAlignment="1">
      <alignment horizontal="right" vertical="center" wrapText="1"/>
    </xf>
    <xf numFmtId="0" fontId="46" fillId="6" borderId="14" xfId="0" applyFont="1" applyFill="1" applyBorder="1" applyAlignment="1">
      <alignment vertical="center" wrapText="1"/>
    </xf>
    <xf numFmtId="0" fontId="46" fillId="6" borderId="40" xfId="0" applyFont="1" applyFill="1" applyBorder="1" applyAlignment="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Protection="1">
      <alignment vertical="center"/>
      <protection locked="0"/>
    </xf>
    <xf numFmtId="0" fontId="49" fillId="0" borderId="0" xfId="0" applyFont="1" applyAlignment="1">
      <alignment vertical="center" wrapText="1"/>
    </xf>
    <xf numFmtId="179" fontId="49" fillId="0" borderId="0" xfId="0" applyNumberFormat="1" applyFont="1">
      <alignment vertical="center"/>
    </xf>
    <xf numFmtId="0" fontId="49" fillId="5" borderId="0" xfId="0" applyFont="1" applyFill="1" applyProtection="1">
      <alignment vertical="center"/>
      <protection locked="0"/>
    </xf>
    <xf numFmtId="0" fontId="63" fillId="6" borderId="13" xfId="0" applyFont="1" applyFill="1" applyBorder="1">
      <alignment vertical="center"/>
    </xf>
    <xf numFmtId="0" fontId="63" fillId="5" borderId="13" xfId="0" applyFont="1" applyFill="1" applyBorder="1" applyAlignment="1" applyProtection="1">
      <alignment horizontal="center" vertical="center"/>
      <protection locked="0"/>
    </xf>
    <xf numFmtId="0" fontId="49" fillId="7" borderId="0" xfId="0" applyFont="1" applyFill="1">
      <alignment vertical="center"/>
    </xf>
    <xf numFmtId="0" fontId="46" fillId="6" borderId="13" xfId="0" applyFont="1" applyFill="1" applyBorder="1" applyAlignment="1">
      <alignment vertical="center" wrapText="1"/>
    </xf>
    <xf numFmtId="0" fontId="46" fillId="6" borderId="13" xfId="0" applyFont="1" applyFill="1" applyBorder="1" applyAlignment="1">
      <alignment horizontal="center" vertical="center" wrapText="1"/>
    </xf>
    <xf numFmtId="0" fontId="100" fillId="2" borderId="13" xfId="0" applyFont="1" applyFill="1" applyBorder="1" applyAlignment="1" applyProtection="1">
      <alignment horizontal="center" vertical="center"/>
      <protection locked="0"/>
    </xf>
    <xf numFmtId="0" fontId="49" fillId="6" borderId="54" xfId="0" applyFont="1" applyFill="1" applyBorder="1" applyAlignment="1">
      <alignment vertical="center" wrapText="1"/>
    </xf>
    <xf numFmtId="0" fontId="48" fillId="6" borderId="5" xfId="0" applyFont="1" applyFill="1" applyBorder="1" applyAlignment="1">
      <alignment horizontal="right" vertical="center"/>
    </xf>
    <xf numFmtId="0" fontId="48" fillId="6" borderId="58" xfId="0" applyFont="1" applyFill="1" applyBorder="1" applyAlignment="1">
      <alignment horizontal="right" vertical="center"/>
    </xf>
    <xf numFmtId="0" fontId="48" fillId="6" borderId="16" xfId="0" applyFont="1" applyFill="1" applyBorder="1">
      <alignment vertical="center"/>
    </xf>
    <xf numFmtId="0" fontId="46" fillId="6" borderId="9" xfId="0" applyFont="1" applyFill="1" applyBorder="1">
      <alignment vertical="center"/>
    </xf>
    <xf numFmtId="0" fontId="49" fillId="6" borderId="21" xfId="0" applyFont="1" applyFill="1" applyBorder="1">
      <alignment vertical="center"/>
    </xf>
    <xf numFmtId="0" fontId="48" fillId="6" borderId="18" xfId="0" applyFont="1" applyFill="1" applyBorder="1">
      <alignment vertical="center"/>
    </xf>
    <xf numFmtId="0" fontId="49" fillId="6" borderId="68" xfId="0" applyFont="1" applyFill="1" applyBorder="1">
      <alignment vertical="center"/>
    </xf>
    <xf numFmtId="0" fontId="46" fillId="6" borderId="70" xfId="0" applyFont="1" applyFill="1" applyBorder="1">
      <alignment vertical="center"/>
    </xf>
    <xf numFmtId="0" fontId="46" fillId="6" borderId="34" xfId="0" applyFont="1" applyFill="1" applyBorder="1">
      <alignment vertical="center"/>
    </xf>
    <xf numFmtId="0" fontId="46" fillId="6" borderId="21" xfId="0" applyFont="1" applyFill="1" applyBorder="1" applyAlignment="1">
      <alignment horizontal="center" vertical="center"/>
    </xf>
    <xf numFmtId="0" fontId="46" fillId="6" borderId="48" xfId="0" applyFont="1" applyFill="1" applyBorder="1" applyAlignment="1">
      <alignment horizontal="center" vertical="center"/>
    </xf>
    <xf numFmtId="0" fontId="102" fillId="0" borderId="23" xfId="0" applyFont="1" applyBorder="1" applyAlignment="1" applyProtection="1">
      <alignment horizontal="center" vertical="center"/>
      <protection locked="0"/>
    </xf>
    <xf numFmtId="0" fontId="48" fillId="6" borderId="16" xfId="0" applyFont="1" applyFill="1" applyBorder="1" applyAlignment="1">
      <alignment horizontal="left" vertical="center"/>
    </xf>
    <xf numFmtId="0" fontId="48" fillId="5" borderId="62" xfId="0" applyFont="1" applyFill="1" applyBorder="1" applyAlignment="1" applyProtection="1">
      <alignment horizontal="right" vertical="center"/>
      <protection locked="0"/>
    </xf>
    <xf numFmtId="0" fontId="48" fillId="5" borderId="1" xfId="0" applyFont="1" applyFill="1" applyBorder="1" applyAlignment="1" applyProtection="1">
      <alignment horizontal="center" vertical="center"/>
      <protection locked="0"/>
    </xf>
    <xf numFmtId="0" fontId="206" fillId="2" borderId="24" xfId="0" applyFont="1" applyFill="1" applyBorder="1" applyAlignment="1" applyProtection="1">
      <alignment horizontal="center" vertical="center"/>
      <protection locked="0"/>
    </xf>
    <xf numFmtId="0" fontId="49" fillId="6" borderId="30" xfId="0" applyFont="1" applyFill="1" applyBorder="1">
      <alignment vertical="center"/>
    </xf>
    <xf numFmtId="0" fontId="49" fillId="6" borderId="10" xfId="0" applyFont="1" applyFill="1" applyBorder="1" applyAlignment="1">
      <alignment horizontal="center" vertical="center"/>
    </xf>
    <xf numFmtId="0" fontId="48" fillId="6" borderId="69" xfId="0" applyFont="1" applyFill="1" applyBorder="1" applyAlignment="1">
      <alignment horizontal="left" vertical="center"/>
    </xf>
    <xf numFmtId="0" fontId="46" fillId="6" borderId="7" xfId="0" applyFont="1" applyFill="1" applyBorder="1" applyAlignment="1">
      <alignment horizontal="right" vertical="center"/>
    </xf>
    <xf numFmtId="0" fontId="49" fillId="6" borderId="3" xfId="0" applyFont="1" applyFill="1" applyBorder="1">
      <alignment vertical="center"/>
    </xf>
    <xf numFmtId="0" fontId="48" fillId="6" borderId="38" xfId="0" applyFont="1" applyFill="1" applyBorder="1" applyAlignment="1">
      <alignment horizontal="left" vertical="center"/>
    </xf>
    <xf numFmtId="0" fontId="46" fillId="6" borderId="66" xfId="0" applyFont="1" applyFill="1" applyBorder="1" applyAlignment="1">
      <alignment horizontal="right" vertical="center"/>
    </xf>
    <xf numFmtId="0" fontId="49" fillId="6" borderId="66" xfId="0" applyFont="1" applyFill="1" applyBorder="1">
      <alignment vertical="center"/>
    </xf>
    <xf numFmtId="0" fontId="46" fillId="6" borderId="30" xfId="0" applyFont="1" applyFill="1" applyBorder="1" applyAlignment="1">
      <alignment horizontal="left" vertical="center"/>
    </xf>
    <xf numFmtId="0" fontId="46" fillId="5" borderId="63" xfId="0" applyFont="1" applyFill="1" applyBorder="1" applyProtection="1">
      <alignment vertical="center"/>
      <protection locked="0"/>
    </xf>
    <xf numFmtId="0" fontId="46" fillId="6" borderId="0" xfId="0" applyFont="1" applyFill="1" applyAlignment="1" applyProtection="1">
      <alignment horizontal="left" vertical="center"/>
      <protection locked="0"/>
    </xf>
    <xf numFmtId="0" fontId="46" fillId="6" borderId="66" xfId="0" applyFont="1" applyFill="1" applyBorder="1" applyAlignment="1">
      <alignment horizontal="left" vertical="center"/>
    </xf>
    <xf numFmtId="0" fontId="46" fillId="0" borderId="65" xfId="0" applyFont="1" applyBorder="1" applyProtection="1">
      <alignment vertical="center"/>
      <protection locked="0"/>
    </xf>
    <xf numFmtId="0" fontId="102" fillId="0" borderId="6" xfId="0" applyFont="1" applyBorder="1" applyAlignment="1" applyProtection="1">
      <alignment horizontal="center" vertical="center"/>
      <protection locked="0"/>
    </xf>
    <xf numFmtId="0" fontId="102" fillId="0" borderId="9" xfId="0" applyFont="1" applyBorder="1" applyAlignment="1" applyProtection="1">
      <alignment horizontal="center" vertical="center"/>
      <protection locked="0"/>
    </xf>
    <xf numFmtId="0" fontId="102" fillId="0" borderId="10" xfId="0" applyFont="1" applyBorder="1" applyAlignment="1" applyProtection="1">
      <alignment horizontal="center" vertical="center"/>
      <protection locked="0"/>
    </xf>
    <xf numFmtId="0" fontId="49" fillId="6" borderId="18" xfId="0" applyFont="1" applyFill="1" applyBorder="1">
      <alignment vertical="center"/>
    </xf>
    <xf numFmtId="0" fontId="49" fillId="6" borderId="42" xfId="0" applyFont="1" applyFill="1" applyBorder="1">
      <alignment vertical="center"/>
    </xf>
    <xf numFmtId="0" fontId="115" fillId="6" borderId="0" xfId="0" applyFont="1" applyFill="1" applyAlignment="1">
      <alignment horizontal="center" vertical="center"/>
    </xf>
    <xf numFmtId="0" fontId="115" fillId="6" borderId="0" xfId="0" applyFont="1" applyFill="1">
      <alignment vertical="center"/>
    </xf>
    <xf numFmtId="0" fontId="207" fillId="6" borderId="0" xfId="0" applyFont="1" applyFill="1" applyAlignment="1">
      <alignment horizontal="left" vertical="center"/>
    </xf>
    <xf numFmtId="0" fontId="227" fillId="6" borderId="0" xfId="0" applyFont="1" applyFill="1">
      <alignment vertical="center"/>
    </xf>
    <xf numFmtId="0" fontId="227" fillId="6" borderId="0" xfId="0" applyFont="1" applyFill="1" applyAlignment="1">
      <alignment horizontal="center" vertical="center"/>
    </xf>
    <xf numFmtId="0" fontId="104" fillId="6" borderId="0" xfId="0" applyFont="1" applyFill="1" applyAlignment="1">
      <alignment horizontal="lef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Alignment="1" applyProtection="1">
      <alignment horizontal="center" vertical="center" wrapText="1"/>
      <protection locked="0"/>
    </xf>
    <xf numFmtId="0" fontId="49" fillId="6" borderId="0" xfId="0" applyFont="1" applyFill="1" applyAlignment="1">
      <alignment horizontal="left" vertical="center" wrapText="1"/>
    </xf>
    <xf numFmtId="49" fontId="54" fillId="6" borderId="18" xfId="0" applyNumberFormat="1" applyFont="1" applyFill="1" applyBorder="1" applyAlignment="1">
      <alignment horizontal="left" vertical="center" wrapText="1"/>
    </xf>
    <xf numFmtId="0" fontId="56" fillId="6" borderId="0" xfId="0" applyFont="1" applyFill="1" applyAlignment="1">
      <alignment horizontal="left" vertical="center" wrapText="1"/>
    </xf>
    <xf numFmtId="177" fontId="56" fillId="6" borderId="0" xfId="0" applyNumberFormat="1" applyFont="1" applyFill="1" applyAlignment="1">
      <alignment horizontal="center" vertical="center" wrapText="1"/>
    </xf>
    <xf numFmtId="10" fontId="55" fillId="6" borderId="0" xfId="0" applyNumberFormat="1" applyFont="1" applyFill="1" applyAlignment="1">
      <alignment horizontal="center" vertical="center" wrapText="1"/>
    </xf>
    <xf numFmtId="0" fontId="49" fillId="6" borderId="0" xfId="0" applyFont="1" applyFill="1" applyAlignment="1">
      <alignment horizontal="left" vertical="center"/>
    </xf>
    <xf numFmtId="0" fontId="49" fillId="6" borderId="0" xfId="2" applyFont="1" applyFill="1" applyAlignment="1">
      <alignment horizontal="left" vertical="center" wrapText="1"/>
    </xf>
    <xf numFmtId="0" fontId="100" fillId="7" borderId="0" xfId="0" applyFont="1" applyFill="1" applyProtection="1">
      <alignment vertical="center"/>
      <protection locked="0"/>
    </xf>
    <xf numFmtId="0" fontId="100" fillId="7" borderId="0" xfId="0" applyFont="1" applyFill="1">
      <alignment vertical="center"/>
    </xf>
    <xf numFmtId="0" fontId="100" fillId="6" borderId="0" xfId="2" applyFont="1" applyFill="1" applyAlignment="1" applyProtection="1">
      <alignment vertical="center" wrapText="1"/>
      <protection locked="0"/>
    </xf>
    <xf numFmtId="0" fontId="100"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0"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0" fillId="0" borderId="23" xfId="0" applyFont="1" applyBorder="1" applyProtection="1">
      <alignment vertical="center"/>
      <protection locked="0"/>
    </xf>
    <xf numFmtId="0" fontId="127" fillId="6" borderId="1" xfId="0" applyFont="1" applyFill="1" applyBorder="1" applyAlignment="1">
      <alignment vertical="center" wrapText="1"/>
    </xf>
    <xf numFmtId="0" fontId="106" fillId="6" borderId="1" xfId="0" applyFont="1" applyFill="1" applyBorder="1" applyAlignment="1">
      <alignment vertical="center" wrapText="1"/>
    </xf>
    <xf numFmtId="0" fontId="46" fillId="6" borderId="23" xfId="0" applyFont="1" applyFill="1" applyBorder="1" applyAlignment="1">
      <alignment horizontal="left" vertical="center"/>
    </xf>
    <xf numFmtId="0" fontId="127" fillId="6" borderId="32" xfId="0" applyFont="1" applyFill="1" applyBorder="1" applyAlignment="1">
      <alignment vertical="center" wrapText="1"/>
    </xf>
    <xf numFmtId="0" fontId="133" fillId="0" borderId="46" xfId="0" applyFont="1" applyBorder="1" applyAlignment="1">
      <alignment horizontal="left" vertical="center"/>
    </xf>
    <xf numFmtId="0" fontId="49" fillId="0" borderId="36" xfId="0" applyFont="1" applyBorder="1" applyAlignment="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lignment horizontal="center" vertical="center" wrapText="1"/>
    </xf>
    <xf numFmtId="0" fontId="49" fillId="7" borderId="36" xfId="0" applyFont="1" applyFill="1" applyBorder="1" applyAlignment="1">
      <alignment horizontal="center" vertical="center"/>
    </xf>
    <xf numFmtId="0" fontId="49" fillId="7" borderId="22" xfId="0" applyFont="1" applyFill="1" applyBorder="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Alignment="1" applyProtection="1">
      <alignment horizontal="left" vertical="center" wrapText="1"/>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Protection="1">
      <alignment vertical="center"/>
      <protection locked="0"/>
    </xf>
    <xf numFmtId="0" fontId="59" fillId="6" borderId="3" xfId="1" applyFont="1" applyFill="1" applyBorder="1">
      <alignment vertical="center"/>
    </xf>
    <xf numFmtId="0" fontId="59" fillId="5" borderId="1" xfId="1" applyFont="1" applyFill="1" applyBorder="1" applyProtection="1">
      <alignment vertical="center"/>
      <protection locked="0"/>
    </xf>
    <xf numFmtId="0" fontId="56" fillId="5" borderId="24" xfId="1" applyFont="1" applyFill="1" applyBorder="1" applyAlignment="1" applyProtection="1">
      <alignment horizontal="left" vertical="center"/>
      <protection locked="0"/>
    </xf>
    <xf numFmtId="0" fontId="141" fillId="5" borderId="24" xfId="1" applyFont="1" applyFill="1" applyBorder="1" applyAlignment="1" applyProtection="1">
      <alignment horizontal="right" vertical="center"/>
      <protection locked="0"/>
    </xf>
    <xf numFmtId="0" fontId="141" fillId="3" borderId="0" xfId="0" applyFont="1" applyFill="1" applyProtection="1">
      <alignment vertical="center"/>
      <protection locked="0"/>
    </xf>
    <xf numFmtId="0" fontId="133" fillId="6" borderId="19" xfId="1" applyFont="1" applyFill="1" applyBorder="1">
      <alignment vertical="center"/>
    </xf>
    <xf numFmtId="185"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lignment horizontal="center" vertical="center"/>
    </xf>
    <xf numFmtId="0" fontId="141" fillId="5" borderId="5" xfId="1" applyFont="1" applyFill="1" applyBorder="1" applyAlignment="1" applyProtection="1">
      <alignment horizontal="right" vertical="center"/>
      <protection locked="0"/>
    </xf>
    <xf numFmtId="0" fontId="54" fillId="6" borderId="54" xfId="0" applyFont="1" applyFill="1" applyBorder="1">
      <alignment vertical="center"/>
    </xf>
    <xf numFmtId="0" fontId="49" fillId="6" borderId="5" xfId="0" applyFont="1" applyFill="1" applyBorder="1" applyAlignment="1"/>
    <xf numFmtId="0" fontId="48" fillId="6" borderId="1" xfId="1" applyFont="1" applyFill="1" applyBorder="1" applyAlignment="1">
      <alignment vertical="center" wrapText="1"/>
    </xf>
    <xf numFmtId="49" fontId="49" fillId="6" borderId="25" xfId="0" applyNumberFormat="1" applyFont="1" applyFill="1" applyBorder="1" applyAlignment="1">
      <alignment horizontal="center" vertical="center"/>
    </xf>
    <xf numFmtId="49" fontId="103" fillId="6" borderId="51" xfId="0" applyNumberFormat="1" applyFont="1" applyFill="1" applyBorder="1" applyAlignment="1"/>
    <xf numFmtId="0" fontId="100" fillId="6" borderId="19" xfId="0" applyFont="1" applyFill="1" applyBorder="1">
      <alignment vertical="center"/>
    </xf>
    <xf numFmtId="0" fontId="100" fillId="6" borderId="31" xfId="0" applyFont="1" applyFill="1" applyBorder="1">
      <alignment vertical="center"/>
    </xf>
    <xf numFmtId="0" fontId="59" fillId="6" borderId="23" xfId="1" applyFont="1" applyFill="1" applyBorder="1">
      <alignment vertical="center"/>
    </xf>
    <xf numFmtId="0" fontId="100" fillId="6" borderId="3" xfId="0" applyFont="1" applyFill="1" applyBorder="1">
      <alignment vertical="center"/>
    </xf>
    <xf numFmtId="0" fontId="206" fillId="6" borderId="1" xfId="0" applyFont="1" applyFill="1" applyBorder="1">
      <alignment vertical="center"/>
    </xf>
    <xf numFmtId="0" fontId="206" fillId="6" borderId="5" xfId="0" applyFont="1" applyFill="1" applyBorder="1" applyAlignment="1">
      <alignment horizontal="center" vertical="center"/>
    </xf>
    <xf numFmtId="0" fontId="100" fillId="5" borderId="1" xfId="0" applyFont="1" applyFill="1" applyBorder="1" applyAlignment="1" applyProtection="1">
      <alignment horizontal="center" vertical="center"/>
      <protection locked="0"/>
    </xf>
    <xf numFmtId="0" fontId="100" fillId="6" borderId="66" xfId="0" applyFont="1" applyFill="1" applyBorder="1">
      <alignment vertical="center"/>
    </xf>
    <xf numFmtId="0" fontId="64" fillId="6" borderId="85" xfId="0" applyFont="1" applyFill="1" applyBorder="1" applyAlignment="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lignment horizontal="center" vertical="center"/>
    </xf>
    <xf numFmtId="0" fontId="56" fillId="5" borderId="4" xfId="1" applyFont="1" applyFill="1" applyBorder="1" applyProtection="1">
      <alignment vertical="center"/>
      <protection locked="0"/>
    </xf>
    <xf numFmtId="0" fontId="59" fillId="6" borderId="7" xfId="1" applyFont="1" applyFill="1" applyBorder="1" applyProtection="1">
      <alignment vertical="center"/>
      <protection locked="0"/>
    </xf>
    <xf numFmtId="0" fontId="59" fillId="5" borderId="2" xfId="1" applyFont="1" applyFill="1" applyBorder="1" applyProtection="1">
      <alignment vertical="center"/>
      <protection locked="0"/>
    </xf>
    <xf numFmtId="188" fontId="59" fillId="6" borderId="0" xfId="0" applyNumberFormat="1" applyFont="1" applyFill="1" applyAlignment="1" applyProtection="1">
      <alignment horizontal="center" vertical="center"/>
      <protection locked="0"/>
    </xf>
    <xf numFmtId="0" fontId="59" fillId="6" borderId="18" xfId="0" applyFont="1" applyFill="1" applyBorder="1" applyAlignment="1">
      <alignment horizontal="center" vertical="center"/>
    </xf>
    <xf numFmtId="0" fontId="59" fillId="6" borderId="0" xfId="0" applyFont="1" applyFill="1" applyAlignment="1">
      <alignment horizontal="center" vertical="center"/>
    </xf>
    <xf numFmtId="0" fontId="232" fillId="6" borderId="0" xfId="0" applyFont="1" applyFill="1" applyProtection="1">
      <alignment vertical="center"/>
      <protection locked="0"/>
    </xf>
    <xf numFmtId="188" fontId="46" fillId="6" borderId="21" xfId="0" applyNumberFormat="1" applyFont="1" applyFill="1" applyBorder="1" applyAlignment="1">
      <alignment horizontal="center" vertical="center" wrapText="1"/>
    </xf>
    <xf numFmtId="188" fontId="46" fillId="6" borderId="48" xfId="0" applyNumberFormat="1" applyFont="1" applyFill="1" applyBorder="1" applyAlignment="1">
      <alignment horizontal="center" vertical="center" wrapText="1"/>
    </xf>
    <xf numFmtId="0" fontId="46" fillId="6" borderId="48" xfId="0" applyFont="1" applyFill="1" applyBorder="1" applyAlignment="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60" fillId="6" borderId="48" xfId="0" applyFont="1" applyFill="1" applyBorder="1" applyAlignment="1">
      <alignment horizontal="center" vertical="center" wrapText="1"/>
    </xf>
    <xf numFmtId="0" fontId="46" fillId="0" borderId="33" xfId="0" applyFont="1" applyBorder="1" applyAlignment="1" applyProtection="1">
      <alignment horizontal="center" vertical="center" wrapText="1"/>
      <protection locked="0"/>
    </xf>
    <xf numFmtId="49" fontId="53" fillId="6" borderId="40" xfId="0" applyNumberFormat="1" applyFont="1" applyFill="1" applyBorder="1" applyAlignment="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Font="1" applyFill="1" applyBorder="1" applyAlignment="1">
      <alignment horizontal="center" vertical="center" wrapText="1"/>
    </xf>
    <xf numFmtId="0" fontId="53" fillId="6" borderId="11" xfId="0" applyFont="1" applyFill="1" applyBorder="1" applyAlignment="1">
      <alignment horizontal="center" vertical="center" wrapText="1"/>
    </xf>
    <xf numFmtId="0" fontId="53" fillId="2" borderId="14" xfId="0"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Font="1" applyFill="1" applyBorder="1" applyAlignment="1" applyProtection="1">
      <alignment horizontal="center" vertical="center" wrapText="1"/>
      <protection locked="0"/>
    </xf>
    <xf numFmtId="0" fontId="60" fillId="6" borderId="80" xfId="0" applyFont="1" applyFill="1" applyBorder="1" applyAlignment="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Font="1" applyBorder="1" applyAlignment="1" applyProtection="1">
      <alignment horizontal="center" vertical="center" wrapText="1"/>
      <protection locked="0"/>
    </xf>
    <xf numFmtId="0" fontId="53" fillId="0" borderId="52" xfId="0" applyFont="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8" fontId="53" fillId="6" borderId="48" xfId="0" applyNumberFormat="1" applyFont="1" applyFill="1" applyBorder="1" applyAlignment="1">
      <alignment horizontal="center" vertical="center"/>
    </xf>
    <xf numFmtId="188" fontId="53" fillId="6" borderId="49" xfId="0" applyNumberFormat="1" applyFont="1" applyFill="1" applyBorder="1" applyAlignment="1">
      <alignment horizontal="center" vertical="center" wrapText="1"/>
    </xf>
    <xf numFmtId="0" fontId="53" fillId="0" borderId="18" xfId="0" applyFont="1" applyBorder="1" applyAlignment="1" applyProtection="1">
      <alignment horizontal="center" vertical="center"/>
      <protection locked="0"/>
    </xf>
    <xf numFmtId="0" fontId="70" fillId="0" borderId="18" xfId="0" applyFont="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Font="1" applyFill="1" applyAlignment="1">
      <alignment vertical="center" wrapText="1"/>
    </xf>
    <xf numFmtId="9" fontId="46" fillId="0" borderId="18" xfId="0" applyNumberFormat="1" applyFont="1" applyBorder="1" applyAlignment="1" applyProtection="1">
      <alignment horizontal="center" vertical="center" wrapText="1"/>
      <protection locked="0"/>
    </xf>
    <xf numFmtId="0" fontId="100" fillId="0" borderId="18" xfId="0" applyFont="1" applyBorder="1" applyProtection="1">
      <alignment vertical="center"/>
      <protection locked="0"/>
    </xf>
    <xf numFmtId="0" fontId="46" fillId="0" borderId="18" xfId="0" applyFont="1" applyBorder="1" applyAlignment="1" applyProtection="1">
      <alignment horizontal="center" vertical="center" wrapText="1"/>
      <protection locked="0"/>
    </xf>
    <xf numFmtId="0" fontId="51" fillId="0" borderId="18" xfId="0" applyFont="1" applyBorder="1" applyAlignment="1" applyProtection="1">
      <alignment horizontal="center" vertical="center" wrapText="1"/>
      <protection locked="0"/>
    </xf>
    <xf numFmtId="0" fontId="51" fillId="0" borderId="18" xfId="0" applyFont="1" applyBorder="1" applyAlignment="1" applyProtection="1">
      <alignment horizontal="center" vertical="center"/>
      <protection locked="0"/>
    </xf>
    <xf numFmtId="0" fontId="51" fillId="0" borderId="18" xfId="0" applyFont="1" applyBorder="1" applyAlignment="1" applyProtection="1">
      <alignment vertical="center" wrapText="1"/>
      <protection locked="0"/>
    </xf>
    <xf numFmtId="0" fontId="46" fillId="0" borderId="18" xfId="0" applyFont="1" applyBorder="1" applyAlignment="1" applyProtection="1">
      <alignment vertical="center" wrapText="1"/>
      <protection locked="0"/>
    </xf>
    <xf numFmtId="0" fontId="46" fillId="0" borderId="83" xfId="0" applyFont="1" applyBorder="1" applyAlignment="1" applyProtection="1">
      <alignment horizontal="center" vertical="center"/>
      <protection locked="0"/>
    </xf>
    <xf numFmtId="0" fontId="102" fillId="0" borderId="0" xfId="0" applyFont="1" applyAlignment="1" applyProtection="1">
      <alignment horizontal="left" vertical="center"/>
      <protection locked="0"/>
    </xf>
    <xf numFmtId="0" fontId="100" fillId="6" borderId="16" xfId="0" applyFont="1" applyFill="1" applyBorder="1" applyAlignment="1">
      <alignment horizontal="center" vertical="center"/>
    </xf>
    <xf numFmtId="0" fontId="60" fillId="6" borderId="19" xfId="0" applyFont="1" applyFill="1" applyBorder="1" applyAlignment="1">
      <alignment horizontal="center" vertical="center"/>
    </xf>
    <xf numFmtId="0" fontId="53" fillId="6" borderId="19" xfId="0" applyFont="1" applyFill="1" applyBorder="1" applyAlignment="1">
      <alignment horizontal="center" vertical="center"/>
    </xf>
    <xf numFmtId="0" fontId="53" fillId="6" borderId="31" xfId="0" applyFont="1" applyFill="1" applyBorder="1" applyAlignment="1">
      <alignment horizontal="center" vertical="center"/>
    </xf>
    <xf numFmtId="0" fontId="100" fillId="6" borderId="19" xfId="0" applyFont="1" applyFill="1" applyBorder="1" applyAlignment="1">
      <alignment horizontal="center" vertical="center"/>
    </xf>
    <xf numFmtId="0" fontId="60" fillId="6" borderId="31" xfId="0" applyFont="1" applyFill="1" applyBorder="1" applyAlignment="1">
      <alignment horizontal="center" vertical="center"/>
    </xf>
    <xf numFmtId="0" fontId="60" fillId="6" borderId="69" xfId="0" applyFont="1" applyFill="1" applyBorder="1">
      <alignment vertical="center"/>
    </xf>
    <xf numFmtId="0" fontId="100" fillId="6" borderId="5" xfId="0" applyFont="1" applyFill="1" applyBorder="1" applyAlignment="1">
      <alignment horizontal="center" vertical="center"/>
    </xf>
    <xf numFmtId="0" fontId="100" fillId="6" borderId="92" xfId="0" applyFont="1" applyFill="1" applyBorder="1" applyAlignment="1">
      <alignment horizontal="center" vertical="center"/>
    </xf>
    <xf numFmtId="0" fontId="60" fillId="6" borderId="60" xfId="0" applyFont="1" applyFill="1" applyBorder="1" applyAlignment="1">
      <alignment horizontal="center" vertical="center"/>
    </xf>
    <xf numFmtId="0" fontId="100" fillId="0" borderId="2" xfId="0" applyFont="1" applyBorder="1" applyAlignment="1" applyProtection="1">
      <alignment horizontal="center" vertical="center"/>
      <protection locked="0"/>
    </xf>
    <xf numFmtId="0" fontId="100" fillId="6" borderId="7" xfId="0" applyFont="1" applyFill="1" applyBorder="1" applyAlignment="1">
      <alignment horizontal="center" vertical="center"/>
    </xf>
    <xf numFmtId="0" fontId="100" fillId="6" borderId="3" xfId="0" applyFont="1" applyFill="1" applyBorder="1" applyAlignment="1">
      <alignment horizontal="center" vertical="center"/>
    </xf>
    <xf numFmtId="0" fontId="100" fillId="0" borderId="1" xfId="0" applyFont="1" applyBorder="1" applyAlignment="1" applyProtection="1">
      <alignment horizontal="center" vertical="center"/>
      <protection locked="0"/>
    </xf>
    <xf numFmtId="0" fontId="100" fillId="6" borderId="25" xfId="0" applyFont="1" applyFill="1" applyBorder="1" applyAlignment="1">
      <alignment horizontal="center" vertical="center"/>
    </xf>
    <xf numFmtId="0" fontId="60" fillId="6" borderId="94" xfId="0" applyFont="1" applyFill="1" applyBorder="1" applyAlignment="1">
      <alignment horizontal="left" vertical="center"/>
    </xf>
    <xf numFmtId="0" fontId="53" fillId="6" borderId="47" xfId="0" applyFont="1" applyFill="1" applyBorder="1" applyAlignment="1">
      <alignment horizontal="center" vertical="center"/>
    </xf>
    <xf numFmtId="0" fontId="53" fillId="6" borderId="43" xfId="0" applyFont="1" applyFill="1" applyBorder="1" applyAlignment="1">
      <alignment horizontal="center" vertical="center"/>
    </xf>
    <xf numFmtId="0" fontId="100" fillId="6" borderId="66" xfId="0" applyFont="1" applyFill="1" applyBorder="1" applyAlignment="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lignment horizontal="center" vertical="center" wrapText="1"/>
    </xf>
    <xf numFmtId="0" fontId="46" fillId="2" borderId="41" xfId="0" applyFont="1" applyFill="1" applyBorder="1" applyAlignment="1" applyProtection="1">
      <alignment horizontal="center" vertical="center" wrapText="1"/>
      <protection locked="0"/>
    </xf>
    <xf numFmtId="0" fontId="64" fillId="6" borderId="88" xfId="0" applyFont="1" applyFill="1" applyBorder="1" applyAlignment="1">
      <alignment horizontal="right" vertical="center"/>
    </xf>
    <xf numFmtId="0" fontId="53" fillId="6" borderId="17" xfId="0" applyFont="1" applyFill="1" applyBorder="1" applyAlignment="1">
      <alignment horizontal="center" vertical="center"/>
    </xf>
    <xf numFmtId="0" fontId="46" fillId="0" borderId="7" xfId="0" applyFont="1" applyBorder="1" applyAlignment="1" applyProtection="1">
      <alignment horizontal="center" vertical="center" wrapText="1"/>
      <protection locked="0"/>
    </xf>
    <xf numFmtId="49" fontId="53" fillId="6" borderId="39" xfId="0" applyNumberFormat="1" applyFont="1" applyFill="1" applyBorder="1" applyAlignment="1">
      <alignment horizontal="center" vertical="center" wrapText="1"/>
    </xf>
    <xf numFmtId="0" fontId="53" fillId="6" borderId="24" xfId="0" applyFont="1" applyFill="1" applyBorder="1" applyAlignment="1">
      <alignment horizontal="center" vertical="center"/>
    </xf>
    <xf numFmtId="0" fontId="53" fillId="6" borderId="22" xfId="0" applyFont="1" applyFill="1" applyBorder="1" applyAlignment="1">
      <alignment horizontal="center" vertical="center" wrapText="1"/>
    </xf>
    <xf numFmtId="0" fontId="53" fillId="2" borderId="35"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53" fillId="0" borderId="44" xfId="0" applyFont="1" applyBorder="1" applyAlignment="1" applyProtection="1">
      <alignment horizontal="left" vertical="center" wrapText="1"/>
      <protection locked="0"/>
    </xf>
    <xf numFmtId="0" fontId="53" fillId="0" borderId="45" xfId="0" applyFont="1" applyBorder="1" applyAlignment="1" applyProtection="1">
      <alignment horizontal="center" vertical="center" wrapText="1"/>
      <protection locked="0"/>
    </xf>
    <xf numFmtId="0" fontId="46" fillId="0" borderId="54" xfId="0" applyFont="1" applyBorder="1" applyAlignment="1" applyProtection="1">
      <alignment horizontal="center" vertical="center" wrapText="1"/>
      <protection locked="0"/>
    </xf>
    <xf numFmtId="0" fontId="53" fillId="6" borderId="40" xfId="0" applyFont="1" applyFill="1" applyBorder="1" applyAlignment="1">
      <alignment horizontal="center" vertical="center" wrapText="1"/>
    </xf>
    <xf numFmtId="0" fontId="53" fillId="6" borderId="41" xfId="0" applyFont="1" applyFill="1" applyBorder="1" applyAlignment="1">
      <alignment horizontal="center" vertical="center" wrapText="1"/>
    </xf>
    <xf numFmtId="49" fontId="52" fillId="5" borderId="20" xfId="0" applyNumberFormat="1" applyFont="1" applyFill="1" applyBorder="1" applyProtection="1">
      <alignment vertical="center"/>
      <protection locked="0"/>
    </xf>
    <xf numFmtId="183" fontId="46" fillId="0" borderId="26" xfId="0" applyNumberFormat="1" applyFont="1" applyBorder="1" applyAlignment="1" applyProtection="1">
      <alignment horizontal="center" vertical="center" wrapText="1"/>
      <protection locked="0"/>
    </xf>
    <xf numFmtId="0" fontId="46" fillId="0" borderId="38" xfId="0" applyFont="1" applyBorder="1" applyAlignment="1" applyProtection="1">
      <alignment horizontal="center" vertical="center" wrapText="1"/>
      <protection locked="0"/>
    </xf>
    <xf numFmtId="0" fontId="53" fillId="0" borderId="55" xfId="0" applyFont="1" applyBorder="1" applyAlignment="1" applyProtection="1">
      <alignment horizontal="center" vertical="center" wrapText="1"/>
      <protection locked="0"/>
    </xf>
    <xf numFmtId="0" fontId="46" fillId="2" borderId="51" xfId="0" applyFont="1" applyFill="1" applyBorder="1" applyAlignment="1" applyProtection="1">
      <alignment horizontal="center" vertical="center" wrapText="1"/>
      <protection locked="0"/>
    </xf>
    <xf numFmtId="0" fontId="46" fillId="2" borderId="69" xfId="0" applyFont="1" applyFill="1" applyBorder="1" applyAlignment="1" applyProtection="1">
      <alignment horizontal="center" vertical="center" wrapText="1"/>
      <protection locked="0"/>
    </xf>
    <xf numFmtId="0" fontId="46" fillId="2" borderId="60" xfId="0"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Font="1" applyBorder="1" applyAlignment="1" applyProtection="1">
      <alignment horizontal="center" vertical="center" wrapText="1"/>
      <protection locked="0"/>
    </xf>
    <xf numFmtId="49" fontId="52" fillId="2" borderId="10" xfId="0" applyNumberFormat="1" applyFont="1" applyFill="1" applyBorder="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0" fillId="6" borderId="95" xfId="0" applyFont="1" applyFill="1" applyBorder="1" applyAlignment="1">
      <alignment horizontal="center" vertical="center"/>
    </xf>
    <xf numFmtId="0" fontId="102" fillId="6" borderId="0" xfId="0" applyFont="1" applyFill="1" applyAlignment="1" applyProtection="1">
      <alignment horizontal="left" vertical="center"/>
      <protection locked="0"/>
    </xf>
    <xf numFmtId="0" fontId="101" fillId="6" borderId="23" xfId="0" applyFont="1" applyFill="1" applyBorder="1" applyAlignment="1">
      <alignment horizontal="center" vertical="center"/>
    </xf>
    <xf numFmtId="0" fontId="101" fillId="6" borderId="25" xfId="0" applyFont="1" applyFill="1" applyBorder="1" applyAlignment="1">
      <alignment horizontal="center" vertical="center"/>
    </xf>
    <xf numFmtId="0" fontId="48" fillId="5" borderId="23" xfId="0" applyFont="1" applyFill="1" applyBorder="1" applyAlignment="1" applyProtection="1">
      <alignment horizontal="center" vertical="center" wrapText="1"/>
      <protection locked="0"/>
    </xf>
    <xf numFmtId="0" fontId="53" fillId="6" borderId="14" xfId="0" applyFont="1" applyFill="1" applyBorder="1" applyAlignment="1">
      <alignment horizontal="center" vertical="center" wrapText="1"/>
    </xf>
    <xf numFmtId="0" fontId="53" fillId="0" borderId="24" xfId="0" applyFont="1" applyBorder="1" applyAlignment="1" applyProtection="1">
      <alignment horizontal="center" vertical="center"/>
      <protection locked="0"/>
    </xf>
    <xf numFmtId="0" fontId="100" fillId="0" borderId="49" xfId="0" applyFont="1" applyBorder="1" applyAlignment="1" applyProtection="1">
      <alignment horizontal="center" vertical="center"/>
      <protection locked="0"/>
    </xf>
    <xf numFmtId="0" fontId="48" fillId="6" borderId="37" xfId="0" applyFont="1" applyFill="1" applyBorder="1" applyAlignment="1">
      <alignment horizontal="center" vertical="center" wrapText="1"/>
    </xf>
    <xf numFmtId="0" fontId="55" fillId="6" borderId="0" xfId="0" applyFont="1" applyFill="1" applyAlignment="1">
      <alignment vertical="center" wrapText="1"/>
    </xf>
    <xf numFmtId="0" fontId="100" fillId="6" borderId="6" xfId="0" applyFont="1" applyFill="1" applyBorder="1" applyAlignment="1">
      <alignment horizontal="center" vertical="center"/>
    </xf>
    <xf numFmtId="0" fontId="55" fillId="0" borderId="0" xfId="0" applyFont="1" applyAlignment="1" applyProtection="1">
      <alignment vertical="center" wrapText="1"/>
      <protection locked="0"/>
    </xf>
    <xf numFmtId="0" fontId="55" fillId="0" borderId="0" xfId="0" applyFont="1" applyAlignment="1">
      <alignment vertical="center" wrapText="1"/>
    </xf>
    <xf numFmtId="0" fontId="59" fillId="6" borderId="5" xfId="1" applyFont="1" applyFill="1" applyBorder="1">
      <alignment vertical="center"/>
    </xf>
    <xf numFmtId="0" fontId="100" fillId="6" borderId="23" xfId="0" applyFont="1" applyFill="1" applyBorder="1" applyAlignment="1">
      <alignment horizontal="center" vertical="center"/>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lignment horizontal="left" vertical="center" wrapText="1"/>
    </xf>
    <xf numFmtId="0" fontId="52" fillId="6" borderId="13" xfId="0" applyFont="1" applyFill="1" applyBorder="1" applyAlignment="1">
      <alignment horizontal="left" vertical="center" wrapText="1"/>
    </xf>
    <xf numFmtId="0" fontId="52" fillId="6" borderId="36" xfId="0" applyFont="1" applyFill="1" applyBorder="1" applyAlignment="1">
      <alignment vertical="center" wrapText="1"/>
    </xf>
    <xf numFmtId="0" fontId="53" fillId="6" borderId="36" xfId="0" applyFont="1" applyFill="1" applyBorder="1" applyAlignment="1">
      <alignment vertical="center" wrapText="1"/>
    </xf>
    <xf numFmtId="0" fontId="53" fillId="6" borderId="22" xfId="0" applyFont="1" applyFill="1" applyBorder="1" applyAlignment="1">
      <alignment vertical="center" wrapText="1"/>
    </xf>
    <xf numFmtId="0" fontId="53" fillId="7" borderId="0" xfId="0" applyFont="1" applyFill="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53" fillId="0" borderId="0" xfId="0" applyFont="1" applyAlignment="1">
      <alignment vertical="center" wrapText="1"/>
    </xf>
    <xf numFmtId="49" fontId="56" fillId="6" borderId="26" xfId="0" applyNumberFormat="1" applyFont="1" applyFill="1" applyBorder="1" applyAlignment="1">
      <alignment horizontal="center" vertical="center" wrapText="1"/>
    </xf>
    <xf numFmtId="0" fontId="56" fillId="6" borderId="64" xfId="0" applyFont="1" applyFill="1" applyBorder="1" applyAlignment="1">
      <alignment horizontal="left" vertical="center" wrapText="1"/>
    </xf>
    <xf numFmtId="0" fontId="115" fillId="6" borderId="34" xfId="0" applyFont="1" applyFill="1" applyBorder="1">
      <alignment vertical="center"/>
    </xf>
    <xf numFmtId="0" fontId="56" fillId="6" borderId="64" xfId="0" applyFont="1" applyFill="1" applyBorder="1" applyAlignment="1">
      <alignment horizontal="center" vertical="center" wrapText="1"/>
    </xf>
    <xf numFmtId="0" fontId="55" fillId="6" borderId="64" xfId="0" applyFont="1" applyFill="1" applyBorder="1" applyAlignment="1">
      <alignment vertical="center" wrapText="1"/>
    </xf>
    <xf numFmtId="0" fontId="55" fillId="6" borderId="65" xfId="0" applyFont="1" applyFill="1" applyBorder="1" applyAlignment="1">
      <alignment vertical="center" wrapText="1"/>
    </xf>
    <xf numFmtId="0" fontId="56" fillId="6" borderId="9" xfId="0" applyFont="1" applyFill="1" applyBorder="1" applyAlignment="1">
      <alignment horizontal="left" vertical="center" wrapText="1"/>
    </xf>
    <xf numFmtId="0" fontId="55" fillId="6" borderId="9" xfId="0" applyFont="1" applyFill="1" applyBorder="1" applyAlignment="1">
      <alignment horizontal="center" vertical="center" wrapText="1"/>
    </xf>
    <xf numFmtId="0" fontId="55" fillId="6" borderId="19" xfId="0" applyFont="1" applyFill="1" applyBorder="1" applyAlignment="1">
      <alignment horizontal="center" vertical="center" wrapText="1"/>
    </xf>
    <xf numFmtId="0" fontId="55" fillId="6" borderId="19" xfId="0" applyFont="1" applyFill="1" applyBorder="1" applyAlignment="1">
      <alignment vertical="center" wrapText="1"/>
    </xf>
    <xf numFmtId="0" fontId="55" fillId="6" borderId="31" xfId="0" applyFont="1" applyFill="1" applyBorder="1" applyAlignment="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lignment vertical="center"/>
    </xf>
    <xf numFmtId="0" fontId="55" fillId="6" borderId="54" xfId="0" applyFont="1" applyFill="1" applyBorder="1" applyAlignment="1">
      <alignment vertical="center" wrapText="1"/>
    </xf>
    <xf numFmtId="0" fontId="55" fillId="6" borderId="48" xfId="0" applyFont="1" applyFill="1" applyBorder="1" applyAlignment="1">
      <alignment vertical="center" wrapText="1"/>
    </xf>
    <xf numFmtId="0" fontId="55" fillId="6" borderId="13" xfId="0" applyFont="1" applyFill="1" applyBorder="1" applyAlignment="1">
      <alignment horizontal="left" vertical="center" wrapText="1"/>
    </xf>
    <xf numFmtId="0" fontId="55" fillId="6" borderId="46" xfId="0" applyFont="1" applyFill="1" applyBorder="1">
      <alignment vertical="center"/>
    </xf>
    <xf numFmtId="0" fontId="55" fillId="6" borderId="36" xfId="0" applyFont="1" applyFill="1" applyBorder="1" applyAlignment="1">
      <alignment vertical="center" wrapText="1"/>
    </xf>
    <xf numFmtId="0" fontId="55" fillId="6" borderId="59" xfId="0" applyFont="1" applyFill="1" applyBorder="1" applyAlignment="1">
      <alignment vertical="center" wrapText="1"/>
    </xf>
    <xf numFmtId="0" fontId="56" fillId="6" borderId="17" xfId="0" applyFont="1" applyFill="1" applyBorder="1" applyAlignment="1">
      <alignment horizontal="left" vertical="center" wrapText="1"/>
    </xf>
    <xf numFmtId="0" fontId="55" fillId="6" borderId="28" xfId="0" applyFont="1" applyFill="1" applyBorder="1">
      <alignment vertical="center"/>
    </xf>
    <xf numFmtId="0" fontId="55" fillId="6" borderId="20" xfId="0" applyFont="1" applyFill="1" applyBorder="1" applyAlignment="1">
      <alignment horizontal="center" vertical="center" wrapText="1"/>
    </xf>
    <xf numFmtId="0" fontId="55" fillId="6" borderId="20" xfId="0" applyFont="1" applyFill="1" applyBorder="1" applyAlignment="1">
      <alignment vertical="center" wrapText="1"/>
    </xf>
    <xf numFmtId="0" fontId="55" fillId="6" borderId="21" xfId="0" applyFont="1" applyFill="1" applyBorder="1" applyAlignment="1">
      <alignment vertical="center" wrapText="1"/>
    </xf>
    <xf numFmtId="0" fontId="101" fillId="6" borderId="13" xfId="0" applyFont="1" applyFill="1" applyBorder="1" applyAlignment="1">
      <alignment horizontal="left" vertical="center" wrapText="1"/>
    </xf>
    <xf numFmtId="0" fontId="101" fillId="6" borderId="3" xfId="0" applyFont="1" applyFill="1" applyBorder="1" applyAlignment="1">
      <alignment horizontal="center" vertical="center" wrapText="1"/>
    </xf>
    <xf numFmtId="0" fontId="101" fillId="6" borderId="2" xfId="0" applyFont="1" applyFill="1" applyBorder="1" applyAlignment="1">
      <alignment horizontal="left" vertical="center" wrapText="1"/>
    </xf>
    <xf numFmtId="0" fontId="101" fillId="5" borderId="3" xfId="0" applyFont="1" applyFill="1" applyBorder="1" applyAlignment="1" applyProtection="1">
      <alignment horizontal="center" vertical="center" wrapText="1"/>
      <protection locked="0"/>
    </xf>
    <xf numFmtId="0" fontId="101" fillId="5" borderId="1" xfId="0" applyFont="1" applyFill="1" applyBorder="1" applyAlignment="1" applyProtection="1">
      <alignment horizontal="center" vertical="center" wrapText="1"/>
      <protection locked="0"/>
    </xf>
    <xf numFmtId="0" fontId="101" fillId="5" borderId="2" xfId="0" applyFont="1" applyFill="1" applyBorder="1" applyAlignment="1" applyProtection="1">
      <alignment horizontal="center" vertical="center" wrapText="1"/>
      <protection locked="0"/>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7" borderId="0" xfId="0" applyFont="1" applyFill="1" applyAlignment="1">
      <alignment vertical="center" wrapText="1"/>
    </xf>
    <xf numFmtId="49" fontId="52" fillId="6" borderId="26" xfId="0" applyNumberFormat="1" applyFont="1" applyFill="1" applyBorder="1" applyAlignment="1">
      <alignment horizontal="left" vertical="center" wrapText="1"/>
    </xf>
    <xf numFmtId="0" fontId="52" fillId="6" borderId="84" xfId="0" applyFont="1" applyFill="1" applyBorder="1" applyAlignment="1">
      <alignment horizontal="left" vertical="center" wrapText="1"/>
    </xf>
    <xf numFmtId="0" fontId="55" fillId="6" borderId="64" xfId="0" applyFont="1" applyFill="1" applyBorder="1">
      <alignment vertical="center"/>
    </xf>
    <xf numFmtId="0" fontId="55" fillId="0" borderId="0" xfId="0" applyFont="1" applyAlignment="1">
      <alignment horizontal="center" vertical="center" wrapText="1"/>
    </xf>
    <xf numFmtId="0" fontId="53" fillId="6" borderId="84" xfId="0" applyFont="1" applyFill="1" applyBorder="1" applyAlignment="1">
      <alignment horizontal="center" vertical="center" wrapText="1"/>
    </xf>
    <xf numFmtId="0" fontId="53" fillId="6" borderId="6" xfId="0" applyFont="1" applyFill="1" applyBorder="1" applyAlignment="1">
      <alignment vertical="center" wrapText="1"/>
    </xf>
    <xf numFmtId="0" fontId="55" fillId="6" borderId="64" xfId="0" applyFont="1" applyFill="1" applyBorder="1" applyAlignment="1">
      <alignment horizontal="center" vertical="center" wrapText="1"/>
    </xf>
    <xf numFmtId="0" fontId="53" fillId="0" borderId="0" xfId="0" applyFont="1" applyAlignment="1">
      <alignment horizontal="center" vertical="center" wrapText="1"/>
    </xf>
    <xf numFmtId="49" fontId="52" fillId="6" borderId="40" xfId="0" applyNumberFormat="1" applyFont="1" applyFill="1" applyBorder="1" applyAlignment="1">
      <alignment horizontal="left" vertical="center" wrapText="1"/>
    </xf>
    <xf numFmtId="0" fontId="52" fillId="6" borderId="17" xfId="0" applyFont="1" applyFill="1" applyBorder="1" applyAlignment="1">
      <alignment horizontal="left" vertical="center" wrapText="1"/>
    </xf>
    <xf numFmtId="0" fontId="55" fillId="6" borderId="17" xfId="0" applyFont="1" applyFill="1" applyBorder="1" applyAlignment="1">
      <alignment horizontal="center" vertical="center" wrapText="1"/>
    </xf>
    <xf numFmtId="0" fontId="53" fillId="6" borderId="25" xfId="0" applyFont="1" applyFill="1" applyBorder="1" applyAlignment="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Protection="1">
      <alignment vertical="center"/>
      <protection locked="0"/>
    </xf>
    <xf numFmtId="49" fontId="52" fillId="6" borderId="6" xfId="0" applyNumberFormat="1" applyFont="1" applyFill="1" applyBorder="1" applyAlignment="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lignment vertical="center" wrapText="1"/>
    </xf>
    <xf numFmtId="0" fontId="53" fillId="6" borderId="10" xfId="0" applyFont="1" applyFill="1" applyBorder="1" applyAlignment="1">
      <alignment vertical="center" wrapText="1"/>
    </xf>
    <xf numFmtId="0" fontId="53" fillId="6" borderId="23" xfId="8" applyFont="1" applyFill="1" applyBorder="1" applyAlignment="1">
      <alignment horizontal="center" vertical="center" wrapText="1"/>
    </xf>
    <xf numFmtId="0" fontId="53" fillId="6" borderId="1" xfId="0" applyFont="1" applyFill="1" applyBorder="1" applyAlignment="1">
      <alignment horizontal="left" vertical="center" wrapText="1"/>
    </xf>
    <xf numFmtId="0" fontId="53" fillId="6" borderId="13" xfId="0" applyFont="1" applyFill="1" applyBorder="1" applyAlignment="1">
      <alignment horizontal="left" vertical="center" wrapText="1"/>
    </xf>
    <xf numFmtId="186" fontId="55" fillId="6" borderId="15" xfId="0" applyNumberFormat="1" applyFont="1" applyFill="1" applyBorder="1" applyAlignment="1">
      <alignment horizontal="center" vertical="center" wrapText="1"/>
    </xf>
    <xf numFmtId="186" fontId="55" fillId="6" borderId="58" xfId="0" applyNumberFormat="1" applyFont="1" applyFill="1" applyBorder="1" applyAlignment="1">
      <alignment horizontal="center" vertical="center" wrapText="1"/>
    </xf>
    <xf numFmtId="0" fontId="55" fillId="6" borderId="22" xfId="0" applyFont="1" applyFill="1" applyBorder="1" applyAlignment="1">
      <alignment vertical="center" wrapText="1"/>
    </xf>
    <xf numFmtId="0" fontId="53" fillId="6" borderId="13" xfId="0" applyFont="1" applyFill="1" applyBorder="1" applyAlignment="1">
      <alignment vertical="center" wrapText="1"/>
    </xf>
    <xf numFmtId="0" fontId="53" fillId="6" borderId="61" xfId="0" applyFont="1" applyFill="1" applyBorder="1" applyAlignment="1">
      <alignment vertical="center" wrapText="1"/>
    </xf>
    <xf numFmtId="0" fontId="53" fillId="6" borderId="84" xfId="0" applyFont="1" applyFill="1" applyBorder="1" applyAlignment="1">
      <alignment vertical="center" wrapText="1"/>
    </xf>
    <xf numFmtId="0" fontId="53" fillId="6" borderId="67" xfId="0" applyFont="1" applyFill="1" applyBorder="1" applyAlignment="1">
      <alignment vertical="center" wrapText="1"/>
    </xf>
    <xf numFmtId="0" fontId="53" fillId="6" borderId="25" xfId="8" applyFont="1" applyFill="1" applyBorder="1" applyAlignment="1">
      <alignment horizontal="center" vertical="center" wrapText="1"/>
    </xf>
    <xf numFmtId="0" fontId="52" fillId="6" borderId="28" xfId="0" applyFont="1" applyFill="1" applyBorder="1" applyAlignment="1">
      <alignment horizontal="left" vertical="center" wrapText="1"/>
    </xf>
    <xf numFmtId="0" fontId="56" fillId="6" borderId="19" xfId="0" applyFont="1" applyFill="1" applyBorder="1" applyAlignment="1">
      <alignment vertical="center" wrapText="1"/>
    </xf>
    <xf numFmtId="49" fontId="52" fillId="6" borderId="14" xfId="0" applyNumberFormat="1" applyFont="1" applyFill="1" applyBorder="1" applyAlignment="1">
      <alignment horizontal="center" vertical="center" wrapText="1"/>
    </xf>
    <xf numFmtId="0" fontId="55" fillId="6" borderId="58" xfId="0" applyFont="1" applyFill="1" applyBorder="1" applyAlignment="1">
      <alignment vertical="center" wrapText="1"/>
    </xf>
    <xf numFmtId="0" fontId="56" fillId="6" borderId="0" xfId="0" applyFont="1" applyFill="1" applyAlignment="1">
      <alignment vertical="center" wrapText="1"/>
    </xf>
    <xf numFmtId="0" fontId="55" fillId="6" borderId="56" xfId="0" applyFont="1" applyFill="1" applyBorder="1" applyAlignment="1">
      <alignment vertical="center" wrapText="1"/>
    </xf>
    <xf numFmtId="0" fontId="53" fillId="6" borderId="0" xfId="0" applyFont="1" applyFill="1" applyAlignment="1">
      <alignment horizontal="left" vertical="center" wrapText="1"/>
    </xf>
    <xf numFmtId="0" fontId="55" fillId="6" borderId="75" xfId="0" applyFont="1" applyFill="1" applyBorder="1" applyAlignment="1">
      <alignment vertical="center" wrapText="1"/>
    </xf>
    <xf numFmtId="0" fontId="55" fillId="6" borderId="47" xfId="0" applyFont="1" applyFill="1" applyBorder="1" applyAlignment="1">
      <alignment vertical="center" wrapText="1"/>
    </xf>
    <xf numFmtId="0" fontId="56" fillId="6" borderId="47" xfId="0" applyFont="1" applyFill="1" applyBorder="1" applyAlignment="1">
      <alignment vertical="center" wrapText="1"/>
    </xf>
    <xf numFmtId="0" fontId="55" fillId="6" borderId="43" xfId="0" applyFont="1" applyFill="1" applyBorder="1" applyAlignment="1">
      <alignment vertical="center" wrapText="1"/>
    </xf>
    <xf numFmtId="49" fontId="52" fillId="6" borderId="40" xfId="0" applyNumberFormat="1" applyFont="1" applyFill="1" applyBorder="1" applyAlignment="1">
      <alignment horizontal="center" vertical="center" wrapText="1"/>
    </xf>
    <xf numFmtId="0" fontId="56" fillId="6" borderId="30" xfId="0" applyFont="1" applyFill="1" applyBorder="1" applyAlignment="1">
      <alignment vertical="center" wrapText="1"/>
    </xf>
    <xf numFmtId="0" fontId="52" fillId="6" borderId="9"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56" fillId="6" borderId="28" xfId="0" applyFont="1" applyFill="1" applyBorder="1" applyAlignment="1">
      <alignment vertical="center" wrapText="1"/>
    </xf>
    <xf numFmtId="0" fontId="55" fillId="6" borderId="14" xfId="0" applyFont="1" applyFill="1" applyBorder="1" applyAlignment="1">
      <alignment horizontal="center" vertical="center" wrapText="1"/>
    </xf>
    <xf numFmtId="0" fontId="55" fillId="6" borderId="3" xfId="0" applyFont="1" applyFill="1" applyBorder="1" applyAlignment="1">
      <alignment horizontal="left" vertical="center" wrapText="1"/>
    </xf>
    <xf numFmtId="0" fontId="55" fillId="0" borderId="1" xfId="0" applyFont="1" applyBorder="1" applyAlignment="1" applyProtection="1">
      <alignment vertical="center" wrapText="1"/>
      <protection locked="0"/>
    </xf>
    <xf numFmtId="0" fontId="101" fillId="6" borderId="54" xfId="0" applyFont="1" applyFill="1" applyBorder="1">
      <alignment vertical="center"/>
    </xf>
    <xf numFmtId="0" fontId="101" fillId="6" borderId="48" xfId="0" applyFont="1" applyFill="1" applyBorder="1">
      <alignment vertical="center"/>
    </xf>
    <xf numFmtId="0" fontId="56" fillId="6" borderId="12" xfId="0" applyFont="1" applyFill="1" applyBorder="1" applyAlignment="1">
      <alignment vertical="center" wrapText="1"/>
    </xf>
    <xf numFmtId="0" fontId="55" fillId="6" borderId="66" xfId="0" applyFont="1" applyFill="1" applyBorder="1" applyAlignment="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lignment vertical="center"/>
    </xf>
    <xf numFmtId="0" fontId="55" fillId="6" borderId="52" xfId="0" applyFont="1" applyFill="1" applyBorder="1" applyAlignment="1">
      <alignment vertical="center" wrapText="1"/>
    </xf>
    <xf numFmtId="0" fontId="55" fillId="6" borderId="68" xfId="0" applyFont="1" applyFill="1" applyBorder="1" applyAlignment="1">
      <alignment vertical="center" wrapText="1"/>
    </xf>
    <xf numFmtId="0" fontId="56" fillId="6" borderId="40" xfId="0" applyFont="1" applyFill="1" applyBorder="1" applyAlignment="1">
      <alignment vertical="center" wrapText="1"/>
    </xf>
    <xf numFmtId="0" fontId="56" fillId="6" borderId="39" xfId="0" applyFont="1" applyFill="1" applyBorder="1" applyAlignment="1">
      <alignment horizontal="left" vertical="center" wrapText="1"/>
    </xf>
    <xf numFmtId="0" fontId="55" fillId="6" borderId="20" xfId="0" applyFont="1" applyFill="1" applyBorder="1">
      <alignment vertical="center"/>
    </xf>
    <xf numFmtId="0" fontId="55" fillId="6" borderId="30" xfId="0" applyFont="1" applyFill="1" applyBorder="1">
      <alignment vertical="center"/>
    </xf>
    <xf numFmtId="0" fontId="56" fillId="6" borderId="7" xfId="0" applyFont="1" applyFill="1" applyBorder="1" applyAlignment="1">
      <alignment vertical="center" wrapText="1"/>
    </xf>
    <xf numFmtId="0" fontId="52" fillId="6" borderId="2" xfId="0" applyFont="1" applyFill="1" applyBorder="1" applyAlignment="1">
      <alignment horizontal="center" vertical="center" wrapText="1"/>
    </xf>
    <xf numFmtId="0" fontId="101" fillId="6" borderId="7" xfId="0" applyFont="1" applyFill="1" applyBorder="1" applyAlignment="1">
      <alignment horizontal="center" vertical="center" wrapText="1"/>
    </xf>
    <xf numFmtId="0" fontId="56" fillId="6" borderId="14" xfId="0" applyFont="1" applyFill="1" applyBorder="1" applyAlignment="1">
      <alignment vertical="center" wrapText="1"/>
    </xf>
    <xf numFmtId="0" fontId="55" fillId="6" borderId="16" xfId="0" applyFont="1" applyFill="1" applyBorder="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lignment horizontal="center" vertical="center"/>
    </xf>
    <xf numFmtId="0" fontId="101" fillId="6" borderId="66" xfId="0" applyFont="1" applyFill="1" applyBorder="1" applyAlignment="1">
      <alignment horizontal="center" vertical="center" wrapText="1"/>
    </xf>
    <xf numFmtId="0" fontId="55" fillId="6" borderId="43" xfId="0" applyFont="1" applyFill="1" applyBorder="1" applyAlignment="1">
      <alignment horizontal="center" vertical="center" wrapText="1"/>
    </xf>
    <xf numFmtId="0" fontId="55" fillId="6" borderId="25" xfId="0" applyFont="1" applyFill="1" applyBorder="1" applyAlignment="1">
      <alignment vertical="center" wrapText="1"/>
    </xf>
    <xf numFmtId="9" fontId="55" fillId="6" borderId="49" xfId="0" applyNumberFormat="1" applyFont="1" applyFill="1" applyBorder="1" applyAlignment="1">
      <alignment horizontal="center" vertical="center" wrapText="1"/>
    </xf>
    <xf numFmtId="0" fontId="55" fillId="7" borderId="0" xfId="0" applyFont="1" applyFill="1" applyAlignment="1" applyProtection="1">
      <alignment horizontal="left" vertical="center" wrapText="1"/>
      <protection locked="0"/>
    </xf>
    <xf numFmtId="0" fontId="111" fillId="6" borderId="0" xfId="0" applyFont="1" applyFill="1">
      <alignment vertical="center"/>
    </xf>
    <xf numFmtId="186" fontId="100" fillId="6" borderId="0" xfId="0" applyNumberFormat="1" applyFont="1" applyFill="1" applyAlignment="1">
      <alignment horizontal="center" vertical="center" wrapText="1"/>
    </xf>
    <xf numFmtId="0" fontId="111" fillId="6" borderId="51" xfId="0" applyFont="1" applyFill="1" applyBorder="1">
      <alignment vertical="center"/>
    </xf>
    <xf numFmtId="186" fontId="206" fillId="6" borderId="19" xfId="0" applyNumberFormat="1" applyFont="1" applyFill="1" applyBorder="1" applyAlignment="1">
      <alignment horizontal="center" vertical="center" wrapText="1"/>
    </xf>
    <xf numFmtId="0" fontId="111" fillId="6" borderId="0" xfId="0" applyFont="1" applyFill="1" applyAlignment="1">
      <alignment horizontal="center" vertical="center"/>
    </xf>
    <xf numFmtId="0" fontId="101" fillId="6" borderId="23" xfId="0" applyFont="1" applyFill="1" applyBorder="1" applyAlignment="1">
      <alignment horizontal="center" vertical="center" wrapText="1"/>
    </xf>
    <xf numFmtId="0" fontId="115" fillId="6" borderId="58" xfId="0" applyFont="1" applyFill="1" applyBorder="1" applyAlignment="1">
      <alignment horizontal="center" vertical="center" wrapText="1"/>
    </xf>
    <xf numFmtId="0" fontId="115" fillId="6" borderId="1" xfId="0" applyFont="1" applyFill="1" applyBorder="1" applyAlignment="1">
      <alignment horizontal="center" vertical="center" wrapText="1"/>
    </xf>
    <xf numFmtId="49" fontId="101" fillId="6" borderId="1" xfId="0" applyNumberFormat="1" applyFont="1" applyFill="1" applyBorder="1" applyAlignment="1">
      <alignment horizontal="center" vertical="center" wrapText="1"/>
    </xf>
    <xf numFmtId="0" fontId="170" fillId="0" borderId="1" xfId="0" applyFont="1" applyBorder="1" applyAlignment="1" applyProtection="1">
      <alignment horizontal="center" vertical="center" wrapText="1"/>
      <protection locked="0"/>
    </xf>
    <xf numFmtId="0" fontId="170" fillId="0" borderId="13" xfId="0" applyFont="1" applyBorder="1" applyAlignment="1" applyProtection="1">
      <alignment horizontal="center" vertical="center" wrapText="1"/>
      <protection locked="0"/>
    </xf>
    <xf numFmtId="0" fontId="101" fillId="6" borderId="37" xfId="0" applyFont="1" applyFill="1" applyBorder="1" applyAlignment="1">
      <alignment horizontal="center" vertical="center" wrapText="1"/>
    </xf>
    <xf numFmtId="0" fontId="101" fillId="6" borderId="25" xfId="0" applyFont="1" applyFill="1" applyBorder="1" applyAlignment="1">
      <alignment horizontal="center" vertical="center" wrapText="1"/>
    </xf>
    <xf numFmtId="49" fontId="101" fillId="6" borderId="74" xfId="0" applyNumberFormat="1" applyFont="1" applyFill="1" applyBorder="1" applyAlignment="1">
      <alignment horizontal="center" vertical="center" wrapText="1"/>
    </xf>
    <xf numFmtId="49" fontId="101" fillId="6" borderId="32" xfId="0" applyNumberFormat="1" applyFont="1" applyFill="1" applyBorder="1" applyAlignment="1">
      <alignment horizontal="center" vertical="center" wrapText="1"/>
    </xf>
    <xf numFmtId="0" fontId="55" fillId="0" borderId="0" xfId="0" applyFont="1" applyAlignment="1" applyProtection="1">
      <alignment horizontal="center" vertical="center" wrapText="1"/>
      <protection locked="0"/>
    </xf>
    <xf numFmtId="0" fontId="170" fillId="0" borderId="32" xfId="0" applyFont="1" applyBorder="1" applyAlignment="1" applyProtection="1">
      <alignment horizontal="center" vertical="center" wrapText="1"/>
      <protection locked="0"/>
    </xf>
    <xf numFmtId="0" fontId="101" fillId="6" borderId="32" xfId="0" applyFont="1" applyFill="1" applyBorder="1" applyAlignment="1">
      <alignment horizontal="center" vertical="center" wrapText="1"/>
    </xf>
    <xf numFmtId="0" fontId="55" fillId="0" borderId="0" xfId="0" applyFont="1" applyAlignment="1">
      <alignment horizontal="left" vertical="center" wrapText="1"/>
    </xf>
    <xf numFmtId="0" fontId="126" fillId="6" borderId="1" xfId="0" applyFont="1" applyFill="1" applyBorder="1">
      <alignment vertical="center"/>
    </xf>
    <xf numFmtId="0" fontId="100" fillId="6" borderId="1" xfId="0" applyFont="1" applyFill="1" applyBorder="1">
      <alignment vertical="center"/>
    </xf>
    <xf numFmtId="0" fontId="54" fillId="6" borderId="95" xfId="0" applyFont="1" applyFill="1" applyBorder="1" applyAlignment="1">
      <alignment horizontal="center" vertical="center" wrapText="1"/>
    </xf>
    <xf numFmtId="0" fontId="49" fillId="10" borderId="16" xfId="0" applyFont="1" applyFill="1" applyBorder="1" applyAlignment="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Protection="1">
      <alignment vertical="center"/>
      <protection locked="0"/>
    </xf>
    <xf numFmtId="0" fontId="59" fillId="5" borderId="49" xfId="1" applyFont="1" applyFill="1" applyBorder="1" applyProtection="1">
      <alignment vertical="center"/>
      <protection locked="0"/>
    </xf>
    <xf numFmtId="181" fontId="101" fillId="6" borderId="1" xfId="0" applyNumberFormat="1" applyFont="1" applyFill="1" applyBorder="1" applyAlignment="1">
      <alignment horizontal="center" vertical="center" wrapText="1"/>
    </xf>
    <xf numFmtId="0" fontId="21" fillId="6" borderId="1" xfId="0" applyFont="1" applyFill="1" applyBorder="1" applyAlignment="1">
      <alignment vertical="center" wrapText="1"/>
    </xf>
    <xf numFmtId="0" fontId="55" fillId="6" borderId="33" xfId="0" applyFont="1" applyFill="1" applyBorder="1" applyAlignment="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lignment horizontal="center" vertical="center" wrapText="1"/>
    </xf>
    <xf numFmtId="49" fontId="52" fillId="6" borderId="12" xfId="0" applyNumberFormat="1" applyFont="1" applyFill="1" applyBorder="1" applyAlignment="1">
      <alignment horizontal="left" vertical="center" wrapText="1"/>
    </xf>
    <xf numFmtId="0" fontId="52" fillId="6" borderId="74" xfId="0" applyFont="1" applyFill="1" applyBorder="1" applyAlignment="1">
      <alignment horizontal="left" vertical="center" wrapText="1"/>
    </xf>
    <xf numFmtId="0" fontId="52" fillId="6" borderId="75" xfId="0" applyFont="1" applyFill="1" applyBorder="1" applyAlignment="1">
      <alignment horizontal="center" vertical="center" wrapText="1"/>
    </xf>
    <xf numFmtId="0" fontId="55" fillId="6" borderId="75" xfId="0" applyFont="1" applyFill="1" applyBorder="1">
      <alignment vertical="center"/>
    </xf>
    <xf numFmtId="0" fontId="52" fillId="6" borderId="47" xfId="0" applyFont="1" applyFill="1" applyBorder="1" applyAlignment="1">
      <alignment horizontal="center" vertical="center" wrapText="1"/>
    </xf>
    <xf numFmtId="0" fontId="53" fillId="6" borderId="43" xfId="0" applyFont="1" applyFill="1" applyBorder="1" applyAlignment="1">
      <alignment vertical="center" wrapText="1"/>
    </xf>
    <xf numFmtId="0" fontId="55" fillId="6" borderId="32" xfId="0" applyFont="1" applyFill="1" applyBorder="1" applyAlignment="1">
      <alignment horizontal="left" vertical="center"/>
    </xf>
    <xf numFmtId="0" fontId="55" fillId="6" borderId="74" xfId="0" applyFont="1" applyFill="1" applyBorder="1" applyAlignment="1">
      <alignment horizontal="center" vertical="center" wrapText="1"/>
    </xf>
    <xf numFmtId="0" fontId="55" fillId="6" borderId="75" xfId="0" applyFont="1" applyFill="1" applyBorder="1" applyAlignment="1">
      <alignment horizontal="center" vertical="center" wrapText="1"/>
    </xf>
    <xf numFmtId="0" fontId="55" fillId="6" borderId="76" xfId="0" applyFont="1" applyFill="1" applyBorder="1" applyAlignment="1">
      <alignment horizontal="center" vertical="center" wrapText="1"/>
    </xf>
    <xf numFmtId="0" fontId="55" fillId="6" borderId="84" xfId="0" applyFont="1" applyFill="1" applyBorder="1" applyAlignment="1">
      <alignment horizontal="center" vertical="center"/>
    </xf>
    <xf numFmtId="0" fontId="145" fillId="12" borderId="126" xfId="16" applyFont="1" applyFill="1" applyBorder="1" applyAlignment="1">
      <alignment horizontal="left" vertical="center" wrapText="1"/>
    </xf>
    <xf numFmtId="0" fontId="145" fillId="12" borderId="130" xfId="16" applyFont="1" applyFill="1" applyBorder="1" applyAlignment="1">
      <alignment horizontal="left" vertical="center" wrapText="1"/>
    </xf>
    <xf numFmtId="0" fontId="104" fillId="0" borderId="0" xfId="9" applyFont="1" applyAlignment="1">
      <alignment horizontal="left" vertical="center"/>
    </xf>
    <xf numFmtId="0" fontId="104" fillId="0" borderId="119" xfId="9" applyFont="1" applyBorder="1" applyAlignment="1">
      <alignment horizontal="left" vertical="center"/>
    </xf>
    <xf numFmtId="0" fontId="99" fillId="6" borderId="119" xfId="10" applyFont="1" applyFill="1" applyBorder="1" applyAlignment="1">
      <alignment horizontal="left" vertical="center"/>
    </xf>
    <xf numFmtId="0" fontId="24" fillId="6" borderId="119" xfId="10" applyFont="1" applyFill="1" applyBorder="1" applyAlignment="1">
      <alignment horizontal="left" vertical="center"/>
    </xf>
    <xf numFmtId="0" fontId="104" fillId="0" borderId="120" xfId="9" applyFont="1" applyBorder="1" applyAlignment="1">
      <alignment horizontal="left" vertical="center"/>
    </xf>
    <xf numFmtId="0" fontId="140" fillId="15" borderId="0" xfId="9" applyFont="1" applyFill="1" applyAlignment="1">
      <alignment horizontal="left" vertical="center"/>
    </xf>
    <xf numFmtId="0" fontId="100" fillId="15" borderId="0" xfId="10" applyFont="1" applyFill="1" applyAlignment="1">
      <alignment horizontal="left" vertical="center"/>
    </xf>
    <xf numFmtId="0" fontId="24" fillId="15" borderId="0" xfId="10" applyFont="1" applyFill="1" applyAlignment="1">
      <alignment horizontal="left" vertical="center"/>
    </xf>
    <xf numFmtId="0" fontId="104" fillId="15" borderId="121" xfId="9" applyFont="1" applyFill="1" applyBorder="1" applyAlignment="1">
      <alignment horizontal="left" vertical="center"/>
    </xf>
    <xf numFmtId="0" fontId="104" fillId="15" borderId="0" xfId="9" applyFont="1" applyFill="1" applyAlignment="1">
      <alignment horizontal="left" vertical="center"/>
    </xf>
    <xf numFmtId="0" fontId="146" fillId="15" borderId="0" xfId="9" applyFont="1" applyFill="1" applyAlignment="1" applyProtection="1">
      <alignment horizontal="left" vertical="center"/>
      <protection locked="0"/>
    </xf>
    <xf numFmtId="0" fontId="138" fillId="15" borderId="0" xfId="9" applyFont="1" applyFill="1" applyAlignment="1">
      <alignment horizontal="left" vertical="center"/>
    </xf>
    <xf numFmtId="0" fontId="101" fillId="15" borderId="0" xfId="9" applyFont="1" applyFill="1" applyAlignment="1">
      <alignment horizontal="left" vertical="center"/>
    </xf>
    <xf numFmtId="10" fontId="101" fillId="15" borderId="0" xfId="9" applyNumberFormat="1" applyFont="1" applyFill="1" applyAlignment="1">
      <alignment horizontal="left" vertical="center"/>
    </xf>
    <xf numFmtId="0" fontId="100" fillId="0" borderId="0" xfId="10" applyFont="1" applyAlignment="1">
      <alignment horizontal="left" vertical="center"/>
    </xf>
    <xf numFmtId="0" fontId="24" fillId="0" borderId="0" xfId="10" applyFont="1" applyAlignment="1">
      <alignment horizontal="left" vertical="center"/>
    </xf>
    <xf numFmtId="0" fontId="104" fillId="0" borderId="121" xfId="9" applyFont="1" applyBorder="1" applyAlignment="1">
      <alignment horizontal="left" vertical="center"/>
    </xf>
    <xf numFmtId="0" fontId="104" fillId="0" borderId="0" xfId="9" applyFont="1" applyAlignment="1" applyProtection="1">
      <alignment horizontal="left" vertical="center"/>
      <protection locked="0"/>
    </xf>
    <xf numFmtId="0" fontId="101" fillId="0" borderId="0" xfId="9" applyFont="1" applyAlignment="1">
      <alignment horizontal="left" vertical="center"/>
    </xf>
    <xf numFmtId="10" fontId="101" fillId="0" borderId="0" xfId="9" applyNumberFormat="1" applyFont="1" applyAlignment="1">
      <alignment horizontal="left" vertical="center"/>
    </xf>
    <xf numFmtId="49" fontId="55" fillId="13" borderId="1" xfId="9" applyNumberFormat="1" applyFont="1" applyFill="1" applyBorder="1" applyAlignment="1">
      <alignment horizontal="left" vertical="center" wrapText="1"/>
    </xf>
    <xf numFmtId="185" fontId="146" fillId="13" borderId="0" xfId="9" applyNumberFormat="1" applyFont="1" applyFill="1" applyAlignment="1">
      <alignment horizontal="left" vertical="center"/>
    </xf>
    <xf numFmtId="0" fontId="145" fillId="11" borderId="125" xfId="9" applyFont="1" applyFill="1" applyBorder="1" applyAlignment="1">
      <alignment horizontal="left" vertical="center" wrapText="1"/>
    </xf>
    <xf numFmtId="0" fontId="145" fillId="13" borderId="126" xfId="9" applyFont="1" applyFill="1" applyBorder="1" applyAlignment="1">
      <alignment horizontal="left" vertical="center" wrapText="1"/>
    </xf>
    <xf numFmtId="0" fontId="146" fillId="13" borderId="0" xfId="9" applyFont="1" applyFill="1" applyAlignment="1" applyProtection="1">
      <alignment horizontal="left" vertical="center"/>
      <protection locked="0"/>
    </xf>
    <xf numFmtId="0" fontId="104" fillId="13" borderId="0" xfId="9" applyFont="1" applyFill="1" applyAlignment="1">
      <alignment horizontal="left" vertical="center"/>
    </xf>
    <xf numFmtId="10" fontId="146" fillId="13" borderId="128" xfId="9" applyNumberFormat="1" applyFont="1" applyFill="1" applyBorder="1" applyAlignment="1">
      <alignment horizontal="left" vertical="center"/>
    </xf>
    <xf numFmtId="0" fontId="104" fillId="13" borderId="121" xfId="9" applyFont="1" applyFill="1" applyBorder="1" applyAlignment="1">
      <alignment horizontal="left" vertical="center"/>
    </xf>
    <xf numFmtId="0" fontId="115" fillId="5" borderId="0" xfId="9" applyFont="1" applyFill="1" applyAlignment="1">
      <alignment horizontal="left" vertical="center"/>
    </xf>
    <xf numFmtId="0" fontId="101" fillId="13" borderId="0" xfId="9" applyFont="1" applyFill="1" applyAlignment="1">
      <alignment horizontal="left" vertical="center"/>
    </xf>
    <xf numFmtId="10" fontId="101" fillId="13" borderId="0" xfId="9" applyNumberFormat="1" applyFont="1" applyFill="1" applyAlignment="1">
      <alignment horizontal="left" vertical="center"/>
    </xf>
    <xf numFmtId="49" fontId="55" fillId="6" borderId="1" xfId="9" applyNumberFormat="1" applyFont="1" applyFill="1" applyBorder="1" applyAlignment="1">
      <alignment horizontal="left" vertical="center" wrapText="1"/>
    </xf>
    <xf numFmtId="185" fontId="101" fillId="0" borderId="0" xfId="9" applyNumberFormat="1" applyFont="1" applyAlignment="1">
      <alignment horizontal="left" vertical="center"/>
    </xf>
    <xf numFmtId="0" fontId="145" fillId="12" borderId="126" xfId="9" applyFont="1" applyFill="1" applyBorder="1" applyAlignment="1">
      <alignment horizontal="left" vertical="center" wrapText="1"/>
    </xf>
    <xf numFmtId="10" fontId="101" fillId="0" borderId="121" xfId="9" applyNumberFormat="1" applyFont="1" applyBorder="1" applyAlignment="1">
      <alignment horizontal="left" vertical="center"/>
    </xf>
    <xf numFmtId="177" fontId="101" fillId="0" borderId="0" xfId="9" applyNumberFormat="1" applyFont="1" applyAlignment="1">
      <alignment horizontal="left" vertical="center"/>
    </xf>
    <xf numFmtId="0" fontId="146" fillId="13" borderId="0" xfId="9" applyFont="1" applyFill="1" applyAlignment="1">
      <alignment horizontal="left" vertical="center"/>
    </xf>
    <xf numFmtId="0" fontId="145" fillId="12" borderId="130" xfId="9" applyFont="1" applyFill="1" applyBorder="1" applyAlignment="1">
      <alignment horizontal="left" vertical="center" wrapText="1"/>
    </xf>
    <xf numFmtId="0" fontId="145" fillId="11" borderId="123" xfId="9" applyFont="1" applyFill="1" applyBorder="1" applyAlignment="1">
      <alignment horizontal="left" vertical="center" wrapText="1"/>
    </xf>
    <xf numFmtId="0" fontId="145" fillId="11" borderId="124" xfId="9" applyFont="1" applyFill="1" applyBorder="1" applyAlignment="1">
      <alignment horizontal="left" vertical="center" wrapText="1"/>
    </xf>
    <xf numFmtId="185" fontId="104" fillId="11" borderId="123" xfId="9" applyNumberFormat="1" applyFont="1" applyFill="1" applyBorder="1" applyAlignment="1">
      <alignment horizontal="left" vertical="center" wrapText="1"/>
    </xf>
    <xf numFmtId="185" fontId="104" fillId="11" borderId="129" xfId="9" applyNumberFormat="1" applyFont="1" applyFill="1" applyBorder="1" applyAlignment="1">
      <alignment horizontal="left" vertical="center" wrapText="1"/>
    </xf>
    <xf numFmtId="0" fontId="145" fillId="11" borderId="126" xfId="9" applyFont="1" applyFill="1" applyBorder="1" applyAlignment="1">
      <alignment horizontal="left" vertical="center" wrapText="1"/>
    </xf>
    <xf numFmtId="0" fontId="145" fillId="11" borderId="130" xfId="9" applyFont="1" applyFill="1" applyBorder="1" applyAlignment="1">
      <alignment horizontal="left" vertical="center" wrapText="1"/>
    </xf>
    <xf numFmtId="181" fontId="101" fillId="0" borderId="121" xfId="9" applyNumberFormat="1" applyFont="1" applyBorder="1" applyAlignment="1">
      <alignment horizontal="left" vertical="center"/>
    </xf>
    <xf numFmtId="181" fontId="101" fillId="0" borderId="0" xfId="9" applyNumberFormat="1" applyFont="1" applyAlignment="1">
      <alignment horizontal="left" vertical="center"/>
    </xf>
    <xf numFmtId="10" fontId="101" fillId="0" borderId="128" xfId="9" applyNumberFormat="1" applyFont="1" applyBorder="1" applyAlignment="1">
      <alignment horizontal="left" vertical="center"/>
    </xf>
    <xf numFmtId="10" fontId="101" fillId="0" borderId="60" xfId="9" applyNumberFormat="1" applyFont="1" applyBorder="1" applyAlignment="1">
      <alignment horizontal="left" vertical="center"/>
    </xf>
    <xf numFmtId="0" fontId="145" fillId="11" borderId="132" xfId="9" applyFont="1" applyFill="1" applyBorder="1" applyAlignment="1">
      <alignment horizontal="left" vertical="center" wrapText="1"/>
    </xf>
    <xf numFmtId="0" fontId="145" fillId="11" borderId="133" xfId="9" applyFont="1" applyFill="1" applyBorder="1" applyAlignment="1">
      <alignment horizontal="left" vertical="center" wrapText="1"/>
    </xf>
    <xf numFmtId="10" fontId="101" fillId="0" borderId="134" xfId="9" applyNumberFormat="1" applyFont="1" applyBorder="1" applyAlignment="1">
      <alignment horizontal="left" vertical="center"/>
    </xf>
    <xf numFmtId="10" fontId="101" fillId="0" borderId="36" xfId="9" applyNumberFormat="1" applyFont="1" applyBorder="1" applyAlignment="1">
      <alignment horizontal="left" vertical="center"/>
    </xf>
    <xf numFmtId="0" fontId="101" fillId="0" borderId="121" xfId="9" applyFont="1" applyBorder="1" applyAlignment="1">
      <alignment horizontal="left" vertical="center"/>
    </xf>
    <xf numFmtId="0" fontId="145" fillId="12" borderId="123" xfId="9" applyFont="1" applyFill="1" applyBorder="1" applyAlignment="1">
      <alignment horizontal="left" vertical="center" wrapText="1"/>
    </xf>
    <xf numFmtId="0" fontId="145" fillId="12" borderId="124" xfId="9" applyFont="1" applyFill="1" applyBorder="1" applyAlignment="1">
      <alignment horizontal="left" vertical="center" wrapText="1"/>
    </xf>
    <xf numFmtId="185" fontId="104" fillId="11" borderId="126" xfId="9" applyNumberFormat="1" applyFont="1" applyFill="1" applyBorder="1" applyAlignment="1">
      <alignment horizontal="left" vertical="center" wrapText="1"/>
    </xf>
    <xf numFmtId="185" fontId="104" fillId="11" borderId="135" xfId="9" applyNumberFormat="1" applyFont="1" applyFill="1" applyBorder="1" applyAlignment="1">
      <alignment horizontal="left" vertical="center" wrapText="1"/>
    </xf>
    <xf numFmtId="0" fontId="101" fillId="12" borderId="123" xfId="9" applyFont="1" applyFill="1" applyBorder="1" applyAlignment="1">
      <alignment horizontal="left" vertical="center" wrapText="1"/>
    </xf>
    <xf numFmtId="0" fontId="101" fillId="12" borderId="124" xfId="9" applyFont="1" applyFill="1" applyBorder="1" applyAlignment="1">
      <alignment horizontal="left" vertical="center" wrapText="1"/>
    </xf>
    <xf numFmtId="49" fontId="55" fillId="5" borderId="1" xfId="9" applyNumberFormat="1" applyFont="1" applyFill="1" applyBorder="1" applyAlignment="1">
      <alignment horizontal="left" vertical="center" wrapText="1"/>
    </xf>
    <xf numFmtId="185" fontId="101" fillId="5" borderId="0" xfId="9" applyNumberFormat="1" applyFont="1" applyFill="1" applyAlignment="1">
      <alignment horizontal="left" vertical="center"/>
    </xf>
    <xf numFmtId="0" fontId="101" fillId="5" borderId="126" xfId="9" applyFont="1" applyFill="1" applyBorder="1" applyAlignment="1">
      <alignment horizontal="left" vertical="center" wrapText="1"/>
    </xf>
    <xf numFmtId="0" fontId="101" fillId="5" borderId="130" xfId="9" applyFont="1" applyFill="1" applyBorder="1" applyAlignment="1">
      <alignment horizontal="left" vertical="center" wrapText="1"/>
    </xf>
    <xf numFmtId="0" fontId="101" fillId="5" borderId="0" xfId="9" applyFont="1" applyFill="1" applyAlignment="1">
      <alignment horizontal="left" vertical="center"/>
    </xf>
    <xf numFmtId="10" fontId="101" fillId="5" borderId="121" xfId="9" applyNumberFormat="1" applyFont="1" applyFill="1" applyBorder="1" applyAlignment="1">
      <alignment horizontal="left" vertical="center"/>
    </xf>
    <xf numFmtId="10" fontId="101" fillId="5" borderId="0" xfId="9" applyNumberFormat="1" applyFont="1" applyFill="1" applyAlignment="1">
      <alignment horizontal="left" vertical="center"/>
    </xf>
    <xf numFmtId="177" fontId="101" fillId="5" borderId="0" xfId="9" applyNumberFormat="1" applyFont="1" applyFill="1" applyAlignment="1">
      <alignment horizontal="left" vertical="center"/>
    </xf>
    <xf numFmtId="10" fontId="101" fillId="5" borderId="128" xfId="9" applyNumberFormat="1" applyFont="1" applyFill="1" applyBorder="1" applyAlignment="1">
      <alignment horizontal="left" vertical="center"/>
    </xf>
    <xf numFmtId="10" fontId="101" fillId="5" borderId="60" xfId="9" applyNumberFormat="1" applyFont="1" applyFill="1" applyBorder="1" applyAlignment="1">
      <alignment horizontal="left" vertical="center"/>
    </xf>
    <xf numFmtId="0" fontId="124" fillId="5" borderId="0" xfId="9" applyFont="1" applyFill="1" applyAlignment="1">
      <alignment horizontal="left" vertical="center"/>
    </xf>
    <xf numFmtId="0" fontId="101" fillId="11" borderId="132" xfId="9" applyFont="1" applyFill="1" applyBorder="1" applyAlignment="1">
      <alignment horizontal="left" vertical="center" wrapText="1"/>
    </xf>
    <xf numFmtId="0" fontId="101" fillId="11" borderId="133" xfId="9" applyFont="1" applyFill="1" applyBorder="1" applyAlignment="1">
      <alignment horizontal="left" vertical="center" wrapText="1"/>
    </xf>
    <xf numFmtId="14" fontId="101" fillId="0" borderId="0" xfId="9" applyNumberFormat="1" applyFont="1" applyAlignment="1">
      <alignment horizontal="left" vertical="center"/>
    </xf>
    <xf numFmtId="0" fontId="124" fillId="0" borderId="0" xfId="9" applyFont="1" applyAlignment="1">
      <alignment horizontal="left" vertical="center"/>
    </xf>
    <xf numFmtId="185" fontId="104" fillId="11" borderId="132" xfId="9" applyNumberFormat="1" applyFont="1" applyFill="1" applyBorder="1" applyAlignment="1">
      <alignment horizontal="left" vertical="center" wrapText="1"/>
    </xf>
    <xf numFmtId="185" fontId="104" fillId="11" borderId="136" xfId="9" applyNumberFormat="1" applyFont="1" applyFill="1" applyBorder="1" applyAlignment="1">
      <alignment horizontal="left" vertical="center" wrapText="1"/>
    </xf>
    <xf numFmtId="185" fontId="101" fillId="13" borderId="0" xfId="9" applyNumberFormat="1" applyFont="1" applyFill="1" applyAlignment="1">
      <alignment horizontal="left" vertical="center"/>
    </xf>
    <xf numFmtId="185" fontId="101" fillId="0" borderId="47" xfId="9" applyNumberFormat="1" applyFont="1" applyBorder="1" applyAlignment="1">
      <alignment horizontal="left" vertical="center"/>
    </xf>
    <xf numFmtId="0" fontId="145" fillId="12" borderId="137" xfId="9" applyFont="1" applyFill="1" applyBorder="1" applyAlignment="1">
      <alignment horizontal="left" vertical="center" wrapText="1"/>
    </xf>
    <xf numFmtId="0" fontId="145" fillId="12" borderId="138" xfId="9" applyFont="1" applyFill="1" applyBorder="1" applyAlignment="1">
      <alignment horizontal="left" vertical="center" wrapText="1"/>
    </xf>
    <xf numFmtId="0" fontId="101" fillId="0" borderId="47" xfId="9" applyFont="1" applyBorder="1" applyAlignment="1">
      <alignment horizontal="left" vertical="center"/>
    </xf>
    <xf numFmtId="10" fontId="101" fillId="0" borderId="139" xfId="9" applyNumberFormat="1" applyFont="1" applyBorder="1" applyAlignment="1">
      <alignment horizontal="left" vertical="center"/>
    </xf>
    <xf numFmtId="10" fontId="101" fillId="0" borderId="47" xfId="9" applyNumberFormat="1" applyFont="1" applyBorder="1" applyAlignment="1">
      <alignment horizontal="left" vertical="center"/>
    </xf>
    <xf numFmtId="177" fontId="101" fillId="0" borderId="47" xfId="9" applyNumberFormat="1" applyFont="1" applyBorder="1" applyAlignment="1">
      <alignment horizontal="left" vertical="center"/>
    </xf>
    <xf numFmtId="0" fontId="145" fillId="11" borderId="140" xfId="9" applyFont="1" applyFill="1" applyBorder="1" applyAlignment="1">
      <alignment horizontal="left" vertical="center" wrapText="1"/>
    </xf>
    <xf numFmtId="0" fontId="145" fillId="11" borderId="141" xfId="9" applyFont="1" applyFill="1" applyBorder="1" applyAlignment="1">
      <alignment horizontal="left" vertical="center" wrapText="1"/>
    </xf>
    <xf numFmtId="10" fontId="101" fillId="14" borderId="121" xfId="9" applyNumberFormat="1" applyFont="1" applyFill="1" applyBorder="1" applyAlignment="1">
      <alignment horizontal="left" vertical="center"/>
    </xf>
    <xf numFmtId="10" fontId="101" fillId="14" borderId="0" xfId="9" applyNumberFormat="1" applyFont="1" applyFill="1" applyAlignment="1">
      <alignment horizontal="left" vertical="center"/>
    </xf>
    <xf numFmtId="178" fontId="101" fillId="0" borderId="0" xfId="9" applyNumberFormat="1" applyFont="1" applyAlignment="1">
      <alignment horizontal="left" vertical="center"/>
    </xf>
    <xf numFmtId="10" fontId="101" fillId="14" borderId="128" xfId="9" applyNumberFormat="1" applyFont="1" applyFill="1" applyBorder="1" applyAlignment="1">
      <alignment horizontal="left" vertical="center"/>
    </xf>
    <xf numFmtId="10" fontId="101" fillId="14" borderId="60" xfId="9" applyNumberFormat="1" applyFont="1" applyFill="1" applyBorder="1" applyAlignment="1">
      <alignment horizontal="left" vertical="center"/>
    </xf>
    <xf numFmtId="10" fontId="101" fillId="14" borderId="139" xfId="9" applyNumberFormat="1" applyFont="1" applyFill="1" applyBorder="1" applyAlignment="1">
      <alignment horizontal="left" vertical="center"/>
    </xf>
    <xf numFmtId="10" fontId="101" fillId="14" borderId="47" xfId="9" applyNumberFormat="1" applyFont="1" applyFill="1" applyBorder="1" applyAlignment="1">
      <alignment horizontal="left" vertical="center"/>
    </xf>
    <xf numFmtId="178" fontId="101" fillId="0" borderId="47" xfId="9" applyNumberFormat="1" applyFont="1" applyBorder="1" applyAlignment="1">
      <alignment horizontal="left" vertical="center"/>
    </xf>
    <xf numFmtId="0" fontId="104" fillId="12" borderId="142" xfId="9" applyFont="1" applyFill="1" applyBorder="1" applyAlignment="1">
      <alignment horizontal="left" vertical="center" wrapText="1"/>
    </xf>
    <xf numFmtId="0" fontId="104" fillId="12" borderId="143" xfId="9" applyFont="1" applyFill="1" applyBorder="1" applyAlignment="1">
      <alignment horizontal="left" vertical="center" wrapText="1"/>
    </xf>
    <xf numFmtId="180" fontId="101" fillId="0" borderId="0" xfId="9" applyNumberFormat="1" applyFont="1" applyAlignment="1">
      <alignment horizontal="left" vertical="center"/>
    </xf>
    <xf numFmtId="180" fontId="101" fillId="0" borderId="121" xfId="9" applyNumberFormat="1" applyFont="1" applyBorder="1" applyAlignment="1">
      <alignment horizontal="left" vertical="center"/>
    </xf>
    <xf numFmtId="177" fontId="101" fillId="14" borderId="0" xfId="9" applyNumberFormat="1" applyFont="1" applyFill="1" applyAlignment="1">
      <alignment horizontal="left" vertical="center"/>
    </xf>
    <xf numFmtId="0" fontId="145" fillId="12" borderId="132" xfId="9" applyFont="1" applyFill="1" applyBorder="1" applyAlignment="1">
      <alignment horizontal="left" vertical="center" wrapText="1"/>
    </xf>
    <xf numFmtId="0" fontId="104" fillId="11" borderId="132" xfId="9" applyFont="1" applyFill="1" applyBorder="1" applyAlignment="1">
      <alignment horizontal="left" vertical="center" wrapText="1"/>
    </xf>
    <xf numFmtId="0" fontId="104" fillId="11" borderId="136" xfId="9" applyFont="1" applyFill="1" applyBorder="1" applyAlignment="1">
      <alignment horizontal="left" vertical="center" wrapText="1"/>
    </xf>
    <xf numFmtId="0" fontId="145" fillId="5" borderId="126" xfId="9" applyFont="1" applyFill="1" applyBorder="1" applyAlignment="1">
      <alignment horizontal="left" vertical="center" wrapText="1"/>
    </xf>
    <xf numFmtId="180" fontId="101" fillId="5" borderId="0" xfId="9" applyNumberFormat="1" applyFont="1" applyFill="1" applyAlignment="1">
      <alignment horizontal="left" vertical="center"/>
    </xf>
    <xf numFmtId="0" fontId="101" fillId="5" borderId="121" xfId="9" applyFont="1" applyFill="1" applyBorder="1" applyAlignment="1">
      <alignment horizontal="left" vertical="center"/>
    </xf>
    <xf numFmtId="178" fontId="101" fillId="5" borderId="0" xfId="9" applyNumberFormat="1" applyFont="1" applyFill="1" applyAlignment="1">
      <alignment horizontal="left" vertical="center"/>
    </xf>
    <xf numFmtId="0" fontId="104" fillId="11" borderId="144" xfId="9" applyFont="1" applyFill="1" applyBorder="1" applyAlignment="1">
      <alignment horizontal="left" vertical="center" wrapText="1"/>
    </xf>
    <xf numFmtId="0" fontId="104" fillId="11" borderId="145" xfId="9" applyFont="1" applyFill="1" applyBorder="1" applyAlignment="1">
      <alignment horizontal="left" vertical="center" wrapText="1"/>
    </xf>
    <xf numFmtId="0" fontId="104" fillId="11" borderId="146" xfId="9" applyFont="1" applyFill="1" applyBorder="1" applyAlignment="1">
      <alignment horizontal="left" vertical="center" wrapText="1"/>
    </xf>
    <xf numFmtId="0" fontId="131" fillId="0" borderId="0" xfId="9" applyFont="1" applyAlignment="1">
      <alignment horizontal="left" vertical="center"/>
    </xf>
    <xf numFmtId="0" fontId="115" fillId="0" borderId="0" xfId="9" applyFont="1" applyAlignment="1">
      <alignment horizontal="left" vertical="center"/>
    </xf>
    <xf numFmtId="0" fontId="115" fillId="0" borderId="121" xfId="9" applyFont="1" applyBorder="1" applyAlignment="1">
      <alignment horizontal="left" vertical="center"/>
    </xf>
    <xf numFmtId="180" fontId="115" fillId="0" borderId="0" xfId="9" applyNumberFormat="1" applyFont="1" applyAlignment="1">
      <alignment horizontal="left" vertical="center"/>
    </xf>
    <xf numFmtId="180" fontId="115" fillId="0" borderId="121" xfId="9" applyNumberFormat="1" applyFont="1" applyBorder="1" applyAlignment="1">
      <alignment horizontal="left" vertical="center"/>
    </xf>
    <xf numFmtId="0" fontId="145" fillId="12" borderId="147" xfId="9" applyFont="1" applyFill="1" applyBorder="1" applyAlignment="1">
      <alignment horizontal="left" vertical="center" wrapText="1"/>
    </xf>
    <xf numFmtId="0" fontId="145" fillId="11" borderId="148" xfId="9" applyFont="1" applyFill="1" applyBorder="1" applyAlignment="1">
      <alignment horizontal="left" vertical="center" wrapText="1"/>
    </xf>
    <xf numFmtId="0" fontId="145" fillId="12" borderId="148" xfId="9" applyFont="1" applyFill="1" applyBorder="1" applyAlignment="1">
      <alignment horizontal="left" vertical="center" wrapText="1"/>
    </xf>
    <xf numFmtId="0" fontId="145" fillId="11" borderId="149" xfId="9" applyFont="1" applyFill="1" applyBorder="1" applyAlignment="1">
      <alignment horizontal="left" vertical="center" wrapText="1"/>
    </xf>
    <xf numFmtId="0" fontId="131" fillId="6" borderId="0" xfId="0" applyFont="1" applyFill="1" applyAlignment="1">
      <alignment horizontal="left" vertical="center"/>
    </xf>
    <xf numFmtId="0" fontId="179" fillId="6" borderId="154" xfId="0" applyFont="1" applyFill="1" applyBorder="1" applyAlignment="1">
      <alignment horizontal="left"/>
    </xf>
    <xf numFmtId="0" fontId="103" fillId="6" borderId="154" xfId="0" applyFont="1" applyFill="1" applyBorder="1" applyAlignment="1">
      <alignment horizontal="left"/>
    </xf>
    <xf numFmtId="0" fontId="179" fillId="6" borderId="154" xfId="0" applyFont="1" applyFill="1" applyBorder="1" applyAlignment="1">
      <alignment horizontal="right"/>
    </xf>
    <xf numFmtId="0" fontId="103" fillId="7" borderId="154" xfId="0" applyFont="1" applyFill="1" applyBorder="1" applyAlignment="1" applyProtection="1">
      <protection locked="0"/>
    </xf>
    <xf numFmtId="0" fontId="103" fillId="7" borderId="154" xfId="0" applyFont="1" applyFill="1" applyBorder="1" applyAlignment="1"/>
    <xf numFmtId="0" fontId="103" fillId="0" borderId="154" xfId="0" applyFont="1" applyBorder="1" applyAlignment="1"/>
    <xf numFmtId="0" fontId="79" fillId="18" borderId="0" xfId="0" applyFont="1" applyFill="1" applyAlignment="1">
      <alignment horizontal="left" vertical="center"/>
    </xf>
    <xf numFmtId="10" fontId="49" fillId="18" borderId="0" xfId="0" applyNumberFormat="1" applyFont="1" applyFill="1" applyAlignment="1">
      <alignment horizontal="left" vertical="center"/>
    </xf>
    <xf numFmtId="0" fontId="49" fillId="18" borderId="0" xfId="0" applyFont="1" applyFill="1" applyAlignment="1">
      <alignment horizontal="left" vertical="center"/>
    </xf>
    <xf numFmtId="0" fontId="79" fillId="18" borderId="0" xfId="0" applyFont="1" applyFill="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lignment horizontal="center" vertical="center" wrapText="1"/>
    </xf>
    <xf numFmtId="0" fontId="49" fillId="18" borderId="1" xfId="0" applyFont="1" applyFill="1" applyBorder="1" applyAlignment="1">
      <alignment horizontal="center" vertical="center"/>
    </xf>
    <xf numFmtId="0" fontId="56" fillId="18" borderId="68" xfId="0"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lignment horizontal="left" vertical="center" wrapText="1"/>
    </xf>
    <xf numFmtId="176" fontId="53" fillId="6" borderId="48" xfId="0" applyNumberFormat="1" applyFont="1" applyFill="1" applyBorder="1" applyAlignment="1">
      <alignment horizontal="left" vertical="center" wrapText="1"/>
    </xf>
    <xf numFmtId="0" fontId="56" fillId="18" borderId="1" xfId="0" applyFont="1" applyFill="1" applyBorder="1" applyAlignment="1">
      <alignment horizontal="center" vertical="center" wrapText="1"/>
    </xf>
    <xf numFmtId="0" fontId="48" fillId="6" borderId="21" xfId="0" applyFont="1" applyFill="1" applyBorder="1" applyAlignment="1">
      <alignment horizontal="center" vertical="center"/>
    </xf>
    <xf numFmtId="10" fontId="49" fillId="6" borderId="5" xfId="0" applyNumberFormat="1" applyFont="1" applyFill="1" applyBorder="1" applyAlignment="1">
      <alignment horizontal="left" vertical="center" wrapText="1"/>
    </xf>
    <xf numFmtId="10" fontId="49" fillId="6" borderId="54" xfId="0" applyNumberFormat="1" applyFont="1" applyFill="1" applyBorder="1" applyAlignment="1">
      <alignment horizontal="left" vertical="center" wrapText="1"/>
    </xf>
    <xf numFmtId="10" fontId="49" fillId="6" borderId="48" xfId="0" applyNumberFormat="1" applyFont="1" applyFill="1" applyBorder="1" applyAlignment="1">
      <alignment horizontal="left" vertical="center" wrapText="1"/>
    </xf>
    <xf numFmtId="0" fontId="46" fillId="6" borderId="1" xfId="0" applyFont="1" applyFill="1" applyBorder="1" applyAlignment="1">
      <alignment horizontal="left" vertical="center" wrapText="1"/>
    </xf>
    <xf numFmtId="0" fontId="49" fillId="6" borderId="48" xfId="0" applyFont="1" applyFill="1" applyBorder="1" applyAlignment="1">
      <alignment horizontal="left" vertical="center" wrapText="1"/>
    </xf>
    <xf numFmtId="0" fontId="49" fillId="6" borderId="11" xfId="0" applyFont="1" applyFill="1" applyBorder="1" applyAlignment="1">
      <alignment horizontal="left" vertical="center" wrapText="1"/>
    </xf>
    <xf numFmtId="0" fontId="49" fillId="6" borderId="23" xfId="0" applyFont="1" applyFill="1" applyBorder="1" applyAlignment="1">
      <alignment horizontal="left" vertical="center" wrapText="1"/>
    </xf>
    <xf numFmtId="0" fontId="121" fillId="0" borderId="0" xfId="5" applyFont="1" applyAlignment="1">
      <alignment horizontal="left" vertical="center"/>
    </xf>
    <xf numFmtId="0" fontId="149" fillId="0" borderId="0" xfId="5" applyFont="1" applyAlignment="1">
      <alignment horizontal="left" vertical="center"/>
    </xf>
    <xf numFmtId="0" fontId="122" fillId="0" borderId="0" xfId="5" applyFont="1" applyAlignment="1">
      <alignment horizontal="left" vertical="center"/>
    </xf>
    <xf numFmtId="14" fontId="122" fillId="0" borderId="0" xfId="5" applyNumberFormat="1" applyFont="1" applyAlignment="1">
      <alignment horizontal="left" vertical="center"/>
    </xf>
    <xf numFmtId="0" fontId="239" fillId="0" borderId="0" xfId="5" applyFont="1" applyAlignment="1">
      <alignment horizontal="left" vertical="center"/>
    </xf>
    <xf numFmtId="0" fontId="119" fillId="5" borderId="13" xfId="5" applyFont="1" applyFill="1" applyBorder="1" applyAlignment="1">
      <alignment horizontal="left" vertical="center"/>
    </xf>
    <xf numFmtId="0" fontId="120" fillId="0" borderId="5" xfId="5" applyFont="1" applyBorder="1" applyAlignment="1">
      <alignment horizontal="left" vertical="center"/>
    </xf>
    <xf numFmtId="0" fontId="119" fillId="5" borderId="155" xfId="5" applyFont="1" applyFill="1" applyBorder="1" applyAlignment="1">
      <alignment horizontal="left" vertical="center"/>
    </xf>
    <xf numFmtId="191" fontId="120" fillId="0" borderId="1" xfId="5" applyNumberFormat="1" applyFont="1" applyBorder="1" applyAlignment="1">
      <alignment horizontal="left" vertical="center"/>
    </xf>
    <xf numFmtId="191" fontId="240" fillId="0" borderId="5" xfId="5" applyNumberFormat="1" applyFont="1" applyBorder="1" applyAlignment="1">
      <alignment horizontal="left" vertical="center"/>
    </xf>
    <xf numFmtId="0" fontId="120" fillId="0" borderId="156" xfId="5" applyFont="1" applyBorder="1" applyAlignment="1">
      <alignment horizontal="left" vertical="center"/>
    </xf>
    <xf numFmtId="183" fontId="120" fillId="0" borderId="1" xfId="5" applyNumberFormat="1" applyFont="1" applyBorder="1" applyAlignment="1">
      <alignment horizontal="left" vertical="center"/>
    </xf>
    <xf numFmtId="0" fontId="240" fillId="0" borderId="1" xfId="5" applyFont="1" applyBorder="1" applyAlignment="1">
      <alignment horizontal="left" vertical="center"/>
    </xf>
    <xf numFmtId="191" fontId="120" fillId="0" borderId="5" xfId="5" applyNumberFormat="1" applyFont="1" applyBorder="1" applyAlignment="1">
      <alignment horizontal="left" vertical="center"/>
    </xf>
    <xf numFmtId="0" fontId="240" fillId="0" borderId="0" xfId="5" applyFont="1" applyAlignment="1">
      <alignment horizontal="left" vertical="center"/>
    </xf>
    <xf numFmtId="0" fontId="119" fillId="0" borderId="1" xfId="5" applyFont="1" applyBorder="1" applyAlignment="1">
      <alignment horizontal="left" vertical="center"/>
    </xf>
    <xf numFmtId="0" fontId="118" fillId="0" borderId="0" xfId="5" applyFont="1" applyAlignment="1">
      <alignment horizontal="left" vertical="center"/>
    </xf>
    <xf numFmtId="0" fontId="122" fillId="0" borderId="1" xfId="5" applyFont="1" applyBorder="1" applyAlignment="1">
      <alignment horizontal="left" vertical="center"/>
    </xf>
    <xf numFmtId="183" fontId="120" fillId="0" borderId="5" xfId="5" applyNumberFormat="1" applyFont="1" applyBorder="1" applyAlignment="1">
      <alignment horizontal="left" vertical="center"/>
    </xf>
    <xf numFmtId="0" fontId="122" fillId="0" borderId="156" xfId="5" applyFont="1" applyBorder="1" applyAlignment="1">
      <alignment horizontal="left" vertical="center"/>
    </xf>
    <xf numFmtId="14" fontId="122" fillId="0" borderId="1" xfId="5" applyNumberFormat="1" applyFont="1" applyBorder="1" applyAlignment="1">
      <alignment horizontal="left" vertical="center"/>
    </xf>
    <xf numFmtId="14" fontId="122" fillId="0" borderId="5" xfId="5" applyNumberFormat="1" applyFont="1" applyBorder="1" applyAlignment="1">
      <alignment horizontal="left" vertical="center"/>
    </xf>
    <xf numFmtId="0" fontId="129" fillId="0" borderId="1" xfId="5" applyFont="1" applyBorder="1" applyAlignment="1">
      <alignment horizontal="left" vertical="center"/>
    </xf>
    <xf numFmtId="183" fontId="129" fillId="0" borderId="1" xfId="0" applyNumberFormat="1" applyFont="1" applyBorder="1" applyAlignment="1">
      <alignment horizontal="left" vertical="center"/>
    </xf>
    <xf numFmtId="14" fontId="149" fillId="0" borderId="0" xfId="5" applyNumberFormat="1" applyFont="1" applyAlignment="1">
      <alignment horizontal="left" vertical="center"/>
    </xf>
    <xf numFmtId="14" fontId="149" fillId="0" borderId="157" xfId="5" applyNumberFormat="1" applyFont="1" applyBorder="1" applyAlignment="1">
      <alignment horizontal="left" vertical="center"/>
    </xf>
    <xf numFmtId="0" fontId="217" fillId="0" borderId="0" xfId="5" applyFont="1" applyAlignment="1">
      <alignment horizontal="left" vertical="center"/>
    </xf>
    <xf numFmtId="0" fontId="49" fillId="6" borderId="26" xfId="0" applyFont="1" applyFill="1" applyBorder="1" applyAlignment="1">
      <alignment vertical="center" wrapText="1"/>
    </xf>
    <xf numFmtId="0" fontId="49" fillId="6" borderId="0" xfId="0" applyFont="1" applyFill="1" applyAlignment="1">
      <alignment vertical="center" wrapText="1"/>
    </xf>
    <xf numFmtId="0" fontId="49" fillId="6" borderId="58" xfId="0" applyFont="1" applyFill="1" applyBorder="1" applyAlignment="1">
      <alignment vertical="center" wrapText="1"/>
    </xf>
    <xf numFmtId="49" fontId="49" fillId="6" borderId="0" xfId="0" applyNumberFormat="1" applyFont="1" applyFill="1" applyAlignment="1">
      <alignment horizontal="center" vertical="center" wrapText="1"/>
    </xf>
    <xf numFmtId="14" fontId="49" fillId="0" borderId="13" xfId="0" applyNumberFormat="1" applyFont="1" applyBorder="1" applyAlignment="1" applyProtection="1">
      <alignment horizontal="left" vertical="center"/>
      <protection locked="0"/>
    </xf>
    <xf numFmtId="0" fontId="49" fillId="16" borderId="1" xfId="0" applyFont="1" applyFill="1" applyBorder="1" applyAlignment="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lignment horizontal="right" vertical="center" shrinkToFit="1"/>
    </xf>
    <xf numFmtId="0" fontId="49" fillId="6" borderId="58" xfId="0" applyFont="1" applyFill="1" applyBorder="1" applyAlignment="1">
      <alignment horizontal="left" vertical="center"/>
    </xf>
    <xf numFmtId="0" fontId="49" fillId="6" borderId="4" xfId="0" applyFont="1" applyFill="1" applyBorder="1" applyAlignment="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lignment vertical="center" wrapText="1"/>
    </xf>
    <xf numFmtId="0" fontId="49" fillId="7" borderId="7" xfId="0" applyFont="1" applyFill="1" applyBorder="1" applyAlignment="1">
      <alignment vertical="center" wrapText="1"/>
    </xf>
    <xf numFmtId="0" fontId="49" fillId="6" borderId="46" xfId="0" applyFont="1" applyFill="1" applyBorder="1" applyAlignment="1">
      <alignment vertical="center" wrapText="1"/>
    </xf>
    <xf numFmtId="0" fontId="49" fillId="7" borderId="5" xfId="0" applyFont="1" applyFill="1" applyBorder="1" applyProtection="1">
      <alignment vertical="center"/>
      <protection locked="0"/>
    </xf>
    <xf numFmtId="0" fontId="49" fillId="7" borderId="54" xfId="0" applyFont="1" applyFill="1" applyBorder="1" applyAlignment="1">
      <alignment vertical="center" wrapText="1"/>
    </xf>
    <xf numFmtId="0" fontId="49" fillId="7" borderId="22" xfId="0" applyFont="1" applyFill="1" applyBorder="1" applyAlignment="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lignment vertical="center" wrapText="1"/>
    </xf>
    <xf numFmtId="0" fontId="49" fillId="16" borderId="85" xfId="0" applyFont="1" applyFill="1" applyBorder="1" applyAlignment="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lignment vertical="center" wrapText="1"/>
    </xf>
    <xf numFmtId="0" fontId="49" fillId="5" borderId="118" xfId="0" applyFont="1" applyFill="1" applyBorder="1" applyAlignment="1">
      <alignment vertical="center" wrapText="1"/>
    </xf>
    <xf numFmtId="0" fontId="49" fillId="16" borderId="2" xfId="0" applyFont="1" applyFill="1" applyBorder="1" applyAlignment="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lignment horizontal="left" vertical="center" wrapText="1"/>
    </xf>
    <xf numFmtId="0" fontId="49" fillId="16" borderId="46" xfId="0" applyFont="1" applyFill="1" applyBorder="1" applyAlignment="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lignment vertical="center" wrapText="1"/>
    </xf>
    <xf numFmtId="49" fontId="49" fillId="16" borderId="13" xfId="0" applyNumberFormat="1" applyFont="1" applyFill="1" applyBorder="1" applyAlignment="1">
      <alignment horizontal="left" vertical="center" wrapText="1"/>
    </xf>
    <xf numFmtId="49" fontId="49" fillId="6" borderId="1" xfId="0" applyNumberFormat="1" applyFont="1" applyFill="1" applyBorder="1" applyAlignment="1">
      <alignment horizontal="center" vertical="center" wrapText="1"/>
    </xf>
    <xf numFmtId="0" fontId="49" fillId="16" borderId="60" xfId="0" applyFont="1" applyFill="1" applyBorder="1" applyAlignment="1">
      <alignment vertical="center" wrapText="1"/>
    </xf>
    <xf numFmtId="177" fontId="49" fillId="5" borderId="1" xfId="1" applyNumberFormat="1" applyFont="1" applyFill="1" applyBorder="1" applyAlignment="1" applyProtection="1">
      <alignment horizontal="center" vertical="center"/>
      <protection locked="0"/>
    </xf>
    <xf numFmtId="0" fontId="49" fillId="6" borderId="60" xfId="0" applyFont="1" applyFill="1" applyBorder="1" applyAlignment="1">
      <alignment vertical="center" wrapText="1"/>
    </xf>
    <xf numFmtId="179" fontId="49" fillId="6" borderId="1" xfId="0" applyNumberFormat="1" applyFont="1" applyFill="1" applyBorder="1" applyAlignment="1">
      <alignment horizontal="center" vertical="center" wrapText="1"/>
    </xf>
    <xf numFmtId="49" fontId="49" fillId="6" borderId="15" xfId="0" applyNumberFormat="1" applyFont="1" applyFill="1" applyBorder="1" applyAlignment="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lignment horizontal="center" vertical="center" wrapText="1"/>
    </xf>
    <xf numFmtId="0" fontId="49" fillId="2" borderId="4" xfId="0" applyFont="1" applyFill="1" applyBorder="1" applyProtection="1">
      <alignment vertical="center"/>
      <protection locked="0"/>
    </xf>
    <xf numFmtId="0" fontId="49" fillId="2" borderId="7" xfId="0" applyFont="1" applyFill="1" applyBorder="1" applyAlignment="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Protection="1">
      <alignment vertical="center"/>
      <protection locked="0"/>
    </xf>
    <xf numFmtId="0" fontId="49" fillId="2" borderId="3" xfId="0" applyFont="1" applyFill="1" applyBorder="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3" xfId="0" applyFont="1" applyFill="1" applyBorder="1" applyAlignment="1">
      <alignment vertical="center" wrapText="1"/>
    </xf>
    <xf numFmtId="0" fontId="49" fillId="5" borderId="1" xfId="0" applyFont="1" applyFill="1" applyBorder="1" applyAlignment="1" applyProtection="1">
      <alignment horizontal="center" vertical="center" wrapText="1"/>
      <protection locked="0"/>
    </xf>
    <xf numFmtId="0" fontId="49" fillId="5" borderId="78" xfId="0" applyFont="1" applyFill="1" applyBorder="1" applyAlignment="1" applyProtection="1">
      <alignment horizontal="center" vertical="center" wrapText="1"/>
      <protection locked="0"/>
    </xf>
    <xf numFmtId="0" fontId="141" fillId="6" borderId="151" xfId="0" applyFont="1" applyFill="1" applyBorder="1">
      <alignment vertical="center"/>
    </xf>
    <xf numFmtId="0" fontId="54" fillId="6" borderId="151" xfId="0" applyFont="1" applyFill="1" applyBorder="1" applyAlignment="1">
      <alignment vertical="center" wrapText="1"/>
    </xf>
    <xf numFmtId="0" fontId="54" fillId="0" borderId="151" xfId="0" applyFont="1" applyBorder="1" applyAlignment="1">
      <alignment vertical="center" wrapText="1"/>
    </xf>
    <xf numFmtId="0" fontId="54" fillId="6" borderId="5" xfId="0" applyFont="1" applyFill="1" applyBorder="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lignment vertical="center" wrapText="1"/>
    </xf>
    <xf numFmtId="0" fontId="54" fillId="6" borderId="14" xfId="0" applyFont="1" applyFill="1" applyBorder="1" applyAlignment="1">
      <alignment vertical="center" wrapText="1"/>
    </xf>
    <xf numFmtId="0" fontId="54" fillId="6" borderId="12" xfId="0" applyFont="1" applyFill="1" applyBorder="1" applyAlignment="1">
      <alignment vertical="center" wrapText="1"/>
    </xf>
    <xf numFmtId="0" fontId="54" fillId="6" borderId="27" xfId="0" applyFont="1" applyFill="1" applyBorder="1" applyAlignment="1">
      <alignment vertical="center" wrapText="1"/>
    </xf>
    <xf numFmtId="49" fontId="54" fillId="6" borderId="27" xfId="0" applyNumberFormat="1" applyFont="1" applyFill="1" applyBorder="1" applyAlignment="1">
      <alignment vertical="center" wrapText="1"/>
    </xf>
    <xf numFmtId="0" fontId="54" fillId="6" borderId="80" xfId="0" applyFont="1" applyFill="1" applyBorder="1" applyAlignment="1">
      <alignment vertical="center" wrapText="1"/>
    </xf>
    <xf numFmtId="49" fontId="54" fillId="6" borderId="80" xfId="0" applyNumberFormat="1" applyFont="1" applyFill="1" applyBorder="1" applyAlignment="1">
      <alignment vertical="center" wrapText="1"/>
    </xf>
    <xf numFmtId="49" fontId="54" fillId="6" borderId="81" xfId="0" applyNumberFormat="1" applyFont="1" applyFill="1" applyBorder="1" applyAlignment="1">
      <alignment vertical="center" wrapText="1"/>
    </xf>
    <xf numFmtId="0" fontId="54" fillId="6" borderId="81" xfId="0" applyFont="1" applyFill="1" applyBorder="1" applyAlignment="1">
      <alignment vertical="center" wrapText="1"/>
    </xf>
    <xf numFmtId="0" fontId="207" fillId="7" borderId="101" xfId="0" applyFont="1" applyFill="1" applyBorder="1" applyAlignment="1" applyProtection="1">
      <alignment vertical="center" wrapText="1"/>
      <protection locked="0"/>
    </xf>
    <xf numFmtId="0" fontId="207" fillId="7" borderId="102" xfId="0" applyFont="1" applyFill="1" applyBorder="1" applyAlignment="1" applyProtection="1">
      <alignment vertical="center" wrapText="1"/>
      <protection locked="0"/>
    </xf>
    <xf numFmtId="0" fontId="227" fillId="7" borderId="0" xfId="0" applyFont="1" applyFill="1" applyProtection="1">
      <alignment vertical="center"/>
      <protection locked="0"/>
    </xf>
    <xf numFmtId="0" fontId="227" fillId="0" borderId="0" xfId="0" applyFont="1" applyProtection="1">
      <alignment vertical="center"/>
      <protection locked="0"/>
    </xf>
    <xf numFmtId="0" fontId="54" fillId="6" borderId="63" xfId="0" applyFont="1" applyFill="1" applyBorder="1" applyAlignment="1">
      <alignment vertical="center" wrapText="1"/>
    </xf>
    <xf numFmtId="0" fontId="54" fillId="6" borderId="34" xfId="0" applyFont="1" applyFill="1" applyBorder="1" applyAlignment="1">
      <alignment vertical="center" wrapText="1"/>
    </xf>
    <xf numFmtId="0" fontId="54" fillId="6" borderId="65" xfId="0" applyFont="1" applyFill="1" applyBorder="1">
      <alignment vertical="center"/>
    </xf>
    <xf numFmtId="0" fontId="49" fillId="6" borderId="64" xfId="0" applyFont="1" applyFill="1" applyBorder="1">
      <alignment vertical="center"/>
    </xf>
    <xf numFmtId="0" fontId="49" fillId="6" borderId="9" xfId="0" applyFont="1" applyFill="1" applyBorder="1" applyAlignment="1">
      <alignment vertical="center" wrapText="1"/>
    </xf>
    <xf numFmtId="49" fontId="170" fillId="0" borderId="10" xfId="0" applyNumberFormat="1" applyFont="1" applyBorder="1" applyAlignment="1" applyProtection="1">
      <alignment vertical="center" wrapText="1"/>
      <protection locked="0"/>
    </xf>
    <xf numFmtId="49" fontId="49" fillId="6" borderId="0" xfId="0" applyNumberFormat="1" applyFont="1" applyFill="1" applyAlignment="1" applyProtection="1">
      <alignment vertical="center" wrapText="1"/>
      <protection locked="0"/>
    </xf>
    <xf numFmtId="0" fontId="49" fillId="6" borderId="7" xfId="0" applyFont="1" applyFill="1" applyBorder="1" applyAlignment="1">
      <alignment vertical="center" wrapText="1"/>
    </xf>
    <xf numFmtId="0" fontId="170" fillId="0" borderId="8" xfId="0" applyFont="1" applyBorder="1" applyAlignment="1" applyProtection="1">
      <alignment vertical="center" wrapText="1"/>
      <protection locked="0"/>
    </xf>
    <xf numFmtId="49" fontId="170" fillId="0" borderId="24" xfId="0" applyNumberFormat="1" applyFont="1" applyBorder="1" applyAlignment="1" applyProtection="1">
      <alignment vertical="center" wrapText="1"/>
      <protection locked="0"/>
    </xf>
    <xf numFmtId="49" fontId="49" fillId="6" borderId="14" xfId="0" applyNumberFormat="1" applyFont="1" applyFill="1" applyBorder="1" applyAlignment="1">
      <alignment vertical="center" wrapText="1"/>
    </xf>
    <xf numFmtId="0" fontId="170" fillId="0" borderId="24" xfId="0" applyFont="1" applyBorder="1" applyAlignment="1" applyProtection="1">
      <alignment vertical="center" wrapText="1"/>
      <protection locked="0"/>
    </xf>
    <xf numFmtId="49" fontId="49" fillId="6" borderId="12" xfId="0" applyNumberFormat="1" applyFont="1" applyFill="1" applyBorder="1" applyAlignment="1">
      <alignment vertical="center" wrapText="1"/>
    </xf>
    <xf numFmtId="0" fontId="49" fillId="6" borderId="66" xfId="0" applyFont="1" applyFill="1" applyBorder="1" applyAlignment="1">
      <alignment vertical="center" wrapText="1"/>
    </xf>
    <xf numFmtId="0" fontId="170" fillId="0" borderId="49" xfId="0" applyFont="1" applyBorder="1" applyAlignment="1" applyProtection="1">
      <alignment vertical="center" wrapText="1"/>
      <protection locked="0"/>
    </xf>
    <xf numFmtId="0" fontId="49" fillId="6" borderId="32" xfId="0" applyFont="1" applyFill="1" applyBorder="1" applyAlignment="1">
      <alignment vertical="center" wrapText="1"/>
    </xf>
    <xf numFmtId="0" fontId="170" fillId="0" borderId="49" xfId="0" applyFont="1" applyBorder="1" applyProtection="1">
      <alignment vertical="center"/>
      <protection locked="0"/>
    </xf>
    <xf numFmtId="0" fontId="46" fillId="7" borderId="0" xfId="0" applyFont="1" applyFill="1" applyAlignment="1" applyProtection="1">
      <alignment vertical="center" wrapText="1"/>
      <protection locked="0"/>
    </xf>
    <xf numFmtId="49" fontId="46" fillId="7" borderId="0" xfId="0" applyNumberFormat="1" applyFont="1" applyFill="1" applyAlignment="1" applyProtection="1">
      <alignment vertical="center" wrapText="1"/>
      <protection locked="0"/>
    </xf>
    <xf numFmtId="0" fontId="54" fillId="6" borderId="0" xfId="0" applyFont="1" applyFill="1" applyAlignment="1" applyProtection="1">
      <alignment vertical="center" wrapText="1"/>
      <protection locked="0"/>
    </xf>
    <xf numFmtId="0" fontId="62" fillId="6" borderId="0" xfId="0" applyFont="1" applyFill="1">
      <alignment vertical="center"/>
    </xf>
    <xf numFmtId="0" fontId="207" fillId="7" borderId="0" xfId="0" applyFont="1" applyFill="1" applyAlignment="1" applyProtection="1">
      <alignment vertical="center" wrapText="1"/>
      <protection locked="0"/>
    </xf>
    <xf numFmtId="0" fontId="207" fillId="7" borderId="35" xfId="0" applyFont="1" applyFill="1" applyBorder="1" applyAlignment="1" applyProtection="1">
      <alignment vertical="center" wrapText="1"/>
      <protection locked="0"/>
    </xf>
    <xf numFmtId="0" fontId="227" fillId="7" borderId="0" xfId="0" applyFont="1" applyFill="1" applyAlignment="1" applyProtection="1">
      <alignment vertical="center" wrapText="1"/>
      <protection locked="0"/>
    </xf>
    <xf numFmtId="0" fontId="71" fillId="6" borderId="104" xfId="0" applyFont="1" applyFill="1" applyBorder="1">
      <alignment vertical="center"/>
    </xf>
    <xf numFmtId="0" fontId="54" fillId="6" borderId="16" xfId="0" applyFont="1" applyFill="1" applyBorder="1" applyAlignment="1">
      <alignment vertical="center" wrapText="1"/>
    </xf>
    <xf numFmtId="0" fontId="54" fillId="6" borderId="31" xfId="0" applyFont="1" applyFill="1" applyBorder="1" applyAlignment="1">
      <alignment vertical="center" wrapText="1"/>
    </xf>
    <xf numFmtId="0" fontId="54" fillId="6" borderId="82" xfId="0" applyFont="1" applyFill="1" applyBorder="1" applyAlignment="1">
      <alignment vertical="center" wrapText="1"/>
    </xf>
    <xf numFmtId="0" fontId="49" fillId="6" borderId="6" xfId="0" applyFont="1" applyFill="1" applyBorder="1" applyAlignment="1">
      <alignment vertical="center" wrapText="1"/>
    </xf>
    <xf numFmtId="49" fontId="49" fillId="6" borderId="62" xfId="0" applyNumberFormat="1" applyFont="1" applyFill="1" applyBorder="1" applyAlignment="1">
      <alignment vertical="center" wrapText="1"/>
    </xf>
    <xf numFmtId="0" fontId="49" fillId="6" borderId="10" xfId="0" applyFont="1" applyFill="1" applyBorder="1" applyAlignment="1">
      <alignment vertical="center" wrapText="1"/>
    </xf>
    <xf numFmtId="0" fontId="49" fillId="6" borderId="41" xfId="0" applyFont="1" applyFill="1" applyBorder="1" applyAlignment="1">
      <alignment vertical="center" wrapText="1"/>
    </xf>
    <xf numFmtId="49" fontId="49" fillId="6" borderId="24" xfId="0" applyNumberFormat="1" applyFont="1" applyFill="1" applyBorder="1" applyAlignment="1">
      <alignment vertical="center" wrapText="1"/>
    </xf>
    <xf numFmtId="0" fontId="49" fillId="6" borderId="23" xfId="0" applyFont="1" applyFill="1" applyBorder="1" applyAlignment="1">
      <alignment vertical="center" wrapText="1"/>
    </xf>
    <xf numFmtId="0" fontId="49" fillId="6" borderId="24" xfId="0" applyFont="1" applyFill="1" applyBorder="1" applyAlignment="1">
      <alignment vertical="center" wrapText="1"/>
    </xf>
    <xf numFmtId="0" fontId="49" fillId="0" borderId="24" xfId="0" applyFont="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6" borderId="25" xfId="0" applyFont="1" applyFill="1" applyBorder="1" applyAlignment="1">
      <alignment vertical="center" wrapText="1"/>
    </xf>
    <xf numFmtId="0" fontId="49" fillId="0" borderId="49" xfId="0" applyFont="1" applyBorder="1" applyAlignment="1" applyProtection="1">
      <alignment vertical="center" wrapText="1"/>
      <protection locked="0"/>
    </xf>
    <xf numFmtId="0" fontId="49" fillId="6" borderId="49" xfId="0" applyFont="1" applyFill="1" applyBorder="1" applyAlignment="1">
      <alignment vertical="center" wrapText="1"/>
    </xf>
    <xf numFmtId="0" fontId="162" fillId="6" borderId="1" xfId="12" applyFont="1" applyFill="1" applyBorder="1" applyAlignment="1">
      <alignment horizontal="left" vertical="center" wrapText="1"/>
    </xf>
    <xf numFmtId="0" fontId="161" fillId="0" borderId="0" xfId="12" applyAlignment="1" applyProtection="1">
      <alignment horizontal="left"/>
      <protection locked="0"/>
    </xf>
    <xf numFmtId="14" fontId="162" fillId="6" borderId="1" xfId="12" applyNumberFormat="1" applyFont="1" applyFill="1" applyBorder="1" applyAlignment="1">
      <alignment horizontal="left" vertical="center" wrapText="1"/>
    </xf>
    <xf numFmtId="0" fontId="161" fillId="6" borderId="1" xfId="12" applyFill="1" applyBorder="1" applyAlignment="1">
      <alignment horizontal="left" vertical="center"/>
    </xf>
    <xf numFmtId="0" fontId="162" fillId="6" borderId="13" xfId="12" applyFont="1" applyFill="1" applyBorder="1" applyAlignment="1">
      <alignment horizontal="left" vertical="center" wrapText="1"/>
    </xf>
    <xf numFmtId="0" fontId="97" fillId="0" borderId="1" xfId="12" applyFont="1" applyBorder="1" applyAlignment="1" applyProtection="1">
      <alignment horizontal="left"/>
      <protection locked="0"/>
    </xf>
    <xf numFmtId="0" fontId="162" fillId="0" borderId="13" xfId="12" applyFont="1" applyBorder="1" applyAlignment="1" applyProtection="1">
      <alignment horizontal="left" vertical="center" wrapText="1"/>
      <protection locked="0"/>
    </xf>
    <xf numFmtId="0" fontId="161" fillId="0" borderId="1" xfId="12" applyBorder="1" applyAlignment="1" applyProtection="1">
      <alignment horizontal="left"/>
      <protection locked="0"/>
    </xf>
    <xf numFmtId="0" fontId="125" fillId="7" borderId="0" xfId="0" applyFont="1" applyFill="1">
      <alignment vertical="center"/>
    </xf>
    <xf numFmtId="0" fontId="102" fillId="7" borderId="0" xfId="0" applyFont="1" applyFill="1">
      <alignment vertical="center"/>
    </xf>
    <xf numFmtId="0" fontId="101"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8" fillId="6" borderId="1" xfId="0" applyFont="1" applyFill="1" applyBorder="1" applyAlignment="1">
      <alignment horizontal="left" vertical="center" wrapText="1"/>
    </xf>
    <xf numFmtId="10" fontId="108" fillId="6" borderId="1" xfId="0" applyNumberFormat="1" applyFont="1" applyFill="1" applyBorder="1" applyAlignment="1">
      <alignment horizontal="left" vertical="center"/>
    </xf>
    <xf numFmtId="9" fontId="108" fillId="6" borderId="1" xfId="0" applyNumberFormat="1" applyFont="1" applyFill="1" applyBorder="1" applyAlignment="1">
      <alignment horizontal="left" vertical="center"/>
    </xf>
    <xf numFmtId="0" fontId="108" fillId="6" borderId="13" xfId="0" applyFont="1" applyFill="1" applyBorder="1" applyAlignment="1">
      <alignment horizontal="left" vertical="center" wrapText="1"/>
    </xf>
    <xf numFmtId="9" fontId="108" fillId="6" borderId="13" xfId="0" applyNumberFormat="1" applyFont="1" applyFill="1" applyBorder="1" applyAlignment="1">
      <alignment horizontal="left" vertical="center"/>
    </xf>
    <xf numFmtId="0" fontId="101" fillId="6" borderId="5" xfId="0" applyFont="1" applyFill="1" applyBorder="1" applyAlignment="1">
      <alignment horizontal="left" vertical="center" wrapText="1"/>
    </xf>
    <xf numFmtId="0" fontId="108" fillId="6" borderId="46" xfId="0" applyFont="1" applyFill="1" applyBorder="1" applyAlignment="1">
      <alignment horizontal="left" vertical="center" wrapText="1"/>
    </xf>
    <xf numFmtId="0" fontId="108" fillId="6" borderId="36" xfId="0" applyFont="1" applyFill="1" applyBorder="1" applyAlignment="1">
      <alignment horizontal="left" vertical="center" wrapText="1"/>
    </xf>
    <xf numFmtId="0" fontId="108" fillId="6" borderId="22" xfId="0" applyFont="1" applyFill="1" applyBorder="1" applyAlignment="1">
      <alignment horizontal="left" vertical="center" wrapText="1"/>
    </xf>
    <xf numFmtId="0" fontId="108" fillId="6" borderId="5" xfId="0" applyFont="1" applyFill="1" applyBorder="1" applyAlignment="1">
      <alignment horizontal="left" vertical="center" wrapText="1"/>
    </xf>
    <xf numFmtId="0" fontId="108" fillId="6" borderId="54" xfId="0" applyFont="1" applyFill="1" applyBorder="1" applyAlignment="1">
      <alignment horizontal="left" vertical="center"/>
    </xf>
    <xf numFmtId="0" fontId="108" fillId="6" borderId="3" xfId="0" applyFont="1" applyFill="1" applyBorder="1" applyAlignment="1">
      <alignment horizontal="left" vertical="center" wrapText="1"/>
    </xf>
    <xf numFmtId="0" fontId="108" fillId="6" borderId="58" xfId="0" applyFont="1" applyFill="1" applyBorder="1" applyAlignment="1">
      <alignment horizontal="left" vertical="center" wrapText="1"/>
    </xf>
    <xf numFmtId="0" fontId="108" fillId="6" borderId="0" xfId="0" applyFont="1" applyFill="1" applyAlignment="1">
      <alignment horizontal="left" vertical="center" wrapText="1"/>
    </xf>
    <xf numFmtId="0" fontId="108" fillId="6" borderId="35" xfId="0" applyFont="1" applyFill="1" applyBorder="1" applyAlignment="1">
      <alignment horizontal="left" vertical="center" wrapText="1"/>
    </xf>
    <xf numFmtId="0" fontId="108" fillId="6" borderId="4" xfId="0" applyFont="1" applyFill="1" applyBorder="1" applyAlignment="1">
      <alignment horizontal="left" vertical="center" wrapText="1"/>
    </xf>
    <xf numFmtId="0" fontId="108" fillId="6" borderId="60" xfId="0" applyFont="1" applyFill="1" applyBorder="1" applyAlignment="1">
      <alignment horizontal="left" vertical="center" wrapText="1"/>
    </xf>
    <xf numFmtId="0" fontId="108" fillId="6" borderId="7" xfId="0" applyFont="1" applyFill="1" applyBorder="1" applyAlignment="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lignment horizontal="left" vertical="center"/>
    </xf>
    <xf numFmtId="9" fontId="49" fillId="6" borderId="24" xfId="0" applyNumberFormat="1" applyFont="1" applyFill="1" applyBorder="1" applyAlignment="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lignment horizontal="left" vertical="center"/>
    </xf>
    <xf numFmtId="0" fontId="50" fillId="0" borderId="24" xfId="0" applyFont="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lignment horizontal="left" vertical="center" wrapText="1"/>
    </xf>
    <xf numFmtId="0" fontId="49" fillId="6" borderId="41" xfId="0" applyFont="1" applyFill="1" applyBorder="1" applyAlignment="1">
      <alignment horizontal="left" vertical="center" wrapText="1"/>
    </xf>
    <xf numFmtId="10" fontId="49" fillId="6" borderId="1" xfId="0" applyNumberFormat="1" applyFont="1" applyFill="1" applyBorder="1" applyAlignment="1">
      <alignment horizontal="left" vertical="center"/>
    </xf>
    <xf numFmtId="0" fontId="49" fillId="6" borderId="24" xfId="0" applyFont="1" applyFill="1" applyBorder="1" applyAlignment="1">
      <alignment horizontal="left" vertical="center"/>
    </xf>
    <xf numFmtId="0" fontId="50" fillId="6" borderId="0" xfId="0" applyFont="1" applyFill="1" applyAlignment="1" applyProtection="1">
      <alignment horizontal="left" vertical="center"/>
      <protection locked="0"/>
    </xf>
    <xf numFmtId="0" fontId="115" fillId="0" borderId="24" xfId="0" applyFont="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Alignment="1" applyProtection="1">
      <alignment horizontal="left" vertical="center" wrapText="1"/>
      <protection locked="0"/>
    </xf>
    <xf numFmtId="0" fontId="49" fillId="18" borderId="33" xfId="0" applyFont="1" applyFill="1" applyBorder="1" applyAlignment="1">
      <alignment horizontal="left" vertical="center"/>
    </xf>
    <xf numFmtId="0" fontId="49" fillId="18" borderId="32" xfId="0" applyFont="1" applyFill="1" applyBorder="1" applyAlignment="1">
      <alignment horizontal="left" vertical="center" wrapText="1"/>
    </xf>
    <xf numFmtId="10" fontId="49" fillId="18" borderId="32" xfId="0" applyNumberFormat="1" applyFont="1" applyFill="1" applyBorder="1" applyAlignment="1">
      <alignment horizontal="left" vertical="center"/>
    </xf>
    <xf numFmtId="0" fontId="115" fillId="0" borderId="49" xfId="0" applyFont="1" applyBorder="1" applyAlignment="1" applyProtection="1">
      <alignment horizontal="left" vertical="center" wrapText="1"/>
      <protection locked="0"/>
    </xf>
    <xf numFmtId="177" fontId="56" fillId="6" borderId="2" xfId="0" applyNumberFormat="1" applyFont="1" applyFill="1" applyBorder="1" applyAlignment="1">
      <alignment horizontal="left" vertical="center" wrapText="1"/>
    </xf>
    <xf numFmtId="177" fontId="55" fillId="6" borderId="1" xfId="0" applyNumberFormat="1" applyFont="1" applyFill="1" applyBorder="1" applyAlignment="1">
      <alignment horizontal="left" vertical="center" wrapText="1"/>
    </xf>
    <xf numFmtId="177" fontId="55" fillId="0" borderId="1" xfId="0" applyNumberFormat="1" applyFont="1" applyBorder="1" applyAlignment="1" applyProtection="1">
      <alignment horizontal="left" vertical="center" wrapText="1"/>
      <protection locked="0"/>
    </xf>
    <xf numFmtId="0" fontId="56" fillId="0" borderId="1" xfId="0" applyFont="1" applyBorder="1" applyAlignment="1" applyProtection="1">
      <alignment horizontal="left" vertical="center" wrapText="1"/>
      <protection locked="0"/>
    </xf>
    <xf numFmtId="177" fontId="56" fillId="6" borderId="1" xfId="0" applyNumberFormat="1" applyFont="1" applyFill="1" applyBorder="1" applyAlignment="1">
      <alignment horizontal="left" vertical="center" wrapText="1"/>
    </xf>
    <xf numFmtId="177" fontId="56" fillId="6" borderId="32" xfId="0" applyNumberFormat="1" applyFont="1" applyFill="1" applyBorder="1" applyAlignment="1">
      <alignment horizontal="left" vertical="center" wrapText="1"/>
    </xf>
    <xf numFmtId="10" fontId="55" fillId="6" borderId="32" xfId="0" applyNumberFormat="1" applyFont="1" applyFill="1" applyBorder="1" applyAlignment="1">
      <alignment horizontal="left" vertical="center" wrapText="1"/>
    </xf>
    <xf numFmtId="0" fontId="55" fillId="0" borderId="1" xfId="0" applyFont="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Border="1" applyAlignment="1" applyProtection="1">
      <alignment horizontal="left" vertical="center" wrapText="1"/>
      <protection locked="0"/>
    </xf>
    <xf numFmtId="9" fontId="46" fillId="6" borderId="0" xfId="0" applyNumberFormat="1" applyFont="1" applyFill="1" applyAlignment="1">
      <alignment horizontal="left" vertical="center"/>
    </xf>
    <xf numFmtId="10" fontId="55" fillId="6" borderId="1" xfId="0" applyNumberFormat="1" applyFont="1" applyFill="1" applyBorder="1" applyAlignment="1">
      <alignment horizontal="left" vertical="center" wrapText="1"/>
    </xf>
    <xf numFmtId="190" fontId="55" fillId="6" borderId="1" xfId="0" applyNumberFormat="1" applyFont="1" applyFill="1" applyBorder="1" applyAlignment="1">
      <alignment horizontal="left" vertical="center" wrapText="1"/>
    </xf>
    <xf numFmtId="10" fontId="54" fillId="6" borderId="5" xfId="0" applyNumberFormat="1" applyFont="1" applyFill="1" applyBorder="1" applyAlignment="1">
      <alignment horizontal="left" vertical="center" wrapText="1"/>
    </xf>
    <xf numFmtId="181" fontId="56" fillId="6" borderId="1"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55" fillId="6" borderId="32" xfId="0" applyFont="1" applyFill="1" applyBorder="1" applyAlignment="1">
      <alignment horizontal="left" vertical="center" wrapText="1"/>
    </xf>
    <xf numFmtId="0" fontId="55" fillId="6" borderId="5" xfId="0" applyFont="1" applyFill="1" applyBorder="1" applyAlignment="1">
      <alignment horizontal="left" vertical="center" wrapText="1"/>
    </xf>
    <xf numFmtId="190" fontId="55" fillId="0" borderId="1" xfId="0" applyNumberFormat="1" applyFont="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27"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0" fontId="106" fillId="6" borderId="24" xfId="0" applyFont="1" applyFill="1" applyBorder="1" applyAlignment="1">
      <alignment horizontal="left" vertical="center" wrapText="1"/>
    </xf>
    <xf numFmtId="0" fontId="106" fillId="6" borderId="13" xfId="0" applyFont="1" applyFill="1" applyBorder="1" applyAlignment="1">
      <alignment horizontal="left" vertical="center" wrapText="1"/>
    </xf>
    <xf numFmtId="0" fontId="106" fillId="6" borderId="61" xfId="0" applyFont="1" applyFill="1" applyBorder="1" applyAlignment="1">
      <alignment horizontal="left" vertical="center" wrapText="1"/>
    </xf>
    <xf numFmtId="0" fontId="127" fillId="6" borderId="5"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48" xfId="0" applyFont="1" applyFill="1" applyBorder="1" applyAlignment="1">
      <alignment horizontal="left" vertical="center" wrapText="1"/>
    </xf>
    <xf numFmtId="0" fontId="127" fillId="6" borderId="33" xfId="0" applyFont="1" applyFill="1" applyBorder="1" applyAlignment="1">
      <alignment horizontal="left" vertical="center" wrapText="1"/>
    </xf>
    <xf numFmtId="0" fontId="106" fillId="6" borderId="33" xfId="0" applyFont="1" applyFill="1" applyBorder="1" applyAlignment="1">
      <alignment horizontal="left" vertical="center" wrapText="1"/>
    </xf>
    <xf numFmtId="0" fontId="106" fillId="6" borderId="68" xfId="0" applyFont="1" applyFill="1" applyBorder="1" applyAlignment="1">
      <alignment horizontal="left" vertical="center" wrapText="1"/>
    </xf>
    <xf numFmtId="0" fontId="48" fillId="6" borderId="24" xfId="0" applyFont="1" applyFill="1" applyBorder="1" applyAlignment="1">
      <alignment horizontal="left" vertical="center"/>
    </xf>
    <xf numFmtId="0" fontId="46" fillId="18" borderId="24" xfId="0" applyFont="1" applyFill="1" applyBorder="1" applyAlignment="1">
      <alignment horizontal="left" vertical="center"/>
    </xf>
    <xf numFmtId="0" fontId="46" fillId="6" borderId="24" xfId="0" applyFont="1" applyFill="1" applyBorder="1" applyAlignment="1">
      <alignment horizontal="left" vertical="center"/>
    </xf>
    <xf numFmtId="0" fontId="54" fillId="6" borderId="24" xfId="0" applyFont="1" applyFill="1" applyBorder="1" applyAlignment="1">
      <alignment horizontal="left" vertical="center"/>
    </xf>
    <xf numFmtId="0" fontId="46" fillId="6" borderId="49" xfId="0" applyFont="1" applyFill="1" applyBorder="1" applyAlignment="1">
      <alignment horizontal="left" vertical="center"/>
    </xf>
    <xf numFmtId="0" fontId="46" fillId="6" borderId="1" xfId="0" applyFont="1" applyFill="1" applyBorder="1" applyAlignment="1" applyProtection="1">
      <alignment horizontal="left" vertical="center" wrapText="1"/>
      <protection locked="0"/>
    </xf>
    <xf numFmtId="0" fontId="100" fillId="6" borderId="5" xfId="0" applyFont="1" applyFill="1" applyBorder="1" applyAlignment="1">
      <alignment horizontal="right" vertical="center"/>
    </xf>
    <xf numFmtId="0" fontId="100" fillId="6" borderId="1" xfId="0" applyFont="1" applyFill="1" applyBorder="1" applyAlignment="1">
      <alignment horizontal="right" vertical="center"/>
    </xf>
    <xf numFmtId="0" fontId="206" fillId="6" borderId="23" xfId="0" applyFont="1" applyFill="1" applyBorder="1" applyAlignment="1">
      <alignment horizontal="left" vertical="center"/>
    </xf>
    <xf numFmtId="0" fontId="100" fillId="6" borderId="23" xfId="0" applyFont="1" applyFill="1" applyBorder="1" applyAlignment="1">
      <alignment horizontal="left" vertical="center"/>
    </xf>
    <xf numFmtId="0" fontId="100" fillId="6" borderId="25" xfId="0" applyFont="1" applyFill="1" applyBorder="1" applyAlignment="1">
      <alignment horizontal="left" vertical="center"/>
    </xf>
    <xf numFmtId="0" fontId="100" fillId="6" borderId="5" xfId="0" applyFont="1" applyFill="1" applyBorder="1" applyAlignment="1">
      <alignment horizontal="left" vertical="center"/>
    </xf>
    <xf numFmtId="0" fontId="100" fillId="6" borderId="24" xfId="0" applyFont="1" applyFill="1" applyBorder="1" applyAlignment="1">
      <alignment horizontal="left" vertical="center"/>
    </xf>
    <xf numFmtId="0" fontId="126" fillId="6" borderId="1" xfId="0" applyFont="1" applyFill="1" applyBorder="1" applyAlignment="1">
      <alignment horizontal="left" vertical="center" wrapText="1"/>
    </xf>
    <xf numFmtId="0" fontId="126" fillId="5" borderId="1" xfId="0" applyFont="1" applyFill="1" applyBorder="1" applyAlignment="1" applyProtection="1">
      <alignment horizontal="left" vertical="center"/>
      <protection locked="0"/>
    </xf>
    <xf numFmtId="0" fontId="126" fillId="6" borderId="1" xfId="0" applyFont="1" applyFill="1" applyBorder="1" applyAlignment="1">
      <alignment horizontal="center" vertical="center"/>
    </xf>
    <xf numFmtId="0" fontId="126" fillId="6" borderId="1" xfId="0" applyFont="1" applyFill="1" applyBorder="1" applyAlignment="1">
      <alignment horizontal="left" vertical="center"/>
    </xf>
    <xf numFmtId="0" fontId="100"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Font="1" applyFill="1" applyBorder="1" applyAlignment="1">
      <alignment vertical="center" wrapText="1"/>
    </xf>
    <xf numFmtId="0" fontId="49" fillId="16" borderId="78" xfId="0" applyFont="1" applyFill="1" applyBorder="1" applyAlignment="1">
      <alignment vertical="center" wrapText="1"/>
    </xf>
    <xf numFmtId="0" fontId="49" fillId="6" borderId="5" xfId="0" applyFont="1" applyFill="1" applyBorder="1" applyAlignment="1">
      <alignment vertical="center" wrapText="1"/>
    </xf>
    <xf numFmtId="0" fontId="49" fillId="5" borderId="23"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lignment vertical="center" wrapText="1"/>
    </xf>
    <xf numFmtId="183" fontId="170" fillId="0" borderId="24" xfId="0" applyNumberFormat="1" applyFont="1" applyBorder="1" applyAlignment="1" applyProtection="1">
      <alignment vertical="center" shrinkToFit="1"/>
      <protection locked="0"/>
    </xf>
    <xf numFmtId="0" fontId="49" fillId="6" borderId="16" xfId="0" applyFont="1" applyFill="1" applyBorder="1" applyAlignment="1">
      <alignment vertical="center" wrapText="1"/>
    </xf>
    <xf numFmtId="183" fontId="170" fillId="0" borderId="21" xfId="0" applyNumberFormat="1" applyFont="1" applyBorder="1" applyAlignment="1" applyProtection="1">
      <alignment vertical="center" shrinkToFit="1"/>
      <protection locked="0"/>
    </xf>
    <xf numFmtId="0" fontId="170" fillId="0" borderId="48" xfId="0" applyFont="1" applyBorder="1" applyAlignment="1" applyProtection="1">
      <alignment vertical="center" wrapText="1"/>
      <protection locked="0"/>
    </xf>
    <xf numFmtId="0" fontId="49" fillId="6" borderId="89" xfId="0" applyFont="1" applyFill="1" applyBorder="1" applyAlignment="1">
      <alignment vertical="center" wrapText="1"/>
    </xf>
    <xf numFmtId="0" fontId="49" fillId="6" borderId="91" xfId="0" applyFont="1" applyFill="1" applyBorder="1" applyAlignment="1">
      <alignment vertical="center" wrapText="1"/>
    </xf>
    <xf numFmtId="0" fontId="170" fillId="0" borderId="79" xfId="0" applyFont="1" applyBorder="1" applyAlignment="1" applyProtection="1">
      <alignment vertical="center" wrapText="1"/>
      <protection locked="0"/>
    </xf>
    <xf numFmtId="0" fontId="170" fillId="0" borderId="90" xfId="0" applyFont="1" applyBorder="1" applyAlignment="1" applyProtection="1">
      <alignment vertical="center" wrapText="1"/>
      <protection locked="0"/>
    </xf>
    <xf numFmtId="0" fontId="49" fillId="6" borderId="27" xfId="0" applyFont="1" applyFill="1" applyBorder="1" applyAlignment="1">
      <alignment horizontal="left" vertical="center"/>
    </xf>
    <xf numFmtId="0" fontId="49" fillId="0" borderId="96" xfId="0" applyFont="1" applyBorder="1" applyAlignment="1" applyProtection="1">
      <alignment horizontal="left" vertical="center" wrapText="1"/>
      <protection locked="0"/>
    </xf>
    <xf numFmtId="0" fontId="46" fillId="6" borderId="51" xfId="0" applyFont="1" applyFill="1" applyBorder="1">
      <alignment vertical="center"/>
    </xf>
    <xf numFmtId="0" fontId="46" fillId="6" borderId="20" xfId="0" applyFont="1" applyFill="1" applyBorder="1">
      <alignment vertical="center"/>
    </xf>
    <xf numFmtId="0" fontId="46" fillId="6" borderId="41" xfId="0" applyFont="1" applyFill="1" applyBorder="1">
      <alignment vertical="center"/>
    </xf>
    <xf numFmtId="0" fontId="46" fillId="6" borderId="61" xfId="0" applyFont="1" applyFill="1" applyBorder="1" applyAlignment="1">
      <alignment horizontal="center" vertical="center"/>
    </xf>
    <xf numFmtId="0" fontId="46" fillId="6" borderId="38" xfId="0" applyFont="1" applyFill="1" applyBorder="1">
      <alignment vertical="center"/>
    </xf>
    <xf numFmtId="0" fontId="46" fillId="0" borderId="49" xfId="0" applyFont="1" applyBorder="1" applyAlignment="1" applyProtection="1">
      <alignment horizontal="center" vertical="center"/>
      <protection locked="0"/>
    </xf>
    <xf numFmtId="0" fontId="49" fillId="6" borderId="82" xfId="0" applyFont="1" applyFill="1" applyBorder="1" applyAlignment="1">
      <alignment horizontal="center" vertical="center"/>
    </xf>
    <xf numFmtId="0" fontId="46" fillId="12" borderId="0" xfId="0" applyFont="1" applyFill="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Alignment="1" applyProtection="1">
      <alignment horizontal="center"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0" fillId="12" borderId="4" xfId="0" applyNumberFormat="1" applyFont="1" applyFill="1" applyBorder="1" applyAlignment="1" applyProtection="1">
      <alignment horizontal="left" vertical="center"/>
      <protection locked="0"/>
    </xf>
    <xf numFmtId="0" fontId="49" fillId="12" borderId="60" xfId="0" applyFont="1" applyFill="1" applyBorder="1" applyAlignment="1">
      <alignment vertical="center" wrapText="1"/>
    </xf>
    <xf numFmtId="0" fontId="49" fillId="12" borderId="60" xfId="0" applyFont="1" applyFill="1" applyBorder="1" applyAlignment="1">
      <alignment horizontal="center" vertical="center" wrapText="1"/>
    </xf>
    <xf numFmtId="0" fontId="49" fillId="12" borderId="7" xfId="0" applyFont="1" applyFill="1" applyBorder="1" applyAlignment="1">
      <alignment vertical="center" wrapText="1"/>
    </xf>
    <xf numFmtId="0" fontId="49" fillId="12" borderId="0" xfId="0" applyFont="1" applyFill="1" applyAlignment="1">
      <alignment vertical="center" wrapText="1"/>
    </xf>
    <xf numFmtId="0" fontId="49" fillId="12" borderId="0" xfId="0" applyFont="1" applyFill="1" applyProtection="1">
      <alignment vertical="center"/>
      <protection locked="0"/>
    </xf>
    <xf numFmtId="0" fontId="49" fillId="12" borderId="0" xfId="0" applyFont="1" applyFill="1" applyAlignment="1" applyProtection="1">
      <alignment horizontal="center" vertical="center"/>
      <protection locked="0"/>
    </xf>
    <xf numFmtId="179" fontId="49" fillId="12" borderId="0" xfId="0" applyNumberFormat="1" applyFont="1" applyFill="1" applyProtection="1">
      <alignment vertical="center"/>
      <protection locked="0"/>
    </xf>
    <xf numFmtId="179" fontId="46" fillId="12" borderId="0" xfId="0" applyNumberFormat="1" applyFont="1" applyFill="1" applyProtection="1">
      <alignment vertical="center"/>
      <protection locked="0"/>
    </xf>
    <xf numFmtId="0" fontId="46" fillId="12" borderId="67" xfId="0" applyFont="1" applyFill="1" applyBorder="1" applyAlignment="1" applyProtection="1">
      <alignment horizontal="center" vertical="center"/>
      <protection locked="0"/>
    </xf>
    <xf numFmtId="0" fontId="102"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2" fillId="12" borderId="0" xfId="0" applyFont="1" applyFill="1" applyAlignment="1" applyProtection="1">
      <alignment horizontal="center" vertical="center"/>
      <protection locked="0"/>
    </xf>
    <xf numFmtId="0" fontId="115" fillId="12" borderId="0" xfId="0" applyFont="1" applyFill="1" applyProtection="1">
      <alignment vertical="center"/>
      <protection locked="0"/>
    </xf>
    <xf numFmtId="0" fontId="49" fillId="12" borderId="0" xfId="0" applyFont="1" applyFill="1">
      <alignment vertical="center"/>
    </xf>
    <xf numFmtId="181" fontId="100" fillId="12" borderId="0" xfId="0" applyNumberFormat="1" applyFont="1" applyFill="1" applyAlignment="1">
      <alignment horizontal="center" vertical="center"/>
    </xf>
    <xf numFmtId="179" fontId="102" fillId="12" borderId="0" xfId="0" applyNumberFormat="1" applyFont="1" applyFill="1" applyProtection="1">
      <alignment vertical="center"/>
      <protection locked="0"/>
    </xf>
    <xf numFmtId="0" fontId="46" fillId="12" borderId="0" xfId="0" applyFont="1" applyFill="1">
      <alignment vertical="center"/>
    </xf>
    <xf numFmtId="0" fontId="162" fillId="12" borderId="0" xfId="12" applyFont="1" applyFill="1" applyAlignment="1" applyProtection="1">
      <alignment horizontal="left" vertical="center" wrapText="1"/>
      <protection locked="0"/>
    </xf>
    <xf numFmtId="0" fontId="161" fillId="12" borderId="0" xfId="12" applyFill="1" applyAlignment="1" applyProtection="1">
      <alignment horizontal="left"/>
      <protection locked="0"/>
    </xf>
    <xf numFmtId="0" fontId="179"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65" fillId="6" borderId="0" xfId="0" applyFont="1" applyFill="1" applyProtection="1">
      <alignment vertical="center"/>
      <protection locked="0"/>
    </xf>
    <xf numFmtId="49" fontId="64" fillId="6" borderId="0" xfId="0" applyNumberFormat="1" applyFont="1" applyFill="1" applyAlignment="1" applyProtection="1">
      <alignment horizontal="center"/>
      <protection locked="0"/>
    </xf>
    <xf numFmtId="49" fontId="64" fillId="6" borderId="0" xfId="0" applyNumberFormat="1" applyFont="1" applyFill="1" applyAlignment="1" applyProtection="1">
      <alignment horizontal="left"/>
      <protection locked="0"/>
    </xf>
    <xf numFmtId="49" fontId="56" fillId="6" borderId="0" xfId="0" applyNumberFormat="1" applyFont="1" applyFill="1" applyAlignment="1" applyProtection="1">
      <alignment horizontal="center"/>
      <protection locked="0"/>
    </xf>
    <xf numFmtId="49" fontId="56" fillId="6" borderId="0" xfId="0" applyNumberFormat="1" applyFont="1" applyFill="1" applyAlignment="1" applyProtection="1">
      <alignment horizontal="left"/>
      <protection locked="0"/>
    </xf>
    <xf numFmtId="49" fontId="56" fillId="6" borderId="0" xfId="0" applyNumberFormat="1" applyFont="1" applyFill="1" applyAlignment="1" applyProtection="1">
      <alignment horizontal="left" vertical="center"/>
      <protection locked="0"/>
    </xf>
    <xf numFmtId="0" fontId="55" fillId="6" borderId="0" xfId="0" applyFont="1" applyFill="1" applyAlignment="1" applyProtection="1">
      <alignment horizontal="left" vertical="center"/>
      <protection locked="0"/>
    </xf>
    <xf numFmtId="179" fontId="62" fillId="6" borderId="0" xfId="0" applyNumberFormat="1" applyFont="1" applyFill="1" applyAlignment="1" applyProtection="1">
      <alignment horizontal="center" vertical="center"/>
      <protection locked="0"/>
    </xf>
    <xf numFmtId="0" fontId="101" fillId="6" borderId="0" xfId="0" applyFont="1" applyFill="1" applyAlignment="1" applyProtection="1">
      <protection locked="0"/>
    </xf>
    <xf numFmtId="0" fontId="101"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141" fillId="6" borderId="0" xfId="0" applyFont="1" applyFill="1" applyProtection="1">
      <alignment vertical="center"/>
      <protection locked="0"/>
    </xf>
    <xf numFmtId="177" fontId="56" fillId="7" borderId="0" xfId="0" applyNumberFormat="1" applyFont="1" applyFill="1" applyAlignment="1" applyProtection="1">
      <protection locked="0"/>
    </xf>
    <xf numFmtId="0" fontId="100" fillId="12" borderId="0" xfId="0" applyFont="1" applyFill="1">
      <alignment vertical="center"/>
    </xf>
    <xf numFmtId="0" fontId="206" fillId="12" borderId="0" xfId="0" applyFont="1" applyFill="1">
      <alignment vertical="center"/>
    </xf>
    <xf numFmtId="0" fontId="100" fillId="12" borderId="47" xfId="0" applyFont="1" applyFill="1" applyBorder="1">
      <alignment vertical="center"/>
    </xf>
    <xf numFmtId="0" fontId="100" fillId="12" borderId="56" xfId="0" applyFont="1" applyFill="1" applyBorder="1">
      <alignment vertical="center"/>
    </xf>
    <xf numFmtId="0" fontId="59" fillId="12" borderId="18" xfId="1" applyFont="1" applyFill="1" applyBorder="1">
      <alignment vertical="center"/>
    </xf>
    <xf numFmtId="181" fontId="59" fillId="12" borderId="0" xfId="0" applyNumberFormat="1" applyFont="1" applyFill="1" applyProtection="1">
      <alignment vertical="center"/>
      <protection locked="0"/>
    </xf>
    <xf numFmtId="0" fontId="59" fillId="12" borderId="0" xfId="0" applyFont="1" applyFill="1" applyAlignment="1" applyProtection="1">
      <alignment horizontal="center" vertical="center"/>
      <protection locked="0"/>
    </xf>
    <xf numFmtId="181" fontId="46" fillId="12" borderId="0" xfId="0" applyNumberFormat="1" applyFont="1" applyFill="1" applyAlignment="1" applyProtection="1">
      <alignment vertical="center" wrapText="1"/>
      <protection locked="0"/>
    </xf>
    <xf numFmtId="0" fontId="53" fillId="12" borderId="0" xfId="0" applyFont="1" applyFill="1" applyAlignment="1" applyProtection="1">
      <alignment horizontal="center" vertical="center"/>
      <protection locked="0"/>
    </xf>
    <xf numFmtId="181" fontId="46" fillId="12" borderId="0" xfId="0" applyNumberFormat="1" applyFont="1" applyFill="1" applyAlignment="1" applyProtection="1">
      <alignment horizontal="center" vertical="center" wrapText="1"/>
      <protection locked="0"/>
    </xf>
    <xf numFmtId="181" fontId="69" fillId="12" borderId="0" xfId="0" applyNumberFormat="1" applyFont="1" applyFill="1" applyAlignment="1" applyProtection="1">
      <alignment horizontal="center" vertical="center" wrapText="1"/>
      <protection locked="0"/>
    </xf>
    <xf numFmtId="0" fontId="69"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wrapText="1"/>
      <protection locked="0"/>
    </xf>
    <xf numFmtId="181" fontId="70" fillId="12" borderId="0" xfId="0" applyNumberFormat="1" applyFont="1" applyFill="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181" fontId="53" fillId="12" borderId="0" xfId="0" applyNumberFormat="1" applyFont="1" applyFill="1" applyAlignment="1" applyProtection="1">
      <alignment vertical="center" wrapText="1"/>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8"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8" fontId="70" fillId="12" borderId="0" xfId="0" applyNumberFormat="1" applyFont="1" applyFill="1" applyAlignment="1" applyProtection="1">
      <alignment horizontal="center" vertical="center"/>
      <protection locked="0"/>
    </xf>
    <xf numFmtId="181" fontId="64" fillId="12" borderId="0" xfId="0" applyNumberFormat="1" applyFont="1" applyFill="1" applyProtection="1">
      <alignment vertical="center"/>
      <protection locked="0"/>
    </xf>
    <xf numFmtId="0" fontId="64" fillId="12" borderId="0" xfId="0" applyFont="1" applyFill="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0" fillId="12" borderId="18" xfId="0" applyFont="1" applyFill="1" applyBorder="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Font="1" applyFill="1" applyAlignment="1" applyProtection="1">
      <alignment horizontal="center" vertical="center" wrapText="1"/>
      <protection locked="0"/>
    </xf>
    <xf numFmtId="0" fontId="70" fillId="12" borderId="0" xfId="0" applyFont="1" applyFill="1" applyAlignment="1" applyProtection="1">
      <alignment horizontal="center" vertical="center" wrapText="1"/>
      <protection locked="0"/>
    </xf>
    <xf numFmtId="0" fontId="53"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0" fillId="12" borderId="58" xfId="0" applyFont="1" applyFill="1" applyBorder="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Alignment="1" applyProtection="1">
      <alignment horizontal="center" vertical="center" wrapText="1"/>
      <protection locked="0"/>
    </xf>
    <xf numFmtId="0" fontId="53" fillId="12" borderId="0" xfId="0" applyFont="1" applyFill="1" applyAlignment="1" applyProtection="1">
      <protection locked="0"/>
    </xf>
    <xf numFmtId="0" fontId="46" fillId="0" borderId="74" xfId="0" applyFont="1" applyBorder="1" applyAlignment="1">
      <alignment horizontal="center" vertical="center" wrapText="1"/>
    </xf>
    <xf numFmtId="0" fontId="46" fillId="0" borderId="76" xfId="0" applyFont="1" applyBorder="1" applyAlignment="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100" fillId="12" borderId="0" xfId="0" applyFont="1" applyFill="1" applyProtection="1">
      <alignment vertical="center"/>
      <protection locked="0"/>
    </xf>
    <xf numFmtId="0" fontId="46" fillId="12" borderId="0" xfId="0" applyFont="1" applyFill="1" applyAlignment="1" applyProtection="1">
      <alignment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10" fontId="55" fillId="6" borderId="61" xfId="8" applyNumberFormat="1" applyFont="1" applyFill="1" applyBorder="1" applyAlignment="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126" fillId="12" borderId="0" xfId="0" applyFont="1" applyFill="1" applyProtection="1">
      <alignment vertical="center"/>
      <protection locked="0"/>
    </xf>
    <xf numFmtId="0" fontId="49" fillId="0" borderId="3" xfId="0" applyFont="1" applyBorder="1" applyProtection="1">
      <alignment vertical="center"/>
      <protection locked="0"/>
    </xf>
    <xf numFmtId="0" fontId="46" fillId="0" borderId="22" xfId="0" applyFont="1" applyBorder="1" applyProtection="1">
      <alignment vertical="center"/>
      <protection locked="0"/>
    </xf>
    <xf numFmtId="0" fontId="46" fillId="0" borderId="61" xfId="0" applyFont="1" applyBorder="1" applyProtection="1">
      <alignment vertical="center"/>
      <protection locked="0"/>
    </xf>
    <xf numFmtId="0" fontId="125" fillId="12" borderId="0" xfId="0" applyFont="1" applyFill="1">
      <alignment vertical="center"/>
    </xf>
    <xf numFmtId="0" fontId="102" fillId="12" borderId="0" xfId="0" applyFont="1" applyFill="1">
      <alignment vertical="center"/>
    </xf>
    <xf numFmtId="0" fontId="242" fillId="12" borderId="0" xfId="0" applyFont="1" applyFill="1" applyAlignment="1">
      <alignment horizontal="left" vertical="center"/>
    </xf>
    <xf numFmtId="0" fontId="102" fillId="12" borderId="0" xfId="0" applyFont="1" applyFill="1" applyAlignment="1">
      <alignment horizontal="left" vertical="center"/>
    </xf>
    <xf numFmtId="0" fontId="115" fillId="12" borderId="0" xfId="0" applyFont="1" applyFill="1">
      <alignment vertical="center"/>
    </xf>
    <xf numFmtId="0" fontId="241" fillId="12" borderId="0" xfId="0" applyFont="1" applyFill="1">
      <alignment vertical="center"/>
    </xf>
    <xf numFmtId="0" fontId="125" fillId="12" borderId="0" xfId="0" applyFont="1" applyFill="1" applyAlignment="1">
      <alignment horizontal="left" vertical="center"/>
    </xf>
    <xf numFmtId="0" fontId="47" fillId="12" borderId="0" xfId="1" applyFont="1" applyFill="1">
      <alignment vertical="center"/>
    </xf>
    <xf numFmtId="0" fontId="47" fillId="6" borderId="0" xfId="1" applyFont="1" applyFill="1" applyAlignment="1">
      <alignment horizontal="center" vertical="center"/>
    </xf>
    <xf numFmtId="49" fontId="141" fillId="6" borderId="0" xfId="0" applyNumberFormat="1" applyFont="1" applyFill="1" applyAlignment="1" applyProtection="1">
      <alignment horizontal="left" vertical="center"/>
      <protection locked="0"/>
    </xf>
    <xf numFmtId="0" fontId="104" fillId="6" borderId="1" xfId="0" applyFont="1" applyFill="1" applyBorder="1" applyAlignment="1">
      <alignment horizontal="center" vertical="center"/>
    </xf>
    <xf numFmtId="0" fontId="104" fillId="2" borderId="1" xfId="0" applyFont="1" applyFill="1" applyBorder="1" applyAlignment="1" applyProtection="1">
      <alignment horizontal="center" vertical="center"/>
      <protection locked="0"/>
    </xf>
    <xf numFmtId="10" fontId="115" fillId="0" borderId="23" xfId="0" applyNumberFormat="1" applyFont="1" applyBorder="1" applyProtection="1">
      <alignment vertical="center"/>
      <protection locked="0"/>
    </xf>
    <xf numFmtId="0" fontId="46" fillId="5" borderId="11" xfId="0" applyFont="1" applyFill="1" applyBorder="1" applyAlignment="1" applyProtection="1">
      <alignment vertical="center" wrapText="1"/>
      <protection locked="0"/>
    </xf>
    <xf numFmtId="0" fontId="131" fillId="6" borderId="1" xfId="2" applyFont="1" applyFill="1" applyBorder="1" applyAlignment="1">
      <alignment horizontal="center" wrapText="1"/>
    </xf>
    <xf numFmtId="194" fontId="159" fillId="6" borderId="1" xfId="2" applyNumberFormat="1" applyFont="1" applyFill="1" applyBorder="1" applyAlignment="1">
      <alignment horizontal="center" vertical="center" wrapText="1"/>
    </xf>
    <xf numFmtId="0" fontId="135" fillId="6" borderId="0" xfId="2" applyFont="1" applyFill="1" applyAlignment="1">
      <alignment vertical="center"/>
    </xf>
    <xf numFmtId="0" fontId="135" fillId="6" borderId="1" xfId="2" applyFont="1" applyFill="1" applyBorder="1" applyAlignment="1">
      <alignment horizontal="left" vertical="center" wrapText="1"/>
    </xf>
    <xf numFmtId="14" fontId="124" fillId="6" borderId="1" xfId="2" applyNumberFormat="1" applyFont="1" applyFill="1" applyBorder="1" applyAlignment="1">
      <alignment horizontal="center" wrapText="1"/>
    </xf>
    <xf numFmtId="0" fontId="124" fillId="6" borderId="1" xfId="2" applyFont="1" applyFill="1" applyBorder="1" applyAlignment="1">
      <alignment horizontal="center" wrapText="1"/>
    </xf>
    <xf numFmtId="179" fontId="243" fillId="6" borderId="1" xfId="2" applyNumberFormat="1" applyFont="1" applyFill="1" applyBorder="1" applyAlignment="1">
      <alignment horizontal="center"/>
    </xf>
    <xf numFmtId="0" fontId="97" fillId="0" borderId="0" xfId="0" applyFont="1" applyAlignment="1"/>
    <xf numFmtId="49" fontId="66" fillId="6" borderId="60" xfId="4" applyNumberFormat="1" applyFont="1" applyFill="1" applyBorder="1"/>
    <xf numFmtId="0" fontId="65" fillId="6" borderId="0" xfId="4" applyFont="1" applyFill="1" applyAlignment="1">
      <alignment horizontal="center" vertical="center"/>
    </xf>
    <xf numFmtId="49" fontId="60" fillId="6" borderId="0" xfId="4" applyNumberFormat="1" applyFont="1" applyFill="1" applyAlignment="1">
      <alignment horizontal="center"/>
    </xf>
    <xf numFmtId="0" fontId="60" fillId="6" borderId="0" xfId="4" applyFont="1" applyFill="1" applyAlignment="1">
      <alignment horizontal="center"/>
    </xf>
    <xf numFmtId="0" fontId="60" fillId="0" borderId="0" xfId="4" applyFont="1" applyAlignment="1" applyProtection="1">
      <alignment horizontal="center"/>
      <protection locked="0"/>
    </xf>
    <xf numFmtId="0" fontId="5" fillId="0" borderId="0" xfId="4" applyFont="1" applyAlignment="1" applyProtection="1">
      <alignment horizontal="left"/>
      <protection locked="0"/>
    </xf>
    <xf numFmtId="0" fontId="244"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5" fillId="0" borderId="0" xfId="4" applyFont="1" applyAlignment="1">
      <alignment horizontal="left"/>
    </xf>
    <xf numFmtId="185" fontId="54" fillId="6" borderId="1" xfId="4" applyNumberFormat="1" applyFont="1" applyFill="1" applyBorder="1" applyAlignment="1">
      <alignment horizontal="right" vertical="center"/>
    </xf>
    <xf numFmtId="0" fontId="55" fillId="6" borderId="0" xfId="4" applyFont="1" applyFill="1" applyAlignment="1">
      <alignment vertical="center"/>
    </xf>
    <xf numFmtId="49" fontId="55" fillId="6" borderId="0" xfId="4" applyNumberFormat="1" applyFont="1" applyFill="1"/>
    <xf numFmtId="49" fontId="56" fillId="6" borderId="0" xfId="4" applyNumberFormat="1" applyFont="1" applyFill="1"/>
    <xf numFmtId="49" fontId="56" fillId="0" borderId="0" xfId="4" applyNumberFormat="1" applyFont="1" applyProtection="1">
      <protection locked="0"/>
    </xf>
    <xf numFmtId="0" fontId="21"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Border="1" applyAlignment="1" applyProtection="1">
      <alignment horizontal="left" vertical="center"/>
      <protection locked="0"/>
    </xf>
    <xf numFmtId="0" fontId="56" fillId="0" borderId="24" xfId="4" applyFont="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21" fillId="0" borderId="0" xfId="4" applyFont="1" applyAlignment="1">
      <alignment horizontal="left"/>
    </xf>
    <xf numFmtId="0" fontId="56" fillId="6" borderId="13" xfId="1" applyFont="1" applyFill="1" applyBorder="1">
      <alignment vertical="center"/>
    </xf>
    <xf numFmtId="0" fontId="54" fillId="6" borderId="13" xfId="4" applyFont="1" applyFill="1" applyBorder="1" applyAlignment="1">
      <alignment horizontal="right" vertical="center"/>
    </xf>
    <xf numFmtId="177" fontId="101" fillId="0" borderId="1" xfId="1" applyNumberFormat="1" applyFont="1" applyBorder="1" applyAlignment="1" applyProtection="1">
      <alignment horizontal="left" vertical="center"/>
      <protection locked="0" hidden="1"/>
    </xf>
    <xf numFmtId="177" fontId="101"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21" fillId="6" borderId="1" xfId="4" applyFont="1" applyFill="1" applyBorder="1" applyAlignment="1">
      <alignment vertical="center"/>
    </xf>
    <xf numFmtId="0" fontId="55" fillId="0" borderId="1" xfId="4" applyFont="1" applyBorder="1" applyAlignment="1" applyProtection="1">
      <alignment horizontal="left" vertical="center"/>
      <protection locked="0"/>
    </xf>
    <xf numFmtId="0" fontId="55" fillId="0" borderId="13" xfId="4" applyFont="1" applyBorder="1" applyAlignment="1" applyProtection="1">
      <alignment horizontal="left" vertical="center"/>
      <protection locked="0"/>
    </xf>
    <xf numFmtId="0" fontId="55" fillId="0" borderId="61" xfId="4" applyFont="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2" fillId="6" borderId="0" xfId="1" applyFont="1" applyFill="1">
      <alignment vertical="center"/>
    </xf>
    <xf numFmtId="0" fontId="49" fillId="0" borderId="32" xfId="4" applyFont="1" applyBorder="1" applyAlignment="1" applyProtection="1">
      <alignment horizontal="left" vertical="center"/>
      <protection locked="0"/>
    </xf>
    <xf numFmtId="0" fontId="21" fillId="6" borderId="58" xfId="4" applyFont="1" applyFill="1" applyBorder="1" applyAlignment="1">
      <alignment vertical="center"/>
    </xf>
    <xf numFmtId="0" fontId="104" fillId="6" borderId="37" xfId="4" applyFont="1" applyFill="1" applyBorder="1" applyAlignment="1" applyProtection="1">
      <alignment vertical="center"/>
      <protection locked="0"/>
    </xf>
    <xf numFmtId="0" fontId="104"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5"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5" fontId="56" fillId="6" borderId="71" xfId="4" applyNumberFormat="1" applyFont="1" applyFill="1" applyBorder="1" applyAlignment="1">
      <alignment horizontal="left" vertical="center"/>
    </xf>
    <xf numFmtId="185" fontId="56" fillId="0" borderId="0" xfId="4" applyNumberFormat="1" applyFont="1" applyAlignment="1" applyProtection="1">
      <alignment horizontal="left" vertical="center"/>
      <protection locked="0"/>
    </xf>
    <xf numFmtId="0" fontId="55" fillId="0" borderId="5" xfId="4" applyFont="1" applyBorder="1" applyAlignment="1" applyProtection="1">
      <alignment vertical="center"/>
      <protection locked="0"/>
    </xf>
    <xf numFmtId="0" fontId="101" fillId="0" borderId="1" xfId="4" applyFont="1" applyBorder="1" applyAlignment="1" applyProtection="1">
      <alignment horizontal="left" vertical="center"/>
      <protection locked="0"/>
    </xf>
    <xf numFmtId="9" fontId="55" fillId="0" borderId="1" xfId="4" applyNumberFormat="1" applyFont="1" applyBorder="1" applyAlignment="1" applyProtection="1">
      <alignment horizontal="left" vertical="center"/>
      <protection locked="0"/>
    </xf>
    <xf numFmtId="177" fontId="55" fillId="0" borderId="1" xfId="4" applyNumberFormat="1" applyFont="1" applyBorder="1" applyAlignment="1" applyProtection="1">
      <alignment horizontal="left" vertical="center"/>
      <protection locked="0"/>
    </xf>
    <xf numFmtId="0" fontId="55" fillId="0" borderId="24" xfId="4" applyFont="1" applyBorder="1" applyAlignment="1" applyProtection="1">
      <alignment horizontal="left" vertical="center"/>
      <protection locked="0"/>
    </xf>
    <xf numFmtId="0" fontId="56" fillId="6" borderId="23" xfId="4" applyFont="1" applyFill="1" applyBorder="1" applyAlignment="1">
      <alignment horizontal="left" vertical="center"/>
    </xf>
    <xf numFmtId="185"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Alignment="1" applyProtection="1">
      <alignment horizontal="left" vertical="center"/>
      <protection locked="0"/>
    </xf>
    <xf numFmtId="9" fontId="56" fillId="0" borderId="1" xfId="4" applyNumberFormat="1" applyFont="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5"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21" fillId="6" borderId="3" xfId="4" applyFont="1" applyFill="1" applyBorder="1" applyAlignment="1">
      <alignment horizontal="right" vertical="center"/>
    </xf>
    <xf numFmtId="176" fontId="55" fillId="0" borderId="1" xfId="4" applyNumberFormat="1" applyFont="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4"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Border="1" applyAlignment="1" applyProtection="1">
      <alignment horizontal="left" vertical="center"/>
      <protection locked="0"/>
    </xf>
    <xf numFmtId="185" fontId="55" fillId="0" borderId="1" xfId="4" applyNumberFormat="1" applyFont="1" applyBorder="1" applyAlignment="1" applyProtection="1">
      <alignment horizontal="left" vertical="center"/>
      <protection locked="0"/>
    </xf>
    <xf numFmtId="181" fontId="55" fillId="0" borderId="1" xfId="4" applyNumberFormat="1" applyFont="1" applyBorder="1" applyAlignment="1" applyProtection="1">
      <alignment horizontal="left" vertical="center"/>
      <protection locked="0"/>
    </xf>
    <xf numFmtId="0" fontId="56" fillId="6" borderId="25" xfId="4" applyFont="1" applyFill="1" applyBorder="1" applyAlignment="1">
      <alignment horizontal="left" vertical="center"/>
    </xf>
    <xf numFmtId="185" fontId="56" fillId="6" borderId="32" xfId="4" applyNumberFormat="1" applyFont="1" applyFill="1" applyBorder="1" applyAlignment="1">
      <alignment horizontal="left" vertical="center"/>
    </xf>
    <xf numFmtId="181" fontId="56" fillId="0" borderId="32" xfId="4" applyNumberFormat="1" applyFont="1" applyBorder="1" applyAlignment="1" applyProtection="1">
      <alignment horizontal="left" vertical="center"/>
      <protection locked="0"/>
    </xf>
    <xf numFmtId="0" fontId="56" fillId="6" borderId="49" xfId="4" applyFont="1" applyFill="1" applyBorder="1" applyAlignment="1">
      <alignment vertical="center"/>
    </xf>
    <xf numFmtId="185" fontId="56" fillId="6" borderId="60" xfId="4" applyNumberFormat="1" applyFont="1" applyFill="1" applyBorder="1" applyAlignment="1">
      <alignment horizontal="left" vertical="center"/>
    </xf>
    <xf numFmtId="181" fontId="56" fillId="0" borderId="60" xfId="4" applyNumberFormat="1" applyFont="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4"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1" fillId="0" borderId="1" xfId="4" applyFont="1" applyBorder="1" applyAlignment="1" applyProtection="1">
      <alignment horizontal="left" vertical="center" wrapText="1"/>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1" fillId="0" borderId="24" xfId="4" applyFont="1" applyBorder="1" applyAlignment="1" applyProtection="1">
      <alignment horizontal="left" vertical="center"/>
      <protection locked="0"/>
    </xf>
    <xf numFmtId="0" fontId="245" fillId="0" borderId="5" xfId="4" applyFont="1" applyBorder="1" applyAlignment="1" applyProtection="1">
      <alignment horizontal="left" vertical="center"/>
      <protection locked="0"/>
    </xf>
    <xf numFmtId="0" fontId="245" fillId="0" borderId="158" xfId="4" applyFont="1" applyBorder="1" applyAlignment="1" applyProtection="1">
      <alignment horizontal="left" vertical="center"/>
      <protection locked="0"/>
    </xf>
    <xf numFmtId="0" fontId="245" fillId="0" borderId="3" xfId="4" applyFont="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5" fontId="55" fillId="6" borderId="5" xfId="4" applyNumberFormat="1" applyFont="1" applyFill="1" applyBorder="1" applyAlignment="1">
      <alignment horizontal="left" vertical="center"/>
    </xf>
    <xf numFmtId="185" fontId="55" fillId="6" borderId="158" xfId="4" applyNumberFormat="1" applyFont="1" applyFill="1" applyBorder="1" applyAlignment="1">
      <alignment horizontal="left" vertical="center"/>
    </xf>
    <xf numFmtId="185"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5" fontId="55" fillId="6" borderId="5" xfId="4" applyNumberFormat="1" applyFont="1" applyFill="1" applyBorder="1" applyAlignment="1">
      <alignment horizontal="right" vertical="center"/>
    </xf>
    <xf numFmtId="181" fontId="55" fillId="0" borderId="158" xfId="4" applyNumberFormat="1" applyFont="1" applyBorder="1" applyAlignment="1" applyProtection="1">
      <alignment horizontal="right" vertical="center"/>
      <protection locked="0"/>
    </xf>
    <xf numFmtId="181" fontId="55" fillId="0" borderId="3" xfId="4" applyNumberFormat="1" applyFont="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1" fillId="0" borderId="1" xfId="4" applyNumberFormat="1" applyFont="1" applyBorder="1" applyAlignment="1" applyProtection="1">
      <alignment horizontal="left" vertical="center"/>
      <protection locked="0"/>
    </xf>
    <xf numFmtId="0" fontId="55" fillId="0" borderId="0" xfId="4" applyFont="1" applyAlignment="1" applyProtection="1">
      <alignment horizontal="right"/>
      <protection locked="0"/>
    </xf>
    <xf numFmtId="0" fontId="21" fillId="0" borderId="0" xfId="4" applyFont="1" applyAlignment="1">
      <alignment horizontal="right"/>
    </xf>
    <xf numFmtId="0" fontId="104" fillId="6" borderId="46" xfId="4" applyFont="1" applyFill="1" applyBorder="1" applyAlignment="1" applyProtection="1">
      <alignment vertical="center"/>
      <protection locked="0"/>
    </xf>
    <xf numFmtId="0" fontId="104" fillId="6" borderId="36" xfId="4" applyFont="1" applyFill="1" applyBorder="1" applyAlignment="1" applyProtection="1">
      <alignment vertical="center"/>
      <protection locked="0"/>
    </xf>
    <xf numFmtId="0" fontId="104" fillId="6" borderId="22" xfId="4" applyFont="1" applyFill="1" applyBorder="1" applyAlignment="1" applyProtection="1">
      <alignment vertical="center"/>
      <protection locked="0"/>
    </xf>
    <xf numFmtId="0" fontId="101" fillId="6" borderId="1" xfId="4" applyFont="1" applyFill="1" applyBorder="1" applyAlignment="1" applyProtection="1">
      <alignment horizontal="left" vertical="center"/>
      <protection locked="0"/>
    </xf>
    <xf numFmtId="9" fontId="101" fillId="6" borderId="1" xfId="4" applyNumberFormat="1" applyFont="1" applyFill="1" applyBorder="1" applyAlignment="1" applyProtection="1">
      <alignment horizontal="left" vertical="center"/>
      <protection locked="0"/>
    </xf>
    <xf numFmtId="181" fontId="55" fillId="6" borderId="5" xfId="4" applyNumberFormat="1" applyFont="1" applyFill="1" applyBorder="1" applyAlignment="1">
      <alignment horizontal="right" vertical="center"/>
    </xf>
    <xf numFmtId="0" fontId="21" fillId="0" borderId="0" xfId="4" applyFont="1" applyAlignment="1" applyProtection="1">
      <alignment horizontal="right"/>
      <protection locked="0"/>
    </xf>
    <xf numFmtId="0" fontId="104" fillId="6" borderId="4" xfId="4" applyFont="1" applyFill="1" applyBorder="1" applyAlignment="1" applyProtection="1">
      <alignment vertical="center"/>
      <protection locked="0"/>
    </xf>
    <xf numFmtId="0" fontId="104" fillId="6" borderId="60" xfId="4" applyFont="1" applyFill="1" applyBorder="1" applyAlignment="1" applyProtection="1">
      <alignment vertical="center"/>
      <protection locked="0"/>
    </xf>
    <xf numFmtId="0" fontId="104" fillId="6" borderId="7" xfId="4" applyFont="1" applyFill="1" applyBorder="1" applyAlignment="1" applyProtection="1">
      <alignment vertical="center"/>
      <protection locked="0"/>
    </xf>
    <xf numFmtId="0" fontId="104" fillId="0" borderId="1" xfId="4" applyFont="1" applyBorder="1" applyAlignment="1" applyProtection="1">
      <alignment horizontal="left" vertical="center"/>
      <protection locked="0"/>
    </xf>
    <xf numFmtId="9" fontId="104" fillId="0" borderId="1" xfId="4" applyNumberFormat="1" applyFont="1" applyBorder="1" applyAlignment="1" applyProtection="1">
      <alignment horizontal="left" vertical="center"/>
      <protection locked="0"/>
    </xf>
    <xf numFmtId="0" fontId="82" fillId="6" borderId="12" xfId="4" applyFont="1" applyFill="1" applyBorder="1" applyAlignment="1" applyProtection="1">
      <alignment horizontal="left" vertical="center" wrapText="1"/>
      <protection locked="0"/>
    </xf>
    <xf numFmtId="0" fontId="138" fillId="6" borderId="74" xfId="4" applyFont="1" applyFill="1" applyBorder="1" applyAlignment="1" applyProtection="1">
      <alignment vertical="center"/>
      <protection locked="0"/>
    </xf>
    <xf numFmtId="0" fontId="21" fillId="6" borderId="74" xfId="4" applyFont="1" applyFill="1" applyBorder="1" applyAlignment="1" applyProtection="1">
      <alignment vertical="center"/>
      <protection locked="0"/>
    </xf>
    <xf numFmtId="0" fontId="38" fillId="0" borderId="74" xfId="4" applyBorder="1" applyAlignment="1" applyProtection="1">
      <alignment horizontal="left" vertical="center"/>
      <protection locked="0"/>
    </xf>
    <xf numFmtId="9" fontId="55" fillId="0" borderId="32" xfId="4" applyNumberFormat="1" applyFont="1" applyBorder="1" applyAlignment="1" applyProtection="1">
      <alignment horizontal="left" vertical="center"/>
      <protection locked="0"/>
    </xf>
    <xf numFmtId="181" fontId="101" fillId="0" borderId="32" xfId="4" applyNumberFormat="1" applyFont="1" applyBorder="1" applyAlignment="1" applyProtection="1">
      <alignment horizontal="left" vertical="center"/>
      <protection locked="0"/>
    </xf>
    <xf numFmtId="0" fontId="137" fillId="0" borderId="76" xfId="4" applyFont="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Border="1" applyAlignment="1" applyProtection="1">
      <alignment horizontal="left" vertical="center"/>
      <protection locked="0"/>
    </xf>
    <xf numFmtId="10" fontId="55" fillId="0" borderId="158" xfId="4" applyNumberFormat="1" applyFont="1" applyBorder="1" applyAlignment="1" applyProtection="1">
      <alignment horizontal="left" vertical="center"/>
      <protection locked="0"/>
    </xf>
    <xf numFmtId="10" fontId="55" fillId="0" borderId="3" xfId="4" applyNumberFormat="1" applyFont="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Border="1" applyAlignment="1" applyProtection="1">
      <alignment horizontal="left" vertical="center"/>
      <protection locked="0"/>
    </xf>
    <xf numFmtId="181" fontId="55" fillId="0" borderId="158" xfId="4" applyNumberFormat="1" applyFont="1" applyBorder="1" applyAlignment="1" applyProtection="1">
      <alignment horizontal="left" vertical="center"/>
      <protection locked="0"/>
    </xf>
    <xf numFmtId="181" fontId="55" fillId="0" borderId="3" xfId="4" applyNumberFormat="1" applyFont="1" applyBorder="1" applyAlignment="1" applyProtection="1">
      <alignment horizontal="left" vertical="center"/>
      <protection locked="0"/>
    </xf>
    <xf numFmtId="176" fontId="55" fillId="0" borderId="0" xfId="4" applyNumberFormat="1" applyFont="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Border="1" applyAlignment="1" applyProtection="1">
      <alignment horizontal="left" vertical="center"/>
      <protection locked="0"/>
    </xf>
    <xf numFmtId="176" fontId="55" fillId="0" borderId="159" xfId="4" applyNumberFormat="1" applyFont="1" applyBorder="1" applyAlignment="1" applyProtection="1">
      <alignment horizontal="left" vertical="center"/>
      <protection locked="0"/>
    </xf>
    <xf numFmtId="176" fontId="55" fillId="0" borderId="66" xfId="4" applyNumberFormat="1" applyFont="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244" fillId="0" borderId="0" xfId="4" applyFont="1" applyAlignment="1" applyProtection="1">
      <alignment horizontal="left" vertical="center"/>
      <protection locked="0"/>
    </xf>
    <xf numFmtId="0" fontId="244" fillId="0" borderId="0" xfId="4" applyFont="1" applyAlignment="1">
      <alignment horizontal="left"/>
    </xf>
    <xf numFmtId="0" fontId="82" fillId="6" borderId="74" xfId="4" applyFont="1" applyFill="1" applyBorder="1" applyAlignment="1" applyProtection="1">
      <alignment vertical="center"/>
      <protection locked="0"/>
    </xf>
    <xf numFmtId="0" fontId="101" fillId="6" borderId="11" xfId="0" applyFont="1" applyFill="1" applyBorder="1">
      <alignment vertical="center"/>
    </xf>
    <xf numFmtId="0" fontId="101" fillId="6" borderId="14" xfId="0" applyFont="1" applyFill="1" applyBorder="1">
      <alignment vertical="center"/>
    </xf>
    <xf numFmtId="0" fontId="101" fillId="6" borderId="41" xfId="0" applyFont="1" applyFill="1" applyBorder="1">
      <alignment vertical="center"/>
    </xf>
    <xf numFmtId="0" fontId="141" fillId="6" borderId="15" xfId="0" applyFont="1" applyFill="1" applyBorder="1" applyAlignment="1">
      <alignment vertical="center" wrapText="1"/>
    </xf>
    <xf numFmtId="0" fontId="140" fillId="6" borderId="13" xfId="0" applyFont="1" applyFill="1" applyBorder="1" applyAlignment="1">
      <alignment vertical="center" wrapText="1"/>
    </xf>
    <xf numFmtId="0" fontId="110"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8" fillId="6" borderId="23" xfId="0" applyFont="1" applyFill="1" applyBorder="1" applyAlignment="1">
      <alignment horizontal="left" vertical="center"/>
    </xf>
    <xf numFmtId="0" fontId="248" fillId="6" borderId="1" xfId="0" applyFont="1" applyFill="1" applyBorder="1" applyAlignment="1">
      <alignment horizontal="left" vertical="center"/>
    </xf>
    <xf numFmtId="0" fontId="248" fillId="6" borderId="24" xfId="0" applyFont="1" applyFill="1" applyBorder="1" applyAlignment="1">
      <alignment horizontal="left" vertical="center"/>
    </xf>
    <xf numFmtId="0" fontId="248" fillId="0" borderId="1" xfId="0" applyFont="1" applyBorder="1" applyAlignment="1" applyProtection="1">
      <alignment horizontal="left" vertical="center"/>
      <protection locked="0"/>
    </xf>
    <xf numFmtId="9" fontId="248" fillId="0" borderId="1" xfId="0" applyNumberFormat="1" applyFont="1" applyBorder="1" applyAlignment="1" applyProtection="1">
      <alignment horizontal="left" vertical="center"/>
      <protection locked="0"/>
    </xf>
    <xf numFmtId="0" fontId="248" fillId="6" borderId="18" xfId="0" applyFont="1" applyFill="1" applyBorder="1" applyAlignment="1">
      <alignment horizontal="left" vertical="center"/>
    </xf>
    <xf numFmtId="0" fontId="248" fillId="6" borderId="0" xfId="0" applyFont="1" applyFill="1" applyAlignment="1">
      <alignment horizontal="left" vertical="center"/>
    </xf>
    <xf numFmtId="0" fontId="248" fillId="6" borderId="56" xfId="0" applyFont="1" applyFill="1" applyBorder="1" applyAlignment="1">
      <alignment horizontal="left" vertical="center"/>
    </xf>
    <xf numFmtId="0" fontId="248" fillId="6" borderId="18" xfId="0" applyFont="1" applyFill="1" applyBorder="1" applyAlignment="1">
      <alignment horizontal="left"/>
    </xf>
    <xf numFmtId="0" fontId="248" fillId="6" borderId="0" xfId="0" applyFont="1" applyFill="1" applyAlignment="1">
      <alignment horizontal="left"/>
    </xf>
    <xf numFmtId="0" fontId="248" fillId="6" borderId="56" xfId="0" applyFont="1" applyFill="1" applyBorder="1" applyAlignment="1">
      <alignment horizontal="left"/>
    </xf>
    <xf numFmtId="0" fontId="248" fillId="6" borderId="23" xfId="0" applyFont="1" applyFill="1" applyBorder="1" applyAlignment="1">
      <alignment horizontal="left"/>
    </xf>
    <xf numFmtId="0" fontId="248" fillId="20" borderId="1" xfId="0" applyFont="1" applyFill="1" applyBorder="1" applyAlignment="1">
      <alignment horizontal="left"/>
    </xf>
    <xf numFmtId="0" fontId="248" fillId="6" borderId="1" xfId="0" applyFont="1" applyFill="1" applyBorder="1" applyAlignment="1">
      <alignment horizontal="left"/>
    </xf>
    <xf numFmtId="0" fontId="248" fillId="6" borderId="5" xfId="0" applyFont="1" applyFill="1" applyBorder="1" applyAlignment="1">
      <alignment horizontal="left"/>
    </xf>
    <xf numFmtId="0" fontId="248" fillId="6" borderId="54" xfId="0" applyFont="1" applyFill="1" applyBorder="1" applyAlignment="1">
      <alignment horizontal="left"/>
    </xf>
    <xf numFmtId="0" fontId="248" fillId="6" borderId="48" xfId="0" applyFont="1" applyFill="1" applyBorder="1" applyAlignment="1">
      <alignment horizontal="left"/>
    </xf>
    <xf numFmtId="9" fontId="248" fillId="6" borderId="1" xfId="0" applyNumberFormat="1" applyFont="1" applyFill="1" applyBorder="1" applyAlignment="1">
      <alignment horizontal="left"/>
    </xf>
    <xf numFmtId="0" fontId="248" fillId="6" borderId="25" xfId="0" applyFont="1" applyFill="1" applyBorder="1" applyAlignment="1">
      <alignment horizontal="left"/>
    </xf>
    <xf numFmtId="0" fontId="248" fillId="20" borderId="32" xfId="0" applyFont="1" applyFill="1" applyBorder="1" applyAlignment="1">
      <alignment horizontal="left"/>
    </xf>
    <xf numFmtId="0" fontId="248" fillId="6" borderId="32" xfId="0" applyFont="1" applyFill="1" applyBorder="1" applyAlignment="1">
      <alignment horizontal="left"/>
    </xf>
    <xf numFmtId="0" fontId="248" fillId="6" borderId="47" xfId="0" applyFont="1" applyFill="1" applyBorder="1" applyAlignment="1">
      <alignment horizontal="left"/>
    </xf>
    <xf numFmtId="0" fontId="248" fillId="6" borderId="43" xfId="0" applyFont="1" applyFill="1" applyBorder="1" applyAlignment="1">
      <alignment horizontal="left"/>
    </xf>
    <xf numFmtId="0" fontId="248" fillId="0" borderId="0" xfId="0" applyFont="1" applyAlignment="1" applyProtection="1">
      <alignment horizontal="left" vertical="center"/>
      <protection locked="0"/>
    </xf>
    <xf numFmtId="0" fontId="79" fillId="6" borderId="1" xfId="0" applyFont="1" applyFill="1" applyBorder="1" applyAlignment="1" applyProtection="1">
      <alignment horizontal="center" vertical="center" wrapText="1"/>
      <protection locked="0"/>
    </xf>
    <xf numFmtId="0" fontId="49" fillId="6" borderId="35" xfId="0" applyFont="1" applyFill="1" applyBorder="1" applyAlignment="1" applyProtection="1">
      <alignment vertical="center" wrapText="1"/>
      <protection locked="0"/>
    </xf>
    <xf numFmtId="49" fontId="49" fillId="6" borderId="15" xfId="0" applyNumberFormat="1" applyFont="1" applyFill="1" applyBorder="1" applyAlignment="1" applyProtection="1">
      <alignment horizontal="center" vertical="center" wrapText="1"/>
      <protection locked="0"/>
    </xf>
    <xf numFmtId="177" fontId="49" fillId="6" borderId="15" xfId="0" applyNumberFormat="1" applyFont="1" applyFill="1" applyBorder="1" applyAlignment="1" applyProtection="1">
      <alignment horizontal="center" vertical="center" wrapText="1"/>
      <protection locked="0"/>
    </xf>
    <xf numFmtId="179" fontId="49" fillId="6" borderId="15" xfId="0" applyNumberFormat="1" applyFont="1" applyFill="1" applyBorder="1" applyAlignment="1" applyProtection="1">
      <alignment horizontal="center" vertical="center" wrapText="1"/>
      <protection locked="0"/>
    </xf>
    <xf numFmtId="0" fontId="110"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8"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7" fillId="6" borderId="23" xfId="0" applyFont="1" applyFill="1" applyBorder="1" applyAlignment="1">
      <alignment horizontal="left" vertical="center"/>
    </xf>
    <xf numFmtId="0" fontId="97"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7"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9" fillId="6" borderId="6" xfId="0" applyFont="1" applyFill="1" applyBorder="1" applyAlignment="1">
      <alignment horizontal="left" vertical="center" wrapText="1"/>
    </xf>
    <xf numFmtId="0" fontId="109" fillId="6" borderId="9" xfId="0" applyFont="1" applyFill="1" applyBorder="1" applyAlignment="1">
      <alignment horizontal="left" vertical="center" wrapText="1"/>
    </xf>
    <xf numFmtId="0" fontId="109" fillId="6" borderId="10" xfId="0" applyFont="1" applyFill="1" applyBorder="1" applyAlignment="1">
      <alignment horizontal="left" vertical="center" wrapText="1"/>
    </xf>
    <xf numFmtId="0" fontId="109" fillId="6" borderId="23" xfId="0" applyFont="1" applyFill="1" applyBorder="1" applyAlignment="1">
      <alignment horizontal="left" vertical="center" wrapText="1"/>
    </xf>
    <xf numFmtId="0" fontId="109" fillId="6" borderId="1" xfId="0" applyFont="1" applyFill="1" applyBorder="1" applyAlignment="1">
      <alignment horizontal="left" vertical="center" wrapText="1"/>
    </xf>
    <xf numFmtId="0" fontId="109" fillId="6" borderId="24" xfId="0" applyFont="1" applyFill="1" applyBorder="1" applyAlignment="1">
      <alignment horizontal="left" vertical="center" wrapText="1"/>
    </xf>
    <xf numFmtId="0" fontId="109" fillId="6" borderId="11" xfId="0" applyFont="1" applyFill="1" applyBorder="1" applyAlignment="1">
      <alignment horizontal="left" vertical="center" wrapText="1"/>
    </xf>
    <xf numFmtId="0" fontId="109" fillId="6" borderId="13" xfId="0" applyFont="1" applyFill="1" applyBorder="1" applyAlignment="1">
      <alignment horizontal="left" vertical="center" wrapText="1"/>
    </xf>
    <xf numFmtId="0" fontId="109" fillId="6" borderId="61" xfId="0" applyFont="1" applyFill="1" applyBorder="1" applyAlignment="1">
      <alignment horizontal="left" vertical="center" wrapText="1"/>
    </xf>
    <xf numFmtId="0" fontId="222" fillId="6" borderId="60" xfId="0" applyFont="1" applyFill="1" applyBorder="1" applyAlignment="1">
      <alignment horizontal="left" vertical="center"/>
    </xf>
    <xf numFmtId="0" fontId="222" fillId="6" borderId="0" xfId="0" applyFont="1" applyFill="1" applyAlignment="1">
      <alignment horizontal="left" vertical="center"/>
    </xf>
    <xf numFmtId="0" fontId="250" fillId="0" borderId="0" xfId="0" applyFont="1" applyAlignment="1">
      <alignment horizontal="left" vertical="center"/>
    </xf>
    <xf numFmtId="0" fontId="109" fillId="6" borderId="46" xfId="0" applyFont="1" applyFill="1" applyBorder="1" applyAlignment="1">
      <alignment horizontal="left" vertical="center" wrapText="1"/>
    </xf>
    <xf numFmtId="0" fontId="109" fillId="6" borderId="22" xfId="0" applyFont="1" applyFill="1" applyBorder="1" applyAlignment="1">
      <alignment horizontal="left" vertical="center" wrapText="1"/>
    </xf>
    <xf numFmtId="0" fontId="109" fillId="6" borderId="0" xfId="0" applyFont="1" applyFill="1" applyAlignment="1">
      <alignment horizontal="left" vertical="center" wrapText="1"/>
    </xf>
    <xf numFmtId="0" fontId="109" fillId="6" borderId="28" xfId="0" applyFont="1" applyFill="1" applyBorder="1" applyAlignment="1">
      <alignment horizontal="left" vertical="center"/>
    </xf>
    <xf numFmtId="0" fontId="109" fillId="6" borderId="30" xfId="0" applyFont="1" applyFill="1" applyBorder="1" applyAlignment="1">
      <alignment horizontal="left" vertical="center"/>
    </xf>
    <xf numFmtId="0" fontId="109" fillId="6" borderId="10" xfId="0" applyFont="1" applyFill="1" applyBorder="1" applyAlignment="1">
      <alignment horizontal="left" vertical="center"/>
    </xf>
    <xf numFmtId="0" fontId="109" fillId="6" borderId="0" xfId="0" applyFont="1" applyFill="1" applyAlignment="1">
      <alignment horizontal="left" vertical="center"/>
    </xf>
    <xf numFmtId="0" fontId="109" fillId="6" borderId="5" xfId="0" applyFont="1" applyFill="1" applyBorder="1" applyAlignment="1">
      <alignment horizontal="left" vertical="center"/>
    </xf>
    <xf numFmtId="0" fontId="109" fillId="6" borderId="3" xfId="0" applyFont="1" applyFill="1" applyBorder="1" applyAlignment="1">
      <alignment horizontal="left" vertical="center"/>
    </xf>
    <xf numFmtId="0" fontId="109" fillId="6" borderId="24" xfId="0" applyFont="1" applyFill="1" applyBorder="1" applyAlignment="1">
      <alignment horizontal="left" vertical="center"/>
    </xf>
    <xf numFmtId="0" fontId="109" fillId="6" borderId="33" xfId="0" applyFont="1" applyFill="1" applyBorder="1" applyAlignment="1">
      <alignment horizontal="left" vertical="center"/>
    </xf>
    <xf numFmtId="0" fontId="109" fillId="6" borderId="66" xfId="0" applyFont="1" applyFill="1" applyBorder="1" applyAlignment="1">
      <alignment horizontal="left" vertical="center"/>
    </xf>
    <xf numFmtId="0" fontId="109" fillId="6" borderId="49" xfId="0" applyFont="1" applyFill="1" applyBorder="1" applyAlignment="1">
      <alignment horizontal="left" vertical="center"/>
    </xf>
    <xf numFmtId="0" fontId="109" fillId="6" borderId="26" xfId="0" applyFont="1" applyFill="1" applyBorder="1" applyAlignment="1">
      <alignment horizontal="left" vertical="center"/>
    </xf>
    <xf numFmtId="0" fontId="109" fillId="6" borderId="84" xfId="0" applyFont="1" applyFill="1" applyBorder="1" applyAlignment="1">
      <alignment horizontal="left" vertical="center"/>
    </xf>
    <xf numFmtId="0" fontId="109" fillId="6" borderId="34" xfId="0" applyFont="1" applyFill="1" applyBorder="1" applyAlignment="1">
      <alignment horizontal="left" vertical="center"/>
    </xf>
    <xf numFmtId="0" fontId="109" fillId="6" borderId="70" xfId="0" applyFont="1" applyFill="1" applyBorder="1" applyAlignment="1">
      <alignment horizontal="left" vertical="center"/>
    </xf>
    <xf numFmtId="0" fontId="109" fillId="6" borderId="67" xfId="0" applyFont="1" applyFill="1" applyBorder="1" applyAlignment="1">
      <alignment horizontal="left" vertical="center"/>
    </xf>
    <xf numFmtId="0" fontId="109" fillId="6" borderId="1" xfId="0" applyFont="1" applyFill="1" applyBorder="1" applyAlignment="1">
      <alignment horizontal="left" vertical="center"/>
    </xf>
    <xf numFmtId="0" fontId="109" fillId="0" borderId="0" xfId="0" applyFont="1" applyAlignment="1">
      <alignment horizontal="left" vertical="center"/>
    </xf>
    <xf numFmtId="0" fontId="109" fillId="6" borderId="4" xfId="0" applyFont="1" applyFill="1" applyBorder="1" applyAlignment="1">
      <alignment horizontal="left" vertical="center" wrapText="1"/>
    </xf>
    <xf numFmtId="0" fontId="109" fillId="6" borderId="2" xfId="0" applyFont="1" applyFill="1" applyBorder="1" applyAlignment="1">
      <alignment horizontal="left" vertical="center" wrapText="1"/>
    </xf>
    <xf numFmtId="0" fontId="109" fillId="6" borderId="7" xfId="0" applyFont="1" applyFill="1" applyBorder="1" applyAlignment="1">
      <alignment horizontal="left" vertical="center" wrapText="1"/>
    </xf>
    <xf numFmtId="0" fontId="109" fillId="6" borderId="3" xfId="0" applyFont="1" applyFill="1" applyBorder="1" applyAlignment="1">
      <alignment horizontal="left" vertical="center" wrapText="1"/>
    </xf>
    <xf numFmtId="0" fontId="109" fillId="6" borderId="2" xfId="0" applyFont="1" applyFill="1" applyBorder="1" applyAlignment="1">
      <alignment horizontal="left" vertical="center"/>
    </xf>
    <xf numFmtId="0" fontId="114" fillId="6" borderId="60" xfId="0" applyFont="1" applyFill="1" applyBorder="1" applyAlignment="1">
      <alignment horizontal="left" vertical="center"/>
    </xf>
    <xf numFmtId="176" fontId="251" fillId="0" borderId="0" xfId="3" applyNumberFormat="1" applyFont="1" applyAlignment="1">
      <alignment horizontal="left" vertical="center"/>
    </xf>
    <xf numFmtId="176" fontId="252" fillId="6" borderId="6" xfId="3" applyNumberFormat="1" applyFont="1" applyFill="1" applyBorder="1" applyAlignment="1">
      <alignment horizontal="left" vertical="center"/>
    </xf>
    <xf numFmtId="176" fontId="252" fillId="6" borderId="9" xfId="3" applyNumberFormat="1" applyFont="1" applyFill="1" applyBorder="1" applyAlignment="1">
      <alignment horizontal="left" vertical="center"/>
    </xf>
    <xf numFmtId="176" fontId="252" fillId="6" borderId="9" xfId="3" applyNumberFormat="1" applyFont="1" applyFill="1" applyBorder="1" applyAlignment="1">
      <alignment horizontal="left" vertical="center" wrapText="1"/>
    </xf>
    <xf numFmtId="176" fontId="252" fillId="6" borderId="17" xfId="3" applyNumberFormat="1" applyFont="1" applyFill="1" applyBorder="1" applyAlignment="1">
      <alignment horizontal="left" vertical="center"/>
    </xf>
    <xf numFmtId="176" fontId="252" fillId="6" borderId="62" xfId="3" applyNumberFormat="1" applyFont="1" applyFill="1" applyBorder="1" applyAlignment="1">
      <alignment horizontal="left" vertical="center"/>
    </xf>
    <xf numFmtId="176" fontId="252" fillId="6" borderId="23" xfId="3" applyNumberFormat="1" applyFont="1" applyFill="1" applyBorder="1" applyAlignment="1">
      <alignment horizontal="left" vertical="center"/>
    </xf>
    <xf numFmtId="176" fontId="253" fillId="6" borderId="1" xfId="3" applyNumberFormat="1" applyFont="1" applyFill="1" applyBorder="1" applyAlignment="1">
      <alignment horizontal="left" vertical="center"/>
    </xf>
    <xf numFmtId="176" fontId="253" fillId="6" borderId="24" xfId="3" applyNumberFormat="1" applyFont="1" applyFill="1" applyBorder="1" applyAlignment="1">
      <alignment horizontal="left" vertical="center"/>
    </xf>
    <xf numFmtId="176" fontId="252" fillId="6" borderId="23" xfId="3" applyNumberFormat="1" applyFont="1" applyFill="1" applyBorder="1" applyAlignment="1">
      <alignment horizontal="left" vertical="center" wrapText="1"/>
    </xf>
    <xf numFmtId="176" fontId="252" fillId="6" borderId="25" xfId="3" applyNumberFormat="1" applyFont="1" applyFill="1" applyBorder="1" applyAlignment="1">
      <alignment horizontal="left" vertical="center" wrapText="1"/>
    </xf>
    <xf numFmtId="176" fontId="253" fillId="6" borderId="32" xfId="3" applyNumberFormat="1" applyFont="1" applyFill="1" applyBorder="1" applyAlignment="1">
      <alignment horizontal="left" vertical="center"/>
    </xf>
    <xf numFmtId="176" fontId="253" fillId="6" borderId="49" xfId="3" applyNumberFormat="1" applyFont="1" applyFill="1" applyBorder="1" applyAlignment="1">
      <alignment horizontal="left" vertical="center"/>
    </xf>
    <xf numFmtId="176" fontId="250" fillId="0" borderId="0" xfId="0" applyNumberFormat="1" applyFont="1" applyAlignment="1">
      <alignment horizontal="left" vertical="center"/>
    </xf>
    <xf numFmtId="176" fontId="248" fillId="0" borderId="0" xfId="0" applyNumberFormat="1" applyFont="1" applyAlignment="1">
      <alignment horizontal="left" vertical="center"/>
    </xf>
    <xf numFmtId="176" fontId="248" fillId="6" borderId="1" xfId="0" applyNumberFormat="1" applyFont="1" applyFill="1" applyBorder="1" applyAlignment="1">
      <alignment horizontal="left" vertical="center"/>
    </xf>
    <xf numFmtId="0" fontId="104" fillId="6" borderId="120" xfId="9" applyFont="1" applyFill="1" applyBorder="1" applyAlignment="1">
      <alignment horizontal="left" vertical="center"/>
    </xf>
    <xf numFmtId="0" fontId="104" fillId="6" borderId="119" xfId="9" applyFont="1" applyFill="1" applyBorder="1" applyAlignment="1">
      <alignment horizontal="left" vertical="center"/>
    </xf>
    <xf numFmtId="0" fontId="104" fillId="17" borderId="119" xfId="9" applyFont="1" applyFill="1" applyBorder="1" applyAlignment="1">
      <alignment horizontal="left" vertical="center"/>
    </xf>
    <xf numFmtId="0" fontId="254" fillId="15" borderId="0" xfId="9" applyFont="1" applyFill="1" applyAlignment="1">
      <alignment horizontal="left" vertical="center"/>
    </xf>
    <xf numFmtId="0" fontId="245" fillId="15" borderId="121" xfId="9" applyFont="1" applyFill="1" applyBorder="1" applyAlignment="1">
      <alignment horizontal="left" vertical="center"/>
    </xf>
    <xf numFmtId="0" fontId="245" fillId="15" borderId="0" xfId="9" applyFont="1" applyFill="1" applyAlignment="1">
      <alignment horizontal="left" vertical="center"/>
    </xf>
    <xf numFmtId="0" fontId="245" fillId="17" borderId="0" xfId="9" applyFont="1" applyFill="1" applyAlignment="1">
      <alignment horizontal="left" vertical="center"/>
    </xf>
    <xf numFmtId="10" fontId="245" fillId="15" borderId="121" xfId="9" applyNumberFormat="1" applyFont="1" applyFill="1" applyBorder="1" applyAlignment="1">
      <alignment horizontal="left" vertical="center"/>
    </xf>
    <xf numFmtId="10" fontId="245" fillId="15" borderId="0" xfId="9" applyNumberFormat="1" applyFont="1" applyFill="1" applyAlignment="1">
      <alignment horizontal="left" vertical="center"/>
    </xf>
    <xf numFmtId="0" fontId="170" fillId="15" borderId="0" xfId="9" applyFont="1" applyFill="1" applyAlignment="1">
      <alignment horizontal="left" vertical="center"/>
    </xf>
    <xf numFmtId="0" fontId="170" fillId="15" borderId="163" xfId="9" applyFont="1" applyFill="1" applyBorder="1" applyAlignment="1">
      <alignment horizontal="left" vertical="center"/>
    </xf>
    <xf numFmtId="10" fontId="170" fillId="15" borderId="0" xfId="9" applyNumberFormat="1" applyFont="1" applyFill="1" applyAlignment="1">
      <alignment horizontal="left" vertical="center"/>
    </xf>
    <xf numFmtId="10" fontId="170" fillId="15" borderId="163" xfId="9" applyNumberFormat="1" applyFont="1" applyFill="1" applyBorder="1" applyAlignment="1">
      <alignment horizontal="left" vertical="center"/>
    </xf>
    <xf numFmtId="10" fontId="170" fillId="15" borderId="164" xfId="9" applyNumberFormat="1" applyFont="1" applyFill="1" applyBorder="1" applyAlignment="1">
      <alignment horizontal="left" vertical="center"/>
    </xf>
    <xf numFmtId="10" fontId="170" fillId="15" borderId="165" xfId="9" applyNumberFormat="1" applyFont="1" applyFill="1" applyBorder="1" applyAlignment="1">
      <alignment horizontal="left" vertical="center"/>
    </xf>
    <xf numFmtId="0" fontId="104" fillId="17" borderId="0" xfId="9" applyFont="1" applyFill="1" applyAlignment="1">
      <alignment horizontal="left" vertical="center"/>
    </xf>
    <xf numFmtId="10" fontId="104" fillId="0" borderId="121" xfId="9" applyNumberFormat="1" applyFont="1" applyBorder="1" applyAlignment="1">
      <alignment horizontal="left" vertical="center"/>
    </xf>
    <xf numFmtId="10" fontId="104" fillId="0" borderId="0" xfId="9" applyNumberFormat="1" applyFont="1" applyAlignment="1">
      <alignment horizontal="left" vertical="center"/>
    </xf>
    <xf numFmtId="0" fontId="101" fillId="0" borderId="163" xfId="9" applyFont="1" applyBorder="1" applyAlignment="1">
      <alignment horizontal="left" vertical="center"/>
    </xf>
    <xf numFmtId="0" fontId="101" fillId="0" borderId="164" xfId="9" applyFont="1" applyBorder="1" applyAlignment="1">
      <alignment horizontal="left" vertical="center"/>
    </xf>
    <xf numFmtId="0" fontId="101" fillId="0" borderId="165" xfId="9" applyFont="1" applyBorder="1" applyAlignment="1">
      <alignment horizontal="left" vertical="center"/>
    </xf>
    <xf numFmtId="10" fontId="101" fillId="0" borderId="163" xfId="9" applyNumberFormat="1" applyFont="1" applyBorder="1" applyAlignment="1">
      <alignment horizontal="left" vertical="center"/>
    </xf>
    <xf numFmtId="10" fontId="101" fillId="0" borderId="164" xfId="9" applyNumberFormat="1" applyFont="1" applyBorder="1" applyAlignment="1">
      <alignment horizontal="left" vertical="center"/>
    </xf>
    <xf numFmtId="10" fontId="101" fillId="0" borderId="165" xfId="9" applyNumberFormat="1" applyFont="1" applyBorder="1" applyAlignment="1">
      <alignment horizontal="left" vertical="center"/>
    </xf>
    <xf numFmtId="0" fontId="55" fillId="6" borderId="1" xfId="9" applyFont="1" applyFill="1" applyBorder="1" applyAlignment="1">
      <alignment horizontal="left" vertical="center" wrapText="1"/>
    </xf>
    <xf numFmtId="0" fontId="101" fillId="17" borderId="0" xfId="9" applyFont="1" applyFill="1" applyAlignment="1">
      <alignment horizontal="left" vertical="center"/>
    </xf>
    <xf numFmtId="0" fontId="56" fillId="21" borderId="1" xfId="9" applyFont="1" applyFill="1" applyBorder="1" applyAlignment="1">
      <alignment horizontal="left" vertical="center" wrapText="1"/>
    </xf>
    <xf numFmtId="0" fontId="255" fillId="21" borderId="125" xfId="9" applyFont="1" applyFill="1" applyBorder="1" applyAlignment="1">
      <alignment horizontal="left" vertical="center" wrapText="1"/>
    </xf>
    <xf numFmtId="0" fontId="255" fillId="21" borderId="126" xfId="9" applyFont="1" applyFill="1" applyBorder="1" applyAlignment="1">
      <alignment horizontal="left" vertical="center" wrapText="1"/>
    </xf>
    <xf numFmtId="0" fontId="255" fillId="21" borderId="126" xfId="16" applyFont="1" applyFill="1" applyBorder="1" applyAlignment="1">
      <alignment horizontal="left" vertical="center" wrapText="1"/>
    </xf>
    <xf numFmtId="0" fontId="255" fillId="21" borderId="135" xfId="16" applyFont="1" applyFill="1" applyBorder="1" applyAlignment="1">
      <alignment horizontal="left" vertical="center" wrapText="1"/>
    </xf>
    <xf numFmtId="0" fontId="255" fillId="21" borderId="130" xfId="16" applyFont="1" applyFill="1" applyBorder="1" applyAlignment="1">
      <alignment horizontal="left" vertical="center" wrapText="1"/>
    </xf>
    <xf numFmtId="0" fontId="104" fillId="21" borderId="0" xfId="9" applyFont="1" applyFill="1" applyAlignment="1">
      <alignment horizontal="left" vertical="center"/>
    </xf>
    <xf numFmtId="10" fontId="104" fillId="21" borderId="121" xfId="9" applyNumberFormat="1" applyFont="1" applyFill="1" applyBorder="1" applyAlignment="1">
      <alignment horizontal="left" vertical="center"/>
    </xf>
    <xf numFmtId="10" fontId="104" fillId="21" borderId="0" xfId="9" applyNumberFormat="1" applyFont="1" applyFill="1" applyAlignment="1">
      <alignment horizontal="left" vertical="center"/>
    </xf>
    <xf numFmtId="0" fontId="146" fillId="21" borderId="0" xfId="9" applyFont="1" applyFill="1" applyAlignment="1">
      <alignment horizontal="left" vertical="center"/>
    </xf>
    <xf numFmtId="0" fontId="145" fillId="12" borderId="135" xfId="16" applyFont="1" applyFill="1" applyBorder="1" applyAlignment="1">
      <alignment horizontal="left" vertical="center" wrapText="1"/>
    </xf>
    <xf numFmtId="0" fontId="55" fillId="18" borderId="166" xfId="9" applyFont="1" applyFill="1" applyBorder="1" applyAlignment="1">
      <alignment horizontal="left" vertical="center" wrapText="1"/>
    </xf>
    <xf numFmtId="0" fontId="145" fillId="18" borderId="167" xfId="9" applyFont="1" applyFill="1" applyBorder="1" applyAlignment="1">
      <alignment horizontal="left" vertical="center" wrapText="1"/>
    </xf>
    <xf numFmtId="0" fontId="145" fillId="18" borderId="168" xfId="9" applyFont="1" applyFill="1" applyBorder="1" applyAlignment="1">
      <alignment horizontal="left" vertical="center" wrapText="1"/>
    </xf>
    <xf numFmtId="0" fontId="145" fillId="18" borderId="168" xfId="16" applyFont="1" applyFill="1" applyBorder="1" applyAlignment="1">
      <alignment horizontal="left" vertical="center" wrapText="1"/>
    </xf>
    <xf numFmtId="0" fontId="145" fillId="18" borderId="169" xfId="16" applyFont="1" applyFill="1" applyBorder="1" applyAlignment="1">
      <alignment horizontal="left" vertical="center" wrapText="1"/>
    </xf>
    <xf numFmtId="0" fontId="145" fillId="18" borderId="170" xfId="16" applyFont="1" applyFill="1" applyBorder="1" applyAlignment="1">
      <alignment horizontal="left" vertical="center" wrapText="1"/>
    </xf>
    <xf numFmtId="0" fontId="101" fillId="17" borderId="171" xfId="9" applyFont="1" applyFill="1" applyBorder="1" applyAlignment="1">
      <alignment horizontal="left" vertical="center"/>
    </xf>
    <xf numFmtId="10" fontId="101" fillId="18" borderId="172" xfId="9" applyNumberFormat="1" applyFont="1" applyFill="1" applyBorder="1" applyAlignment="1">
      <alignment horizontal="left" vertical="center"/>
    </xf>
    <xf numFmtId="10" fontId="101" fillId="18" borderId="171" xfId="9" applyNumberFormat="1" applyFont="1" applyFill="1" applyBorder="1" applyAlignment="1">
      <alignment horizontal="left" vertical="center"/>
    </xf>
    <xf numFmtId="0" fontId="101" fillId="18" borderId="171" xfId="9" applyFont="1" applyFill="1" applyBorder="1" applyAlignment="1">
      <alignment horizontal="left" vertical="center"/>
    </xf>
    <xf numFmtId="0" fontId="146" fillId="18" borderId="171" xfId="9" applyFont="1" applyFill="1" applyBorder="1" applyAlignment="1">
      <alignment horizontal="left" vertical="center"/>
    </xf>
    <xf numFmtId="0" fontId="143" fillId="0" borderId="0" xfId="9" applyFont="1">
      <alignment vertical="center"/>
    </xf>
    <xf numFmtId="0" fontId="104" fillId="0" borderId="0" xfId="9" applyFont="1">
      <alignment vertical="center"/>
    </xf>
    <xf numFmtId="10" fontId="104" fillId="21" borderId="163" xfId="9" applyNumberFormat="1" applyFont="1" applyFill="1" applyBorder="1" applyAlignment="1">
      <alignment horizontal="left" vertical="center"/>
    </xf>
    <xf numFmtId="10" fontId="104" fillId="21" borderId="164" xfId="9" applyNumberFormat="1" applyFont="1" applyFill="1" applyBorder="1" applyAlignment="1">
      <alignment horizontal="left" vertical="center"/>
    </xf>
    <xf numFmtId="10" fontId="104" fillId="21" borderId="165" xfId="9" applyNumberFormat="1" applyFont="1" applyFill="1" applyBorder="1" applyAlignment="1">
      <alignment horizontal="left" vertical="center"/>
    </xf>
    <xf numFmtId="10" fontId="101" fillId="18" borderId="173" xfId="9" applyNumberFormat="1" applyFont="1" applyFill="1" applyBorder="1" applyAlignment="1">
      <alignment horizontal="left" vertical="center"/>
    </xf>
    <xf numFmtId="10" fontId="101" fillId="18" borderId="174" xfId="9" applyNumberFormat="1" applyFont="1" applyFill="1" applyBorder="1" applyAlignment="1">
      <alignment horizontal="left" vertical="center"/>
    </xf>
    <xf numFmtId="10" fontId="101"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8" fillId="6" borderId="40" xfId="0" applyFont="1" applyFill="1" applyBorder="1" applyAlignment="1">
      <alignment horizontal="left" vertical="center"/>
    </xf>
    <xf numFmtId="0" fontId="248" fillId="6" borderId="17" xfId="0" applyFont="1" applyFill="1" applyBorder="1" applyAlignment="1">
      <alignment horizontal="left" vertical="center"/>
    </xf>
    <xf numFmtId="0" fontId="248" fillId="6" borderId="62" xfId="0" applyFont="1" applyFill="1" applyBorder="1" applyAlignment="1">
      <alignment horizontal="left" vertical="center"/>
    </xf>
    <xf numFmtId="0" fontId="257" fillId="6" borderId="47" xfId="0" applyFont="1" applyFill="1" applyBorder="1">
      <alignment vertical="center"/>
    </xf>
    <xf numFmtId="0" fontId="257" fillId="6" borderId="43" xfId="0" applyFont="1" applyFill="1" applyBorder="1" applyAlignment="1">
      <alignment horizontal="right" vertical="center"/>
    </xf>
    <xf numFmtId="0" fontId="257" fillId="6" borderId="9" xfId="0" applyFont="1" applyFill="1" applyBorder="1" applyAlignment="1">
      <alignment horizontal="left" vertical="center" wrapText="1"/>
    </xf>
    <xf numFmtId="0" fontId="258" fillId="6" borderId="19" xfId="0" applyFont="1" applyFill="1" applyBorder="1" applyAlignment="1">
      <alignment horizontal="left" vertical="center"/>
    </xf>
    <xf numFmtId="0" fontId="256" fillId="6" borderId="28" xfId="0" applyFont="1" applyFill="1" applyBorder="1" applyAlignment="1">
      <alignment horizontal="left" vertical="center"/>
    </xf>
    <xf numFmtId="0" fontId="258" fillId="6" borderId="18" xfId="0" applyFont="1" applyFill="1" applyBorder="1" applyAlignment="1">
      <alignment horizontal="left" vertical="center"/>
    </xf>
    <xf numFmtId="0" fontId="257" fillId="6" borderId="1" xfId="0" applyFont="1" applyFill="1" applyBorder="1" applyAlignment="1">
      <alignment horizontal="left" vertical="center" wrapText="1"/>
    </xf>
    <xf numFmtId="0" fontId="257" fillId="6" borderId="2" xfId="0" applyFont="1" applyFill="1" applyBorder="1" applyAlignment="1">
      <alignment horizontal="left" vertical="center" wrapText="1"/>
    </xf>
    <xf numFmtId="0" fontId="258" fillId="6" borderId="0" xfId="0" applyFont="1" applyFill="1" applyAlignment="1">
      <alignment horizontal="left" vertical="center"/>
    </xf>
    <xf numFmtId="0" fontId="256" fillId="6" borderId="32" xfId="0" applyFont="1" applyFill="1" applyBorder="1" applyAlignment="1">
      <alignment horizontal="left" vertical="center"/>
    </xf>
    <xf numFmtId="0" fontId="256" fillId="6" borderId="33" xfId="0" applyFont="1" applyFill="1" applyBorder="1" applyAlignment="1">
      <alignment horizontal="left" vertical="center"/>
    </xf>
    <xf numFmtId="0" fontId="257" fillId="6" borderId="40" xfId="0" applyFont="1" applyFill="1" applyBorder="1" applyAlignment="1">
      <alignment horizontal="left" vertical="center" wrapText="1"/>
    </xf>
    <xf numFmtId="0" fontId="257" fillId="6" borderId="74" xfId="0" applyFont="1" applyFill="1" applyBorder="1" applyAlignment="1">
      <alignment horizontal="left" vertical="center" wrapText="1"/>
    </xf>
    <xf numFmtId="0" fontId="257" fillId="6" borderId="32" xfId="0" applyFont="1" applyFill="1" applyBorder="1" applyAlignment="1">
      <alignment horizontal="left" vertical="center" wrapText="1"/>
    </xf>
    <xf numFmtId="0" fontId="257" fillId="6" borderId="14" xfId="0" applyFont="1" applyFill="1" applyBorder="1" applyAlignment="1">
      <alignment horizontal="left" vertical="center" wrapText="1"/>
    </xf>
    <xf numFmtId="0" fontId="257" fillId="6" borderId="1" xfId="18" applyNumberFormat="1" applyFont="1" applyFill="1" applyBorder="1" applyAlignment="1">
      <alignment horizontal="left" vertical="center" wrapText="1"/>
    </xf>
    <xf numFmtId="0" fontId="257" fillId="6" borderId="15" xfId="0" applyFont="1" applyFill="1" applyBorder="1" applyAlignment="1">
      <alignment horizontal="left" vertical="center" wrapText="1"/>
    </xf>
    <xf numFmtId="0" fontId="257" fillId="6" borderId="13" xfId="0" applyFont="1" applyFill="1" applyBorder="1" applyAlignment="1">
      <alignment horizontal="left" vertical="center" wrapText="1"/>
    </xf>
    <xf numFmtId="0" fontId="257" fillId="6" borderId="10" xfId="0" applyFont="1" applyFill="1" applyBorder="1" applyAlignment="1">
      <alignment horizontal="left" vertical="center" wrapText="1"/>
    </xf>
    <xf numFmtId="0" fontId="257" fillId="6" borderId="24" xfId="0" applyFont="1" applyFill="1" applyBorder="1" applyAlignment="1">
      <alignment horizontal="left" vertical="center" wrapText="1"/>
    </xf>
    <xf numFmtId="0" fontId="257" fillId="6" borderId="12" xfId="0" applyFont="1" applyFill="1" applyBorder="1" applyAlignment="1">
      <alignment horizontal="left" vertical="center" wrapText="1"/>
    </xf>
    <xf numFmtId="0" fontId="257" fillId="6" borderId="49" xfId="0" applyFont="1" applyFill="1" applyBorder="1" applyAlignment="1">
      <alignment horizontal="left" vertical="center" wrapText="1"/>
    </xf>
    <xf numFmtId="0" fontId="257" fillId="6" borderId="61" xfId="0" applyFont="1" applyFill="1" applyBorder="1" applyAlignment="1">
      <alignment horizontal="left" vertical="center" wrapText="1"/>
    </xf>
    <xf numFmtId="0" fontId="257" fillId="6" borderId="6" xfId="0" applyFont="1" applyFill="1" applyBorder="1" applyAlignment="1">
      <alignment horizontal="left" vertical="center" wrapText="1"/>
    </xf>
    <xf numFmtId="0" fontId="257" fillId="6" borderId="23" xfId="0" applyFont="1" applyFill="1" applyBorder="1" applyAlignment="1">
      <alignment horizontal="left" vertical="center" wrapText="1"/>
    </xf>
    <xf numFmtId="0" fontId="257" fillId="6" borderId="25" xfId="0" applyFont="1" applyFill="1" applyBorder="1" applyAlignment="1">
      <alignment horizontal="left" vertical="center" wrapText="1"/>
    </xf>
    <xf numFmtId="0" fontId="0" fillId="6" borderId="0" xfId="0" applyFill="1" applyAlignment="1">
      <alignment horizontal="left" vertical="center"/>
    </xf>
    <xf numFmtId="0" fontId="123" fillId="6" borderId="0" xfId="0" applyFont="1" applyFill="1" applyAlignment="1">
      <alignment horizontal="left" vertical="center"/>
    </xf>
    <xf numFmtId="0" fontId="113" fillId="6" borderId="29" xfId="0" applyFont="1" applyFill="1" applyBorder="1" applyAlignment="1">
      <alignment horizontal="left" vertical="center"/>
    </xf>
    <xf numFmtId="0" fontId="113" fillId="6" borderId="40" xfId="0" applyFont="1" applyFill="1" applyBorder="1" applyAlignment="1">
      <alignment horizontal="left" vertical="center" wrapText="1"/>
    </xf>
    <xf numFmtId="0" fontId="113" fillId="6" borderId="13" xfId="0" applyFont="1" applyFill="1" applyBorder="1" applyAlignment="1">
      <alignment horizontal="left" vertical="center"/>
    </xf>
    <xf numFmtId="0" fontId="112" fillId="6" borderId="6" xfId="0" applyFont="1" applyFill="1" applyBorder="1" applyAlignment="1">
      <alignment horizontal="left" vertical="center" wrapText="1"/>
    </xf>
    <xf numFmtId="0" fontId="260" fillId="6" borderId="9" xfId="0" applyFont="1" applyFill="1" applyBorder="1" applyAlignment="1">
      <alignment horizontal="left" vertical="center" wrapText="1"/>
    </xf>
    <xf numFmtId="10" fontId="261" fillId="6" borderId="9" xfId="0" applyNumberFormat="1" applyFont="1" applyFill="1" applyBorder="1" applyAlignment="1">
      <alignment horizontal="left" vertical="center" wrapText="1"/>
    </xf>
    <xf numFmtId="10" fontId="261" fillId="6" borderId="10" xfId="0" applyNumberFormat="1" applyFont="1" applyFill="1" applyBorder="1" applyAlignment="1">
      <alignment horizontal="left" vertical="center" wrapText="1"/>
    </xf>
    <xf numFmtId="0" fontId="112" fillId="6" borderId="23" xfId="0" applyFont="1" applyFill="1" applyBorder="1" applyAlignment="1">
      <alignment horizontal="left" vertical="center" wrapText="1"/>
    </xf>
    <xf numFmtId="0" fontId="260" fillId="6" borderId="1" xfId="0" applyFont="1" applyFill="1" applyBorder="1" applyAlignment="1">
      <alignment horizontal="left" vertical="center" wrapText="1"/>
    </xf>
    <xf numFmtId="10" fontId="261" fillId="6" borderId="1" xfId="0" applyNumberFormat="1" applyFont="1" applyFill="1" applyBorder="1" applyAlignment="1">
      <alignment horizontal="left" vertical="center" wrapText="1"/>
    </xf>
    <xf numFmtId="10" fontId="261" fillId="6" borderId="24" xfId="0" applyNumberFormat="1" applyFont="1" applyFill="1" applyBorder="1" applyAlignment="1">
      <alignment horizontal="left" vertical="center" wrapText="1"/>
    </xf>
    <xf numFmtId="0" fontId="112" fillId="6" borderId="11" xfId="0" applyFont="1" applyFill="1" applyBorder="1" applyAlignment="1">
      <alignment horizontal="left" vertical="center" wrapText="1"/>
    </xf>
    <xf numFmtId="0" fontId="260" fillId="6" borderId="13" xfId="0" applyFont="1" applyFill="1" applyBorder="1" applyAlignment="1">
      <alignment horizontal="left" vertical="center" wrapText="1"/>
    </xf>
    <xf numFmtId="10" fontId="261"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1" fillId="6" borderId="61" xfId="0" applyNumberFormat="1" applyFont="1" applyFill="1" applyBorder="1" applyAlignment="1">
      <alignment horizontal="left" vertical="center" wrapText="1"/>
    </xf>
    <xf numFmtId="0" fontId="262" fillId="6" borderId="1" xfId="0" applyFont="1" applyFill="1" applyBorder="1" applyAlignment="1">
      <alignment horizontal="left" vertical="center" wrapText="1"/>
    </xf>
    <xf numFmtId="0" fontId="262" fillId="6" borderId="13" xfId="0" applyFont="1" applyFill="1" applyBorder="1" applyAlignment="1">
      <alignment horizontal="left" vertical="center" wrapText="1"/>
    </xf>
    <xf numFmtId="0" fontId="260" fillId="6" borderId="6" xfId="0" applyFont="1" applyFill="1" applyBorder="1" applyAlignment="1">
      <alignment horizontal="left" vertical="center" wrapText="1"/>
    </xf>
    <xf numFmtId="0" fontId="260"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60" fillId="6" borderId="11" xfId="0" applyFont="1" applyFill="1" applyBorder="1" applyAlignment="1">
      <alignment horizontal="left" vertical="center" wrapText="1"/>
    </xf>
    <xf numFmtId="10" fontId="101"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1" fillId="6" borderId="1" xfId="0" applyNumberFormat="1" applyFont="1" applyFill="1" applyBorder="1" applyAlignment="1">
      <alignment horizontal="left" vertical="center" wrapText="1"/>
    </xf>
    <xf numFmtId="10" fontId="101" fillId="6" borderId="24" xfId="0" applyNumberFormat="1" applyFont="1" applyFill="1" applyBorder="1" applyAlignment="1">
      <alignment horizontal="left" vertical="center" wrapText="1"/>
    </xf>
    <xf numFmtId="10" fontId="101" fillId="6" borderId="61" xfId="0" applyNumberFormat="1" applyFont="1" applyFill="1" applyBorder="1" applyAlignment="1">
      <alignment horizontal="left" vertical="center" wrapText="1"/>
    </xf>
    <xf numFmtId="192" fontId="260" fillId="6" borderId="1" xfId="18" applyFont="1" applyFill="1" applyBorder="1" applyAlignment="1">
      <alignment horizontal="left" vertical="center" wrapText="1"/>
    </xf>
    <xf numFmtId="0" fontId="260" fillId="6" borderId="25" xfId="0" applyFont="1" applyFill="1" applyBorder="1" applyAlignment="1">
      <alignment horizontal="left" vertical="center" wrapText="1"/>
    </xf>
    <xf numFmtId="0" fontId="260" fillId="6" borderId="32" xfId="0" applyFont="1" applyFill="1" applyBorder="1" applyAlignment="1">
      <alignment horizontal="left" vertical="center" wrapText="1"/>
    </xf>
    <xf numFmtId="10" fontId="261" fillId="6" borderId="32" xfId="0" applyNumberFormat="1" applyFont="1" applyFill="1" applyBorder="1" applyAlignment="1">
      <alignment horizontal="left" vertical="center" wrapText="1"/>
    </xf>
    <xf numFmtId="10" fontId="261" fillId="6" borderId="49" xfId="0" applyNumberFormat="1" applyFont="1" applyFill="1" applyBorder="1" applyAlignment="1">
      <alignment horizontal="left" vertical="center" wrapText="1"/>
    </xf>
    <xf numFmtId="0" fontId="265" fillId="0" borderId="0" xfId="0" applyFont="1" applyAlignment="1">
      <alignment horizontal="left" vertical="center"/>
    </xf>
    <xf numFmtId="0" fontId="97" fillId="0" borderId="0" xfId="0" applyFont="1" applyAlignment="1">
      <alignment horizontal="right" vertical="center"/>
    </xf>
    <xf numFmtId="0" fontId="266" fillId="0" borderId="1" xfId="0" applyFont="1" applyBorder="1" applyAlignment="1">
      <alignment horizontal="left" vertical="center"/>
    </xf>
    <xf numFmtId="0" fontId="266" fillId="0" borderId="1" xfId="0" applyFont="1" applyBorder="1" applyAlignment="1">
      <alignment horizontal="left" vertical="center" wrapText="1"/>
    </xf>
    <xf numFmtId="0" fontId="267" fillId="0" borderId="1" xfId="0" applyFont="1" applyBorder="1" applyAlignment="1">
      <alignment horizontal="left" vertical="center"/>
    </xf>
    <xf numFmtId="0" fontId="268" fillId="0" borderId="1" xfId="0" applyFont="1" applyBorder="1" applyAlignment="1">
      <alignment horizontal="left" vertical="center" wrapText="1"/>
    </xf>
    <xf numFmtId="49" fontId="100" fillId="6" borderId="14" xfId="0" applyNumberFormat="1" applyFont="1" applyFill="1" applyBorder="1" applyAlignment="1">
      <alignment vertical="center" wrapText="1"/>
    </xf>
    <xf numFmtId="49" fontId="55" fillId="6" borderId="14" xfId="0" applyNumberFormat="1" applyFont="1" applyFill="1" applyBorder="1" applyAlignment="1">
      <alignment vertical="center" wrapText="1"/>
    </xf>
    <xf numFmtId="10" fontId="55" fillId="6" borderId="0" xfId="0" applyNumberFormat="1" applyFont="1" applyFill="1" applyAlignment="1">
      <alignment vertical="center" wrapText="1"/>
    </xf>
    <xf numFmtId="49" fontId="55" fillId="6" borderId="12" xfId="0" applyNumberFormat="1" applyFont="1" applyFill="1" applyBorder="1" applyAlignment="1">
      <alignment vertical="center" wrapText="1"/>
    </xf>
    <xf numFmtId="49" fontId="82" fillId="6" borderId="26" xfId="0" applyNumberFormat="1" applyFont="1" applyFill="1" applyBorder="1" applyAlignment="1">
      <alignment horizontal="center" vertical="center" wrapText="1"/>
    </xf>
    <xf numFmtId="0" fontId="56" fillId="6" borderId="84" xfId="0" applyFont="1" applyFill="1" applyBorder="1" applyAlignment="1">
      <alignment horizontal="left" vertical="center" wrapText="1"/>
    </xf>
    <xf numFmtId="0" fontId="55" fillId="0" borderId="34" xfId="0" applyFont="1" applyBorder="1" applyAlignment="1" applyProtection="1">
      <alignment horizontal="left" vertical="center" wrapText="1"/>
      <protection locked="0"/>
    </xf>
    <xf numFmtId="0" fontId="55" fillId="6" borderId="34" xfId="0" applyFont="1" applyFill="1" applyBorder="1" applyAlignment="1">
      <alignment horizontal="left" vertical="center" wrapText="1"/>
    </xf>
    <xf numFmtId="0" fontId="21" fillId="6" borderId="34" xfId="0" applyFont="1" applyFill="1" applyBorder="1" applyAlignment="1" applyProtection="1">
      <alignment horizontal="left" vertical="center"/>
      <protection locked="0"/>
    </xf>
    <xf numFmtId="0" fontId="55" fillId="6" borderId="64" xfId="0" applyFont="1" applyFill="1" applyBorder="1" applyAlignment="1" applyProtection="1">
      <alignment horizontal="left" vertical="center"/>
      <protection locked="0"/>
    </xf>
    <xf numFmtId="0" fontId="55" fillId="6" borderId="64" xfId="0" applyFont="1" applyFill="1" applyBorder="1" applyAlignment="1" applyProtection="1">
      <alignment horizontal="left" vertical="center" wrapText="1"/>
      <protection locked="0"/>
    </xf>
    <xf numFmtId="0" fontId="55" fillId="6" borderId="65" xfId="0" applyFont="1" applyFill="1" applyBorder="1" applyAlignment="1" applyProtection="1">
      <alignment horizontal="left" vertical="center" wrapText="1"/>
      <protection locked="0"/>
    </xf>
    <xf numFmtId="0" fontId="55" fillId="0" borderId="1" xfId="0" applyFont="1" applyBorder="1" applyAlignment="1" applyProtection="1">
      <alignment horizontal="left" vertical="center"/>
      <protection locked="0"/>
    </xf>
    <xf numFmtId="0" fontId="55" fillId="6" borderId="0" xfId="0" applyFont="1" applyFill="1" applyAlignment="1">
      <alignment horizontal="left" vertical="center" wrapText="1"/>
    </xf>
    <xf numFmtId="0" fontId="115" fillId="6" borderId="60" xfId="0" applyFont="1" applyFill="1" applyBorder="1" applyAlignment="1">
      <alignment horizontal="left" vertical="center"/>
    </xf>
    <xf numFmtId="0" fontId="115" fillId="6" borderId="71" xfId="0" applyFont="1" applyFill="1" applyBorder="1" applyAlignment="1">
      <alignment horizontal="left" vertical="center"/>
    </xf>
    <xf numFmtId="0" fontId="55" fillId="0" borderId="13" xfId="0" applyFont="1" applyBorder="1" applyAlignment="1" applyProtection="1">
      <alignment horizontal="left" vertical="center" wrapText="1"/>
      <protection locked="0"/>
    </xf>
    <xf numFmtId="0" fontId="55" fillId="0" borderId="61" xfId="0" applyFont="1" applyBorder="1" applyAlignment="1" applyProtection="1">
      <alignment horizontal="left" vertical="center" wrapText="1"/>
      <protection locked="0"/>
    </xf>
    <xf numFmtId="0" fontId="101" fillId="6" borderId="15" xfId="0" applyFont="1" applyFill="1" applyBorder="1" applyAlignment="1">
      <alignment horizontal="left" vertical="center" wrapText="1"/>
    </xf>
    <xf numFmtId="0" fontId="82" fillId="6" borderId="9" xfId="0" applyFont="1" applyFill="1" applyBorder="1" applyAlignment="1">
      <alignment horizontal="left" vertical="center" wrapText="1"/>
    </xf>
    <xf numFmtId="0" fontId="21" fillId="6" borderId="9" xfId="0" applyFont="1" applyFill="1" applyBorder="1" applyAlignment="1" applyProtection="1">
      <alignment horizontal="left" vertical="center" wrapText="1"/>
      <protection locked="0"/>
    </xf>
    <xf numFmtId="0" fontId="21" fillId="6" borderId="1" xfId="0" applyFont="1" applyFill="1" applyBorder="1" applyAlignment="1">
      <alignment horizontal="left" vertical="center"/>
    </xf>
    <xf numFmtId="0" fontId="21" fillId="6" borderId="1" xfId="0" applyFont="1" applyFill="1" applyBorder="1" applyAlignment="1">
      <alignment horizontal="left" vertical="center" wrapText="1"/>
    </xf>
    <xf numFmtId="0" fontId="56" fillId="6" borderId="2" xfId="0" applyFont="1" applyFill="1" applyBorder="1" applyAlignment="1">
      <alignment horizontal="center" vertical="center" wrapText="1"/>
    </xf>
    <xf numFmtId="0" fontId="55" fillId="5" borderId="2" xfId="0" applyFont="1" applyFill="1" applyBorder="1" applyAlignment="1" applyProtection="1">
      <alignment horizontal="center" vertical="center" wrapText="1"/>
      <protection locked="0"/>
    </xf>
    <xf numFmtId="0" fontId="55" fillId="5" borderId="4" xfId="0" applyFont="1" applyFill="1" applyBorder="1" applyAlignment="1" applyProtection="1">
      <alignment horizontal="center" vertical="center" wrapText="1"/>
      <protection locked="0"/>
    </xf>
    <xf numFmtId="0" fontId="55" fillId="6" borderId="1" xfId="0" applyFont="1" applyFill="1" applyBorder="1" applyAlignment="1" applyProtection="1">
      <alignment horizontal="left" vertical="center" wrapText="1"/>
      <protection locked="0"/>
    </xf>
    <xf numFmtId="49" fontId="82" fillId="6" borderId="6" xfId="0" applyNumberFormat="1" applyFont="1" applyFill="1" applyBorder="1" applyAlignment="1">
      <alignment horizontal="center" vertical="center" wrapText="1"/>
    </xf>
    <xf numFmtId="0" fontId="55" fillId="6" borderId="9" xfId="0" applyFont="1" applyFill="1" applyBorder="1" applyAlignment="1" applyProtection="1">
      <alignment horizontal="left" vertical="center" wrapText="1"/>
      <protection locked="0"/>
    </xf>
    <xf numFmtId="0" fontId="55" fillId="6" borderId="10" xfId="0" applyFont="1" applyFill="1" applyBorder="1" applyAlignment="1" applyProtection="1">
      <alignment horizontal="left" vertical="center" wrapText="1"/>
      <protection locked="0"/>
    </xf>
    <xf numFmtId="49" fontId="100" fillId="6" borderId="23" xfId="0" applyNumberFormat="1" applyFont="1" applyFill="1" applyBorder="1" applyAlignment="1">
      <alignment vertical="center" wrapText="1"/>
    </xf>
    <xf numFmtId="0" fontId="55" fillId="6" borderId="24" xfId="0" applyFont="1" applyFill="1" applyBorder="1" applyAlignment="1" applyProtection="1">
      <alignment horizontal="left" vertical="center" wrapText="1"/>
      <protection locked="0"/>
    </xf>
    <xf numFmtId="49" fontId="100" fillId="6" borderId="25" xfId="0" applyNumberFormat="1" applyFont="1" applyFill="1" applyBorder="1" applyAlignment="1">
      <alignment vertical="center" wrapText="1"/>
    </xf>
    <xf numFmtId="0" fontId="101" fillId="6" borderId="32" xfId="0" applyFont="1" applyFill="1" applyBorder="1" applyAlignment="1">
      <alignment horizontal="left" vertical="center" wrapText="1"/>
    </xf>
    <xf numFmtId="0" fontId="55" fillId="6" borderId="32" xfId="0" applyFont="1" applyFill="1" applyBorder="1" applyAlignment="1" applyProtection="1">
      <alignment horizontal="left" vertical="center" wrapText="1"/>
      <protection locked="0"/>
    </xf>
    <xf numFmtId="0" fontId="55" fillId="0" borderId="32" xfId="0" applyFont="1" applyBorder="1" applyAlignment="1" applyProtection="1">
      <alignment horizontal="left" vertical="center" wrapText="1"/>
      <protection locked="0"/>
    </xf>
    <xf numFmtId="0" fontId="21" fillId="6" borderId="32" xfId="0" applyFont="1" applyFill="1" applyBorder="1" applyAlignment="1" applyProtection="1">
      <alignment horizontal="left" vertical="center" wrapText="1"/>
      <protection locked="0"/>
    </xf>
    <xf numFmtId="0" fontId="55" fillId="6" borderId="49" xfId="0" applyFont="1" applyFill="1" applyBorder="1" applyAlignment="1" applyProtection="1">
      <alignment horizontal="left" vertical="center" wrapText="1"/>
      <protection locked="0"/>
    </xf>
    <xf numFmtId="0" fontId="55" fillId="6" borderId="28" xfId="0" applyFont="1" applyFill="1" applyBorder="1" applyAlignment="1">
      <alignment vertical="center" wrapText="1"/>
    </xf>
    <xf numFmtId="0" fontId="55" fillId="6" borderId="30" xfId="0" applyFont="1" applyFill="1" applyBorder="1" applyAlignment="1">
      <alignment vertical="center" wrapText="1"/>
    </xf>
    <xf numFmtId="0" fontId="55" fillId="5" borderId="84" xfId="8" applyFont="1" applyFill="1" applyBorder="1" applyAlignment="1" applyProtection="1">
      <alignment horizontal="center" vertical="center" wrapText="1"/>
      <protection locked="0"/>
    </xf>
    <xf numFmtId="10" fontId="55" fillId="6" borderId="64" xfId="0" applyNumberFormat="1" applyFont="1" applyFill="1" applyBorder="1" applyAlignment="1">
      <alignment horizontal="center" vertical="center" wrapText="1"/>
    </xf>
    <xf numFmtId="0" fontId="79" fillId="6" borderId="5" xfId="0" applyFont="1" applyFill="1" applyBorder="1">
      <alignment vertical="center"/>
    </xf>
    <xf numFmtId="0" fontId="21" fillId="6" borderId="20" xfId="0" applyFont="1" applyFill="1" applyBorder="1">
      <alignment vertical="center"/>
    </xf>
    <xf numFmtId="0" fontId="55" fillId="6" borderId="24" xfId="0" applyFont="1" applyFill="1" applyBorder="1" applyAlignment="1">
      <alignment horizontal="left" vertical="center" wrapText="1"/>
    </xf>
    <xf numFmtId="0" fontId="21" fillId="7" borderId="0" xfId="0" applyFont="1" applyFill="1" applyAlignment="1">
      <alignment horizontal="left" vertical="center" wrapText="1"/>
    </xf>
    <xf numFmtId="0" fontId="55" fillId="7" borderId="0" xfId="0" applyFont="1" applyFill="1" applyAlignment="1">
      <alignment horizontal="left" vertical="center" wrapText="1"/>
    </xf>
    <xf numFmtId="0" fontId="55" fillId="6" borderId="6" xfId="0" applyFont="1" applyFill="1" applyBorder="1" applyAlignment="1">
      <alignment horizontal="left" vertical="center" wrapText="1"/>
    </xf>
    <xf numFmtId="0" fontId="55" fillId="6" borderId="9" xfId="0" applyFont="1" applyFill="1" applyBorder="1" applyAlignment="1">
      <alignment horizontal="left" vertical="center" wrapText="1"/>
    </xf>
    <xf numFmtId="0" fontId="55" fillId="6" borderId="23" xfId="0" applyFont="1" applyFill="1" applyBorder="1" applyAlignment="1">
      <alignment horizontal="left" vertical="center" wrapText="1"/>
    </xf>
    <xf numFmtId="9" fontId="55" fillId="6" borderId="25" xfId="0" applyNumberFormat="1" applyFont="1" applyFill="1" applyBorder="1" applyAlignment="1">
      <alignment horizontal="left" vertical="center" wrapText="1"/>
    </xf>
    <xf numFmtId="10" fontId="21" fillId="7" borderId="10" xfId="0" applyNumberFormat="1" applyFont="1" applyFill="1" applyBorder="1" applyAlignment="1" applyProtection="1">
      <alignment horizontal="left" vertical="center" wrapText="1"/>
      <protection locked="0"/>
    </xf>
    <xf numFmtId="10" fontId="55" fillId="7" borderId="49" xfId="0" applyNumberFormat="1" applyFont="1" applyFill="1" applyBorder="1" applyAlignment="1" applyProtection="1">
      <alignment horizontal="left" vertical="center" wrapText="1"/>
      <protection locked="0"/>
    </xf>
    <xf numFmtId="0" fontId="21" fillId="7" borderId="0" xfId="0" applyFont="1" applyFill="1" applyAlignment="1" applyProtection="1">
      <alignment horizontal="left" vertical="center" wrapText="1"/>
      <protection locked="0"/>
    </xf>
    <xf numFmtId="0" fontId="55" fillId="6" borderId="23" xfId="0" applyFont="1" applyFill="1" applyBorder="1" applyAlignment="1">
      <alignment horizontal="left" vertical="center"/>
    </xf>
    <xf numFmtId="0" fontId="60" fillId="6" borderId="1" xfId="8" applyFont="1" applyFill="1" applyBorder="1" applyAlignment="1">
      <alignment horizontal="left" vertical="center" wrapText="1"/>
    </xf>
    <xf numFmtId="0" fontId="101" fillId="6" borderId="1" xfId="8" applyFont="1" applyFill="1" applyBorder="1" applyAlignment="1">
      <alignment horizontal="left" vertical="center"/>
    </xf>
    <xf numFmtId="0" fontId="115" fillId="0" borderId="1" xfId="8" applyFont="1" applyBorder="1" applyAlignment="1" applyProtection="1">
      <alignment horizontal="left" vertical="center"/>
      <protection locked="0"/>
    </xf>
    <xf numFmtId="0" fontId="115" fillId="6" borderId="1" xfId="8" applyFont="1" applyFill="1" applyBorder="1" applyAlignment="1">
      <alignment horizontal="left" vertical="center"/>
    </xf>
    <xf numFmtId="0" fontId="115" fillId="6" borderId="1" xfId="8" applyFont="1" applyFill="1" applyBorder="1" applyAlignment="1">
      <alignment horizontal="left" vertical="center" wrapText="1"/>
    </xf>
    <xf numFmtId="9" fontId="101" fillId="6" borderId="1" xfId="17" applyFont="1" applyFill="1" applyBorder="1" applyAlignment="1" applyProtection="1">
      <alignment horizontal="left" vertical="center" wrapText="1"/>
    </xf>
    <xf numFmtId="9" fontId="101" fillId="6" borderId="32" xfId="17" applyFont="1" applyFill="1" applyBorder="1" applyAlignment="1" applyProtection="1">
      <alignment horizontal="left" vertical="center" wrapText="1"/>
    </xf>
    <xf numFmtId="0" fontId="124" fillId="6" borderId="23" xfId="0" applyFont="1" applyFill="1" applyBorder="1" applyAlignment="1">
      <alignment horizontal="left" vertical="center" wrapText="1"/>
    </xf>
    <xf numFmtId="0" fontId="101" fillId="6" borderId="0" xfId="0" applyFont="1" applyFill="1" applyAlignment="1">
      <alignment horizontal="center" vertical="center" wrapText="1"/>
    </xf>
    <xf numFmtId="0" fontId="101" fillId="5" borderId="0" xfId="0" applyFont="1" applyFill="1" applyAlignment="1" applyProtection="1">
      <alignment horizontal="center" vertical="center" wrapText="1"/>
      <protection locked="0"/>
    </xf>
    <xf numFmtId="10" fontId="101" fillId="6" borderId="0" xfId="0" applyNumberFormat="1" applyFont="1" applyFill="1" applyAlignment="1">
      <alignment horizontal="center" vertical="center" wrapText="1"/>
    </xf>
    <xf numFmtId="10" fontId="100" fillId="0" borderId="0" xfId="0" applyNumberFormat="1" applyFont="1" applyAlignment="1" applyProtection="1">
      <alignment horizontal="center" vertical="center"/>
      <protection locked="0"/>
    </xf>
    <xf numFmtId="10" fontId="100" fillId="6" borderId="0" xfId="0" applyNumberFormat="1" applyFont="1" applyFill="1" applyAlignment="1">
      <alignment horizontal="center" vertical="center"/>
    </xf>
    <xf numFmtId="9" fontId="101" fillId="6" borderId="0" xfId="17" applyFont="1" applyFill="1" applyBorder="1" applyAlignment="1" applyProtection="1">
      <alignment horizontal="left" vertical="center" wrapText="1"/>
    </xf>
    <xf numFmtId="10" fontId="53" fillId="6" borderId="0" xfId="0" applyNumberFormat="1" applyFont="1" applyFill="1" applyAlignment="1">
      <alignment horizontal="center" vertical="center" wrapText="1"/>
    </xf>
    <xf numFmtId="0" fontId="111" fillId="6" borderId="51" xfId="0" applyFont="1" applyFill="1" applyBorder="1" applyAlignment="1">
      <alignment horizontal="left" vertical="center"/>
    </xf>
    <xf numFmtId="0" fontId="206" fillId="6" borderId="19" xfId="0" applyFont="1" applyFill="1" applyBorder="1" applyAlignment="1">
      <alignment horizontal="left" vertical="center" wrapText="1"/>
    </xf>
    <xf numFmtId="0" fontId="101" fillId="6" borderId="23" xfId="0" applyFont="1" applyFill="1" applyBorder="1" applyAlignment="1">
      <alignment horizontal="left" vertical="center" wrapText="1"/>
    </xf>
    <xf numFmtId="0" fontId="101" fillId="6" borderId="25" xfId="0" applyFont="1" applyFill="1" applyBorder="1" applyAlignment="1">
      <alignment horizontal="left" vertical="center" wrapText="1"/>
    </xf>
    <xf numFmtId="0" fontId="115" fillId="6" borderId="58" xfId="0" applyFont="1" applyFill="1" applyBorder="1" applyAlignment="1">
      <alignment horizontal="left" vertical="center" wrapText="1"/>
    </xf>
    <xf numFmtId="0" fontId="55" fillId="6" borderId="61" xfId="0" applyFont="1" applyFill="1" applyBorder="1" applyAlignment="1">
      <alignment horizontal="left" vertical="center" wrapText="1"/>
    </xf>
    <xf numFmtId="0" fontId="55" fillId="6" borderId="53" xfId="0" applyFont="1" applyFill="1" applyBorder="1" applyAlignment="1">
      <alignment horizontal="left" vertical="center" wrapText="1"/>
    </xf>
    <xf numFmtId="0" fontId="55" fillId="6" borderId="76" xfId="0" applyFont="1" applyFill="1" applyBorder="1" applyAlignment="1">
      <alignment horizontal="left" vertical="center" wrapText="1"/>
    </xf>
    <xf numFmtId="0" fontId="170" fillId="0" borderId="1" xfId="0" applyFont="1" applyBorder="1" applyAlignment="1" applyProtection="1">
      <alignment horizontal="left" vertical="center" wrapText="1"/>
      <protection locked="0"/>
    </xf>
    <xf numFmtId="0" fontId="170" fillId="0" borderId="13" xfId="0" applyFont="1" applyBorder="1" applyAlignment="1" applyProtection="1">
      <alignment horizontal="left" vertical="center" wrapText="1"/>
      <protection locked="0"/>
    </xf>
    <xf numFmtId="49" fontId="101" fillId="6" borderId="0" xfId="0" applyNumberFormat="1" applyFont="1" applyFill="1" applyAlignment="1">
      <alignment horizontal="center" vertical="center" wrapText="1"/>
    </xf>
    <xf numFmtId="0" fontId="115" fillId="6" borderId="1" xfId="0" applyFont="1" applyFill="1" applyBorder="1" applyAlignment="1">
      <alignment horizontal="left" vertical="center" wrapText="1"/>
    </xf>
    <xf numFmtId="0" fontId="101" fillId="6" borderId="5" xfId="0" applyFont="1" applyFill="1" applyBorder="1" applyAlignment="1">
      <alignment horizontal="left" vertical="center"/>
    </xf>
    <xf numFmtId="0" fontId="101" fillId="6" borderId="54" xfId="0" applyFont="1" applyFill="1" applyBorder="1" applyAlignment="1">
      <alignment horizontal="left" vertical="center"/>
    </xf>
    <xf numFmtId="0" fontId="101" fillId="6" borderId="3" xfId="0" applyFont="1" applyFill="1" applyBorder="1" applyAlignment="1">
      <alignment horizontal="left" vertical="center"/>
    </xf>
    <xf numFmtId="0" fontId="101" fillId="6" borderId="0" xfId="0" applyFont="1" applyFill="1" applyAlignment="1">
      <alignment horizontal="left" vertical="center"/>
    </xf>
    <xf numFmtId="0" fontId="101" fillId="6" borderId="1" xfId="0" applyFont="1" applyFill="1" applyBorder="1" applyAlignment="1">
      <alignment horizontal="left" vertical="center"/>
    </xf>
    <xf numFmtId="0" fontId="115" fillId="6" borderId="1" xfId="0" applyFont="1" applyFill="1" applyBorder="1" applyAlignment="1">
      <alignment horizontal="left" vertical="center"/>
    </xf>
    <xf numFmtId="0" fontId="101" fillId="0" borderId="0" xfId="0" applyFont="1" applyAlignment="1">
      <alignment horizontal="left" vertical="center"/>
    </xf>
    <xf numFmtId="0" fontId="55" fillId="0" borderId="0" xfId="0" applyFont="1" applyAlignment="1" applyProtection="1">
      <alignment horizontal="left" vertical="center" wrapText="1"/>
      <protection locked="0"/>
    </xf>
    <xf numFmtId="0" fontId="55" fillId="6" borderId="15" xfId="0" applyFont="1" applyFill="1" applyBorder="1" applyAlignment="1">
      <alignment horizontal="left" vertical="center" wrapText="1"/>
    </xf>
    <xf numFmtId="0" fontId="55" fillId="6" borderId="17" xfId="0" applyFont="1" applyFill="1" applyBorder="1" applyAlignment="1">
      <alignment horizontal="left" vertical="center" wrapText="1"/>
    </xf>
    <xf numFmtId="0" fontId="115" fillId="6" borderId="19" xfId="0" applyFont="1" applyFill="1" applyBorder="1" applyAlignment="1">
      <alignment horizontal="left" vertical="center" wrapText="1"/>
    </xf>
    <xf numFmtId="0" fontId="172" fillId="6" borderId="1" xfId="3" applyFont="1" applyFill="1" applyBorder="1" applyAlignment="1">
      <alignment horizontal="left" vertical="center"/>
    </xf>
    <xf numFmtId="0" fontId="100" fillId="0" borderId="0" xfId="0" applyFont="1" applyAlignment="1">
      <alignment horizontal="left" vertical="center"/>
    </xf>
    <xf numFmtId="0" fontId="55" fillId="6" borderId="16" xfId="0" applyFont="1" applyFill="1" applyBorder="1" applyAlignment="1">
      <alignment horizontal="left" vertical="center" wrapText="1"/>
    </xf>
    <xf numFmtId="0" fontId="55" fillId="6" borderId="9" xfId="3" applyFont="1" applyFill="1" applyBorder="1" applyAlignment="1">
      <alignment horizontal="left" vertical="center"/>
    </xf>
    <xf numFmtId="0" fontId="55" fillId="6" borderId="2" xfId="3" applyFont="1" applyFill="1" applyBorder="1" applyAlignment="1">
      <alignment horizontal="left" vertical="center"/>
    </xf>
    <xf numFmtId="0" fontId="55" fillId="6" borderId="2" xfId="3" applyFont="1" applyFill="1" applyBorder="1" applyAlignment="1">
      <alignment horizontal="left" vertical="center" wrapText="1"/>
    </xf>
    <xf numFmtId="0" fontId="55" fillId="6" borderId="17" xfId="3" applyFont="1" applyFill="1" applyBorder="1" applyAlignment="1">
      <alignment horizontal="left" vertical="center"/>
    </xf>
    <xf numFmtId="0" fontId="55" fillId="6" borderId="62" xfId="3" applyFont="1" applyFill="1" applyBorder="1" applyAlignment="1">
      <alignment horizontal="left" vertical="center"/>
    </xf>
    <xf numFmtId="0" fontId="115" fillId="6" borderId="24" xfId="0" applyFont="1" applyFill="1" applyBorder="1" applyAlignment="1">
      <alignment horizontal="left" vertical="center" wrapText="1"/>
    </xf>
    <xf numFmtId="0" fontId="55" fillId="6" borderId="25" xfId="0" applyFont="1" applyFill="1" applyBorder="1" applyAlignment="1">
      <alignment horizontal="left" vertical="center" wrapText="1"/>
    </xf>
    <xf numFmtId="0" fontId="115" fillId="6" borderId="32" xfId="0" applyFont="1" applyFill="1" applyBorder="1" applyAlignment="1">
      <alignment horizontal="left" vertical="center" wrapText="1"/>
    </xf>
    <xf numFmtId="0" fontId="115" fillId="6" borderId="49" xfId="0" applyFont="1" applyFill="1" applyBorder="1" applyAlignment="1">
      <alignment horizontal="left" vertical="center" wrapText="1"/>
    </xf>
    <xf numFmtId="0" fontId="21" fillId="0" borderId="0" xfId="0" applyFont="1" applyAlignment="1">
      <alignment horizontal="left" vertical="center" wrapText="1"/>
    </xf>
    <xf numFmtId="179" fontId="115" fillId="6" borderId="15" xfId="0" applyNumberFormat="1" applyFont="1" applyFill="1" applyBorder="1" applyAlignment="1">
      <alignment horizontal="left" vertical="center" wrapText="1"/>
    </xf>
    <xf numFmtId="177" fontId="79" fillId="0" borderId="1" xfId="1" applyNumberFormat="1" applyFont="1" applyBorder="1" applyProtection="1">
      <alignment vertical="center"/>
      <protection locked="0" hidden="1"/>
    </xf>
    <xf numFmtId="177" fontId="130" fillId="0" borderId="1" xfId="1" applyNumberFormat="1" applyFont="1" applyBorder="1" applyProtection="1">
      <alignment vertical="center"/>
      <protection locked="0"/>
    </xf>
    <xf numFmtId="0" fontId="60" fillId="0" borderId="1" xfId="8" applyFont="1" applyBorder="1" applyAlignment="1">
      <alignment horizontal="center" vertical="center" wrapText="1"/>
    </xf>
    <xf numFmtId="0" fontId="21" fillId="5" borderId="1" xfId="0" applyFont="1" applyFill="1" applyBorder="1" applyAlignment="1" applyProtection="1">
      <alignment vertical="center" wrapText="1"/>
      <protection locked="0"/>
    </xf>
    <xf numFmtId="10" fontId="100" fillId="6" borderId="1" xfId="17" applyNumberFormat="1" applyFont="1" applyFill="1" applyBorder="1" applyAlignment="1" applyProtection="1">
      <alignment horizontal="left" vertical="center"/>
    </xf>
    <xf numFmtId="0" fontId="55" fillId="5" borderId="1" xfId="0" applyFont="1" applyFill="1" applyBorder="1" applyAlignment="1" applyProtection="1">
      <alignment horizontal="left" vertical="center" wrapText="1"/>
      <protection locked="0"/>
    </xf>
    <xf numFmtId="0" fontId="49" fillId="5" borderId="13" xfId="0" applyFont="1" applyFill="1" applyBorder="1" applyAlignment="1" applyProtection="1">
      <alignment horizontal="left" vertical="center" wrapText="1"/>
      <protection locked="0"/>
    </xf>
    <xf numFmtId="186" fontId="59" fillId="6" borderId="1" xfId="1" applyNumberFormat="1" applyFont="1" applyFill="1" applyBorder="1" applyAlignment="1">
      <alignment horizontal="right" vertical="center"/>
    </xf>
    <xf numFmtId="186" fontId="54" fillId="6" borderId="1" xfId="0" applyNumberFormat="1" applyFont="1" applyFill="1" applyBorder="1" applyAlignment="1">
      <alignment horizontal="right" vertical="center"/>
    </xf>
    <xf numFmtId="0" fontId="64" fillId="5" borderId="118" xfId="0" applyFont="1" applyFill="1" applyBorder="1" applyProtection="1">
      <alignment vertical="center"/>
      <protection locked="0"/>
    </xf>
    <xf numFmtId="186" fontId="59" fillId="6" borderId="2" xfId="0" applyNumberFormat="1" applyFont="1" applyFill="1" applyBorder="1" applyAlignment="1">
      <alignment horizontal="right" vertical="center"/>
    </xf>
    <xf numFmtId="179" fontId="46" fillId="0" borderId="23" xfId="0" applyNumberFormat="1" applyFont="1" applyBorder="1" applyAlignment="1" applyProtection="1">
      <alignment horizontal="center" vertical="center"/>
      <protection locked="0"/>
    </xf>
    <xf numFmtId="179" fontId="49" fillId="0" borderId="23" xfId="0" applyNumberFormat="1" applyFont="1" applyBorder="1" applyAlignment="1" applyProtection="1">
      <alignment horizontal="center" vertical="center"/>
      <protection locked="0"/>
    </xf>
    <xf numFmtId="179" fontId="46" fillId="0" borderId="23" xfId="0" applyNumberFormat="1" applyFont="1" applyBorder="1" applyProtection="1">
      <alignment vertical="center"/>
      <protection locked="0"/>
    </xf>
    <xf numFmtId="0" fontId="140" fillId="7" borderId="0" xfId="0" applyFont="1" applyFill="1" applyAlignment="1" applyProtection="1">
      <protection locked="0"/>
    </xf>
    <xf numFmtId="0" fontId="79" fillId="6" borderId="0" xfId="0" applyFont="1" applyFill="1" applyAlignment="1" applyProtection="1">
      <protection locked="0"/>
    </xf>
    <xf numFmtId="0" fontId="64" fillId="5" borderId="88" xfId="0" applyFont="1" applyFill="1" applyBorder="1" applyProtection="1">
      <alignment vertical="center"/>
      <protection locked="0"/>
    </xf>
    <xf numFmtId="176" fontId="46" fillId="0" borderId="23" xfId="0" applyNumberFormat="1" applyFont="1" applyBorder="1" applyAlignment="1" applyProtection="1">
      <alignment horizontal="center" vertical="center" wrapText="1"/>
      <protection locked="0"/>
    </xf>
    <xf numFmtId="176" fontId="46" fillId="0" borderId="3" xfId="0" applyNumberFormat="1" applyFont="1" applyBorder="1" applyAlignment="1" applyProtection="1">
      <alignment horizontal="center" vertical="center" wrapText="1"/>
      <protection locked="0"/>
    </xf>
    <xf numFmtId="0" fontId="110" fillId="6" borderId="16" xfId="0" applyFont="1" applyFill="1" applyBorder="1" applyAlignment="1">
      <alignment horizontal="left" vertical="center"/>
    </xf>
    <xf numFmtId="0" fontId="97" fillId="6" borderId="1" xfId="0" applyFont="1" applyFill="1" applyBorder="1" applyAlignment="1">
      <alignment horizontal="left" vertical="center"/>
    </xf>
    <xf numFmtId="0" fontId="162" fillId="12" borderId="1" xfId="12" applyFont="1" applyFill="1" applyBorder="1" applyAlignment="1" applyProtection="1">
      <alignment horizontal="left" vertical="center" wrapText="1"/>
      <protection locked="0"/>
    </xf>
    <xf numFmtId="9" fontId="161" fillId="12" borderId="1" xfId="12" applyNumberFormat="1" applyFill="1" applyBorder="1" applyAlignment="1" applyProtection="1">
      <alignment horizontal="left"/>
      <protection locked="0"/>
    </xf>
    <xf numFmtId="0" fontId="55" fillId="5" borderId="0" xfId="4" applyFont="1" applyFill="1" applyAlignment="1" applyProtection="1">
      <alignment vertical="center"/>
      <protection locked="0"/>
    </xf>
    <xf numFmtId="176" fontId="55" fillId="0" borderId="0" xfId="4" applyNumberFormat="1" applyFont="1" applyProtection="1">
      <protection locked="0"/>
    </xf>
    <xf numFmtId="0" fontId="161" fillId="6" borderId="1" xfId="12" applyFill="1" applyBorder="1" applyAlignment="1">
      <alignment horizontal="left"/>
    </xf>
    <xf numFmtId="0" fontId="55" fillId="5" borderId="65" xfId="0" applyFont="1" applyFill="1" applyBorder="1" applyAlignment="1" applyProtection="1">
      <alignment vertical="center" wrapText="1"/>
      <protection locked="0"/>
    </xf>
    <xf numFmtId="10" fontId="55" fillId="7" borderId="0" xfId="0" applyNumberFormat="1" applyFont="1" applyFill="1" applyAlignment="1" applyProtection="1">
      <alignment horizontal="left" vertical="center" wrapText="1"/>
      <protection locked="0"/>
    </xf>
    <xf numFmtId="0" fontId="270" fillId="0" borderId="0" xfId="9" applyFont="1">
      <alignment vertical="center"/>
    </xf>
    <xf numFmtId="0" fontId="97"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7"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10"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10" fillId="6" borderId="1" xfId="0" applyNumberFormat="1" applyFont="1" applyFill="1" applyBorder="1" applyAlignment="1" applyProtection="1">
      <alignment horizontal="left" vertical="center"/>
      <protection locked="0"/>
    </xf>
    <xf numFmtId="0" fontId="272" fillId="0" borderId="0" xfId="0" applyFont="1" applyAlignment="1" applyProtection="1">
      <alignment horizontal="left" vertical="center"/>
      <protection locked="0"/>
    </xf>
    <xf numFmtId="2" fontId="146" fillId="13" borderId="0" xfId="9" applyNumberFormat="1" applyFont="1" applyFill="1" applyAlignment="1">
      <alignment horizontal="right" vertical="center"/>
    </xf>
    <xf numFmtId="2" fontId="146" fillId="21" borderId="0" xfId="9" applyNumberFormat="1" applyFont="1" applyFill="1" applyAlignment="1">
      <alignment horizontal="right" vertical="center"/>
    </xf>
    <xf numFmtId="0" fontId="146" fillId="13" borderId="0" xfId="9" applyFont="1" applyFill="1" applyAlignment="1">
      <alignment horizontal="right" vertical="center"/>
    </xf>
    <xf numFmtId="0" fontId="146"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6" fillId="18" borderId="171" xfId="9" applyNumberFormat="1" applyFont="1" applyFill="1" applyBorder="1" applyAlignment="1">
      <alignment horizontal="right" vertical="center"/>
    </xf>
    <xf numFmtId="1" fontId="0" fillId="5" borderId="0" xfId="0" applyNumberFormat="1" applyFill="1">
      <alignment vertical="center"/>
    </xf>
    <xf numFmtId="9" fontId="0" fillId="0" borderId="0" xfId="0" applyNumberFormat="1">
      <alignment vertical="center"/>
    </xf>
    <xf numFmtId="0" fontId="116" fillId="0" borderId="1" xfId="19" applyFont="1" applyBorder="1" applyAlignment="1">
      <alignment horizontal="center" vertical="center"/>
    </xf>
    <xf numFmtId="0" fontId="116" fillId="5" borderId="1" xfId="19" applyFont="1" applyFill="1" applyBorder="1" applyAlignment="1">
      <alignment horizontal="center" vertical="center"/>
    </xf>
    <xf numFmtId="0" fontId="96" fillId="0" borderId="1" xfId="19" applyFont="1" applyBorder="1" applyAlignment="1">
      <alignment horizontal="center" vertical="center"/>
    </xf>
    <xf numFmtId="0" fontId="116" fillId="22" borderId="1" xfId="19" applyFont="1" applyFill="1" applyBorder="1" applyAlignment="1">
      <alignment horizontal="center" vertical="center"/>
    </xf>
    <xf numFmtId="0" fontId="116" fillId="23" borderId="1" xfId="19" applyFont="1" applyFill="1" applyBorder="1" applyAlignment="1">
      <alignment horizontal="center" vertical="center"/>
    </xf>
    <xf numFmtId="0" fontId="116" fillId="24" borderId="1" xfId="19" applyFont="1" applyFill="1" applyBorder="1" applyAlignment="1">
      <alignment horizontal="center" vertical="center"/>
    </xf>
    <xf numFmtId="0" fontId="116" fillId="0" borderId="1" xfId="19" applyFont="1" applyBorder="1" applyAlignment="1">
      <alignment vertical="center"/>
    </xf>
    <xf numFmtId="0" fontId="236" fillId="0" borderId="1" xfId="19" applyFont="1" applyBorder="1" applyAlignment="1">
      <alignment horizontal="center" vertical="center"/>
    </xf>
    <xf numFmtId="0" fontId="116" fillId="0" borderId="0" xfId="19" applyFont="1" applyAlignment="1">
      <alignment horizontal="center" vertical="center"/>
    </xf>
    <xf numFmtId="197" fontId="116" fillId="5" borderId="1" xfId="19" applyNumberFormat="1" applyFont="1" applyFill="1" applyBorder="1" applyAlignment="1">
      <alignment horizontal="center" vertical="center"/>
    </xf>
    <xf numFmtId="198" fontId="116" fillId="5" borderId="1" xfId="19" applyNumberFormat="1" applyFont="1" applyFill="1" applyBorder="1" applyAlignment="1">
      <alignment horizontal="center" vertical="center"/>
    </xf>
    <xf numFmtId="0" fontId="96" fillId="5" borderId="1" xfId="19" applyFont="1" applyFill="1" applyBorder="1" applyAlignment="1">
      <alignment horizontal="center" vertical="center"/>
    </xf>
    <xf numFmtId="14" fontId="116" fillId="5" borderId="1" xfId="19" applyNumberFormat="1" applyFont="1" applyFill="1" applyBorder="1" applyAlignment="1">
      <alignment vertical="center"/>
    </xf>
    <xf numFmtId="14" fontId="116" fillId="5" borderId="1" xfId="19" applyNumberFormat="1" applyFont="1" applyFill="1" applyBorder="1" applyAlignment="1">
      <alignment horizontal="center" vertical="center"/>
    </xf>
    <xf numFmtId="0" fontId="116" fillId="5" borderId="1" xfId="19" applyFont="1" applyFill="1" applyBorder="1" applyAlignment="1">
      <alignment vertical="center"/>
    </xf>
    <xf numFmtId="197" fontId="116" fillId="0" borderId="1" xfId="19" applyNumberFormat="1" applyFont="1" applyBorder="1" applyAlignment="1">
      <alignment horizontal="center" vertical="center"/>
    </xf>
    <xf numFmtId="198" fontId="116" fillId="0" borderId="1" xfId="19" applyNumberFormat="1" applyFont="1" applyBorder="1" applyAlignment="1">
      <alignment horizontal="center" vertical="center"/>
    </xf>
    <xf numFmtId="14" fontId="116" fillId="0" borderId="1" xfId="19" applyNumberFormat="1" applyFont="1" applyBorder="1" applyAlignment="1">
      <alignment vertical="center"/>
    </xf>
    <xf numFmtId="14" fontId="116" fillId="0" borderId="1" xfId="19" applyNumberFormat="1" applyFont="1" applyBorder="1" applyAlignment="1">
      <alignment horizontal="center" vertical="center"/>
    </xf>
    <xf numFmtId="0" fontId="96" fillId="0" borderId="13" xfId="19" applyFont="1" applyBorder="1" applyAlignment="1">
      <alignment horizontal="center" vertical="center"/>
    </xf>
    <xf numFmtId="0" fontId="125" fillId="0" borderId="0" xfId="19" applyFont="1" applyAlignment="1">
      <alignment horizontal="center" vertical="center"/>
    </xf>
    <xf numFmtId="0" fontId="96" fillId="0" borderId="2" xfId="19" applyFont="1" applyBorder="1" applyAlignment="1">
      <alignment horizontal="center" vertical="center"/>
    </xf>
    <xf numFmtId="0" fontId="273" fillId="0" borderId="0" xfId="19" applyFont="1" applyAlignment="1">
      <alignment horizontal="center" vertical="center"/>
    </xf>
    <xf numFmtId="0" fontId="273" fillId="0" borderId="1" xfId="19" applyFont="1" applyBorder="1" applyAlignment="1">
      <alignment horizontal="center" vertical="center"/>
    </xf>
    <xf numFmtId="197" fontId="273" fillId="0" borderId="1" xfId="19" applyNumberFormat="1" applyFont="1" applyBorder="1" applyAlignment="1">
      <alignment horizontal="center" vertical="center"/>
    </xf>
    <xf numFmtId="198" fontId="273" fillId="0" borderId="1" xfId="19" applyNumberFormat="1" applyFont="1" applyBorder="1" applyAlignment="1">
      <alignment horizontal="center" vertical="center"/>
    </xf>
    <xf numFmtId="0" fontId="125" fillId="0" borderId="1" xfId="19" applyFont="1" applyBorder="1" applyAlignment="1">
      <alignment horizontal="center" vertical="center"/>
    </xf>
    <xf numFmtId="0" fontId="96" fillId="0" borderId="0" xfId="19" applyFont="1" applyAlignment="1">
      <alignment horizontal="center" vertical="center"/>
    </xf>
    <xf numFmtId="0" fontId="236" fillId="0" borderId="0" xfId="19" applyFont="1" applyAlignment="1">
      <alignment horizontal="center" vertical="center"/>
    </xf>
    <xf numFmtId="0" fontId="116" fillId="22" borderId="0" xfId="19" applyFont="1" applyFill="1" applyAlignment="1">
      <alignment horizontal="center" vertical="center"/>
    </xf>
    <xf numFmtId="0" fontId="116" fillId="23" borderId="0" xfId="19" applyFont="1" applyFill="1" applyAlignment="1">
      <alignment horizontal="center" vertical="center"/>
    </xf>
    <xf numFmtId="0" fontId="116" fillId="24" borderId="0" xfId="19" applyFont="1" applyFill="1" applyAlignment="1">
      <alignment horizontal="center" vertical="center"/>
    </xf>
    <xf numFmtId="0" fontId="274" fillId="0" borderId="1" xfId="0" applyFont="1" applyBorder="1" applyAlignment="1" applyProtection="1">
      <alignment vertical="center" wrapText="1"/>
      <protection locked="0"/>
    </xf>
    <xf numFmtId="0" fontId="49" fillId="0" borderId="1" xfId="0" applyFont="1" applyBorder="1" applyAlignment="1" applyProtection="1">
      <alignment horizontal="left" vertical="center" wrapText="1"/>
      <protection locked="0"/>
    </xf>
    <xf numFmtId="0" fontId="275" fillId="0" borderId="0" xfId="0" applyFont="1">
      <alignment vertical="center"/>
    </xf>
    <xf numFmtId="0" fontId="273" fillId="0" borderId="13" xfId="19" applyFont="1" applyBorder="1" applyAlignment="1">
      <alignment vertical="center"/>
    </xf>
    <xf numFmtId="0" fontId="273" fillId="0" borderId="2" xfId="19" applyFont="1" applyBorder="1" applyAlignment="1">
      <alignment vertical="center"/>
    </xf>
    <xf numFmtId="0" fontId="125" fillId="5" borderId="1" xfId="19" applyFont="1" applyFill="1" applyBorder="1" applyAlignment="1">
      <alignment horizontal="center" vertical="center"/>
    </xf>
    <xf numFmtId="197" fontId="125" fillId="5" borderId="1" xfId="19" applyNumberFormat="1" applyFont="1" applyFill="1" applyBorder="1" applyAlignment="1">
      <alignment horizontal="center" vertical="center"/>
    </xf>
    <xf numFmtId="198" fontId="125" fillId="5" borderId="1" xfId="19" applyNumberFormat="1" applyFont="1" applyFill="1" applyBorder="1" applyAlignment="1">
      <alignment horizontal="center" vertical="center"/>
    </xf>
    <xf numFmtId="14" fontId="125" fillId="5" borderId="1" xfId="19" applyNumberFormat="1" applyFont="1" applyFill="1" applyBorder="1" applyAlignment="1">
      <alignment vertical="center"/>
    </xf>
    <xf numFmtId="14" fontId="125" fillId="5" borderId="1" xfId="19" applyNumberFormat="1" applyFont="1" applyFill="1" applyBorder="1" applyAlignment="1">
      <alignment horizontal="center" vertical="center"/>
    </xf>
    <xf numFmtId="0" fontId="125" fillId="5" borderId="1" xfId="19" applyFont="1" applyFill="1" applyBorder="1" applyAlignment="1">
      <alignment vertical="center"/>
    </xf>
    <xf numFmtId="0" fontId="116" fillId="0" borderId="1" xfId="20" applyFont="1" applyBorder="1" applyAlignment="1">
      <alignment horizontal="center" vertical="center"/>
    </xf>
    <xf numFmtId="0" fontId="96" fillId="0" borderId="1" xfId="20" applyFont="1" applyBorder="1" applyAlignment="1">
      <alignment horizontal="center" vertical="center"/>
    </xf>
    <xf numFmtId="0" fontId="116" fillId="0" borderId="1" xfId="20" applyFont="1" applyBorder="1" applyAlignment="1">
      <alignment vertical="center"/>
    </xf>
    <xf numFmtId="179" fontId="116" fillId="0" borderId="1" xfId="20" applyNumberFormat="1" applyFont="1" applyBorder="1" applyAlignment="1">
      <alignment vertical="center"/>
    </xf>
    <xf numFmtId="177" fontId="116" fillId="0" borderId="1" xfId="20" applyNumberFormat="1" applyFont="1" applyBorder="1" applyAlignment="1">
      <alignment vertical="center"/>
    </xf>
    <xf numFmtId="0" fontId="236" fillId="0" borderId="1" xfId="20" applyFont="1" applyBorder="1" applyAlignment="1">
      <alignment horizontal="center" vertical="center"/>
    </xf>
    <xf numFmtId="0" fontId="116" fillId="0" borderId="0" xfId="20" applyFont="1" applyAlignment="1">
      <alignment horizontal="center" vertical="center"/>
    </xf>
    <xf numFmtId="197" fontId="116" fillId="0" borderId="1" xfId="20" applyNumberFormat="1" applyFont="1" applyBorder="1" applyAlignment="1">
      <alignment horizontal="center" vertical="center"/>
    </xf>
    <xf numFmtId="198" fontId="116" fillId="0" borderId="1" xfId="20" applyNumberFormat="1" applyFont="1" applyBorder="1" applyAlignment="1">
      <alignment horizontal="center" vertical="center"/>
    </xf>
    <xf numFmtId="177" fontId="116" fillId="0" borderId="1" xfId="20" applyNumberFormat="1" applyFont="1" applyBorder="1" applyAlignment="1">
      <alignment horizontal="center" vertical="center"/>
    </xf>
    <xf numFmtId="0" fontId="116" fillId="25" borderId="0" xfId="20" applyFont="1" applyFill="1" applyAlignment="1">
      <alignment horizontal="center" vertical="center"/>
    </xf>
    <xf numFmtId="0" fontId="96" fillId="0" borderId="13" xfId="20" applyFont="1" applyBorder="1" applyAlignment="1">
      <alignment horizontal="center" vertical="center"/>
    </xf>
    <xf numFmtId="0" fontId="96" fillId="25" borderId="0" xfId="20" applyFont="1" applyFill="1" applyAlignment="1">
      <alignment horizontal="center" vertical="center"/>
    </xf>
    <xf numFmtId="0" fontId="96" fillId="0" borderId="2" xfId="20" applyFont="1" applyBorder="1" applyAlignment="1">
      <alignment horizontal="center" vertical="center"/>
    </xf>
    <xf numFmtId="197" fontId="96" fillId="0" borderId="1" xfId="20" applyNumberFormat="1" applyFont="1" applyBorder="1" applyAlignment="1">
      <alignment horizontal="center" vertical="center"/>
    </xf>
    <xf numFmtId="198" fontId="96" fillId="0" borderId="1" xfId="20" applyNumberFormat="1" applyFont="1" applyBorder="1" applyAlignment="1">
      <alignment horizontal="center" vertical="center"/>
    </xf>
    <xf numFmtId="177" fontId="96" fillId="0" borderId="1" xfId="20" applyNumberFormat="1" applyFont="1" applyBorder="1" applyAlignment="1">
      <alignment horizontal="center" vertical="center"/>
    </xf>
    <xf numFmtId="0" fontId="187" fillId="0" borderId="1" xfId="20" applyFont="1" applyBorder="1" applyAlignment="1">
      <alignment horizontal="center" vertical="center"/>
    </xf>
    <xf numFmtId="0" fontId="96" fillId="0" borderId="0" xfId="20" applyFont="1" applyAlignment="1">
      <alignment horizontal="center" vertical="center"/>
    </xf>
    <xf numFmtId="179" fontId="116" fillId="0" borderId="0" xfId="20" applyNumberFormat="1" applyFont="1" applyAlignment="1">
      <alignment horizontal="center" vertical="center"/>
    </xf>
    <xf numFmtId="177" fontId="116" fillId="0" borderId="0" xfId="20" applyNumberFormat="1" applyFont="1" applyAlignment="1">
      <alignment horizontal="center" vertical="center"/>
    </xf>
    <xf numFmtId="0" fontId="236" fillId="0" borderId="0" xfId="20" applyFont="1" applyAlignment="1">
      <alignment horizontal="center" vertical="center"/>
    </xf>
    <xf numFmtId="197" fontId="116" fillId="5" borderId="1" xfId="20" applyNumberFormat="1" applyFont="1" applyFill="1" applyBorder="1" applyAlignment="1">
      <alignment horizontal="center" vertical="center"/>
    </xf>
    <xf numFmtId="0" fontId="116" fillId="22" borderId="1" xfId="20" applyFont="1" applyFill="1" applyBorder="1" applyAlignment="1">
      <alignment horizontal="center" vertical="center"/>
    </xf>
    <xf numFmtId="0" fontId="116" fillId="23" borderId="1" xfId="20" applyFont="1" applyFill="1" applyBorder="1" applyAlignment="1">
      <alignment horizontal="center" vertical="center"/>
    </xf>
    <xf numFmtId="0" fontId="116" fillId="24" borderId="1" xfId="20" applyFont="1" applyFill="1" applyBorder="1" applyAlignment="1">
      <alignment horizontal="center" vertical="center"/>
    </xf>
    <xf numFmtId="0" fontId="116" fillId="22" borderId="0" xfId="20" applyFont="1" applyFill="1" applyAlignment="1">
      <alignment horizontal="center" vertical="center"/>
    </xf>
    <xf numFmtId="0" fontId="116" fillId="23" borderId="0" xfId="20" applyFont="1" applyFill="1" applyAlignment="1">
      <alignment horizontal="center" vertical="center"/>
    </xf>
    <xf numFmtId="0" fontId="116" fillId="24" borderId="0" xfId="20" applyFont="1" applyFill="1" applyAlignment="1">
      <alignment horizontal="center" vertical="center"/>
    </xf>
    <xf numFmtId="0" fontId="116" fillId="5" borderId="1" xfId="20" applyFont="1" applyFill="1" applyBorder="1" applyAlignment="1">
      <alignment horizontal="center" vertical="center"/>
    </xf>
    <xf numFmtId="14" fontId="96" fillId="0" borderId="1" xfId="20" applyNumberFormat="1" applyFont="1" applyBorder="1" applyAlignment="1">
      <alignment vertical="center"/>
    </xf>
    <xf numFmtId="14" fontId="96" fillId="0" borderId="1" xfId="20" applyNumberFormat="1" applyFont="1" applyBorder="1" applyAlignment="1">
      <alignment horizontal="center" vertical="center"/>
    </xf>
    <xf numFmtId="179" fontId="96" fillId="0" borderId="1" xfId="20" applyNumberFormat="1" applyFont="1" applyBorder="1" applyAlignment="1">
      <alignment vertical="center"/>
    </xf>
    <xf numFmtId="0" fontId="276" fillId="0" borderId="0" xfId="21">
      <alignment vertical="center"/>
    </xf>
    <xf numFmtId="0" fontId="96" fillId="0" borderId="1" xfId="20" applyFont="1" applyBorder="1" applyAlignment="1">
      <alignment vertical="center"/>
    </xf>
    <xf numFmtId="179" fontId="96" fillId="0" borderId="1" xfId="20" applyNumberFormat="1" applyFont="1" applyBorder="1" applyAlignment="1">
      <alignment horizontal="center" vertical="center"/>
    </xf>
    <xf numFmtId="0" fontId="273" fillId="0" borderId="0" xfId="20" applyFont="1" applyAlignment="1">
      <alignment horizontal="center" vertical="center"/>
    </xf>
    <xf numFmtId="0" fontId="97" fillId="0" borderId="1" xfId="0" applyFont="1" applyBorder="1">
      <alignment vertical="center"/>
    </xf>
    <xf numFmtId="0" fontId="0" fillId="0" borderId="1" xfId="0" applyBorder="1">
      <alignment vertical="center"/>
    </xf>
    <xf numFmtId="0" fontId="0" fillId="0" borderId="1" xfId="0" applyBorder="1" applyAlignment="1">
      <alignment horizontal="left" vertical="center"/>
    </xf>
    <xf numFmtId="0" fontId="116" fillId="0" borderId="1" xfId="20" applyFont="1" applyBorder="1" applyAlignment="1">
      <alignment horizontal="left" vertical="center"/>
    </xf>
    <xf numFmtId="0" fontId="97" fillId="0" borderId="0" xfId="0" applyFont="1" applyAlignment="1">
      <alignment vertical="center" wrapText="1"/>
    </xf>
    <xf numFmtId="10" fontId="0" fillId="0" borderId="0" xfId="0" applyNumberFormat="1">
      <alignment vertical="center"/>
    </xf>
    <xf numFmtId="10" fontId="0" fillId="0" borderId="0" xfId="17" applyNumberFormat="1" applyFont="1">
      <alignment vertical="center"/>
    </xf>
    <xf numFmtId="49" fontId="0" fillId="0" borderId="0" xfId="0" applyNumberFormat="1">
      <alignment vertical="center"/>
    </xf>
    <xf numFmtId="49" fontId="97" fillId="0" borderId="0" xfId="0" applyNumberFormat="1" applyFont="1">
      <alignment vertical="center"/>
    </xf>
    <xf numFmtId="0" fontId="96" fillId="0" borderId="13" xfId="20" applyFont="1" applyBorder="1" applyAlignment="1">
      <alignment vertical="center"/>
    </xf>
    <xf numFmtId="179" fontId="116" fillId="0" borderId="1" xfId="20" applyNumberFormat="1" applyFont="1" applyBorder="1" applyAlignment="1">
      <alignment horizontal="center" vertical="center"/>
    </xf>
    <xf numFmtId="0" fontId="96" fillId="26" borderId="1" xfId="20" applyFont="1" applyFill="1" applyBorder="1" applyAlignment="1">
      <alignment horizontal="center" vertical="center"/>
    </xf>
    <xf numFmtId="0" fontId="96" fillId="22" borderId="1" xfId="20" applyFont="1" applyFill="1" applyBorder="1" applyAlignment="1">
      <alignment horizontal="center" vertical="center"/>
    </xf>
    <xf numFmtId="181" fontId="96" fillId="0" borderId="0" xfId="17" applyNumberFormat="1" applyFont="1" applyFill="1" applyAlignment="1">
      <alignment horizontal="center" vertical="center"/>
    </xf>
    <xf numFmtId="49" fontId="97" fillId="26" borderId="0" xfId="0" applyNumberFormat="1" applyFont="1" applyFill="1">
      <alignment vertical="center"/>
    </xf>
    <xf numFmtId="0" fontId="0" fillId="26" borderId="0" xfId="0" applyFill="1">
      <alignment vertical="center"/>
    </xf>
    <xf numFmtId="14" fontId="116" fillId="0" borderId="0" xfId="20" applyNumberFormat="1" applyFont="1" applyAlignment="1">
      <alignment horizontal="center" vertical="center"/>
    </xf>
    <xf numFmtId="14" fontId="0" fillId="0" borderId="0" xfId="0" applyNumberFormat="1">
      <alignment vertical="center"/>
    </xf>
    <xf numFmtId="0" fontId="277" fillId="5" borderId="0" xfId="0" applyFont="1" applyFill="1">
      <alignment vertical="center"/>
    </xf>
    <xf numFmtId="0" fontId="278" fillId="0" borderId="0" xfId="22"/>
    <xf numFmtId="0" fontId="278" fillId="22" borderId="0" xfId="22" applyFill="1"/>
    <xf numFmtId="14" fontId="278" fillId="22" borderId="0" xfId="22" applyNumberFormat="1" applyFill="1"/>
    <xf numFmtId="14" fontId="278" fillId="0" borderId="0" xfId="22" applyNumberFormat="1"/>
    <xf numFmtId="0" fontId="130" fillId="6" borderId="11" xfId="0" applyFont="1" applyFill="1" applyBorder="1" applyAlignment="1">
      <alignment horizontal="right" vertical="center" wrapText="1"/>
    </xf>
    <xf numFmtId="0" fontId="0" fillId="22" borderId="0" xfId="0" applyFill="1">
      <alignment vertical="center"/>
    </xf>
    <xf numFmtId="0" fontId="116" fillId="26" borderId="1" xfId="20" applyFont="1" applyFill="1" applyBorder="1" applyAlignment="1">
      <alignment horizontal="left" vertical="center"/>
    </xf>
    <xf numFmtId="0" fontId="0" fillId="26" borderId="1" xfId="0" applyFill="1" applyBorder="1" applyAlignment="1">
      <alignment horizontal="left" vertical="center"/>
    </xf>
    <xf numFmtId="0" fontId="97" fillId="26" borderId="1" xfId="0" applyFont="1" applyFill="1" applyBorder="1" applyAlignment="1">
      <alignment horizontal="left" vertical="center"/>
    </xf>
    <xf numFmtId="0" fontId="0" fillId="26" borderId="1" xfId="0" applyFill="1" applyBorder="1">
      <alignment vertical="center"/>
    </xf>
    <xf numFmtId="0" fontId="275" fillId="0" borderId="1" xfId="0" applyFont="1" applyBorder="1" applyAlignment="1">
      <alignment horizontal="left" vertical="center"/>
    </xf>
    <xf numFmtId="0" fontId="275" fillId="26" borderId="1" xfId="0" applyFont="1" applyFill="1" applyBorder="1" applyAlignment="1">
      <alignment horizontal="left" vertical="center"/>
    </xf>
    <xf numFmtId="0" fontId="275" fillId="0" borderId="0" xfId="0" applyFont="1" applyAlignment="1">
      <alignment horizontal="left" vertical="center"/>
    </xf>
    <xf numFmtId="0" fontId="96" fillId="0" borderId="1" xfId="20" applyFont="1" applyBorder="1" applyAlignment="1">
      <alignment horizontal="left" vertical="center"/>
    </xf>
    <xf numFmtId="0" fontId="279" fillId="0" borderId="1" xfId="0" applyFont="1" applyBorder="1" applyAlignment="1">
      <alignment horizontal="left" vertical="center"/>
    </xf>
    <xf numFmtId="0" fontId="96" fillId="26" borderId="1" xfId="20" applyFont="1" applyFill="1" applyBorder="1" applyAlignment="1">
      <alignment horizontal="left" vertical="center"/>
    </xf>
    <xf numFmtId="0" fontId="279" fillId="26" borderId="1" xfId="0" applyFont="1" applyFill="1" applyBorder="1" applyAlignment="1">
      <alignment horizontal="left" vertical="center"/>
    </xf>
    <xf numFmtId="0" fontId="97" fillId="27" borderId="1" xfId="0" applyFont="1" applyFill="1" applyBorder="1">
      <alignment vertical="center"/>
    </xf>
    <xf numFmtId="0" fontId="125" fillId="0" borderId="1" xfId="20" applyFont="1" applyBorder="1" applyAlignment="1">
      <alignment horizontal="left" vertical="center"/>
    </xf>
    <xf numFmtId="0" fontId="125" fillId="26" borderId="1" xfId="20" applyFont="1" applyFill="1" applyBorder="1" applyAlignment="1">
      <alignment horizontal="left" vertical="center"/>
    </xf>
    <xf numFmtId="0" fontId="279" fillId="0" borderId="0" xfId="0" applyFont="1">
      <alignment vertical="center"/>
    </xf>
    <xf numFmtId="0" fontId="279" fillId="0" borderId="0" xfId="0" applyFont="1" applyAlignment="1">
      <alignment horizontal="center" vertical="center"/>
    </xf>
    <xf numFmtId="0" fontId="275" fillId="0" borderId="0" xfId="0" applyFont="1" applyAlignment="1">
      <alignment horizontal="center" vertical="center"/>
    </xf>
    <xf numFmtId="0" fontId="279" fillId="0" borderId="0" xfId="0" applyFont="1" applyAlignment="1">
      <alignment horizontal="left" vertical="center"/>
    </xf>
    <xf numFmtId="0" fontId="0" fillId="28" borderId="0" xfId="0" applyFill="1">
      <alignment vertical="center"/>
    </xf>
    <xf numFmtId="0" fontId="0" fillId="0" borderId="0" xfId="0" applyAlignment="1">
      <alignment vertical="center" wrapText="1"/>
    </xf>
    <xf numFmtId="0" fontId="275" fillId="0" borderId="1" xfId="0" applyFont="1" applyBorder="1">
      <alignment vertical="center"/>
    </xf>
    <xf numFmtId="0" fontId="97" fillId="28" borderId="1" xfId="0" applyFont="1" applyFill="1" applyBorder="1">
      <alignment vertical="center"/>
    </xf>
    <xf numFmtId="0" fontId="0" fillId="28" borderId="1" xfId="0" applyFill="1" applyBorder="1">
      <alignment vertical="center"/>
    </xf>
    <xf numFmtId="0" fontId="275" fillId="22" borderId="1" xfId="0" applyFont="1" applyFill="1" applyBorder="1">
      <alignment vertical="center"/>
    </xf>
    <xf numFmtId="0" fontId="0" fillId="0" borderId="0" xfId="0" applyAlignment="1">
      <alignment horizontal="center" vertical="center"/>
    </xf>
    <xf numFmtId="0" fontId="280" fillId="0" borderId="0" xfId="0" applyFont="1" applyAlignment="1">
      <alignment horizontal="left" vertical="center"/>
    </xf>
    <xf numFmtId="49" fontId="79" fillId="0" borderId="0" xfId="0" applyNumberFormat="1" applyFont="1" applyAlignment="1">
      <alignment horizontal="left" vertical="center"/>
    </xf>
    <xf numFmtId="49" fontId="0" fillId="0" borderId="0" xfId="0" applyNumberFormat="1" applyAlignment="1">
      <alignment horizontal="center" vertical="center"/>
    </xf>
    <xf numFmtId="43" fontId="0" fillId="0" borderId="0" xfId="0" applyNumberFormat="1" applyAlignment="1">
      <alignment horizontal="center" vertical="center"/>
    </xf>
    <xf numFmtId="179" fontId="0" fillId="0" borderId="0" xfId="0" applyNumberFormat="1" applyAlignment="1">
      <alignment horizontal="center" vertical="center"/>
    </xf>
    <xf numFmtId="0" fontId="280" fillId="0" borderId="6" xfId="0" applyFont="1" applyBorder="1" applyAlignment="1">
      <alignment horizontal="center" vertical="center"/>
    </xf>
    <xf numFmtId="49" fontId="282" fillId="3" borderId="9" xfId="23" applyNumberFormat="1" applyFont="1" applyFill="1" applyBorder="1" applyAlignment="1">
      <alignment horizontal="center" vertical="center" wrapText="1"/>
    </xf>
    <xf numFmtId="0" fontId="282" fillId="3" borderId="9" xfId="23" applyFont="1" applyFill="1" applyBorder="1" applyAlignment="1">
      <alignment horizontal="center" vertical="center" wrapText="1"/>
    </xf>
    <xf numFmtId="43" fontId="282" fillId="3" borderId="9" xfId="23" applyNumberFormat="1" applyFont="1" applyFill="1" applyBorder="1" applyAlignment="1">
      <alignment horizontal="center" vertical="center" wrapText="1"/>
    </xf>
    <xf numFmtId="179" fontId="282" fillId="3" borderId="10" xfId="23" applyNumberFormat="1" applyFont="1" applyFill="1" applyBorder="1" applyAlignment="1">
      <alignment horizontal="center" vertical="center" wrapText="1"/>
    </xf>
    <xf numFmtId="176" fontId="283" fillId="29" borderId="23" xfId="23" applyNumberFormat="1" applyFont="1" applyFill="1" applyBorder="1" applyAlignment="1">
      <alignment horizontal="center" vertical="center" wrapText="1"/>
    </xf>
    <xf numFmtId="176" fontId="283" fillId="29" borderId="1" xfId="23" applyNumberFormat="1" applyFont="1" applyFill="1" applyBorder="1" applyAlignment="1">
      <alignment horizontal="left" vertical="center" wrapText="1"/>
    </xf>
    <xf numFmtId="0" fontId="5" fillId="29" borderId="1" xfId="23" applyFont="1" applyFill="1" applyBorder="1" applyAlignment="1">
      <alignment horizontal="center" vertical="center" wrapText="1"/>
    </xf>
    <xf numFmtId="43" fontId="5" fillId="29" borderId="1" xfId="23" applyNumberFormat="1" applyFont="1" applyFill="1" applyBorder="1" applyAlignment="1">
      <alignment horizontal="center" vertical="center" wrapText="1"/>
    </xf>
    <xf numFmtId="179" fontId="5" fillId="29" borderId="24" xfId="23" applyNumberFormat="1" applyFont="1" applyFill="1" applyBorder="1" applyAlignment="1">
      <alignment horizontal="center" vertical="center" wrapText="1"/>
    </xf>
    <xf numFmtId="49" fontId="5" fillId="30" borderId="23" xfId="24" applyNumberFormat="1" applyFont="1" applyFill="1" applyBorder="1" applyAlignment="1">
      <alignment horizontal="center" vertical="center" wrapText="1"/>
    </xf>
    <xf numFmtId="49" fontId="5" fillId="30" borderId="1" xfId="24" applyNumberFormat="1" applyFont="1" applyFill="1" applyBorder="1" applyAlignment="1">
      <alignment horizontal="left" vertical="center" wrapText="1"/>
    </xf>
    <xf numFmtId="49" fontId="5" fillId="30" borderId="1" xfId="24" applyNumberFormat="1" applyFont="1" applyFill="1" applyBorder="1" applyAlignment="1">
      <alignment horizontal="center" vertical="center" wrapText="1"/>
    </xf>
    <xf numFmtId="43" fontId="5" fillId="30" borderId="1" xfId="24" applyNumberFormat="1" applyFont="1" applyFill="1" applyBorder="1" applyAlignment="1">
      <alignment horizontal="center" vertical="center" wrapText="1"/>
    </xf>
    <xf numFmtId="179" fontId="5" fillId="30" borderId="24" xfId="24" applyNumberFormat="1" applyFont="1" applyFill="1" applyBorder="1" applyAlignment="1">
      <alignment horizontal="center" vertical="center" wrapText="1"/>
    </xf>
    <xf numFmtId="49" fontId="5" fillId="3" borderId="23" xfId="23" applyNumberFormat="1" applyFont="1" applyFill="1" applyBorder="1" applyAlignment="1">
      <alignment horizontal="center" vertical="center" wrapText="1"/>
    </xf>
    <xf numFmtId="49" fontId="5" fillId="3" borderId="1" xfId="23" applyNumberFormat="1" applyFont="1" applyFill="1" applyBorder="1" applyAlignment="1">
      <alignment horizontal="left" vertical="center" wrapText="1"/>
    </xf>
    <xf numFmtId="179" fontId="5" fillId="3" borderId="1" xfId="23" applyNumberFormat="1" applyFont="1" applyFill="1" applyBorder="1" applyAlignment="1">
      <alignment horizontal="center" vertical="center" wrapText="1"/>
    </xf>
    <xf numFmtId="43" fontId="5" fillId="3" borderId="1" xfId="23" applyNumberFormat="1" applyFont="1" applyFill="1" applyBorder="1" applyAlignment="1">
      <alignment horizontal="center" vertical="center" wrapText="1"/>
    </xf>
    <xf numFmtId="176" fontId="5" fillId="3" borderId="1" xfId="23" applyNumberFormat="1" applyFont="1" applyFill="1" applyBorder="1" applyAlignment="1">
      <alignment horizontal="center" vertical="center" wrapText="1"/>
    </xf>
    <xf numFmtId="179" fontId="5" fillId="3" borderId="24" xfId="23" applyNumberFormat="1" applyFont="1" applyFill="1" applyBorder="1" applyAlignment="1">
      <alignment horizontal="center" vertical="center" wrapText="1"/>
    </xf>
    <xf numFmtId="49" fontId="5" fillId="0" borderId="23" xfId="24" applyNumberFormat="1" applyFont="1" applyBorder="1" applyAlignment="1">
      <alignment horizontal="center" vertical="center" wrapText="1"/>
    </xf>
    <xf numFmtId="199" fontId="5" fillId="0" borderId="1" xfId="24" applyNumberFormat="1" applyFont="1" applyBorder="1" applyAlignment="1">
      <alignment horizontal="left" vertical="center" wrapText="1"/>
    </xf>
    <xf numFmtId="43" fontId="5" fillId="0" borderId="1" xfId="24" applyNumberFormat="1" applyFont="1" applyBorder="1" applyAlignment="1">
      <alignment horizontal="center" vertical="center" wrapText="1"/>
    </xf>
    <xf numFmtId="199" fontId="5" fillId="0" borderId="1" xfId="24" applyNumberFormat="1" applyFont="1" applyBorder="1" applyAlignment="1">
      <alignment horizontal="center" vertical="center" wrapText="1"/>
    </xf>
    <xf numFmtId="43" fontId="5" fillId="0" borderId="1" xfId="23" applyNumberFormat="1" applyFont="1" applyBorder="1" applyAlignment="1">
      <alignment horizontal="center" vertical="center" wrapText="1"/>
    </xf>
    <xf numFmtId="179" fontId="5" fillId="0" borderId="24" xfId="23" applyNumberFormat="1" applyFont="1" applyBorder="1" applyAlignment="1">
      <alignment horizontal="center" vertical="center" wrapText="1"/>
    </xf>
    <xf numFmtId="49" fontId="5" fillId="30" borderId="25" xfId="24" applyNumberFormat="1" applyFont="1" applyFill="1" applyBorder="1" applyAlignment="1">
      <alignment horizontal="center" vertical="center" wrapText="1"/>
    </xf>
    <xf numFmtId="49" fontId="5" fillId="30" borderId="32" xfId="24" applyNumberFormat="1" applyFont="1" applyFill="1" applyBorder="1" applyAlignment="1">
      <alignment horizontal="left" vertical="center" wrapText="1"/>
    </xf>
    <xf numFmtId="49" fontId="5" fillId="30" borderId="32" xfId="24" applyNumberFormat="1" applyFont="1" applyFill="1" applyBorder="1" applyAlignment="1">
      <alignment horizontal="center" vertical="center" wrapText="1"/>
    </xf>
    <xf numFmtId="43" fontId="5" fillId="30" borderId="32" xfId="24" applyNumberFormat="1" applyFont="1" applyFill="1" applyBorder="1" applyAlignment="1">
      <alignment horizontal="center" vertical="center" wrapText="1"/>
    </xf>
    <xf numFmtId="179" fontId="5" fillId="30" borderId="49" xfId="24" applyNumberFormat="1" applyFont="1" applyFill="1" applyBorder="1" applyAlignment="1">
      <alignment horizontal="center" vertical="center" wrapText="1"/>
    </xf>
    <xf numFmtId="0" fontId="125" fillId="26" borderId="1" xfId="20" applyFont="1" applyFill="1" applyBorder="1" applyAlignment="1">
      <alignment horizontal="center" vertical="center"/>
    </xf>
    <xf numFmtId="0" fontId="125" fillId="22" borderId="1" xfId="20" applyFont="1" applyFill="1" applyBorder="1" applyAlignment="1">
      <alignment horizontal="center" vertical="center"/>
    </xf>
    <xf numFmtId="181" fontId="125" fillId="0" borderId="0" xfId="17" applyNumberFormat="1" applyFont="1" applyFill="1" applyAlignment="1">
      <alignment horizontal="center" vertical="center"/>
    </xf>
    <xf numFmtId="0" fontId="125" fillId="0" borderId="1" xfId="20" applyFont="1" applyBorder="1" applyAlignment="1">
      <alignment horizontal="center" vertical="center"/>
    </xf>
    <xf numFmtId="0" fontId="125" fillId="0" borderId="0" xfId="20" applyFont="1" applyAlignment="1">
      <alignment horizontal="center" vertical="center"/>
    </xf>
    <xf numFmtId="181" fontId="96" fillId="0" borderId="1" xfId="17" applyNumberFormat="1" applyFont="1" applyFill="1" applyBorder="1" applyAlignment="1">
      <alignment horizontal="center" vertical="center"/>
    </xf>
    <xf numFmtId="179" fontId="273" fillId="0" borderId="1" xfId="20" applyNumberFormat="1" applyFont="1" applyBorder="1" applyAlignment="1">
      <alignment horizontal="center" vertical="center"/>
    </xf>
    <xf numFmtId="10" fontId="273" fillId="0" borderId="1" xfId="17" applyNumberFormat="1" applyFont="1" applyFill="1" applyBorder="1" applyAlignment="1">
      <alignment horizontal="center" vertical="center"/>
    </xf>
    <xf numFmtId="181" fontId="125" fillId="0" borderId="1" xfId="17" applyNumberFormat="1" applyFont="1" applyFill="1" applyBorder="1" applyAlignment="1">
      <alignment horizontal="center" vertical="center"/>
    </xf>
    <xf numFmtId="197" fontId="96" fillId="0" borderId="0" xfId="20" applyNumberFormat="1" applyFont="1" applyAlignment="1">
      <alignment horizontal="left" vertical="center"/>
    </xf>
    <xf numFmtId="0" fontId="96" fillId="0" borderId="0" xfId="20" applyFont="1" applyAlignment="1">
      <alignment horizontal="left" vertical="center"/>
    </xf>
    <xf numFmtId="0" fontId="125" fillId="0" borderId="0" xfId="20" applyFont="1" applyAlignment="1">
      <alignment horizontal="left" vertical="center"/>
    </xf>
    <xf numFmtId="10" fontId="97" fillId="27" borderId="1" xfId="17" applyNumberFormat="1" applyFont="1" applyFill="1" applyBorder="1">
      <alignment vertical="center"/>
    </xf>
    <xf numFmtId="10" fontId="279" fillId="0" borderId="0" xfId="17" applyNumberFormat="1" applyFont="1" applyFill="1" applyBorder="1" applyAlignment="1">
      <alignment horizontal="center" vertical="center"/>
    </xf>
    <xf numFmtId="10" fontId="0" fillId="0" borderId="0" xfId="17" applyNumberFormat="1" applyFont="1" applyFill="1">
      <alignment vertical="center"/>
    </xf>
    <xf numFmtId="10" fontId="279" fillId="0" borderId="0" xfId="17" applyNumberFormat="1" applyFont="1">
      <alignment vertical="center"/>
    </xf>
    <xf numFmtId="10" fontId="279" fillId="0" borderId="0" xfId="17" applyNumberFormat="1" applyFont="1" applyAlignment="1">
      <alignment horizontal="center" vertical="center"/>
    </xf>
    <xf numFmtId="0" fontId="97" fillId="27" borderId="1" xfId="0" applyFont="1" applyFill="1" applyBorder="1" applyAlignment="1">
      <alignment horizontal="center" vertical="center"/>
    </xf>
    <xf numFmtId="0" fontId="96" fillId="0" borderId="3" xfId="20" applyFont="1" applyBorder="1" applyAlignment="1">
      <alignment horizontal="center" vertical="center"/>
    </xf>
    <xf numFmtId="0" fontId="97" fillId="31" borderId="0" xfId="0" applyFont="1" applyFill="1">
      <alignment vertical="center"/>
    </xf>
    <xf numFmtId="0" fontId="0" fillId="31" borderId="0" xfId="0" applyFill="1">
      <alignment vertical="center"/>
    </xf>
    <xf numFmtId="0" fontId="0" fillId="31" borderId="0" xfId="0" applyFill="1" applyAlignment="1">
      <alignment vertical="center" wrapText="1"/>
    </xf>
    <xf numFmtId="0" fontId="0" fillId="31" borderId="0" xfId="0" applyFill="1" applyAlignment="1">
      <alignment horizontal="center" vertical="center"/>
    </xf>
    <xf numFmtId="197" fontId="96" fillId="26" borderId="1" xfId="20" applyNumberFormat="1" applyFont="1" applyFill="1" applyBorder="1" applyAlignment="1">
      <alignment horizontal="center" vertical="center"/>
    </xf>
    <xf numFmtId="0" fontId="279" fillId="5" borderId="1" xfId="0" applyFont="1" applyFill="1" applyBorder="1" applyAlignment="1">
      <alignment horizontal="left" vertical="center"/>
    </xf>
    <xf numFmtId="0" fontId="275" fillId="5" borderId="1" xfId="0" applyFont="1" applyFill="1" applyBorder="1" applyAlignment="1">
      <alignment horizontal="left" vertical="center"/>
    </xf>
    <xf numFmtId="0" fontId="279" fillId="5" borderId="0" xfId="0" applyFont="1" applyFill="1" applyAlignment="1">
      <alignment horizontal="left" vertical="center"/>
    </xf>
    <xf numFmtId="0" fontId="275" fillId="5" borderId="0" xfId="0" applyFont="1" applyFill="1" applyAlignment="1">
      <alignment horizontal="left" vertical="center"/>
    </xf>
    <xf numFmtId="0" fontId="275" fillId="5" borderId="0" xfId="0" applyFont="1" applyFill="1" applyAlignment="1">
      <alignment horizontal="center" vertical="center"/>
    </xf>
    <xf numFmtId="0" fontId="279" fillId="5" borderId="0" xfId="0" applyFont="1" applyFill="1" applyAlignment="1">
      <alignment horizontal="center" vertical="center"/>
    </xf>
    <xf numFmtId="0" fontId="279" fillId="5" borderId="0" xfId="0" applyFont="1" applyFill="1">
      <alignment vertical="center"/>
    </xf>
    <xf numFmtId="0" fontId="275" fillId="5" borderId="0" xfId="0" applyFont="1" applyFill="1">
      <alignment vertical="center"/>
    </xf>
    <xf numFmtId="0" fontId="116" fillId="0" borderId="1" xfId="20" applyFont="1" applyBorder="1" applyAlignment="1">
      <alignment horizontal="center" vertical="center" wrapText="1"/>
    </xf>
    <xf numFmtId="177" fontId="116" fillId="0" borderId="1" xfId="20" applyNumberFormat="1" applyFont="1" applyBorder="1" applyAlignment="1">
      <alignment horizontal="center" vertical="center" wrapText="1"/>
    </xf>
    <xf numFmtId="0" fontId="97" fillId="27" borderId="1" xfId="0" applyFont="1" applyFill="1" applyBorder="1" applyAlignment="1">
      <alignment horizontal="center" vertical="center" wrapText="1"/>
    </xf>
    <xf numFmtId="0" fontId="275" fillId="0" borderId="1" xfId="0" applyFont="1" applyBorder="1" applyAlignment="1">
      <alignment horizontal="left" vertical="center" wrapText="1"/>
    </xf>
    <xf numFmtId="0" fontId="96" fillId="0" borderId="1" xfId="20" applyFont="1" applyBorder="1" applyAlignment="1">
      <alignment horizontal="center" vertical="center" wrapText="1"/>
    </xf>
    <xf numFmtId="179" fontId="96" fillId="31" borderId="1" xfId="20" applyNumberFormat="1" applyFont="1" applyFill="1" applyBorder="1" applyAlignment="1">
      <alignment vertical="center"/>
    </xf>
    <xf numFmtId="0" fontId="116" fillId="0" borderId="0" xfId="20" applyFont="1" applyAlignment="1">
      <alignment horizontal="center" vertical="center" wrapText="1"/>
    </xf>
    <xf numFmtId="188" fontId="96" fillId="0" borderId="0" xfId="20" applyNumberFormat="1" applyFont="1" applyAlignment="1">
      <alignment horizontal="center" vertical="center" wrapText="1"/>
    </xf>
    <xf numFmtId="0" fontId="96" fillId="0" borderId="0" xfId="20" applyFont="1" applyAlignment="1">
      <alignment horizontal="center" vertical="center" wrapText="1"/>
    </xf>
    <xf numFmtId="176" fontId="116" fillId="0" borderId="0" xfId="20" applyNumberFormat="1" applyFont="1" applyAlignment="1">
      <alignment horizontal="center" vertical="center" wrapText="1"/>
    </xf>
    <xf numFmtId="49" fontId="96" fillId="0" borderId="0" xfId="20" applyNumberFormat="1" applyFont="1" applyAlignment="1">
      <alignment horizontal="center" vertical="center" wrapText="1"/>
    </xf>
    <xf numFmtId="31" fontId="116" fillId="0" borderId="0" xfId="20" applyNumberFormat="1" applyFont="1" applyAlignment="1">
      <alignment horizontal="center" vertical="center"/>
    </xf>
    <xf numFmtId="31" fontId="96" fillId="0" borderId="0" xfId="20" applyNumberFormat="1" applyFont="1" applyAlignment="1">
      <alignment horizontal="center" vertical="center"/>
    </xf>
    <xf numFmtId="0" fontId="96" fillId="14" borderId="1" xfId="20" applyFont="1" applyFill="1" applyBorder="1" applyAlignment="1">
      <alignment horizontal="center" vertical="center"/>
    </xf>
    <xf numFmtId="186" fontId="273" fillId="0" borderId="1" xfId="20" applyNumberFormat="1" applyFont="1" applyBorder="1" applyAlignment="1">
      <alignment horizontal="center" vertical="center"/>
    </xf>
    <xf numFmtId="186" fontId="116" fillId="0" borderId="1" xfId="20" applyNumberFormat="1" applyFont="1" applyBorder="1" applyAlignment="1">
      <alignment horizontal="center" vertical="center" wrapText="1"/>
    </xf>
    <xf numFmtId="186" fontId="96" fillId="0" borderId="1" xfId="20" applyNumberFormat="1" applyFont="1" applyBorder="1" applyAlignment="1">
      <alignment horizontal="center" vertical="center"/>
    </xf>
    <xf numFmtId="186" fontId="116" fillId="0" borderId="0" xfId="20" applyNumberFormat="1" applyFont="1" applyAlignment="1">
      <alignment horizontal="center" vertical="center"/>
    </xf>
    <xf numFmtId="0" fontId="116" fillId="5" borderId="0" xfId="20" applyFont="1" applyFill="1" applyAlignment="1">
      <alignment horizontal="center" vertical="center"/>
    </xf>
    <xf numFmtId="0" fontId="125" fillId="5" borderId="1" xfId="20" applyFont="1" applyFill="1" applyBorder="1" applyAlignment="1">
      <alignment horizontal="left" vertical="center"/>
    </xf>
    <xf numFmtId="0" fontId="279" fillId="22" borderId="0" xfId="0" applyFont="1" applyFill="1" applyAlignment="1">
      <alignment horizontal="left" vertical="center"/>
    </xf>
    <xf numFmtId="0" fontId="287" fillId="0" borderId="0" xfId="0" applyFont="1" applyAlignment="1">
      <alignment horizontal="justify" vertical="center"/>
    </xf>
    <xf numFmtId="0" fontId="188" fillId="0" borderId="0" xfId="5" applyFont="1" applyAlignment="1">
      <alignment horizontal="left" vertical="top" wrapText="1"/>
    </xf>
    <xf numFmtId="0" fontId="47" fillId="0" borderId="13" xfId="7" applyFont="1" applyBorder="1" applyAlignment="1">
      <alignment horizontal="left" vertical="center" wrapText="1"/>
    </xf>
    <xf numFmtId="0" fontId="47" fillId="0" borderId="15" xfId="7" applyFont="1" applyBorder="1" applyAlignment="1">
      <alignment horizontal="left" vertical="center" wrapText="1"/>
    </xf>
    <xf numFmtId="0" fontId="47" fillId="0" borderId="77" xfId="7" applyFont="1" applyBorder="1" applyAlignment="1">
      <alignment horizontal="left" vertical="center" wrapText="1"/>
    </xf>
    <xf numFmtId="0" fontId="198" fillId="0" borderId="87" xfId="7" applyFont="1" applyBorder="1" applyAlignment="1">
      <alignment horizontal="center" vertical="center"/>
    </xf>
    <xf numFmtId="0" fontId="132" fillId="0" borderId="0" xfId="7" applyFont="1" applyAlignment="1">
      <alignment horizontal="left" vertical="center" wrapText="1"/>
    </xf>
    <xf numFmtId="0" fontId="198" fillId="0" borderId="0" xfId="7" applyFont="1" applyAlignment="1">
      <alignment horizontal="center" vertical="center"/>
    </xf>
    <xf numFmtId="0" fontId="47" fillId="0" borderId="2" xfId="7" applyFont="1" applyBorder="1" applyAlignment="1">
      <alignment horizontal="left" vertical="center" wrapText="1"/>
    </xf>
    <xf numFmtId="0" fontId="47" fillId="0" borderId="13" xfId="7" applyFont="1" applyBorder="1" applyAlignment="1">
      <alignment vertical="center" wrapText="1"/>
    </xf>
    <xf numFmtId="0" fontId="47" fillId="0" borderId="15" xfId="7" applyFont="1" applyBorder="1" applyAlignment="1">
      <alignment vertical="center" wrapText="1"/>
    </xf>
    <xf numFmtId="0" fontId="47" fillId="0" borderId="2" xfId="7" applyFont="1" applyBorder="1" applyAlignment="1">
      <alignment vertical="center" wrapText="1"/>
    </xf>
    <xf numFmtId="0" fontId="207" fillId="0" borderId="0" xfId="0" applyFont="1" applyAlignment="1">
      <alignment horizontal="center" vertical="center"/>
    </xf>
    <xf numFmtId="0" fontId="63" fillId="0" borderId="44" xfId="0" applyFont="1" applyBorder="1" applyAlignment="1">
      <alignment horizontal="center" vertical="center" wrapText="1"/>
    </xf>
    <xf numFmtId="0" fontId="63" fillId="0" borderId="1" xfId="0" applyFont="1" applyBorder="1" applyAlignment="1">
      <alignment horizontal="center" vertical="center" wrapText="1"/>
    </xf>
    <xf numFmtId="0" fontId="47" fillId="0" borderId="1" xfId="0" applyFont="1" applyBorder="1" applyAlignment="1">
      <alignment horizontal="center" vertical="center" wrapText="1"/>
    </xf>
    <xf numFmtId="0" fontId="63" fillId="0" borderId="5" xfId="0" applyFont="1" applyBorder="1" applyAlignment="1">
      <alignment horizontal="center" vertical="center" wrapText="1"/>
    </xf>
    <xf numFmtId="0" fontId="63" fillId="0" borderId="54" xfId="0" applyFont="1" applyBorder="1" applyAlignment="1">
      <alignment horizontal="center" vertical="center" wrapText="1"/>
    </xf>
    <xf numFmtId="0" fontId="63" fillId="0" borderId="3" xfId="0" applyFont="1" applyBorder="1" applyAlignment="1">
      <alignment horizontal="center" vertical="center" wrapText="1"/>
    </xf>
    <xf numFmtId="0" fontId="63" fillId="0" borderId="78" xfId="0" applyFont="1" applyBorder="1" applyAlignment="1">
      <alignment horizontal="center" vertical="center" wrapText="1"/>
    </xf>
    <xf numFmtId="0" fontId="49" fillId="0" borderId="0" xfId="0" applyFont="1" applyAlignment="1">
      <alignment horizontal="left" vertical="center"/>
    </xf>
    <xf numFmtId="0" fontId="198" fillId="0" borderId="0" xfId="0" applyFont="1" applyAlignment="1">
      <alignment horizontal="left" vertical="center"/>
    </xf>
    <xf numFmtId="0" fontId="198" fillId="0" borderId="0" xfId="0" applyFont="1" applyAlignment="1">
      <alignment horizontal="justify" vertical="center" wrapText="1"/>
    </xf>
    <xf numFmtId="0" fontId="63" fillId="0" borderId="0" xfId="0" applyFont="1" applyAlignment="1">
      <alignment horizontal="left" vertical="center" wrapText="1"/>
    </xf>
    <xf numFmtId="0" fontId="127" fillId="0" borderId="0" xfId="0" applyFont="1" applyAlignment="1">
      <alignment horizontal="left" vertical="center" wrapText="1"/>
    </xf>
    <xf numFmtId="0" fontId="126" fillId="0" borderId="0" xfId="0" applyFont="1" applyAlignment="1">
      <alignment horizontal="left" vertical="center" wrapText="1"/>
    </xf>
    <xf numFmtId="192" fontId="202" fillId="0" borderId="0" xfId="0" applyNumberFormat="1" applyFont="1" applyAlignment="1" applyProtection="1">
      <alignment horizontal="right" vertical="center"/>
      <protection locked="0"/>
    </xf>
    <xf numFmtId="0" fontId="215" fillId="0" borderId="0" xfId="0" applyFont="1" applyAlignment="1" applyProtection="1">
      <alignment horizontal="left" vertical="center" wrapText="1"/>
      <protection locked="0"/>
    </xf>
    <xf numFmtId="0" fontId="100" fillId="0" borderId="0" xfId="0" applyFont="1" applyAlignment="1">
      <alignment vertical="center" wrapText="1"/>
    </xf>
    <xf numFmtId="0" fontId="168" fillId="0" borderId="0" xfId="0" applyFont="1" applyAlignment="1" applyProtection="1">
      <alignment vertical="center" wrapText="1"/>
      <protection locked="0"/>
    </xf>
    <xf numFmtId="0" fontId="219" fillId="0" borderId="5" xfId="0" applyFont="1" applyBorder="1" applyAlignment="1">
      <alignment horizontal="left" vertical="center"/>
    </xf>
    <xf numFmtId="0" fontId="97" fillId="0" borderId="3" xfId="0" applyFont="1" applyBorder="1" applyAlignment="1">
      <alignment horizontal="left" vertical="center"/>
    </xf>
    <xf numFmtId="0" fontId="97" fillId="0" borderId="5" xfId="0" applyFont="1" applyBorder="1" applyAlignment="1">
      <alignment horizontal="left" vertical="center"/>
    </xf>
    <xf numFmtId="0" fontId="97" fillId="0" borderId="1" xfId="0" applyFont="1" applyBorder="1" applyAlignment="1">
      <alignment horizontal="left" vertical="center"/>
    </xf>
    <xf numFmtId="0" fontId="97" fillId="9" borderId="1" xfId="0" applyFont="1" applyFill="1" applyBorder="1" applyAlignment="1">
      <alignment horizontal="left" vertical="center"/>
    </xf>
    <xf numFmtId="0" fontId="97" fillId="5" borderId="13" xfId="0" applyFont="1" applyFill="1" applyBorder="1" applyAlignment="1">
      <alignment horizontal="left" vertical="center"/>
    </xf>
    <xf numFmtId="0" fontId="97" fillId="5" borderId="15" xfId="0" applyFont="1" applyFill="1" applyBorder="1" applyAlignment="1">
      <alignment horizontal="left" vertical="center"/>
    </xf>
    <xf numFmtId="0" fontId="97" fillId="5" borderId="2" xfId="0" applyFont="1" applyFill="1" applyBorder="1" applyAlignment="1">
      <alignment horizontal="left" vertical="center"/>
    </xf>
    <xf numFmtId="0" fontId="119" fillId="5" borderId="1" xfId="5" applyFont="1" applyFill="1" applyBorder="1" applyAlignment="1">
      <alignment horizontal="left" vertical="center"/>
    </xf>
    <xf numFmtId="0" fontId="120" fillId="0" borderId="1" xfId="5" applyFont="1" applyBorder="1" applyAlignment="1">
      <alignment horizontal="left" vertical="center"/>
    </xf>
    <xf numFmtId="0" fontId="120" fillId="0" borderId="156" xfId="5" applyFont="1" applyBorder="1" applyAlignment="1">
      <alignment horizontal="left" vertical="center"/>
    </xf>
    <xf numFmtId="0" fontId="97" fillId="6" borderId="0" xfId="0" applyFont="1" applyFill="1" applyAlignment="1">
      <alignment horizontal="center" vertical="center" wrapText="1"/>
    </xf>
    <xf numFmtId="0" fontId="248" fillId="6" borderId="60" xfId="0" applyFont="1" applyFill="1" applyBorder="1" applyAlignment="1">
      <alignment horizontal="left" vertical="center"/>
    </xf>
    <xf numFmtId="0" fontId="49" fillId="6" borderId="34" xfId="0" applyFont="1" applyFill="1" applyBorder="1" applyAlignment="1">
      <alignment horizontal="left" vertical="center" wrapText="1"/>
    </xf>
    <xf numFmtId="0" fontId="49" fillId="6" borderId="64" xfId="0" applyFont="1" applyFill="1" applyBorder="1" applyAlignment="1">
      <alignment horizontal="left" vertical="center" wrapText="1"/>
    </xf>
    <xf numFmtId="0" fontId="49" fillId="6" borderId="65" xfId="0" applyFont="1" applyFill="1" applyBorder="1" applyAlignment="1">
      <alignment horizontal="left" vertical="center" wrapText="1"/>
    </xf>
    <xf numFmtId="0" fontId="49" fillId="16" borderId="13" xfId="0" applyFont="1" applyFill="1" applyBorder="1" applyAlignment="1">
      <alignment horizontal="center" vertical="center" wrapText="1"/>
    </xf>
    <xf numFmtId="0" fontId="49" fillId="16" borderId="103" xfId="0" applyFont="1" applyFill="1" applyBorder="1" applyAlignment="1">
      <alignment horizontal="center" vertical="center" wrapText="1"/>
    </xf>
    <xf numFmtId="0" fontId="49" fillId="6" borderId="58" xfId="0" applyFont="1" applyFill="1" applyBorder="1" applyAlignment="1">
      <alignment horizontal="center" vertical="center" wrapText="1"/>
    </xf>
    <xf numFmtId="0" fontId="49" fillId="6" borderId="6" xfId="0" applyFont="1" applyFill="1" applyBorder="1">
      <alignment vertical="center"/>
    </xf>
    <xf numFmtId="0" fontId="49" fillId="6" borderId="10" xfId="0" applyFont="1" applyFill="1" applyBorder="1">
      <alignment vertical="center"/>
    </xf>
    <xf numFmtId="0" fontId="49" fillId="6" borderId="51" xfId="0" applyFont="1" applyFill="1" applyBorder="1">
      <alignment vertical="center"/>
    </xf>
    <xf numFmtId="0" fontId="49" fillId="6" borderId="20" xfId="0" applyFont="1" applyFill="1" applyBorder="1">
      <alignment vertical="center"/>
    </xf>
    <xf numFmtId="49" fontId="170" fillId="0" borderId="4" xfId="0" applyNumberFormat="1" applyFont="1" applyBorder="1" applyAlignment="1" applyProtection="1">
      <alignment horizontal="left" vertical="center"/>
      <protection locked="0"/>
    </xf>
    <xf numFmtId="49" fontId="170" fillId="0" borderId="54" xfId="0" applyNumberFormat="1" applyFont="1" applyBorder="1" applyAlignment="1" applyProtection="1">
      <alignment horizontal="left" vertical="center"/>
      <protection locked="0"/>
    </xf>
    <xf numFmtId="49" fontId="170" fillId="0" borderId="3" xfId="0" applyNumberFormat="1" applyFont="1" applyBorder="1" applyAlignment="1" applyProtection="1">
      <alignment horizontal="left" vertical="center"/>
      <protection locked="0"/>
    </xf>
    <xf numFmtId="0" fontId="170" fillId="0" borderId="5" xfId="0" applyFont="1" applyBorder="1" applyAlignment="1" applyProtection="1">
      <alignment horizontal="left" vertical="center"/>
      <protection locked="0"/>
    </xf>
    <xf numFmtId="0" fontId="170" fillId="0" borderId="54" xfId="0" applyFont="1" applyBorder="1" applyAlignment="1" applyProtection="1">
      <alignment horizontal="left" vertical="center"/>
      <protection locked="0"/>
    </xf>
    <xf numFmtId="0" fontId="170" fillId="0" borderId="3" xfId="0" applyFont="1" applyBorder="1" applyAlignment="1" applyProtection="1">
      <alignment horizontal="left" vertical="center"/>
      <protection locked="0"/>
    </xf>
    <xf numFmtId="49" fontId="170" fillId="7" borderId="5" xfId="0" applyNumberFormat="1" applyFont="1" applyFill="1" applyBorder="1" applyAlignment="1" applyProtection="1">
      <alignment horizontal="left" vertical="center"/>
      <protection locked="0"/>
    </xf>
    <xf numFmtId="49" fontId="170" fillId="7" borderId="54" xfId="0" applyNumberFormat="1" applyFont="1" applyFill="1" applyBorder="1" applyAlignment="1" applyProtection="1">
      <alignment horizontal="left" vertical="center"/>
      <protection locked="0"/>
    </xf>
    <xf numFmtId="49" fontId="170" fillId="7" borderId="3" xfId="0" applyNumberFormat="1" applyFont="1" applyFill="1" applyBorder="1" applyAlignment="1" applyProtection="1">
      <alignment horizontal="left" vertical="center"/>
      <protection locked="0"/>
    </xf>
    <xf numFmtId="49" fontId="170" fillId="7" borderId="85" xfId="0" applyNumberFormat="1" applyFont="1" applyFill="1" applyBorder="1" applyAlignment="1" applyProtection="1">
      <alignment horizontal="left" vertical="center"/>
      <protection locked="0"/>
    </xf>
    <xf numFmtId="49" fontId="170" fillId="7" borderId="88" xfId="0" applyNumberFormat="1" applyFont="1" applyFill="1" applyBorder="1" applyAlignment="1" applyProtection="1">
      <alignment horizontal="left" vertical="center"/>
      <protection locked="0"/>
    </xf>
    <xf numFmtId="49" fontId="170" fillId="7" borderId="118" xfId="0" applyNumberFormat="1" applyFont="1" applyFill="1" applyBorder="1" applyAlignment="1" applyProtection="1">
      <alignment horizontal="left" vertical="center"/>
      <protection locked="0"/>
    </xf>
    <xf numFmtId="0" fontId="49" fillId="6" borderId="1" xfId="0" applyFont="1" applyFill="1" applyBorder="1" applyAlignment="1">
      <alignment horizontal="center" vertical="center" wrapText="1"/>
    </xf>
    <xf numFmtId="0" fontId="49" fillId="6" borderId="15" xfId="0" applyFont="1" applyFill="1" applyBorder="1" applyAlignment="1">
      <alignment horizontal="left" vertical="center"/>
    </xf>
    <xf numFmtId="0" fontId="49" fillId="6" borderId="2" xfId="0" applyFont="1" applyFill="1" applyBorder="1" applyAlignment="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lignment horizontal="left" vertical="center"/>
    </xf>
    <xf numFmtId="0" fontId="49" fillId="6" borderId="35" xfId="0" applyFont="1" applyFill="1" applyBorder="1" applyAlignment="1">
      <alignment horizontal="left" vertical="center"/>
    </xf>
    <xf numFmtId="0" fontId="46" fillId="6" borderId="6" xfId="0" applyFont="1" applyFill="1" applyBorder="1" applyAlignment="1">
      <alignment horizontal="center" vertical="center"/>
    </xf>
    <xf numFmtId="0" fontId="46" fillId="6" borderId="9" xfId="0" applyFont="1" applyFill="1" applyBorder="1" applyAlignment="1">
      <alignment horizontal="center" vertical="center"/>
    </xf>
    <xf numFmtId="0" fontId="46" fillId="6" borderId="10" xfId="0" applyFont="1" applyFill="1" applyBorder="1" applyAlignment="1">
      <alignment horizontal="center" vertical="center"/>
    </xf>
    <xf numFmtId="0" fontId="48" fillId="6" borderId="40" xfId="0" applyFont="1" applyFill="1" applyBorder="1" applyAlignment="1">
      <alignment horizontal="center" vertical="center"/>
    </xf>
    <xf numFmtId="0" fontId="48" fillId="6" borderId="17" xfId="0" applyFont="1" applyFill="1" applyBorder="1" applyAlignment="1">
      <alignment horizontal="center" vertical="center"/>
    </xf>
    <xf numFmtId="0" fontId="48" fillId="6" borderId="62"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8" fillId="6" borderId="1" xfId="0" applyFont="1" applyFill="1" applyBorder="1" applyAlignment="1">
      <alignment horizontal="center" vertical="center"/>
    </xf>
    <xf numFmtId="0" fontId="48" fillId="6" borderId="13" xfId="0" applyFont="1" applyFill="1" applyBorder="1" applyAlignment="1">
      <alignment horizontal="center" vertical="center"/>
    </xf>
    <xf numFmtId="0" fontId="48" fillId="6" borderId="51" xfId="0" applyFont="1" applyFill="1" applyBorder="1" applyAlignment="1">
      <alignment horizontal="center" vertical="center"/>
    </xf>
    <xf numFmtId="0" fontId="48" fillId="6" borderId="20" xfId="0" applyFont="1" applyFill="1" applyBorder="1" applyAlignment="1">
      <alignment horizontal="center" vertical="center"/>
    </xf>
    <xf numFmtId="0" fontId="48"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71" fillId="6" borderId="105" xfId="0" applyFont="1" applyFill="1" applyBorder="1">
      <alignment vertical="center"/>
    </xf>
    <xf numFmtId="0" fontId="71" fillId="6" borderId="101" xfId="0" applyFont="1" applyFill="1" applyBorder="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4" fillId="6" borderId="1" xfId="0" applyFont="1" applyFill="1" applyBorder="1" applyAlignment="1">
      <alignment horizontal="center" vertical="center" wrapText="1"/>
    </xf>
    <xf numFmtId="0" fontId="104" fillId="6" borderId="1" xfId="0" applyFont="1" applyFill="1" applyBorder="1" applyAlignment="1">
      <alignment horizontal="left" vertical="center" wrapText="1"/>
    </xf>
    <xf numFmtId="0" fontId="128" fillId="6" borderId="1" xfId="0" applyFont="1" applyFill="1" applyBorder="1" applyAlignment="1" applyProtection="1">
      <alignment horizontal="center" vertical="center" wrapText="1"/>
      <protection locked="0"/>
    </xf>
    <xf numFmtId="191" fontId="128" fillId="6" borderId="1" xfId="0" applyNumberFormat="1" applyFont="1" applyFill="1" applyBorder="1" applyAlignment="1">
      <alignment horizontal="center" vertical="center" wrapText="1"/>
    </xf>
    <xf numFmtId="0" fontId="128" fillId="6" borderId="1" xfId="0" applyFont="1" applyFill="1" applyBorder="1" applyAlignment="1">
      <alignment horizontal="center" vertical="center" wrapText="1"/>
    </xf>
    <xf numFmtId="0" fontId="48" fillId="6" borderId="3" xfId="0" applyFont="1" applyFill="1" applyBorder="1" applyAlignment="1">
      <alignment horizontal="left" vertical="center"/>
    </xf>
    <xf numFmtId="0" fontId="48" fillId="6" borderId="1" xfId="0" applyFont="1" applyFill="1" applyBorder="1" applyAlignment="1">
      <alignment horizontal="left" vertical="center"/>
    </xf>
    <xf numFmtId="0" fontId="49" fillId="6" borderId="5" xfId="0" applyFont="1" applyFill="1" applyBorder="1" applyAlignment="1">
      <alignment horizontal="left" vertical="center"/>
    </xf>
    <xf numFmtId="0" fontId="49" fillId="6" borderId="54" xfId="0" applyFont="1" applyFill="1" applyBorder="1" applyAlignment="1">
      <alignment horizontal="left" vertical="center"/>
    </xf>
    <xf numFmtId="0" fontId="166" fillId="6" borderId="1" xfId="0" applyFont="1" applyFill="1" applyBorder="1" applyAlignment="1">
      <alignment horizontal="left" vertical="center" wrapText="1"/>
    </xf>
    <xf numFmtId="0" fontId="49" fillId="6" borderId="3" xfId="0" applyFont="1" applyFill="1" applyBorder="1" applyAlignment="1">
      <alignment horizontal="left" vertical="center"/>
    </xf>
    <xf numFmtId="10" fontId="79" fillId="6" borderId="1" xfId="0" applyNumberFormat="1" applyFont="1" applyFill="1" applyBorder="1" applyAlignment="1">
      <alignment horizontal="left" vertical="center" wrapText="1"/>
    </xf>
    <xf numFmtId="10" fontId="49" fillId="6" borderId="1" xfId="0" applyNumberFormat="1" applyFont="1" applyFill="1" applyBorder="1" applyAlignment="1">
      <alignment horizontal="left" vertical="center" wrapText="1"/>
    </xf>
    <xf numFmtId="0" fontId="46" fillId="6" borderId="1"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54" xfId="0" applyFont="1" applyFill="1" applyBorder="1" applyAlignment="1">
      <alignment horizontal="left" vertical="center" wrapText="1"/>
    </xf>
    <xf numFmtId="0" fontId="48" fillId="6" borderId="3" xfId="0" applyFont="1" applyFill="1" applyBorder="1" applyAlignment="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6" fillId="6" borderId="5"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9" fillId="6" borderId="36" xfId="0" applyFont="1" applyFill="1" applyBorder="1" applyAlignment="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lignment horizontal="left" vertical="center" wrapText="1"/>
    </xf>
    <xf numFmtId="0" fontId="101" fillId="6" borderId="1" xfId="0" applyFont="1" applyFill="1" applyBorder="1" applyAlignment="1">
      <alignment horizontal="left" vertical="center" wrapText="1"/>
    </xf>
    <xf numFmtId="0" fontId="48" fillId="6" borderId="21" xfId="0" applyFont="1" applyFill="1" applyBorder="1" applyAlignment="1">
      <alignment horizontal="center" vertical="center"/>
    </xf>
    <xf numFmtId="0" fontId="101" fillId="6" borderId="13" xfId="0" applyFont="1" applyFill="1" applyBorder="1" applyAlignment="1">
      <alignment horizontal="left" vertical="center" wrapText="1"/>
    </xf>
    <xf numFmtId="0" fontId="101" fillId="6" borderId="2" xfId="0" applyFont="1" applyFill="1" applyBorder="1" applyAlignment="1">
      <alignment horizontal="left" vertical="center" wrapText="1"/>
    </xf>
    <xf numFmtId="0" fontId="49" fillId="6" borderId="25" xfId="0" applyFont="1" applyFill="1" applyBorder="1" applyAlignment="1">
      <alignment horizontal="left" vertical="center" wrapText="1"/>
    </xf>
    <xf numFmtId="0" fontId="49" fillId="6" borderId="32" xfId="0" applyFont="1" applyFill="1" applyBorder="1" applyAlignment="1">
      <alignment horizontal="left" vertical="center" wrapText="1"/>
    </xf>
    <xf numFmtId="0" fontId="49" fillId="6" borderId="61" xfId="0" applyFont="1" applyFill="1" applyBorder="1" applyAlignment="1">
      <alignment horizontal="left" vertical="center"/>
    </xf>
    <xf numFmtId="0" fontId="49" fillId="6" borderId="53" xfId="0" applyFont="1" applyFill="1" applyBorder="1" applyAlignment="1">
      <alignment horizontal="left" vertical="center"/>
    </xf>
    <xf numFmtId="0" fontId="49" fillId="6" borderId="8" xfId="0" applyFont="1" applyFill="1" applyBorder="1" applyAlignment="1">
      <alignment horizontal="left" vertical="center"/>
    </xf>
    <xf numFmtId="0" fontId="106" fillId="6" borderId="106" xfId="0" applyFont="1" applyFill="1" applyBorder="1">
      <alignment vertical="center"/>
    </xf>
    <xf numFmtId="0" fontId="106" fillId="6" borderId="107" xfId="0" applyFont="1" applyFill="1" applyBorder="1">
      <alignment vertical="center"/>
    </xf>
    <xf numFmtId="0" fontId="127" fillId="6" borderId="23" xfId="0" applyFont="1" applyFill="1" applyBorder="1" applyAlignment="1">
      <alignment horizontal="left" vertical="center"/>
    </xf>
    <xf numFmtId="0" fontId="48" fillId="6" borderId="23" xfId="0" applyFont="1" applyFill="1" applyBorder="1" applyAlignment="1">
      <alignment horizontal="left" vertical="center"/>
    </xf>
    <xf numFmtId="0" fontId="48" fillId="6" borderId="23" xfId="0" applyFont="1" applyFill="1" applyBorder="1" applyAlignment="1">
      <alignment horizontal="left" vertical="center" wrapText="1"/>
    </xf>
    <xf numFmtId="0" fontId="48" fillId="6" borderId="25" xfId="0" applyFont="1" applyFill="1" applyBorder="1" applyAlignment="1">
      <alignment horizontal="left" vertical="center" wrapText="1"/>
    </xf>
    <xf numFmtId="0" fontId="48" fillId="6" borderId="32" xfId="0" applyFont="1" applyFill="1" applyBorder="1" applyAlignment="1">
      <alignment horizontal="left" vertical="center" wrapText="1"/>
    </xf>
    <xf numFmtId="10" fontId="49" fillId="6" borderId="5" xfId="0" applyNumberFormat="1" applyFont="1" applyFill="1" applyBorder="1" applyAlignment="1">
      <alignment horizontal="left" vertical="center" wrapText="1"/>
    </xf>
    <xf numFmtId="10" fontId="49" fillId="6" borderId="54" xfId="0" applyNumberFormat="1" applyFont="1" applyFill="1" applyBorder="1" applyAlignment="1">
      <alignment horizontal="left" vertical="center" wrapText="1"/>
    </xf>
    <xf numFmtId="10" fontId="49" fillId="6" borderId="48" xfId="0" applyNumberFormat="1" applyFont="1" applyFill="1" applyBorder="1" applyAlignment="1">
      <alignment horizontal="left" vertical="center" wrapText="1"/>
    </xf>
    <xf numFmtId="0" fontId="56" fillId="6" borderId="6" xfId="0" applyFont="1" applyFill="1" applyBorder="1" applyAlignment="1">
      <alignment horizontal="left" vertical="center" wrapText="1"/>
    </xf>
    <xf numFmtId="0" fontId="56" fillId="6" borderId="9" xfId="0" applyFont="1" applyFill="1" applyBorder="1" applyAlignment="1">
      <alignment horizontal="left" vertical="center" wrapText="1"/>
    </xf>
    <xf numFmtId="0" fontId="127" fillId="6" borderId="25" xfId="0" applyFont="1" applyFill="1" applyBorder="1" applyAlignment="1">
      <alignment horizontal="left" vertical="center"/>
    </xf>
    <xf numFmtId="0" fontId="49" fillId="6" borderId="19" xfId="0" applyFont="1" applyFill="1" applyBorder="1" applyAlignment="1">
      <alignment horizontal="left" vertical="center" wrapText="1"/>
    </xf>
    <xf numFmtId="0" fontId="49" fillId="6" borderId="54" xfId="0" applyFont="1" applyFill="1" applyBorder="1" applyAlignment="1">
      <alignment horizontal="left" vertical="center" wrapText="1"/>
    </xf>
    <xf numFmtId="0" fontId="49" fillId="6" borderId="5" xfId="0" applyFont="1" applyFill="1" applyBorder="1" applyAlignment="1">
      <alignment horizontal="left" vertical="center" wrapText="1"/>
    </xf>
    <xf numFmtId="0" fontId="49" fillId="6" borderId="3" xfId="0" applyFont="1" applyFill="1" applyBorder="1" applyAlignment="1">
      <alignment horizontal="left" vertical="center" wrapText="1"/>
    </xf>
    <xf numFmtId="0" fontId="49" fillId="6" borderId="48" xfId="0" applyFont="1" applyFill="1" applyBorder="1" applyAlignment="1">
      <alignment horizontal="left" vertical="center" wrapText="1"/>
    </xf>
    <xf numFmtId="0" fontId="56" fillId="6" borderId="18" xfId="0" applyFont="1" applyFill="1" applyBorder="1" applyAlignment="1">
      <alignment horizontal="center" vertical="center" wrapText="1"/>
    </xf>
    <xf numFmtId="0" fontId="56" fillId="6" borderId="0" xfId="0" applyFont="1" applyFill="1" applyAlignment="1">
      <alignment horizontal="center" vertical="center" wrapText="1"/>
    </xf>
    <xf numFmtId="0" fontId="46" fillId="5" borderId="1" xfId="0" applyFont="1" applyFill="1" applyBorder="1" applyAlignment="1" applyProtection="1">
      <alignment horizontal="left"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lignment horizontal="center" vertical="center" wrapText="1"/>
    </xf>
    <xf numFmtId="0" fontId="48" fillId="6" borderId="14" xfId="0" applyFont="1" applyFill="1" applyBorder="1" applyAlignment="1">
      <alignment horizontal="center" vertical="center" wrapText="1"/>
    </xf>
    <xf numFmtId="0" fontId="48" fillId="6" borderId="12" xfId="0" applyFont="1" applyFill="1" applyBorder="1" applyAlignment="1">
      <alignment horizontal="center" vertical="center" wrapText="1"/>
    </xf>
    <xf numFmtId="0" fontId="49" fillId="6" borderId="11" xfId="0" applyFont="1" applyFill="1" applyBorder="1" applyAlignment="1">
      <alignment horizontal="left" vertical="center" wrapText="1"/>
    </xf>
    <xf numFmtId="0" fontId="49" fillId="6" borderId="1" xfId="0" applyFont="1" applyFill="1" applyBorder="1" applyAlignment="1">
      <alignment horizontal="left" vertical="center" wrapText="1"/>
    </xf>
    <xf numFmtId="0" fontId="102" fillId="6" borderId="63" xfId="0" applyFont="1" applyFill="1" applyBorder="1" applyAlignment="1">
      <alignment horizontal="center" vertical="center"/>
    </xf>
    <xf numFmtId="0" fontId="102" fillId="6" borderId="64" xfId="0" applyFont="1" applyFill="1" applyBorder="1" applyAlignment="1">
      <alignment horizontal="center" vertical="center"/>
    </xf>
    <xf numFmtId="0" fontId="102" fillId="6" borderId="65" xfId="0" applyFont="1" applyFill="1" applyBorder="1" applyAlignment="1">
      <alignment horizontal="center" vertical="center"/>
    </xf>
    <xf numFmtId="0" fontId="46" fillId="6" borderId="1" xfId="0" applyFont="1" applyFill="1" applyBorder="1" applyAlignment="1">
      <alignment horizontal="center" vertical="center" wrapText="1"/>
    </xf>
    <xf numFmtId="0" fontId="49" fillId="6" borderId="69" xfId="0" applyFont="1" applyFill="1" applyBorder="1" applyAlignment="1">
      <alignment horizontal="center" vertical="center"/>
    </xf>
    <xf numFmtId="0" fontId="49" fillId="6" borderId="60" xfId="0" applyFont="1" applyFill="1" applyBorder="1" applyAlignment="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lignment horizontal="center" vertical="center" wrapText="1"/>
    </xf>
    <xf numFmtId="0" fontId="49" fillId="6" borderId="54" xfId="0" applyFont="1" applyFill="1" applyBorder="1" applyAlignment="1">
      <alignment horizontal="center" vertical="center" wrapText="1"/>
    </xf>
    <xf numFmtId="0" fontId="49" fillId="6" borderId="3" xfId="0" applyFont="1" applyFill="1" applyBorder="1" applyAlignment="1">
      <alignment horizontal="center" vertical="center" wrapText="1"/>
    </xf>
    <xf numFmtId="0" fontId="54" fillId="6" borderId="51" xfId="0"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21" xfId="0" applyFont="1" applyFill="1" applyBorder="1" applyAlignment="1">
      <alignment horizontal="center" vertical="center" wrapText="1"/>
    </xf>
    <xf numFmtId="0" fontId="54" fillId="6" borderId="46" xfId="0" applyFont="1" applyFill="1" applyBorder="1" applyAlignment="1">
      <alignment horizontal="left" vertical="center" wrapText="1"/>
    </xf>
    <xf numFmtId="0" fontId="54" fillId="6" borderId="36" xfId="0" applyFont="1" applyFill="1" applyBorder="1" applyAlignment="1">
      <alignment horizontal="left" vertical="center" wrapText="1"/>
    </xf>
    <xf numFmtId="0" fontId="54" fillId="6" borderId="22" xfId="0" applyFont="1" applyFill="1" applyBorder="1" applyAlignment="1">
      <alignment horizontal="left" vertical="center" wrapText="1"/>
    </xf>
    <xf numFmtId="0" fontId="48" fillId="6" borderId="40" xfId="0" applyFont="1" applyFill="1" applyBorder="1" applyAlignment="1">
      <alignment horizontal="left" vertical="center" wrapText="1"/>
    </xf>
    <xf numFmtId="0" fontId="48" fillId="6" borderId="41" xfId="0" applyFont="1" applyFill="1" applyBorder="1" applyAlignment="1">
      <alignment horizontal="left" vertical="center" wrapText="1"/>
    </xf>
    <xf numFmtId="0" fontId="54" fillId="6" borderId="47" xfId="0" applyFont="1" applyFill="1" applyBorder="1" applyAlignment="1">
      <alignment horizontal="center" vertical="center"/>
    </xf>
    <xf numFmtId="0" fontId="49" fillId="6" borderId="23" xfId="0" applyFont="1" applyFill="1" applyBorder="1" applyAlignment="1">
      <alignment horizontal="left" vertical="center" wrapText="1"/>
    </xf>
    <xf numFmtId="10" fontId="115" fillId="6" borderId="5" xfId="0" applyNumberFormat="1" applyFont="1" applyFill="1" applyBorder="1" applyAlignment="1">
      <alignment horizontal="left" vertical="center" wrapText="1"/>
    </xf>
    <xf numFmtId="10" fontId="115" fillId="6" borderId="54" xfId="0" applyNumberFormat="1" applyFont="1" applyFill="1" applyBorder="1" applyAlignment="1">
      <alignment horizontal="left" vertical="center" wrapText="1"/>
    </xf>
    <xf numFmtId="10" fontId="115" fillId="6" borderId="48" xfId="0" applyNumberFormat="1" applyFont="1" applyFill="1" applyBorder="1" applyAlignment="1">
      <alignment horizontal="left" vertical="center" wrapText="1"/>
    </xf>
    <xf numFmtId="0" fontId="131" fillId="6" borderId="58" xfId="0" applyFont="1" applyFill="1" applyBorder="1" applyAlignment="1">
      <alignment horizontal="left" vertical="center" wrapText="1"/>
    </xf>
    <xf numFmtId="0" fontId="131" fillId="6" borderId="0" xfId="0" applyFont="1" applyFill="1" applyAlignment="1">
      <alignment horizontal="left" vertical="center" wrapText="1"/>
    </xf>
    <xf numFmtId="0" fontId="55" fillId="6" borderId="61" xfId="0" applyFont="1" applyFill="1" applyBorder="1" applyAlignment="1">
      <alignment horizontal="left" vertical="center"/>
    </xf>
    <xf numFmtId="0" fontId="55" fillId="6" borderId="53" xfId="0" applyFont="1" applyFill="1" applyBorder="1" applyAlignment="1">
      <alignment horizontal="left" vertical="center"/>
    </xf>
    <xf numFmtId="0" fontId="55" fillId="6" borderId="8" xfId="0" applyFont="1" applyFill="1" applyBorder="1" applyAlignment="1">
      <alignment horizontal="left" vertical="center"/>
    </xf>
    <xf numFmtId="0" fontId="115" fillId="6" borderId="34" xfId="0" applyFont="1" applyFill="1" applyBorder="1" applyAlignment="1">
      <alignment horizontal="left" vertical="center" wrapText="1"/>
    </xf>
    <xf numFmtId="0" fontId="115" fillId="6" borderId="65" xfId="0" applyFont="1" applyFill="1" applyBorder="1" applyAlignment="1">
      <alignment horizontal="left" vertical="center" wrapText="1"/>
    </xf>
    <xf numFmtId="0" fontId="49" fillId="6" borderId="13" xfId="0" applyFont="1" applyFill="1" applyBorder="1" applyAlignment="1">
      <alignment vertical="top" wrapText="1"/>
    </xf>
    <xf numFmtId="0" fontId="49" fillId="6" borderId="15" xfId="0" applyFont="1" applyFill="1" applyBorder="1" applyAlignment="1">
      <alignment vertical="top" wrapText="1"/>
    </xf>
    <xf numFmtId="0" fontId="49" fillId="6" borderId="2" xfId="0" applyFont="1" applyFill="1" applyBorder="1" applyAlignment="1">
      <alignment vertical="top" wrapText="1"/>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104" fillId="6" borderId="63" xfId="4" applyFont="1" applyFill="1" applyBorder="1" applyAlignment="1">
      <alignment horizontal="left" vertical="center"/>
    </xf>
    <xf numFmtId="0" fontId="104" fillId="6" borderId="64" xfId="4" applyFont="1" applyFill="1" applyBorder="1" applyAlignment="1">
      <alignment horizontal="left" vertical="center"/>
    </xf>
    <xf numFmtId="0" fontId="104" fillId="6" borderId="70" xfId="4" applyFont="1" applyFill="1" applyBorder="1" applyAlignment="1">
      <alignment horizontal="left" vertical="center"/>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4" fillId="6" borderId="11" xfId="4" applyFont="1" applyFill="1" applyBorder="1" applyAlignment="1" applyProtection="1">
      <alignment horizontal="left" vertical="center"/>
      <protection locked="0"/>
    </xf>
    <xf numFmtId="0" fontId="104" fillId="6" borderId="41" xfId="4" applyFont="1" applyFill="1" applyBorder="1" applyAlignment="1" applyProtection="1">
      <alignment horizontal="left" vertical="center"/>
      <protection locked="0"/>
    </xf>
    <xf numFmtId="0" fontId="206" fillId="6" borderId="5" xfId="0" applyFont="1" applyFill="1" applyBorder="1" applyAlignment="1">
      <alignment horizontal="center" vertical="center"/>
    </xf>
    <xf numFmtId="0" fontId="206" fillId="6" borderId="3" xfId="0" applyFont="1" applyFill="1" applyBorder="1" applyAlignment="1">
      <alignment horizontal="center" vertical="center"/>
    </xf>
    <xf numFmtId="0" fontId="53" fillId="6" borderId="13" xfId="0" applyFont="1" applyFill="1" applyBorder="1" applyAlignment="1">
      <alignment horizontal="center" vertical="center"/>
    </xf>
    <xf numFmtId="0" fontId="53" fillId="6" borderId="15" xfId="0" applyFont="1" applyFill="1" applyBorder="1" applyAlignment="1">
      <alignment horizontal="center" vertical="center"/>
    </xf>
    <xf numFmtId="0" fontId="53" fillId="6" borderId="2" xfId="0" applyFont="1" applyFill="1" applyBorder="1" applyAlignment="1">
      <alignment horizontal="center" vertical="center"/>
    </xf>
    <xf numFmtId="0" fontId="46" fillId="6" borderId="5" xfId="0" applyFont="1" applyFill="1" applyBorder="1" applyAlignment="1">
      <alignment horizontal="center" vertical="center"/>
    </xf>
    <xf numFmtId="0" fontId="46" fillId="6" borderId="3" xfId="0" applyFont="1" applyFill="1" applyBorder="1" applyAlignment="1">
      <alignment horizontal="center" vertical="center"/>
    </xf>
    <xf numFmtId="0" fontId="53" fillId="6" borderId="46" xfId="0" applyFont="1" applyFill="1" applyBorder="1" applyAlignment="1">
      <alignment horizontal="center" vertical="center"/>
    </xf>
    <xf numFmtId="0" fontId="53" fillId="6" borderId="22" xfId="0" applyFont="1" applyFill="1" applyBorder="1" applyAlignment="1">
      <alignment horizontal="center" vertical="center"/>
    </xf>
    <xf numFmtId="0" fontId="53" fillId="6" borderId="58" xfId="0" applyFont="1" applyFill="1" applyBorder="1" applyAlignment="1">
      <alignment horizontal="center" vertical="center"/>
    </xf>
    <xf numFmtId="0" fontId="53" fillId="6" borderId="35" xfId="0" applyFont="1" applyFill="1" applyBorder="1" applyAlignment="1">
      <alignment horizontal="center" vertical="center"/>
    </xf>
    <xf numFmtId="0" fontId="168" fillId="0" borderId="3" xfId="0" applyFont="1" applyBorder="1" applyAlignment="1" applyProtection="1">
      <alignment horizontal="center" vertical="center" wrapText="1"/>
      <protection locked="0"/>
    </xf>
    <xf numFmtId="0" fontId="168" fillId="0" borderId="5" xfId="0" applyFont="1" applyBorder="1" applyAlignment="1" applyProtection="1">
      <alignment horizontal="center" vertical="center" wrapText="1"/>
      <protection locked="0"/>
    </xf>
    <xf numFmtId="0" fontId="168" fillId="0" borderId="23" xfId="0" applyFont="1" applyBorder="1" applyAlignment="1" applyProtection="1">
      <alignment horizontal="center" vertical="center" wrapText="1"/>
      <protection locked="0"/>
    </xf>
    <xf numFmtId="0" fontId="168" fillId="0" borderId="24" xfId="0" applyFont="1" applyBorder="1" applyAlignment="1" applyProtection="1">
      <alignment horizontal="center" vertical="center" wrapText="1"/>
      <protection locked="0"/>
    </xf>
    <xf numFmtId="0" fontId="168" fillId="0" borderId="11" xfId="0" applyFont="1" applyBorder="1" applyAlignment="1" applyProtection="1">
      <alignment horizontal="center" vertical="center" wrapText="1"/>
      <protection locked="0"/>
    </xf>
    <xf numFmtId="0" fontId="168" fillId="0" borderId="61" xfId="0" applyFont="1" applyBorder="1" applyAlignment="1" applyProtection="1">
      <alignment horizontal="center" vertical="center" wrapText="1"/>
      <protection locked="0"/>
    </xf>
    <xf numFmtId="0" fontId="168" fillId="0" borderId="22" xfId="0" applyFont="1" applyBorder="1" applyAlignment="1" applyProtection="1">
      <alignment horizontal="center" vertical="center" wrapText="1"/>
      <protection locked="0"/>
    </xf>
    <xf numFmtId="0" fontId="168" fillId="0" borderId="46" xfId="0" applyFont="1" applyBorder="1" applyAlignment="1" applyProtection="1">
      <alignment horizontal="center" vertical="center" wrapText="1"/>
      <protection locked="0"/>
    </xf>
    <xf numFmtId="0" fontId="53" fillId="6" borderId="23" xfId="0" applyFont="1" applyFill="1" applyBorder="1" applyAlignment="1">
      <alignment horizontal="center" vertical="center" wrapText="1"/>
    </xf>
    <xf numFmtId="0" fontId="53" fillId="6" borderId="6" xfId="0" applyFont="1" applyFill="1" applyBorder="1" applyAlignment="1">
      <alignment horizontal="center" vertical="center" wrapText="1"/>
    </xf>
    <xf numFmtId="0" fontId="53" fillId="6" borderId="10" xfId="0" applyFont="1" applyFill="1" applyBorder="1" applyAlignment="1">
      <alignment horizontal="center" vertical="center" wrapText="1"/>
    </xf>
    <xf numFmtId="0" fontId="53" fillId="6" borderId="30" xfId="0" applyFont="1" applyFill="1" applyBorder="1" applyAlignment="1">
      <alignment horizontal="center" vertical="center" wrapText="1"/>
    </xf>
    <xf numFmtId="0" fontId="53" fillId="6" borderId="28" xfId="0" applyFont="1" applyFill="1" applyBorder="1" applyAlignment="1">
      <alignment horizontal="center" vertical="center" wrapText="1"/>
    </xf>
    <xf numFmtId="0" fontId="53" fillId="6" borderId="46" xfId="0" applyFont="1" applyFill="1" applyBorder="1" applyAlignment="1">
      <alignment horizontal="center" vertical="center" wrapText="1"/>
    </xf>
    <xf numFmtId="0" fontId="53" fillId="6" borderId="22" xfId="0" applyFont="1" applyFill="1" applyBorder="1" applyAlignment="1">
      <alignment horizontal="center"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53" fillId="6" borderId="4" xfId="0" applyFont="1" applyFill="1" applyBorder="1" applyAlignment="1">
      <alignment horizontal="center" vertical="center" wrapText="1"/>
    </xf>
    <xf numFmtId="0" fontId="53" fillId="6" borderId="7" xfId="0" applyFont="1" applyFill="1" applyBorder="1" applyAlignment="1">
      <alignment horizontal="center" vertical="center" wrapText="1"/>
    </xf>
    <xf numFmtId="0" fontId="53" fillId="6" borderId="4" xfId="0" applyFont="1" applyFill="1" applyBorder="1" applyAlignment="1">
      <alignment horizontal="center" vertical="center"/>
    </xf>
    <xf numFmtId="0" fontId="53" fillId="6" borderId="7" xfId="0" applyFont="1" applyFill="1" applyBorder="1" applyAlignment="1">
      <alignment horizontal="center" vertical="center"/>
    </xf>
    <xf numFmtId="0" fontId="53" fillId="6" borderId="1" xfId="0" applyFont="1" applyFill="1" applyBorder="1" applyAlignment="1">
      <alignment horizontal="center" vertical="center"/>
    </xf>
    <xf numFmtId="0" fontId="46" fillId="6" borderId="54" xfId="0" applyFont="1" applyFill="1" applyBorder="1" applyAlignment="1">
      <alignment horizontal="center" vertical="center"/>
    </xf>
    <xf numFmtId="0" fontId="53" fillId="6" borderId="5" xfId="0" applyFont="1" applyFill="1" applyBorder="1" applyAlignment="1">
      <alignment horizontal="center" vertical="center" wrapText="1"/>
    </xf>
    <xf numFmtId="0" fontId="53" fillId="6" borderId="3" xfId="0" applyFont="1" applyFill="1" applyBorder="1" applyAlignment="1">
      <alignment horizontal="center" vertical="center" wrapText="1"/>
    </xf>
    <xf numFmtId="0" fontId="52" fillId="18" borderId="1" xfId="0" applyFont="1" applyFill="1" applyBorder="1" applyAlignment="1">
      <alignment horizontal="center" vertical="center"/>
    </xf>
    <xf numFmtId="0" fontId="53" fillId="6" borderId="1" xfId="0" applyFont="1" applyFill="1" applyBorder="1" applyAlignment="1">
      <alignment horizontal="center" vertical="center" wrapText="1"/>
    </xf>
    <xf numFmtId="0" fontId="53" fillId="6" borderId="13" xfId="0" applyFont="1" applyFill="1" applyBorder="1" applyAlignment="1">
      <alignment horizontal="center" vertical="center" wrapText="1"/>
    </xf>
    <xf numFmtId="0" fontId="53" fillId="6" borderId="15" xfId="0" applyFont="1" applyFill="1" applyBorder="1" applyAlignment="1">
      <alignment horizontal="center" vertical="center" wrapText="1"/>
    </xf>
    <xf numFmtId="0" fontId="53" fillId="6" borderId="11" xfId="0" applyFont="1" applyFill="1" applyBorder="1" applyAlignment="1">
      <alignment horizontal="center" vertical="center" textRotation="255" wrapText="1"/>
    </xf>
    <xf numFmtId="0" fontId="53" fillId="6" borderId="14" xfId="0" applyFont="1" applyFill="1" applyBorder="1" applyAlignment="1">
      <alignment horizontal="center" vertical="center" textRotation="255" wrapText="1"/>
    </xf>
    <xf numFmtId="0" fontId="53" fillId="6" borderId="41" xfId="0" applyFont="1" applyFill="1" applyBorder="1" applyAlignment="1">
      <alignment horizontal="center" vertical="center" textRotation="255" wrapText="1"/>
    </xf>
    <xf numFmtId="0" fontId="53" fillId="6" borderId="15" xfId="0" applyFont="1" applyFill="1" applyBorder="1" applyAlignment="1">
      <alignment horizontal="center" vertical="center" textRotation="255" wrapText="1"/>
    </xf>
    <xf numFmtId="0" fontId="53" fillId="6" borderId="2" xfId="0" applyFont="1" applyFill="1" applyBorder="1" applyAlignment="1">
      <alignment horizontal="center" vertical="center" textRotation="255" wrapText="1"/>
    </xf>
    <xf numFmtId="0" fontId="53" fillId="6" borderId="11" xfId="0" applyFont="1" applyFill="1" applyBorder="1" applyAlignment="1">
      <alignment horizontal="center" vertical="center" wrapText="1"/>
    </xf>
    <xf numFmtId="0" fontId="53" fillId="6" borderId="14" xfId="0" applyFont="1" applyFill="1" applyBorder="1" applyAlignment="1">
      <alignment horizontal="center" vertical="center" wrapText="1"/>
    </xf>
    <xf numFmtId="0" fontId="53" fillId="6" borderId="17" xfId="0" applyFont="1" applyFill="1" applyBorder="1" applyAlignment="1">
      <alignment horizontal="center" vertical="center"/>
    </xf>
    <xf numFmtId="0" fontId="53" fillId="6" borderId="29" xfId="0" applyFont="1" applyFill="1" applyBorder="1" applyAlignment="1">
      <alignment horizontal="center" vertical="center"/>
    </xf>
    <xf numFmtId="0" fontId="53" fillId="6" borderId="39" xfId="0" applyFont="1" applyFill="1" applyBorder="1" applyAlignment="1">
      <alignment horizontal="center" vertical="center"/>
    </xf>
    <xf numFmtId="0" fontId="53" fillId="6" borderId="62" xfId="0" applyFont="1" applyFill="1" applyBorder="1" applyAlignment="1">
      <alignment horizontal="center" vertical="center"/>
    </xf>
    <xf numFmtId="0" fontId="53" fillId="6" borderId="53" xfId="0" applyFont="1" applyFill="1" applyBorder="1" applyAlignment="1">
      <alignment horizontal="center" vertical="center"/>
    </xf>
    <xf numFmtId="0" fontId="53" fillId="6" borderId="8" xfId="0" applyFont="1" applyFill="1" applyBorder="1" applyAlignment="1">
      <alignment horizontal="center" vertical="center"/>
    </xf>
    <xf numFmtId="0" fontId="53" fillId="6" borderId="16" xfId="0" applyFont="1" applyFill="1" applyBorder="1" applyAlignment="1">
      <alignment horizontal="center" vertical="center" wrapText="1"/>
    </xf>
    <xf numFmtId="0" fontId="53" fillId="6" borderId="39" xfId="0" applyFont="1" applyFill="1" applyBorder="1" applyAlignment="1">
      <alignment horizontal="center" vertical="center" wrapText="1"/>
    </xf>
    <xf numFmtId="0" fontId="53" fillId="6" borderId="18" xfId="0" applyFont="1" applyFill="1" applyBorder="1" applyAlignment="1">
      <alignment horizontal="center" vertical="center" wrapText="1"/>
    </xf>
    <xf numFmtId="0" fontId="53" fillId="6" borderId="69" xfId="0" applyFont="1" applyFill="1" applyBorder="1" applyAlignment="1">
      <alignment horizontal="center" vertical="center" wrapText="1"/>
    </xf>
    <xf numFmtId="0" fontId="53" fillId="6" borderId="9" xfId="0" applyFont="1" applyFill="1" applyBorder="1" applyAlignment="1">
      <alignment horizontal="center" vertical="center"/>
    </xf>
    <xf numFmtId="0" fontId="46" fillId="6" borderId="37" xfId="0" applyFont="1" applyFill="1" applyBorder="1" applyAlignment="1">
      <alignment horizontal="center" vertical="center"/>
    </xf>
    <xf numFmtId="0" fontId="53" fillId="6" borderId="38" xfId="0" applyFont="1" applyFill="1" applyBorder="1" applyAlignment="1">
      <alignment horizontal="center" vertical="center" wrapText="1"/>
    </xf>
    <xf numFmtId="0" fontId="53" fillId="6" borderId="66" xfId="0" applyFont="1" applyFill="1" applyBorder="1" applyAlignment="1">
      <alignment horizontal="center" vertical="center" wrapText="1"/>
    </xf>
    <xf numFmtId="0" fontId="52" fillId="6" borderId="32" xfId="0" applyFont="1" applyFill="1" applyBorder="1" applyAlignment="1">
      <alignment horizontal="center" vertical="center"/>
    </xf>
    <xf numFmtId="0" fontId="53" fillId="6" borderId="13" xfId="0" applyFont="1" applyFill="1" applyBorder="1" applyAlignment="1">
      <alignment horizontal="center" vertical="center" textRotation="255" wrapText="1"/>
    </xf>
    <xf numFmtId="0" fontId="52" fillId="6" borderId="1" xfId="0" applyFont="1" applyFill="1" applyBorder="1" applyAlignment="1">
      <alignment horizontal="center" vertical="center"/>
    </xf>
    <xf numFmtId="185" fontId="53" fillId="6" borderId="1" xfId="0" applyNumberFormat="1" applyFont="1" applyFill="1" applyBorder="1" applyAlignment="1">
      <alignment horizontal="center" vertical="center"/>
    </xf>
    <xf numFmtId="185" fontId="52" fillId="18" borderId="1" xfId="0" applyNumberFormat="1" applyFont="1" applyFill="1" applyBorder="1" applyAlignment="1">
      <alignment horizontal="center" vertical="center"/>
    </xf>
    <xf numFmtId="0" fontId="53" fillId="6" borderId="9" xfId="0" applyFont="1" applyFill="1" applyBorder="1" applyAlignment="1">
      <alignment horizontal="center" vertical="center" wrapText="1"/>
    </xf>
    <xf numFmtId="0" fontId="53" fillId="0" borderId="11" xfId="0" applyFont="1" applyBorder="1" applyAlignment="1" applyProtection="1">
      <alignment horizontal="center" vertical="center" wrapText="1"/>
      <protection locked="0"/>
    </xf>
    <xf numFmtId="0" fontId="53" fillId="0" borderId="61" xfId="0" applyFont="1" applyBorder="1" applyAlignment="1" applyProtection="1">
      <alignment horizontal="center" vertical="center" wrapText="1"/>
      <protection locked="0"/>
    </xf>
    <xf numFmtId="0" fontId="53" fillId="0" borderId="22"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49" fillId="6" borderId="5" xfId="0" applyFont="1" applyFill="1" applyBorder="1" applyAlignment="1">
      <alignment horizontal="center" vertical="center"/>
    </xf>
    <xf numFmtId="0" fontId="49" fillId="6" borderId="54" xfId="0" applyFont="1" applyFill="1" applyBorder="1" applyAlignment="1">
      <alignment horizontal="center" vertical="center"/>
    </xf>
    <xf numFmtId="0" fontId="49" fillId="6" borderId="3" xfId="0" applyFont="1" applyFill="1" applyBorder="1" applyAlignment="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01" fillId="6" borderId="13" xfId="0" applyFont="1" applyFill="1" applyBorder="1" applyAlignment="1">
      <alignment horizontal="left" vertical="center"/>
    </xf>
    <xf numFmtId="0" fontId="101" fillId="6" borderId="15" xfId="0" applyFont="1" applyFill="1" applyBorder="1" applyAlignment="1">
      <alignment horizontal="left" vertical="center"/>
    </xf>
    <xf numFmtId="0" fontId="101" fillId="6" borderId="2" xfId="0" applyFont="1" applyFill="1" applyBorder="1" applyAlignment="1">
      <alignment horizontal="left" vertical="center"/>
    </xf>
    <xf numFmtId="0" fontId="101" fillId="0" borderId="0" xfId="0" applyFont="1" applyAlignment="1">
      <alignment horizontal="left" vertical="center"/>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lignment horizontal="center" vertical="center" wrapText="1"/>
    </xf>
    <xf numFmtId="0" fontId="59" fillId="6" borderId="54" xfId="0" applyFont="1" applyFill="1" applyBorder="1" applyAlignment="1">
      <alignment horizontal="center" vertical="center" wrapText="1"/>
    </xf>
    <xf numFmtId="0" fontId="59" fillId="6" borderId="0" xfId="0" applyFont="1" applyFill="1" applyAlignment="1">
      <alignment horizontal="center" vertical="center" wrapText="1"/>
    </xf>
    <xf numFmtId="0" fontId="59" fillId="6" borderId="22" xfId="0" applyFont="1" applyFill="1" applyBorder="1" applyAlignment="1">
      <alignment horizontal="center" vertical="center" wrapText="1"/>
    </xf>
    <xf numFmtId="49" fontId="82" fillId="6" borderId="14" xfId="0" applyNumberFormat="1" applyFont="1" applyFill="1" applyBorder="1" applyAlignment="1">
      <alignment horizontal="center" vertical="center" wrapText="1"/>
    </xf>
    <xf numFmtId="49" fontId="56" fillId="6" borderId="12" xfId="0" applyNumberFormat="1" applyFont="1" applyFill="1" applyBorder="1" applyAlignment="1">
      <alignment horizontal="center" vertical="center" wrapText="1"/>
    </xf>
    <xf numFmtId="0" fontId="104" fillId="6" borderId="0" xfId="0" applyFont="1" applyFill="1" applyAlignment="1">
      <alignment horizontal="left" vertical="center"/>
    </xf>
    <xf numFmtId="0" fontId="101" fillId="6" borderId="1" xfId="0" applyFont="1" applyFill="1" applyBorder="1" applyAlignment="1">
      <alignment horizontal="left" vertical="center"/>
    </xf>
    <xf numFmtId="0" fontId="141" fillId="6" borderId="13" xfId="0" applyFont="1" applyFill="1" applyBorder="1" applyAlignment="1">
      <alignment vertical="center" wrapText="1"/>
    </xf>
    <xf numFmtId="0" fontId="141" fillId="6" borderId="15" xfId="0" applyFont="1" applyFill="1" applyBorder="1" applyAlignment="1">
      <alignment vertical="center" wrapText="1"/>
    </xf>
    <xf numFmtId="0" fontId="55" fillId="6" borderId="58" xfId="0" applyFont="1" applyFill="1" applyBorder="1" applyAlignment="1">
      <alignment horizontal="center" vertical="center" wrapText="1"/>
    </xf>
    <xf numFmtId="0" fontId="55" fillId="6" borderId="35" xfId="0" applyFont="1" applyFill="1" applyBorder="1" applyAlignment="1">
      <alignment horizontal="center" vertical="center" wrapText="1"/>
    </xf>
    <xf numFmtId="0" fontId="97" fillId="28" borderId="0" xfId="0" applyFont="1" applyFill="1" applyAlignment="1">
      <alignment horizontal="center" vertical="center" wrapText="1"/>
    </xf>
    <xf numFmtId="0" fontId="109" fillId="6" borderId="17" xfId="0" applyFont="1" applyFill="1" applyBorder="1" applyAlignment="1">
      <alignment horizontal="left" vertical="center"/>
    </xf>
    <xf numFmtId="0" fontId="109" fillId="6" borderId="15" xfId="0" applyFont="1" applyFill="1" applyBorder="1" applyAlignment="1">
      <alignment horizontal="left" vertical="center"/>
    </xf>
    <xf numFmtId="0" fontId="109" fillId="6" borderId="74" xfId="0" applyFont="1" applyFill="1" applyBorder="1" applyAlignment="1">
      <alignment horizontal="left" vertical="center"/>
    </xf>
    <xf numFmtId="0" fontId="109" fillId="6" borderId="40" xfId="0" applyFont="1" applyFill="1" applyBorder="1" applyAlignment="1">
      <alignment horizontal="left" vertical="center"/>
    </xf>
    <xf numFmtId="0" fontId="109" fillId="6" borderId="14" xfId="0" applyFont="1" applyFill="1" applyBorder="1" applyAlignment="1">
      <alignment horizontal="left" vertical="center"/>
    </xf>
    <xf numFmtId="0" fontId="109" fillId="6" borderId="12" xfId="0" applyFont="1" applyFill="1" applyBorder="1" applyAlignment="1">
      <alignment horizontal="left" vertical="center"/>
    </xf>
    <xf numFmtId="0" fontId="109" fillId="6" borderId="13" xfId="0" applyFont="1" applyFill="1" applyBorder="1" applyAlignment="1">
      <alignment horizontal="left" vertical="center"/>
    </xf>
    <xf numFmtId="0" fontId="109" fillId="6" borderId="6" xfId="0" applyFont="1" applyFill="1" applyBorder="1" applyAlignment="1">
      <alignment horizontal="left" vertical="center"/>
    </xf>
    <xf numFmtId="0" fontId="109" fillId="6" borderId="23" xfId="0" applyFont="1" applyFill="1" applyBorder="1" applyAlignment="1">
      <alignment horizontal="left" vertical="center"/>
    </xf>
    <xf numFmtId="0" fontId="109" fillId="6" borderId="25" xfId="0" applyFont="1" applyFill="1" applyBorder="1" applyAlignment="1">
      <alignment horizontal="left" vertical="center"/>
    </xf>
    <xf numFmtId="0" fontId="109" fillId="6" borderId="2" xfId="0" applyFont="1" applyFill="1" applyBorder="1" applyAlignment="1">
      <alignment horizontal="left" vertical="center"/>
    </xf>
    <xf numFmtId="0" fontId="109" fillId="6" borderId="1" xfId="0" applyFont="1" applyFill="1" applyBorder="1" applyAlignment="1">
      <alignment horizontal="left" vertical="center"/>
    </xf>
    <xf numFmtId="0" fontId="123" fillId="6" borderId="0" xfId="0" applyFont="1" applyFill="1" applyAlignment="1">
      <alignment horizontal="left" vertical="center"/>
    </xf>
    <xf numFmtId="0" fontId="265" fillId="0" borderId="0" xfId="0" applyFont="1" applyAlignment="1">
      <alignment horizontal="center" vertical="center"/>
    </xf>
    <xf numFmtId="0" fontId="265" fillId="0" borderId="35" xfId="0" applyFont="1" applyBorder="1" applyAlignment="1">
      <alignment horizontal="center" vertical="center"/>
    </xf>
    <xf numFmtId="0" fontId="138" fillId="0" borderId="0" xfId="9" applyFont="1" applyAlignment="1">
      <alignment horizontal="left" vertical="center"/>
    </xf>
    <xf numFmtId="0" fontId="104" fillId="0" borderId="0" xfId="9" applyFont="1" applyAlignment="1">
      <alignment horizontal="left" vertical="center"/>
    </xf>
    <xf numFmtId="0" fontId="145" fillId="11" borderId="131" xfId="9" applyFont="1" applyFill="1" applyBorder="1" applyAlignment="1">
      <alignment horizontal="left" vertical="center" wrapText="1"/>
    </xf>
    <xf numFmtId="0" fontId="145" fillId="11" borderId="125" xfId="9" applyFont="1" applyFill="1" applyBorder="1" applyAlignment="1">
      <alignment horizontal="left" vertical="center" wrapText="1"/>
    </xf>
    <xf numFmtId="0" fontId="145" fillId="11" borderId="127" xfId="9" applyFont="1" applyFill="1" applyBorder="1" applyAlignment="1">
      <alignment horizontal="left" vertical="center" wrapText="1"/>
    </xf>
    <xf numFmtId="0" fontId="143" fillId="0" borderId="0" xfId="9" applyFont="1" applyAlignment="1">
      <alignment horizontal="left" vertical="center"/>
    </xf>
    <xf numFmtId="0" fontId="145" fillId="11" borderId="122" xfId="9" applyFont="1" applyFill="1" applyBorder="1" applyAlignment="1">
      <alignment horizontal="left" vertical="center" wrapText="1"/>
    </xf>
    <xf numFmtId="0" fontId="101" fillId="11" borderId="131" xfId="9" applyFont="1" applyFill="1" applyBorder="1" applyAlignment="1">
      <alignment horizontal="left" vertical="center" wrapText="1"/>
    </xf>
    <xf numFmtId="0" fontId="101" fillId="11" borderId="125" xfId="9" applyFont="1" applyFill="1" applyBorder="1" applyAlignment="1">
      <alignment horizontal="left" vertical="center" wrapText="1"/>
    </xf>
    <xf numFmtId="0" fontId="101" fillId="11" borderId="127" xfId="9" applyFont="1" applyFill="1" applyBorder="1" applyAlignment="1">
      <alignment horizontal="left" vertical="center" wrapText="1"/>
    </xf>
    <xf numFmtId="0" fontId="145" fillId="11" borderId="153" xfId="9" applyFont="1" applyFill="1" applyBorder="1" applyAlignment="1">
      <alignment horizontal="left" vertical="center" wrapText="1"/>
    </xf>
    <xf numFmtId="0" fontId="256" fillId="6" borderId="6" xfId="0" applyFont="1" applyFill="1" applyBorder="1" applyAlignment="1">
      <alignment horizontal="left" vertical="center" wrapText="1"/>
    </xf>
    <xf numFmtId="0" fontId="256" fillId="6" borderId="25" xfId="0" applyFont="1" applyFill="1" applyBorder="1" applyAlignment="1">
      <alignment horizontal="left" vertical="center" wrapText="1"/>
    </xf>
    <xf numFmtId="0" fontId="256" fillId="6" borderId="0" xfId="0" applyFont="1" applyFill="1" applyAlignment="1">
      <alignment horizontal="center" vertical="center"/>
    </xf>
    <xf numFmtId="0" fontId="256" fillId="6" borderId="56" xfId="0" applyFont="1" applyFill="1" applyBorder="1" applyAlignment="1">
      <alignment horizontal="center" vertical="center"/>
    </xf>
    <xf numFmtId="197" fontId="96" fillId="0" borderId="1" xfId="20" applyNumberFormat="1" applyFont="1" applyBorder="1" applyAlignment="1">
      <alignment horizontal="left" vertical="center"/>
    </xf>
    <xf numFmtId="197" fontId="116" fillId="0" borderId="1" xfId="20" applyNumberFormat="1" applyFont="1" applyBorder="1" applyAlignment="1">
      <alignment horizontal="left" vertical="center"/>
    </xf>
    <xf numFmtId="197" fontId="116" fillId="26" borderId="1" xfId="20" applyNumberFormat="1" applyFont="1" applyFill="1" applyBorder="1" applyAlignment="1">
      <alignment horizontal="left" vertical="center"/>
    </xf>
    <xf numFmtId="197" fontId="125" fillId="26" borderId="1" xfId="20" applyNumberFormat="1" applyFont="1" applyFill="1" applyBorder="1" applyAlignment="1">
      <alignment horizontal="left" vertical="center"/>
    </xf>
    <xf numFmtId="197" fontId="125" fillId="0" borderId="1" xfId="20" applyNumberFormat="1" applyFont="1" applyBorder="1" applyAlignment="1">
      <alignment horizontal="left" vertical="center"/>
    </xf>
    <xf numFmtId="0" fontId="279" fillId="27" borderId="13" xfId="0" applyFont="1" applyFill="1" applyBorder="1" applyAlignment="1">
      <alignment horizontal="center" vertical="center"/>
    </xf>
    <xf numFmtId="0" fontId="279" fillId="27" borderId="15" xfId="0" applyFont="1" applyFill="1" applyBorder="1" applyAlignment="1">
      <alignment horizontal="center" vertical="center"/>
    </xf>
    <xf numFmtId="0" fontId="279" fillId="27" borderId="2" xfId="0" applyFont="1" applyFill="1" applyBorder="1" applyAlignment="1">
      <alignment horizontal="center" vertical="center"/>
    </xf>
    <xf numFmtId="10" fontId="279" fillId="27" borderId="13" xfId="17" applyNumberFormat="1" applyFont="1" applyFill="1" applyBorder="1" applyAlignment="1">
      <alignment horizontal="center" vertical="center"/>
    </xf>
    <xf numFmtId="10" fontId="279" fillId="27" borderId="15" xfId="17" applyNumberFormat="1" applyFont="1" applyFill="1" applyBorder="1" applyAlignment="1">
      <alignment horizontal="center" vertical="center"/>
    </xf>
    <xf numFmtId="10" fontId="279" fillId="27" borderId="2" xfId="17" applyNumberFormat="1" applyFont="1" applyFill="1" applyBorder="1" applyAlignment="1">
      <alignment horizontal="center" vertical="center"/>
    </xf>
    <xf numFmtId="197" fontId="96" fillId="26" borderId="1" xfId="20" applyNumberFormat="1" applyFont="1" applyFill="1" applyBorder="1" applyAlignment="1">
      <alignment horizontal="left" vertical="center"/>
    </xf>
    <xf numFmtId="0" fontId="122" fillId="0" borderId="0" xfId="0" applyFont="1" applyAlignment="1">
      <alignment horizontal="center" vertical="center"/>
    </xf>
    <xf numFmtId="9" fontId="49" fillId="32" borderId="5" xfId="0" applyNumberFormat="1" applyFont="1" applyFill="1" applyBorder="1" applyAlignment="1" applyProtection="1">
      <alignment horizontal="center" vertical="center"/>
      <protection locked="0"/>
    </xf>
    <xf numFmtId="181" fontId="49" fillId="32" borderId="24" xfId="0" applyNumberFormat="1" applyFont="1" applyFill="1" applyBorder="1" applyAlignment="1" applyProtection="1">
      <alignment horizontal="center" vertical="center"/>
      <protection locked="0"/>
    </xf>
  </cellXfs>
  <cellStyles count="25">
    <cellStyle name="3232" xfId="23" xr:uid="{00000000-0005-0000-0000-000000000000}"/>
    <cellStyle name="百分比" xfId="17" builtinId="5"/>
    <cellStyle name="百分比 2" xfId="14" xr:uid="{00000000-0005-0000-0000-000002000000}"/>
    <cellStyle name="常规" xfId="0" builtinId="0"/>
    <cellStyle name="常规 10" xfId="19" xr:uid="{00000000-0005-0000-0000-000004000000}"/>
    <cellStyle name="常规 11" xfId="18" xr:uid="{00000000-0005-0000-0000-000005000000}"/>
    <cellStyle name="常规 12" xfId="20" xr:uid="{00000000-0005-0000-0000-000006000000}"/>
    <cellStyle name="常规 13" xfId="22" xr:uid="{00000000-0005-0000-0000-000007000000}"/>
    <cellStyle name="常规 16" xfId="10" xr:uid="{00000000-0005-0000-0000-000008000000}"/>
    <cellStyle name="常规 2" xfId="1" xr:uid="{00000000-0005-0000-0000-000009000000}"/>
    <cellStyle name="常规 2 2" xfId="8" xr:uid="{00000000-0005-0000-0000-00000A000000}"/>
    <cellStyle name="常规 2 2 2 2 3" xfId="15" xr:uid="{00000000-0005-0000-0000-00000B000000}"/>
    <cellStyle name="常规 3" xfId="2" xr:uid="{00000000-0005-0000-0000-00000C000000}"/>
    <cellStyle name="常规 3 2" xfId="3" xr:uid="{00000000-0005-0000-0000-00000D000000}"/>
    <cellStyle name="常规 4" xfId="4" xr:uid="{00000000-0005-0000-0000-00000E000000}"/>
    <cellStyle name="常规 5" xfId="5" xr:uid="{00000000-0005-0000-0000-00000F000000}"/>
    <cellStyle name="常规 6" xfId="6" xr:uid="{00000000-0005-0000-0000-000010000000}"/>
    <cellStyle name="常规 6 2" xfId="9" xr:uid="{00000000-0005-0000-0000-000011000000}"/>
    <cellStyle name="常规 6 2 2" xfId="16" xr:uid="{00000000-0005-0000-0000-000012000000}"/>
    <cellStyle name="常规 6 2 3" xfId="13" xr:uid="{00000000-0005-0000-0000-000013000000}"/>
    <cellStyle name="常规 7" xfId="7" xr:uid="{00000000-0005-0000-0000-000014000000}"/>
    <cellStyle name="常规 8" xfId="11" xr:uid="{00000000-0005-0000-0000-000015000000}"/>
    <cellStyle name="常规 9" xfId="12" xr:uid="{00000000-0005-0000-0000-000016000000}"/>
    <cellStyle name="超链接" xfId="21" builtinId="8"/>
    <cellStyle name="样式 2" xfId="24" xr:uid="{00000000-0005-0000-0000-000018000000}"/>
  </cellStyles>
  <dxfs count="172">
    <dxf>
      <fill>
        <patternFill>
          <bgColor theme="6" tint="0.79998168889431442"/>
        </patternFill>
      </fill>
    </dxf>
    <dxf>
      <fill>
        <patternFill>
          <bgColor theme="6" tint="0.79998168889431442"/>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calcChain" Target="calcChain.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8118260695120123E-2"/>
          <c:y val="0.10036114476075106"/>
          <c:w val="0.87411103866793716"/>
          <c:h val="0.7256087219866747"/>
        </c:manualLayout>
      </c:layout>
      <c:barChart>
        <c:barDir val="col"/>
        <c:grouping val="clustered"/>
        <c:varyColors val="0"/>
        <c:ser>
          <c:idx val="0"/>
          <c:order val="0"/>
          <c:tx>
            <c:strRef>
              <c:f>房源表及成交价!$N$1</c:f>
              <c:strCache>
                <c:ptCount val="1"/>
                <c:pt idx="0">
                  <c:v>地下1层建筑面积</c:v>
                </c:pt>
              </c:strCache>
            </c:strRef>
          </c:tx>
          <c:spPr>
            <a:solidFill>
              <a:schemeClr val="accent1"/>
            </a:solidFill>
            <a:ln>
              <a:noFill/>
            </a:ln>
            <a:effectLst/>
          </c:spPr>
          <c:invertIfNegative val="0"/>
          <c:val>
            <c:numRef>
              <c:f>房源表及成交价!$N$2:$N$17</c:f>
              <c:numCache>
                <c:formatCode>General</c:formatCode>
                <c:ptCount val="16"/>
                <c:pt idx="0">
                  <c:v>203</c:v>
                </c:pt>
                <c:pt idx="1">
                  <c:v>205.8</c:v>
                </c:pt>
                <c:pt idx="2">
                  <c:v>205.8</c:v>
                </c:pt>
                <c:pt idx="3">
                  <c:v>205.8</c:v>
                </c:pt>
                <c:pt idx="4">
                  <c:v>205.8</c:v>
                </c:pt>
                <c:pt idx="5">
                  <c:v>236</c:v>
                </c:pt>
                <c:pt idx="6">
                  <c:v>253.4</c:v>
                </c:pt>
                <c:pt idx="7">
                  <c:v>253.4</c:v>
                </c:pt>
                <c:pt idx="8">
                  <c:v>253.4</c:v>
                </c:pt>
                <c:pt idx="9">
                  <c:v>253.4</c:v>
                </c:pt>
                <c:pt idx="10">
                  <c:v>253.4</c:v>
                </c:pt>
                <c:pt idx="11">
                  <c:v>255.11</c:v>
                </c:pt>
                <c:pt idx="12">
                  <c:v>266.26</c:v>
                </c:pt>
                <c:pt idx="13">
                  <c:v>311.24</c:v>
                </c:pt>
                <c:pt idx="14">
                  <c:v>353.1</c:v>
                </c:pt>
                <c:pt idx="15">
                  <c:v>451.21</c:v>
                </c:pt>
              </c:numCache>
            </c:numRef>
          </c:val>
          <c:extLst>
            <c:ext xmlns:c16="http://schemas.microsoft.com/office/drawing/2014/chart" uri="{C3380CC4-5D6E-409C-BE32-E72D297353CC}">
              <c16:uniqueId val="{00000000-C419-42E4-A8CA-29B18E1264A7}"/>
            </c:ext>
          </c:extLst>
        </c:ser>
        <c:ser>
          <c:idx val="1"/>
          <c:order val="1"/>
          <c:tx>
            <c:strRef>
              <c:f>房源表及成交价!$X$1</c:f>
              <c:strCache>
                <c:ptCount val="1"/>
                <c:pt idx="0">
                  <c:v>差额</c:v>
                </c:pt>
              </c:strCache>
            </c:strRef>
          </c:tx>
          <c:spPr>
            <a:solidFill>
              <a:schemeClr val="accent2"/>
            </a:solidFill>
            <a:ln>
              <a:noFill/>
            </a:ln>
            <a:effectLst/>
          </c:spPr>
          <c:invertIfNegative val="0"/>
          <c:val>
            <c:numRef>
              <c:f>房源表及成交价!$X$2:$X$17</c:f>
              <c:numCache>
                <c:formatCode>General</c:formatCode>
                <c:ptCount val="16"/>
                <c:pt idx="0">
                  <c:v>1.02E-4</c:v>
                </c:pt>
                <c:pt idx="1">
                  <c:v>1.02E-4</c:v>
                </c:pt>
                <c:pt idx="2">
                  <c:v>1.02E-4</c:v>
                </c:pt>
                <c:pt idx="3">
                  <c:v>1.02E-4</c:v>
                </c:pt>
                <c:pt idx="4">
                  <c:v>1.02E-4</c:v>
                </c:pt>
                <c:pt idx="5">
                  <c:v>1.02E-4</c:v>
                </c:pt>
                <c:pt idx="6">
                  <c:v>1.02E-4</c:v>
                </c:pt>
                <c:pt idx="7">
                  <c:v>1.02E-4</c:v>
                </c:pt>
                <c:pt idx="8">
                  <c:v>1.02E-4</c:v>
                </c:pt>
                <c:pt idx="9">
                  <c:v>1.02E-4</c:v>
                </c:pt>
                <c:pt idx="10">
                  <c:v>1.02E-4</c:v>
                </c:pt>
                <c:pt idx="11">
                  <c:v>1.02E-4</c:v>
                </c:pt>
                <c:pt idx="12">
                  <c:v>1.02E-4</c:v>
                </c:pt>
                <c:pt idx="13">
                  <c:v>1.02E-4</c:v>
                </c:pt>
                <c:pt idx="14">
                  <c:v>1.02E-4</c:v>
                </c:pt>
                <c:pt idx="15">
                  <c:v>1.02E-4</c:v>
                </c:pt>
              </c:numCache>
            </c:numRef>
          </c:val>
          <c:extLst>
            <c:ext xmlns:c16="http://schemas.microsoft.com/office/drawing/2014/chart" uri="{C3380CC4-5D6E-409C-BE32-E72D297353CC}">
              <c16:uniqueId val="{00000002-C419-42E4-A8CA-29B18E1264A7}"/>
            </c:ext>
          </c:extLst>
        </c:ser>
        <c:dLbls>
          <c:showLegendKey val="0"/>
          <c:showVal val="0"/>
          <c:showCatName val="0"/>
          <c:showSerName val="0"/>
          <c:showPercent val="0"/>
          <c:showBubbleSize val="0"/>
        </c:dLbls>
        <c:gapWidth val="219"/>
        <c:overlap val="-27"/>
        <c:axId val="693760927"/>
        <c:axId val="693762591"/>
      </c:barChart>
      <c:catAx>
        <c:axId val="69376092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693762591"/>
        <c:crosses val="autoZero"/>
        <c:auto val="1"/>
        <c:lblAlgn val="ctr"/>
        <c:lblOffset val="100"/>
        <c:noMultiLvlLbl val="0"/>
      </c:catAx>
      <c:valAx>
        <c:axId val="69376259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69376092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zh-CN"/>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zh-CN"/>
        </a:p>
      </c:txPr>
    </c:title>
    <c:autoTitleDeleted val="0"/>
    <c:plotArea>
      <c:layout>
        <c:manualLayout>
          <c:layoutTarget val="inner"/>
          <c:xMode val="edge"/>
          <c:yMode val="edge"/>
          <c:x val="6.1324433211280692E-2"/>
          <c:y val="0.14570135746606336"/>
          <c:w val="0.83801864273138693"/>
          <c:h val="0.61543734634980585"/>
        </c:manualLayout>
      </c:layout>
      <c:barChart>
        <c:barDir val="col"/>
        <c:grouping val="clustered"/>
        <c:varyColors val="0"/>
        <c:dLbls>
          <c:showLegendKey val="0"/>
          <c:showVal val="0"/>
          <c:showCatName val="0"/>
          <c:showSerName val="0"/>
          <c:showPercent val="0"/>
          <c:showBubbleSize val="0"/>
        </c:dLbls>
        <c:gapWidth val="219"/>
        <c:axId val="105621200"/>
        <c:axId val="105607760"/>
        <c:extLst>
          <c:ext xmlns:c15="http://schemas.microsoft.com/office/drawing/2012/chart" uri="{02D57815-91ED-43cb-92C2-25804820EDAC}">
            <c15:filteredBarSeries>
              <c15:ser>
                <c:idx val="4"/>
                <c:order val="3"/>
                <c:tx>
                  <c:strRef>
                    <c:extLst>
                      <c:ext uri="{02D57815-91ED-43cb-92C2-25804820EDAC}">
                        <c15:formulaRef>
                          <c15:sqref>最终结果表!$S$1</c15:sqref>
                        </c15:formulaRef>
                      </c:ext>
                    </c:extLst>
                    <c:strCache>
                      <c:ptCount val="1"/>
                      <c:pt idx="0">
                        <c:v>差额与成交价占比</c:v>
                      </c:pt>
                    </c:strCache>
                  </c:strRef>
                </c:tx>
                <c:spPr>
                  <a:solidFill>
                    <a:schemeClr val="accent5"/>
                  </a:solidFill>
                  <a:ln>
                    <a:noFill/>
                  </a:ln>
                  <a:effectLst/>
                </c:spPr>
                <c:invertIfNegative val="0"/>
                <c:val>
                  <c:numRef>
                    <c:extLst>
                      <c:ext uri="{02D57815-91ED-43cb-92C2-25804820EDAC}">
                        <c15:formulaRef>
                          <c15:sqref>最终结果表!$S$2:$S$17</c15:sqref>
                        </c15:formulaRef>
                      </c:ext>
                    </c:extLst>
                    <c:numCache>
                      <c:formatCode>0.00%</c:formatCode>
                      <c:ptCount val="16"/>
                      <c:pt idx="0">
                        <c:v>0.22978751903282971</c:v>
                      </c:pt>
                      <c:pt idx="1">
                        <c:v>0.22161235686131195</c:v>
                      </c:pt>
                      <c:pt idx="2">
                        <c:v>0.23378836641995468</c:v>
                      </c:pt>
                      <c:pt idx="3">
                        <c:v>0.21045049749010078</c:v>
                      </c:pt>
                      <c:pt idx="4">
                        <c:v>0.19293308878039681</c:v>
                      </c:pt>
                      <c:pt idx="5">
                        <c:v>0.17438762639818733</c:v>
                      </c:pt>
                      <c:pt idx="6">
                        <c:v>0.16849142337019762</c:v>
                      </c:pt>
                      <c:pt idx="7">
                        <c:v>0.18543782390833721</c:v>
                      </c:pt>
                      <c:pt idx="8">
                        <c:v>0.18431811618215896</c:v>
                      </c:pt>
                      <c:pt idx="9">
                        <c:v>0.18104814702606883</c:v>
                      </c:pt>
                      <c:pt idx="10">
                        <c:v>0.17650616086612153</c:v>
                      </c:pt>
                      <c:pt idx="11">
                        <c:v>0.21230287912804138</c:v>
                      </c:pt>
                      <c:pt idx="12">
                        <c:v>0.18045559897631056</c:v>
                      </c:pt>
                      <c:pt idx="13">
                        <c:v>0.20877873211730447</c:v>
                      </c:pt>
                      <c:pt idx="14">
                        <c:v>0.21410849828961395</c:v>
                      </c:pt>
                      <c:pt idx="15">
                        <c:v>0.22751046126655139</c:v>
                      </c:pt>
                    </c:numCache>
                  </c:numRef>
                </c:val>
                <c:extLst>
                  <c:ext xmlns:c16="http://schemas.microsoft.com/office/drawing/2014/chart" uri="{C3380CC4-5D6E-409C-BE32-E72D297353CC}">
                    <c16:uniqueId val="{00000004-EFC1-451E-8C65-357CA67168D2}"/>
                  </c:ext>
                </c:extLst>
              </c15:ser>
            </c15:filteredBarSeries>
          </c:ext>
        </c:extLst>
      </c:barChart>
      <c:lineChart>
        <c:grouping val="standard"/>
        <c:varyColors val="0"/>
        <c:ser>
          <c:idx val="1"/>
          <c:order val="0"/>
          <c:tx>
            <c:strRef>
              <c:f>最终结果表!$L$1</c:f>
              <c:strCache>
                <c:ptCount val="1"/>
                <c:pt idx="0">
                  <c:v>地下1层建筑面积</c:v>
                </c:pt>
              </c:strCache>
            </c:strRef>
          </c:tx>
          <c:spPr>
            <a:ln w="28575" cap="rnd">
              <a:solidFill>
                <a:schemeClr val="accent2"/>
              </a:solidFill>
              <a:round/>
            </a:ln>
            <a:effectLst/>
          </c:spPr>
          <c:marker>
            <c:symbol val="none"/>
          </c:marker>
          <c:cat>
            <c:numRef>
              <c:f>最终结果表!$D$2:$D$17</c:f>
              <c:numCache>
                <c:formatCode>00"栋"</c:formatCode>
                <c:ptCount val="16"/>
                <c:pt idx="0">
                  <c:v>7</c:v>
                </c:pt>
                <c:pt idx="1">
                  <c:v>8</c:v>
                </c:pt>
                <c:pt idx="2">
                  <c:v>10</c:v>
                </c:pt>
                <c:pt idx="3">
                  <c:v>14</c:v>
                </c:pt>
                <c:pt idx="4">
                  <c:v>31</c:v>
                </c:pt>
                <c:pt idx="5">
                  <c:v>48</c:v>
                </c:pt>
                <c:pt idx="6">
                  <c:v>80</c:v>
                </c:pt>
                <c:pt idx="7">
                  <c:v>85</c:v>
                </c:pt>
                <c:pt idx="8">
                  <c:v>86</c:v>
                </c:pt>
                <c:pt idx="9">
                  <c:v>87</c:v>
                </c:pt>
                <c:pt idx="10">
                  <c:v>88</c:v>
                </c:pt>
                <c:pt idx="11">
                  <c:v>98</c:v>
                </c:pt>
                <c:pt idx="12">
                  <c:v>100</c:v>
                </c:pt>
                <c:pt idx="13">
                  <c:v>107</c:v>
                </c:pt>
                <c:pt idx="14">
                  <c:v>111</c:v>
                </c:pt>
                <c:pt idx="15">
                  <c:v>117</c:v>
                </c:pt>
              </c:numCache>
            </c:numRef>
          </c:cat>
          <c:val>
            <c:numRef>
              <c:f>最终结果表!$L$2:$L$17</c:f>
              <c:numCache>
                <c:formatCode>General</c:formatCode>
                <c:ptCount val="16"/>
                <c:pt idx="0">
                  <c:v>253.4</c:v>
                </c:pt>
                <c:pt idx="1">
                  <c:v>253.4</c:v>
                </c:pt>
                <c:pt idx="2">
                  <c:v>253.4</c:v>
                </c:pt>
                <c:pt idx="3">
                  <c:v>255.11</c:v>
                </c:pt>
                <c:pt idx="4">
                  <c:v>451.21</c:v>
                </c:pt>
                <c:pt idx="5">
                  <c:v>353.1</c:v>
                </c:pt>
                <c:pt idx="6">
                  <c:v>203</c:v>
                </c:pt>
                <c:pt idx="7">
                  <c:v>205.8</c:v>
                </c:pt>
                <c:pt idx="8">
                  <c:v>205.8</c:v>
                </c:pt>
                <c:pt idx="9">
                  <c:v>205.8</c:v>
                </c:pt>
                <c:pt idx="10">
                  <c:v>205.8</c:v>
                </c:pt>
                <c:pt idx="11">
                  <c:v>253.4</c:v>
                </c:pt>
                <c:pt idx="12">
                  <c:v>311.24</c:v>
                </c:pt>
                <c:pt idx="13">
                  <c:v>253.4</c:v>
                </c:pt>
                <c:pt idx="14">
                  <c:v>266.26</c:v>
                </c:pt>
                <c:pt idx="15">
                  <c:v>236</c:v>
                </c:pt>
              </c:numCache>
            </c:numRef>
          </c:val>
          <c:smooth val="0"/>
          <c:extLst>
            <c:ext xmlns:c16="http://schemas.microsoft.com/office/drawing/2014/chart" uri="{C3380CC4-5D6E-409C-BE32-E72D297353CC}">
              <c16:uniqueId val="{00000001-EFC1-451E-8C65-357CA67168D2}"/>
            </c:ext>
          </c:extLst>
        </c:ser>
        <c:ser>
          <c:idx val="3"/>
          <c:order val="2"/>
          <c:tx>
            <c:strRef>
              <c:f>最终结果表!$R$1</c:f>
              <c:strCache>
                <c:ptCount val="1"/>
                <c:pt idx="0">
                  <c:v>房屋减损额（万元）</c:v>
                </c:pt>
              </c:strCache>
            </c:strRef>
          </c:tx>
          <c:spPr>
            <a:ln w="28575" cap="rnd">
              <a:solidFill>
                <a:schemeClr val="accent4"/>
              </a:solidFill>
              <a:round/>
            </a:ln>
            <a:effectLst/>
          </c:spPr>
          <c:marker>
            <c:symbol val="none"/>
          </c:marker>
          <c:val>
            <c:numRef>
              <c:f>最终结果表!$R$2:$R$17</c:f>
              <c:numCache>
                <c:formatCode>0.0000_ </c:formatCode>
                <c:ptCount val="16"/>
                <c:pt idx="0">
                  <c:v>337.95958000000002</c:v>
                </c:pt>
                <c:pt idx="1">
                  <c:v>305.32166000000001</c:v>
                </c:pt>
                <c:pt idx="2">
                  <c:v>355.59622000000002</c:v>
                </c:pt>
                <c:pt idx="3">
                  <c:v>265.77359799999999</c:v>
                </c:pt>
                <c:pt idx="4">
                  <c:v>506.39298300000002</c:v>
                </c:pt>
                <c:pt idx="5">
                  <c:v>485.65374000000003</c:v>
                </c:pt>
                <c:pt idx="6">
                  <c:v>179.81739999999999</c:v>
                </c:pt>
                <c:pt idx="7">
                  <c:v>224.19852000000003</c:v>
                </c:pt>
                <c:pt idx="8">
                  <c:v>220.76166000000001</c:v>
                </c:pt>
                <c:pt idx="9">
                  <c:v>211.13022000000001</c:v>
                </c:pt>
                <c:pt idx="10">
                  <c:v>198.55584000000002</c:v>
                </c:pt>
                <c:pt idx="11">
                  <c:v>272.83578</c:v>
                </c:pt>
                <c:pt idx="12">
                  <c:v>327.01986800000003</c:v>
                </c:pt>
                <c:pt idx="13">
                  <c:v>261.66084000000001</c:v>
                </c:pt>
                <c:pt idx="14">
                  <c:v>270.46690799999999</c:v>
                </c:pt>
                <c:pt idx="15">
                  <c:v>351.52199999999999</c:v>
                </c:pt>
              </c:numCache>
            </c:numRef>
          </c:val>
          <c:smooth val="0"/>
          <c:extLst>
            <c:ext xmlns:c16="http://schemas.microsoft.com/office/drawing/2014/chart" uri="{C3380CC4-5D6E-409C-BE32-E72D297353CC}">
              <c16:uniqueId val="{00000003-EFC1-451E-8C65-357CA67168D2}"/>
            </c:ext>
          </c:extLst>
        </c:ser>
        <c:dLbls>
          <c:showLegendKey val="0"/>
          <c:showVal val="0"/>
          <c:showCatName val="0"/>
          <c:showSerName val="0"/>
          <c:showPercent val="0"/>
          <c:showBubbleSize val="0"/>
        </c:dLbls>
        <c:marker val="1"/>
        <c:smooth val="0"/>
        <c:axId val="105612080"/>
        <c:axId val="105608240"/>
      </c:lineChart>
      <c:lineChart>
        <c:grouping val="standard"/>
        <c:varyColors val="0"/>
        <c:ser>
          <c:idx val="2"/>
          <c:order val="1"/>
          <c:tx>
            <c:strRef>
              <c:f>最终结果表!$O$1</c:f>
              <c:strCache>
                <c:ptCount val="1"/>
                <c:pt idx="0">
                  <c:v>合同金额(万元)</c:v>
                </c:pt>
              </c:strCache>
            </c:strRef>
          </c:tx>
          <c:spPr>
            <a:ln w="28575" cap="rnd">
              <a:solidFill>
                <a:schemeClr val="accent3"/>
              </a:solidFill>
              <a:round/>
            </a:ln>
            <a:effectLst/>
          </c:spPr>
          <c:marker>
            <c:symbol val="none"/>
          </c:marker>
          <c:cat>
            <c:numRef>
              <c:f>最终结果表!$D$2:$D$17</c:f>
              <c:numCache>
                <c:formatCode>00"栋"</c:formatCode>
                <c:ptCount val="16"/>
                <c:pt idx="0">
                  <c:v>7</c:v>
                </c:pt>
                <c:pt idx="1">
                  <c:v>8</c:v>
                </c:pt>
                <c:pt idx="2">
                  <c:v>10</c:v>
                </c:pt>
                <c:pt idx="3">
                  <c:v>14</c:v>
                </c:pt>
                <c:pt idx="4">
                  <c:v>31</c:v>
                </c:pt>
                <c:pt idx="5">
                  <c:v>48</c:v>
                </c:pt>
                <c:pt idx="6">
                  <c:v>80</c:v>
                </c:pt>
                <c:pt idx="7">
                  <c:v>85</c:v>
                </c:pt>
                <c:pt idx="8">
                  <c:v>86</c:v>
                </c:pt>
                <c:pt idx="9">
                  <c:v>87</c:v>
                </c:pt>
                <c:pt idx="10">
                  <c:v>88</c:v>
                </c:pt>
                <c:pt idx="11">
                  <c:v>98</c:v>
                </c:pt>
                <c:pt idx="12">
                  <c:v>100</c:v>
                </c:pt>
                <c:pt idx="13">
                  <c:v>107</c:v>
                </c:pt>
                <c:pt idx="14">
                  <c:v>111</c:v>
                </c:pt>
                <c:pt idx="15">
                  <c:v>117</c:v>
                </c:pt>
              </c:numCache>
            </c:numRef>
          </c:cat>
          <c:val>
            <c:numRef>
              <c:f>最终结果表!$O$2:$O$17</c:f>
              <c:numCache>
                <c:formatCode>0.0000_ </c:formatCode>
                <c:ptCount val="16"/>
                <c:pt idx="0">
                  <c:v>1470.7482</c:v>
                </c:pt>
                <c:pt idx="1">
                  <c:v>1377.7284999999999</c:v>
                </c:pt>
                <c:pt idx="2">
                  <c:v>1521.0175999999999</c:v>
                </c:pt>
                <c:pt idx="3">
                  <c:v>1262.8794</c:v>
                </c:pt>
                <c:pt idx="4">
                  <c:v>2624.7078000000001</c:v>
                </c:pt>
                <c:pt idx="5">
                  <c:v>2784.9094</c:v>
                </c:pt>
                <c:pt idx="6">
                  <c:v>1067.2199000000001</c:v>
                </c:pt>
                <c:pt idx="7">
                  <c:v>1209.0226</c:v>
                </c:pt>
                <c:pt idx="8">
                  <c:v>1197.7209</c:v>
                </c:pt>
                <c:pt idx="9">
                  <c:v>1166.1550999999999</c:v>
                </c:pt>
                <c:pt idx="10">
                  <c:v>1124.923</c:v>
                </c:pt>
                <c:pt idx="11">
                  <c:v>1285.1251999999999</c:v>
                </c:pt>
                <c:pt idx="12">
                  <c:v>1812.1902</c:v>
                </c:pt>
                <c:pt idx="13">
                  <c:v>1253.2926</c:v>
                </c:pt>
                <c:pt idx="14">
                  <c:v>1263.2236</c:v>
                </c:pt>
                <c:pt idx="15">
                  <c:v>1545.0806</c:v>
                </c:pt>
              </c:numCache>
            </c:numRef>
          </c:val>
          <c:smooth val="0"/>
          <c:extLst>
            <c:ext xmlns:c16="http://schemas.microsoft.com/office/drawing/2014/chart" uri="{C3380CC4-5D6E-409C-BE32-E72D297353CC}">
              <c16:uniqueId val="{00000002-EFC1-451E-8C65-357CA67168D2}"/>
            </c:ext>
          </c:extLst>
        </c:ser>
        <c:dLbls>
          <c:showLegendKey val="0"/>
          <c:showVal val="0"/>
          <c:showCatName val="0"/>
          <c:showSerName val="0"/>
          <c:showPercent val="0"/>
          <c:showBubbleSize val="0"/>
        </c:dLbls>
        <c:marker val="1"/>
        <c:smooth val="0"/>
        <c:axId val="105621200"/>
        <c:axId val="105607760"/>
      </c:lineChart>
      <c:catAx>
        <c:axId val="105612080"/>
        <c:scaling>
          <c:orientation val="minMax"/>
        </c:scaling>
        <c:delete val="0"/>
        <c:axPos val="b"/>
        <c:numFmt formatCode="00&quot;栋&quot;"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105608240"/>
        <c:crosses val="autoZero"/>
        <c:auto val="1"/>
        <c:lblAlgn val="ctr"/>
        <c:lblOffset val="100"/>
        <c:noMultiLvlLbl val="0"/>
      </c:catAx>
      <c:valAx>
        <c:axId val="1056082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105612080"/>
        <c:crosses val="autoZero"/>
        <c:crossBetween val="between"/>
      </c:valAx>
      <c:valAx>
        <c:axId val="105607760"/>
        <c:scaling>
          <c:orientation val="minMax"/>
        </c:scaling>
        <c:delete val="0"/>
        <c:axPos val="r"/>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105621200"/>
        <c:crosses val="max"/>
        <c:crossBetween val="between"/>
      </c:valAx>
      <c:catAx>
        <c:axId val="105621200"/>
        <c:scaling>
          <c:orientation val="minMax"/>
        </c:scaling>
        <c:delete val="1"/>
        <c:axPos val="b"/>
        <c:numFmt formatCode="00&quot;栋&quot;" sourceLinked="1"/>
        <c:majorTickMark val="out"/>
        <c:minorTickMark val="none"/>
        <c:tickLblPos val="nextTo"/>
        <c:crossAx val="105607760"/>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zh-CN"/>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1"/>
          <c:order val="0"/>
          <c:tx>
            <c:strRef>
              <c:f>最终结果表!$O$1</c:f>
              <c:strCache>
                <c:ptCount val="1"/>
                <c:pt idx="0">
                  <c:v>合同金额(万元)</c:v>
                </c:pt>
              </c:strCache>
            </c:strRef>
          </c:tx>
          <c:spPr>
            <a:ln w="28575" cap="rnd">
              <a:solidFill>
                <a:schemeClr val="accent2"/>
              </a:solidFill>
              <a:round/>
            </a:ln>
            <a:effectLst/>
          </c:spPr>
          <c:marker>
            <c:symbol val="none"/>
          </c:marker>
          <c:cat>
            <c:numRef>
              <c:f>最终结果表!$D$2:$D$17</c:f>
              <c:numCache>
                <c:formatCode>00"栋"</c:formatCode>
                <c:ptCount val="16"/>
                <c:pt idx="0">
                  <c:v>7</c:v>
                </c:pt>
                <c:pt idx="1">
                  <c:v>8</c:v>
                </c:pt>
                <c:pt idx="2">
                  <c:v>10</c:v>
                </c:pt>
                <c:pt idx="3">
                  <c:v>14</c:v>
                </c:pt>
                <c:pt idx="4">
                  <c:v>31</c:v>
                </c:pt>
                <c:pt idx="5">
                  <c:v>48</c:v>
                </c:pt>
                <c:pt idx="6">
                  <c:v>80</c:v>
                </c:pt>
                <c:pt idx="7">
                  <c:v>85</c:v>
                </c:pt>
                <c:pt idx="8">
                  <c:v>86</c:v>
                </c:pt>
                <c:pt idx="9">
                  <c:v>87</c:v>
                </c:pt>
                <c:pt idx="10">
                  <c:v>88</c:v>
                </c:pt>
                <c:pt idx="11">
                  <c:v>98</c:v>
                </c:pt>
                <c:pt idx="12">
                  <c:v>100</c:v>
                </c:pt>
                <c:pt idx="13">
                  <c:v>107</c:v>
                </c:pt>
                <c:pt idx="14">
                  <c:v>111</c:v>
                </c:pt>
                <c:pt idx="15">
                  <c:v>117</c:v>
                </c:pt>
              </c:numCache>
            </c:numRef>
          </c:cat>
          <c:val>
            <c:numRef>
              <c:f>最终结果表!$O$2:$O$17</c:f>
              <c:numCache>
                <c:formatCode>0.0000_ </c:formatCode>
                <c:ptCount val="16"/>
                <c:pt idx="0">
                  <c:v>1470.7482</c:v>
                </c:pt>
                <c:pt idx="1">
                  <c:v>1377.7284999999999</c:v>
                </c:pt>
                <c:pt idx="2">
                  <c:v>1521.0175999999999</c:v>
                </c:pt>
                <c:pt idx="3">
                  <c:v>1262.8794</c:v>
                </c:pt>
                <c:pt idx="4">
                  <c:v>2624.7078000000001</c:v>
                </c:pt>
                <c:pt idx="5">
                  <c:v>2784.9094</c:v>
                </c:pt>
                <c:pt idx="6">
                  <c:v>1067.2199000000001</c:v>
                </c:pt>
                <c:pt idx="7">
                  <c:v>1209.0226</c:v>
                </c:pt>
                <c:pt idx="8">
                  <c:v>1197.7209</c:v>
                </c:pt>
                <c:pt idx="9">
                  <c:v>1166.1550999999999</c:v>
                </c:pt>
                <c:pt idx="10">
                  <c:v>1124.923</c:v>
                </c:pt>
                <c:pt idx="11">
                  <c:v>1285.1251999999999</c:v>
                </c:pt>
                <c:pt idx="12">
                  <c:v>1812.1902</c:v>
                </c:pt>
                <c:pt idx="13">
                  <c:v>1253.2926</c:v>
                </c:pt>
                <c:pt idx="14">
                  <c:v>1263.2236</c:v>
                </c:pt>
                <c:pt idx="15">
                  <c:v>1545.0806</c:v>
                </c:pt>
              </c:numCache>
            </c:numRef>
          </c:val>
          <c:smooth val="0"/>
          <c:extLst>
            <c:ext xmlns:c16="http://schemas.microsoft.com/office/drawing/2014/chart" uri="{C3380CC4-5D6E-409C-BE32-E72D297353CC}">
              <c16:uniqueId val="{00000001-6887-4664-83B2-885200F18663}"/>
            </c:ext>
          </c:extLst>
        </c:ser>
        <c:ser>
          <c:idx val="2"/>
          <c:order val="1"/>
          <c:tx>
            <c:strRef>
              <c:f>最终结果表!$R$1</c:f>
              <c:strCache>
                <c:ptCount val="1"/>
                <c:pt idx="0">
                  <c:v>房屋减损额（万元）</c:v>
                </c:pt>
              </c:strCache>
            </c:strRef>
          </c:tx>
          <c:spPr>
            <a:ln w="28575" cap="rnd">
              <a:solidFill>
                <a:schemeClr val="accent3"/>
              </a:solidFill>
              <a:round/>
            </a:ln>
            <a:effectLst/>
          </c:spPr>
          <c:marker>
            <c:symbol val="none"/>
          </c:marker>
          <c:cat>
            <c:numRef>
              <c:f>最终结果表!$D$2:$D$17</c:f>
              <c:numCache>
                <c:formatCode>00"栋"</c:formatCode>
                <c:ptCount val="16"/>
                <c:pt idx="0">
                  <c:v>7</c:v>
                </c:pt>
                <c:pt idx="1">
                  <c:v>8</c:v>
                </c:pt>
                <c:pt idx="2">
                  <c:v>10</c:v>
                </c:pt>
                <c:pt idx="3">
                  <c:v>14</c:v>
                </c:pt>
                <c:pt idx="4">
                  <c:v>31</c:v>
                </c:pt>
                <c:pt idx="5">
                  <c:v>48</c:v>
                </c:pt>
                <c:pt idx="6">
                  <c:v>80</c:v>
                </c:pt>
                <c:pt idx="7">
                  <c:v>85</c:v>
                </c:pt>
                <c:pt idx="8">
                  <c:v>86</c:v>
                </c:pt>
                <c:pt idx="9">
                  <c:v>87</c:v>
                </c:pt>
                <c:pt idx="10">
                  <c:v>88</c:v>
                </c:pt>
                <c:pt idx="11">
                  <c:v>98</c:v>
                </c:pt>
                <c:pt idx="12">
                  <c:v>100</c:v>
                </c:pt>
                <c:pt idx="13">
                  <c:v>107</c:v>
                </c:pt>
                <c:pt idx="14">
                  <c:v>111</c:v>
                </c:pt>
                <c:pt idx="15">
                  <c:v>117</c:v>
                </c:pt>
              </c:numCache>
            </c:numRef>
          </c:cat>
          <c:val>
            <c:numRef>
              <c:f>最终结果表!$R$2:$R$17</c:f>
              <c:numCache>
                <c:formatCode>0.0000_ </c:formatCode>
                <c:ptCount val="16"/>
                <c:pt idx="0">
                  <c:v>337.95958000000002</c:v>
                </c:pt>
                <c:pt idx="1">
                  <c:v>305.32166000000001</c:v>
                </c:pt>
                <c:pt idx="2">
                  <c:v>355.59622000000002</c:v>
                </c:pt>
                <c:pt idx="3">
                  <c:v>265.77359799999999</c:v>
                </c:pt>
                <c:pt idx="4">
                  <c:v>506.39298300000002</c:v>
                </c:pt>
                <c:pt idx="5">
                  <c:v>485.65374000000003</c:v>
                </c:pt>
                <c:pt idx="6">
                  <c:v>179.81739999999999</c:v>
                </c:pt>
                <c:pt idx="7">
                  <c:v>224.19852000000003</c:v>
                </c:pt>
                <c:pt idx="8">
                  <c:v>220.76166000000001</c:v>
                </c:pt>
                <c:pt idx="9">
                  <c:v>211.13022000000001</c:v>
                </c:pt>
                <c:pt idx="10">
                  <c:v>198.55584000000002</c:v>
                </c:pt>
                <c:pt idx="11">
                  <c:v>272.83578</c:v>
                </c:pt>
                <c:pt idx="12">
                  <c:v>327.01986800000003</c:v>
                </c:pt>
                <c:pt idx="13">
                  <c:v>261.66084000000001</c:v>
                </c:pt>
                <c:pt idx="14">
                  <c:v>270.46690799999999</c:v>
                </c:pt>
                <c:pt idx="15">
                  <c:v>351.52199999999999</c:v>
                </c:pt>
              </c:numCache>
            </c:numRef>
          </c:val>
          <c:smooth val="0"/>
          <c:extLst>
            <c:ext xmlns:c16="http://schemas.microsoft.com/office/drawing/2014/chart" uri="{C3380CC4-5D6E-409C-BE32-E72D297353CC}">
              <c16:uniqueId val="{00000002-6887-4664-83B2-885200F18663}"/>
            </c:ext>
          </c:extLst>
        </c:ser>
        <c:dLbls>
          <c:showLegendKey val="0"/>
          <c:showVal val="0"/>
          <c:showCatName val="0"/>
          <c:showSerName val="0"/>
          <c:showPercent val="0"/>
          <c:showBubbleSize val="0"/>
        </c:dLbls>
        <c:smooth val="0"/>
        <c:axId val="333671648"/>
        <c:axId val="333694688"/>
      </c:lineChart>
      <c:catAx>
        <c:axId val="333671648"/>
        <c:scaling>
          <c:orientation val="minMax"/>
        </c:scaling>
        <c:delete val="0"/>
        <c:axPos val="b"/>
        <c:numFmt formatCode="00&quot;栋&quot;"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333694688"/>
        <c:crosses val="autoZero"/>
        <c:auto val="1"/>
        <c:lblAlgn val="ctr"/>
        <c:lblOffset val="100"/>
        <c:noMultiLvlLbl val="0"/>
      </c:catAx>
      <c:valAx>
        <c:axId val="333694688"/>
        <c:scaling>
          <c:orientation val="minMax"/>
        </c:scaling>
        <c:delete val="0"/>
        <c:axPos val="l"/>
        <c:majorGridlines>
          <c:spPr>
            <a:ln w="9525" cap="flat" cmpd="sng" algn="ctr">
              <a:solidFill>
                <a:schemeClr val="tx1">
                  <a:lumMod val="15000"/>
                  <a:lumOff val="85000"/>
                </a:schemeClr>
              </a:solidFill>
              <a:round/>
            </a:ln>
            <a:effectLst/>
          </c:spPr>
        </c:majorGridlines>
        <c:numFmt formatCode="0.0000_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3336716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zh-CN"/>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2"/>
          <c:order val="1"/>
          <c:tx>
            <c:strRef>
              <c:f>最终结果表!$R$1</c:f>
              <c:strCache>
                <c:ptCount val="1"/>
                <c:pt idx="0">
                  <c:v>房屋减损额（万元）</c:v>
                </c:pt>
              </c:strCache>
            </c:strRef>
          </c:tx>
          <c:spPr>
            <a:ln w="28575" cap="rnd">
              <a:solidFill>
                <a:schemeClr val="accent3"/>
              </a:solidFill>
              <a:round/>
            </a:ln>
            <a:effectLst/>
          </c:spPr>
          <c:marker>
            <c:symbol val="none"/>
          </c:marker>
          <c:cat>
            <c:numRef>
              <c:f>最终结果表!$D$2:$D$17</c:f>
              <c:numCache>
                <c:formatCode>00"栋"</c:formatCode>
                <c:ptCount val="16"/>
                <c:pt idx="0">
                  <c:v>7</c:v>
                </c:pt>
                <c:pt idx="1">
                  <c:v>8</c:v>
                </c:pt>
                <c:pt idx="2">
                  <c:v>10</c:v>
                </c:pt>
                <c:pt idx="3">
                  <c:v>14</c:v>
                </c:pt>
                <c:pt idx="4">
                  <c:v>31</c:v>
                </c:pt>
                <c:pt idx="5">
                  <c:v>48</c:v>
                </c:pt>
                <c:pt idx="6">
                  <c:v>80</c:v>
                </c:pt>
                <c:pt idx="7">
                  <c:v>85</c:v>
                </c:pt>
                <c:pt idx="8">
                  <c:v>86</c:v>
                </c:pt>
                <c:pt idx="9">
                  <c:v>87</c:v>
                </c:pt>
                <c:pt idx="10">
                  <c:v>88</c:v>
                </c:pt>
                <c:pt idx="11">
                  <c:v>98</c:v>
                </c:pt>
                <c:pt idx="12">
                  <c:v>100</c:v>
                </c:pt>
                <c:pt idx="13">
                  <c:v>107</c:v>
                </c:pt>
                <c:pt idx="14">
                  <c:v>111</c:v>
                </c:pt>
                <c:pt idx="15">
                  <c:v>117</c:v>
                </c:pt>
              </c:numCache>
            </c:numRef>
          </c:cat>
          <c:val>
            <c:numRef>
              <c:f>最终结果表!$R$2:$R$17</c:f>
              <c:numCache>
                <c:formatCode>0.0000_ </c:formatCode>
                <c:ptCount val="16"/>
                <c:pt idx="0">
                  <c:v>337.95958000000002</c:v>
                </c:pt>
                <c:pt idx="1">
                  <c:v>305.32166000000001</c:v>
                </c:pt>
                <c:pt idx="2">
                  <c:v>355.59622000000002</c:v>
                </c:pt>
                <c:pt idx="3">
                  <c:v>265.77359799999999</c:v>
                </c:pt>
                <c:pt idx="4">
                  <c:v>506.39298300000002</c:v>
                </c:pt>
                <c:pt idx="5">
                  <c:v>485.65374000000003</c:v>
                </c:pt>
                <c:pt idx="6">
                  <c:v>179.81739999999999</c:v>
                </c:pt>
                <c:pt idx="7">
                  <c:v>224.19852000000003</c:v>
                </c:pt>
                <c:pt idx="8">
                  <c:v>220.76166000000001</c:v>
                </c:pt>
                <c:pt idx="9">
                  <c:v>211.13022000000001</c:v>
                </c:pt>
                <c:pt idx="10">
                  <c:v>198.55584000000002</c:v>
                </c:pt>
                <c:pt idx="11">
                  <c:v>272.83578</c:v>
                </c:pt>
                <c:pt idx="12">
                  <c:v>327.01986800000003</c:v>
                </c:pt>
                <c:pt idx="13">
                  <c:v>261.66084000000001</c:v>
                </c:pt>
                <c:pt idx="14">
                  <c:v>270.46690799999999</c:v>
                </c:pt>
                <c:pt idx="15">
                  <c:v>351.52199999999999</c:v>
                </c:pt>
              </c:numCache>
            </c:numRef>
          </c:val>
          <c:smooth val="0"/>
          <c:extLst>
            <c:ext xmlns:c16="http://schemas.microsoft.com/office/drawing/2014/chart" uri="{C3380CC4-5D6E-409C-BE32-E72D297353CC}">
              <c16:uniqueId val="{00000001-16BE-44A6-A6E5-538BC3821B92}"/>
            </c:ext>
          </c:extLst>
        </c:ser>
        <c:ser>
          <c:idx val="0"/>
          <c:order val="2"/>
          <c:tx>
            <c:strRef>
              <c:f>最终结果表!$M$1</c:f>
              <c:strCache>
                <c:ptCount val="1"/>
                <c:pt idx="0">
                  <c:v>总建筑面积</c:v>
                </c:pt>
              </c:strCache>
            </c:strRef>
          </c:tx>
          <c:spPr>
            <a:ln w="28575" cap="rnd">
              <a:solidFill>
                <a:schemeClr val="accent1"/>
              </a:solidFill>
              <a:round/>
            </a:ln>
            <a:effectLst/>
          </c:spPr>
          <c:marker>
            <c:symbol val="none"/>
          </c:marker>
          <c:cat>
            <c:numRef>
              <c:f>最终结果表!$D$2:$D$17</c:f>
              <c:numCache>
                <c:formatCode>00"栋"</c:formatCode>
                <c:ptCount val="16"/>
                <c:pt idx="0">
                  <c:v>7</c:v>
                </c:pt>
                <c:pt idx="1">
                  <c:v>8</c:v>
                </c:pt>
                <c:pt idx="2">
                  <c:v>10</c:v>
                </c:pt>
                <c:pt idx="3">
                  <c:v>14</c:v>
                </c:pt>
                <c:pt idx="4">
                  <c:v>31</c:v>
                </c:pt>
                <c:pt idx="5">
                  <c:v>48</c:v>
                </c:pt>
                <c:pt idx="6">
                  <c:v>80</c:v>
                </c:pt>
                <c:pt idx="7">
                  <c:v>85</c:v>
                </c:pt>
                <c:pt idx="8">
                  <c:v>86</c:v>
                </c:pt>
                <c:pt idx="9">
                  <c:v>87</c:v>
                </c:pt>
                <c:pt idx="10">
                  <c:v>88</c:v>
                </c:pt>
                <c:pt idx="11">
                  <c:v>98</c:v>
                </c:pt>
                <c:pt idx="12">
                  <c:v>100</c:v>
                </c:pt>
                <c:pt idx="13">
                  <c:v>107</c:v>
                </c:pt>
                <c:pt idx="14">
                  <c:v>111</c:v>
                </c:pt>
                <c:pt idx="15">
                  <c:v>117</c:v>
                </c:pt>
              </c:numCache>
            </c:numRef>
          </c:cat>
          <c:val>
            <c:numRef>
              <c:f>最终结果表!$M$2:$M$17</c:f>
              <c:numCache>
                <c:formatCode>General</c:formatCode>
                <c:ptCount val="16"/>
                <c:pt idx="0">
                  <c:v>447.47</c:v>
                </c:pt>
                <c:pt idx="1">
                  <c:v>447.47</c:v>
                </c:pt>
                <c:pt idx="2">
                  <c:v>447.47</c:v>
                </c:pt>
                <c:pt idx="3">
                  <c:v>449.18</c:v>
                </c:pt>
                <c:pt idx="4">
                  <c:v>785.45</c:v>
                </c:pt>
                <c:pt idx="5">
                  <c:v>687.34</c:v>
                </c:pt>
                <c:pt idx="6">
                  <c:v>397.07</c:v>
                </c:pt>
                <c:pt idx="7">
                  <c:v>399.87</c:v>
                </c:pt>
                <c:pt idx="8">
                  <c:v>399.87</c:v>
                </c:pt>
                <c:pt idx="9">
                  <c:v>399.87</c:v>
                </c:pt>
                <c:pt idx="10">
                  <c:v>399.87</c:v>
                </c:pt>
                <c:pt idx="11">
                  <c:v>447.47</c:v>
                </c:pt>
                <c:pt idx="12">
                  <c:v>557.32000000000005</c:v>
                </c:pt>
                <c:pt idx="13">
                  <c:v>447.47</c:v>
                </c:pt>
                <c:pt idx="14">
                  <c:v>460.33</c:v>
                </c:pt>
                <c:pt idx="15">
                  <c:v>430.07</c:v>
                </c:pt>
              </c:numCache>
            </c:numRef>
          </c:val>
          <c:smooth val="0"/>
          <c:extLst>
            <c:ext xmlns:c16="http://schemas.microsoft.com/office/drawing/2014/chart" uri="{C3380CC4-5D6E-409C-BE32-E72D297353CC}">
              <c16:uniqueId val="{00000002-16BE-44A6-A6E5-538BC3821B92}"/>
            </c:ext>
          </c:extLst>
        </c:ser>
        <c:dLbls>
          <c:showLegendKey val="0"/>
          <c:showVal val="0"/>
          <c:showCatName val="0"/>
          <c:showSerName val="0"/>
          <c:showPercent val="0"/>
          <c:showBubbleSize val="0"/>
        </c:dLbls>
        <c:smooth val="0"/>
        <c:axId val="333671648"/>
        <c:axId val="333694688"/>
        <c:extLst>
          <c:ext xmlns:c15="http://schemas.microsoft.com/office/drawing/2012/chart" uri="{02D57815-91ED-43cb-92C2-25804820EDAC}">
            <c15:filteredLineSeries>
              <c15:ser>
                <c:idx val="1"/>
                <c:order val="0"/>
                <c:tx>
                  <c:strRef>
                    <c:extLst>
                      <c:ext uri="{02D57815-91ED-43cb-92C2-25804820EDAC}">
                        <c15:formulaRef>
                          <c15:sqref>最终结果表!$O$1</c15:sqref>
                        </c15:formulaRef>
                      </c:ext>
                    </c:extLst>
                    <c:strCache>
                      <c:ptCount val="1"/>
                      <c:pt idx="0">
                        <c:v>合同金额(万元)</c:v>
                      </c:pt>
                    </c:strCache>
                  </c:strRef>
                </c:tx>
                <c:spPr>
                  <a:ln w="28575" cap="rnd">
                    <a:solidFill>
                      <a:schemeClr val="accent2"/>
                    </a:solidFill>
                    <a:round/>
                  </a:ln>
                  <a:effectLst/>
                </c:spPr>
                <c:marker>
                  <c:symbol val="none"/>
                </c:marker>
                <c:cat>
                  <c:numRef>
                    <c:extLst>
                      <c:ext uri="{02D57815-91ED-43cb-92C2-25804820EDAC}">
                        <c15:formulaRef>
                          <c15:sqref>最终结果表!$D$2:$D$17</c15:sqref>
                        </c15:formulaRef>
                      </c:ext>
                    </c:extLst>
                    <c:numCache>
                      <c:formatCode>00"栋"</c:formatCode>
                      <c:ptCount val="16"/>
                      <c:pt idx="0">
                        <c:v>7</c:v>
                      </c:pt>
                      <c:pt idx="1">
                        <c:v>8</c:v>
                      </c:pt>
                      <c:pt idx="2">
                        <c:v>10</c:v>
                      </c:pt>
                      <c:pt idx="3">
                        <c:v>14</c:v>
                      </c:pt>
                      <c:pt idx="4">
                        <c:v>31</c:v>
                      </c:pt>
                      <c:pt idx="5">
                        <c:v>48</c:v>
                      </c:pt>
                      <c:pt idx="6">
                        <c:v>80</c:v>
                      </c:pt>
                      <c:pt idx="7">
                        <c:v>85</c:v>
                      </c:pt>
                      <c:pt idx="8">
                        <c:v>86</c:v>
                      </c:pt>
                      <c:pt idx="9">
                        <c:v>87</c:v>
                      </c:pt>
                      <c:pt idx="10">
                        <c:v>88</c:v>
                      </c:pt>
                      <c:pt idx="11">
                        <c:v>98</c:v>
                      </c:pt>
                      <c:pt idx="12">
                        <c:v>100</c:v>
                      </c:pt>
                      <c:pt idx="13">
                        <c:v>107</c:v>
                      </c:pt>
                      <c:pt idx="14">
                        <c:v>111</c:v>
                      </c:pt>
                      <c:pt idx="15">
                        <c:v>117</c:v>
                      </c:pt>
                    </c:numCache>
                  </c:numRef>
                </c:cat>
                <c:val>
                  <c:numRef>
                    <c:extLst>
                      <c:ext uri="{02D57815-91ED-43cb-92C2-25804820EDAC}">
                        <c15:formulaRef>
                          <c15:sqref>最终结果表!$O$2:$O$17</c15:sqref>
                        </c15:formulaRef>
                      </c:ext>
                    </c:extLst>
                    <c:numCache>
                      <c:formatCode>0.0000_ </c:formatCode>
                      <c:ptCount val="16"/>
                      <c:pt idx="0">
                        <c:v>1470.7482</c:v>
                      </c:pt>
                      <c:pt idx="1">
                        <c:v>1377.7284999999999</c:v>
                      </c:pt>
                      <c:pt idx="2">
                        <c:v>1521.0175999999999</c:v>
                      </c:pt>
                      <c:pt idx="3">
                        <c:v>1262.8794</c:v>
                      </c:pt>
                      <c:pt idx="4">
                        <c:v>2624.7078000000001</c:v>
                      </c:pt>
                      <c:pt idx="5">
                        <c:v>2784.9094</c:v>
                      </c:pt>
                      <c:pt idx="6">
                        <c:v>1067.2199000000001</c:v>
                      </c:pt>
                      <c:pt idx="7">
                        <c:v>1209.0226</c:v>
                      </c:pt>
                      <c:pt idx="8">
                        <c:v>1197.7209</c:v>
                      </c:pt>
                      <c:pt idx="9">
                        <c:v>1166.1550999999999</c:v>
                      </c:pt>
                      <c:pt idx="10">
                        <c:v>1124.923</c:v>
                      </c:pt>
                      <c:pt idx="11">
                        <c:v>1285.1251999999999</c:v>
                      </c:pt>
                      <c:pt idx="12">
                        <c:v>1812.1902</c:v>
                      </c:pt>
                      <c:pt idx="13">
                        <c:v>1253.2926</c:v>
                      </c:pt>
                      <c:pt idx="14">
                        <c:v>1263.2236</c:v>
                      </c:pt>
                      <c:pt idx="15">
                        <c:v>1545.0806</c:v>
                      </c:pt>
                    </c:numCache>
                  </c:numRef>
                </c:val>
                <c:smooth val="0"/>
                <c:extLst>
                  <c:ext xmlns:c16="http://schemas.microsoft.com/office/drawing/2014/chart" uri="{C3380CC4-5D6E-409C-BE32-E72D297353CC}">
                    <c16:uniqueId val="{00000000-16BE-44A6-A6E5-538BC3821B92}"/>
                  </c:ext>
                </c:extLst>
              </c15:ser>
            </c15:filteredLineSeries>
          </c:ext>
        </c:extLst>
      </c:lineChart>
      <c:catAx>
        <c:axId val="333671648"/>
        <c:scaling>
          <c:orientation val="minMax"/>
        </c:scaling>
        <c:delete val="0"/>
        <c:axPos val="b"/>
        <c:numFmt formatCode="00&quot;栋&quot;"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333694688"/>
        <c:crosses val="autoZero"/>
        <c:auto val="1"/>
        <c:lblAlgn val="ctr"/>
        <c:lblOffset val="100"/>
        <c:noMultiLvlLbl val="0"/>
      </c:catAx>
      <c:valAx>
        <c:axId val="333694688"/>
        <c:scaling>
          <c:orientation val="minMax"/>
        </c:scaling>
        <c:delete val="0"/>
        <c:axPos val="l"/>
        <c:majorGridlines>
          <c:spPr>
            <a:ln w="9525" cap="flat" cmpd="sng" algn="ctr">
              <a:solidFill>
                <a:schemeClr val="tx1">
                  <a:lumMod val="15000"/>
                  <a:lumOff val="85000"/>
                </a:schemeClr>
              </a:solidFill>
              <a:round/>
            </a:ln>
            <a:effectLst/>
          </c:spPr>
        </c:majorGridlines>
        <c:numFmt formatCode="0.0000_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3336716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zh-CN"/>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zh-CN"/>
        </a:p>
      </c:txPr>
    </c:title>
    <c:autoTitleDeleted val="0"/>
    <c:plotArea>
      <c:layout>
        <c:manualLayout>
          <c:layoutTarget val="inner"/>
          <c:xMode val="edge"/>
          <c:yMode val="edge"/>
          <c:x val="8.2942161607002421E-2"/>
          <c:y val="0.17812848260277625"/>
          <c:w val="0.90676573183933673"/>
          <c:h val="0.54295731750108778"/>
        </c:manualLayout>
      </c:layout>
      <c:lineChart>
        <c:grouping val="standard"/>
        <c:varyColors val="0"/>
        <c:ser>
          <c:idx val="0"/>
          <c:order val="0"/>
          <c:tx>
            <c:strRef>
              <c:f>'194户型成交走势'!$R$1</c:f>
              <c:strCache>
                <c:ptCount val="1"/>
                <c:pt idx="0">
                  <c:v>成交单价(元/㎡)</c:v>
                </c:pt>
              </c:strCache>
            </c:strRef>
          </c:tx>
          <c:spPr>
            <a:ln w="28575" cap="rnd">
              <a:solidFill>
                <a:schemeClr val="accent1"/>
              </a:solidFill>
              <a:round/>
            </a:ln>
            <a:effectLst/>
          </c:spPr>
          <c:marker>
            <c:symbol val="none"/>
          </c:marker>
          <c:cat>
            <c:numRef>
              <c:f>'194户型成交走势'!$P$2:$P$14</c:f>
              <c:numCache>
                <c:formatCode>m/d/yyyy</c:formatCode>
                <c:ptCount val="13"/>
                <c:pt idx="0">
                  <c:v>44487</c:v>
                </c:pt>
                <c:pt idx="1">
                  <c:v>44526</c:v>
                </c:pt>
                <c:pt idx="2">
                  <c:v>44487</c:v>
                </c:pt>
                <c:pt idx="3">
                  <c:v>44487</c:v>
                </c:pt>
                <c:pt idx="4">
                  <c:v>44578</c:v>
                </c:pt>
                <c:pt idx="5">
                  <c:v>44526</c:v>
                </c:pt>
                <c:pt idx="6">
                  <c:v>44487</c:v>
                </c:pt>
                <c:pt idx="7">
                  <c:v>44578</c:v>
                </c:pt>
                <c:pt idx="8">
                  <c:v>44578</c:v>
                </c:pt>
                <c:pt idx="9">
                  <c:v>44526</c:v>
                </c:pt>
                <c:pt idx="10">
                  <c:v>44578</c:v>
                </c:pt>
                <c:pt idx="11">
                  <c:v>44578</c:v>
                </c:pt>
                <c:pt idx="12">
                  <c:v>0</c:v>
                </c:pt>
              </c:numCache>
            </c:numRef>
          </c:cat>
          <c:val>
            <c:numRef>
              <c:f>'194户型成交走势'!$R$2:$R$14</c:f>
              <c:numCache>
                <c:formatCode>0_ </c:formatCode>
                <c:ptCount val="13"/>
                <c:pt idx="0">
                  <c:v>995105.81714975298</c:v>
                </c:pt>
                <c:pt idx="1">
                  <c:v>1119938.9801685549</c:v>
                </c:pt>
                <c:pt idx="2">
                  <c:v>1001005.6540103247</c:v>
                </c:pt>
                <c:pt idx="3">
                  <c:v>975191.71029478859</c:v>
                </c:pt>
                <c:pt idx="4">
                  <c:v>1005229.4008536885</c:v>
                </c:pt>
                <c:pt idx="5">
                  <c:v>1125715.8576537373</c:v>
                </c:pt>
                <c:pt idx="6">
                  <c:v>1047364.3825423769</c:v>
                </c:pt>
                <c:pt idx="7">
                  <c:v>1128566.7842048665</c:v>
                </c:pt>
                <c:pt idx="8">
                  <c:v>1005298.5440135357</c:v>
                </c:pt>
                <c:pt idx="9">
                  <c:v>1129417.0605446771</c:v>
                </c:pt>
                <c:pt idx="10">
                  <c:v>1137683.5318709547</c:v>
                </c:pt>
                <c:pt idx="11">
                  <c:v>1012805.327731468</c:v>
                </c:pt>
                <c:pt idx="12">
                  <c:v>1015621.1589603771</c:v>
                </c:pt>
              </c:numCache>
            </c:numRef>
          </c:val>
          <c:smooth val="0"/>
          <c:extLst>
            <c:ext xmlns:c16="http://schemas.microsoft.com/office/drawing/2014/chart" uri="{C3380CC4-5D6E-409C-BE32-E72D297353CC}">
              <c16:uniqueId val="{00000000-83B9-4F1B-97C2-FD37DC23AE0B}"/>
            </c:ext>
          </c:extLst>
        </c:ser>
        <c:dLbls>
          <c:showLegendKey val="0"/>
          <c:showVal val="0"/>
          <c:showCatName val="0"/>
          <c:showSerName val="0"/>
          <c:showPercent val="0"/>
          <c:showBubbleSize val="0"/>
        </c:dLbls>
        <c:smooth val="0"/>
        <c:axId val="361190144"/>
        <c:axId val="361192064"/>
      </c:lineChart>
      <c:dateAx>
        <c:axId val="361190144"/>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361192064"/>
        <c:crosses val="autoZero"/>
        <c:auto val="1"/>
        <c:lblOffset val="100"/>
        <c:baseTimeUnit val="days"/>
      </c:dateAx>
      <c:valAx>
        <c:axId val="361192064"/>
        <c:scaling>
          <c:orientation val="minMax"/>
        </c:scaling>
        <c:delete val="0"/>
        <c:axPos val="l"/>
        <c:majorGridlines>
          <c:spPr>
            <a:ln w="9525" cap="flat" cmpd="sng" algn="ctr">
              <a:solidFill>
                <a:schemeClr val="tx1">
                  <a:lumMod val="15000"/>
                  <a:lumOff val="85000"/>
                </a:schemeClr>
              </a:solidFill>
              <a:round/>
            </a:ln>
            <a:effectLst/>
          </c:spPr>
        </c:majorGridlines>
        <c:numFmt formatCode="0_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361190144"/>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zh-CN"/>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zh-CN"/>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18" Type="http://schemas.openxmlformats.org/officeDocument/2006/relationships/image" Target="../media/image20.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17" Type="http://schemas.openxmlformats.org/officeDocument/2006/relationships/image" Target="../media/image19.png"/><Relationship Id="rId2" Type="http://schemas.openxmlformats.org/officeDocument/2006/relationships/image" Target="../media/image4.png"/><Relationship Id="rId16" Type="http://schemas.openxmlformats.org/officeDocument/2006/relationships/image" Target="../media/image18.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5" Type="http://schemas.openxmlformats.org/officeDocument/2006/relationships/image" Target="../media/image17.png"/><Relationship Id="rId10" Type="http://schemas.openxmlformats.org/officeDocument/2006/relationships/image" Target="../media/image12.png"/><Relationship Id="rId19" Type="http://schemas.openxmlformats.org/officeDocument/2006/relationships/image" Target="../media/image21.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s>
</file>

<file path=xl/drawings/_rels/drawing2.xml.rels><?xml version="1.0" encoding="UTF-8" standalone="yes"?>
<Relationships xmlns="http://schemas.openxmlformats.org/package/2006/relationships"><Relationship Id="rId2" Type="http://schemas.openxmlformats.org/officeDocument/2006/relationships/chart" Target="../charts/chart1.xml"/><Relationship Id="rId1" Type="http://schemas.openxmlformats.org/officeDocument/2006/relationships/image" Target="../media/image21.png"/></Relationships>
</file>

<file path=xl/drawings/_rels/drawing3.xml.rels><?xml version="1.0" encoding="UTF-8" standalone="yes"?>
<Relationships xmlns="http://schemas.openxmlformats.org/package/2006/relationships"><Relationship Id="rId3" Type="http://schemas.openxmlformats.org/officeDocument/2006/relationships/chart" Target="../charts/chart4.xml"/><Relationship Id="rId2" Type="http://schemas.openxmlformats.org/officeDocument/2006/relationships/chart" Target="../charts/chart3.xml"/><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2" Type="http://schemas.openxmlformats.org/officeDocument/2006/relationships/image" Target="../media/image23.png"/><Relationship Id="rId1" Type="http://schemas.openxmlformats.org/officeDocument/2006/relationships/image" Target="../media/image22.png"/></Relationships>
</file>

<file path=xl/drawings/_rels/drawing5.xml.rels><?xml version="1.0" encoding="UTF-8" standalone="yes"?>
<Relationships xmlns="http://schemas.openxmlformats.org/package/2006/relationships"><Relationship Id="rId3" Type="http://schemas.openxmlformats.org/officeDocument/2006/relationships/image" Target="../media/image26.png"/><Relationship Id="rId2" Type="http://schemas.openxmlformats.org/officeDocument/2006/relationships/image" Target="../media/image25.png"/><Relationship Id="rId1" Type="http://schemas.openxmlformats.org/officeDocument/2006/relationships/image" Target="../media/image24.png"/></Relationships>
</file>

<file path=xl/drawings/_rels/drawing6.xml.rels><?xml version="1.0" encoding="UTF-8" standalone="yes"?>
<Relationships xmlns="http://schemas.openxmlformats.org/package/2006/relationships"><Relationship Id="rId1" Type="http://schemas.openxmlformats.org/officeDocument/2006/relationships/chart" Target="../charts/chart5.xml"/></Relationships>
</file>

<file path=xl/drawings/_rels/drawing7.xml.rels><?xml version="1.0" encoding="UTF-8" standalone="yes"?>
<Relationships xmlns="http://schemas.openxmlformats.org/package/2006/relationships"><Relationship Id="rId2" Type="http://schemas.openxmlformats.org/officeDocument/2006/relationships/image" Target="../media/image28.png"/><Relationship Id="rId1" Type="http://schemas.openxmlformats.org/officeDocument/2006/relationships/image" Target="../media/image2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19</xdr:col>
      <xdr:colOff>619125</xdr:colOff>
      <xdr:row>0</xdr:row>
      <xdr:rowOff>3837</xdr:rowOff>
    </xdr:from>
    <xdr:to>
      <xdr:col>28</xdr:col>
      <xdr:colOff>531673</xdr:colOff>
      <xdr:row>21</xdr:row>
      <xdr:rowOff>122581</xdr:rowOff>
    </xdr:to>
    <xdr:pic>
      <xdr:nvPicPr>
        <xdr:cNvPr id="2" name="图片 1">
          <a:extLst>
            <a:ext uri="{FF2B5EF4-FFF2-40B4-BE49-F238E27FC236}">
              <a16:creationId xmlns:a16="http://schemas.microsoft.com/office/drawing/2014/main" id="{00000000-0008-0000-2700-000002000000}"/>
            </a:ext>
          </a:extLst>
        </xdr:cNvPr>
        <xdr:cNvPicPr>
          <a:picLocks noChangeAspect="1"/>
        </xdr:cNvPicPr>
      </xdr:nvPicPr>
      <xdr:blipFill>
        <a:blip xmlns:r="http://schemas.openxmlformats.org/officeDocument/2006/relationships" r:embed="rId1"/>
        <a:stretch>
          <a:fillRect/>
        </a:stretch>
      </xdr:blipFill>
      <xdr:spPr>
        <a:xfrm>
          <a:off x="18316575" y="3837"/>
          <a:ext cx="6084748" cy="4062094"/>
        </a:xfrm>
        <a:prstGeom prst="rect">
          <a:avLst/>
        </a:prstGeom>
      </xdr:spPr>
    </xdr:pic>
    <xdr:clientData/>
  </xdr:twoCellAnchor>
  <xdr:twoCellAnchor editAs="oneCell">
    <xdr:from>
      <xdr:col>19</xdr:col>
      <xdr:colOff>600075</xdr:colOff>
      <xdr:row>24</xdr:row>
      <xdr:rowOff>38100</xdr:rowOff>
    </xdr:from>
    <xdr:to>
      <xdr:col>29</xdr:col>
      <xdr:colOff>361123</xdr:colOff>
      <xdr:row>40</xdr:row>
      <xdr:rowOff>104424</xdr:rowOff>
    </xdr:to>
    <xdr:pic>
      <xdr:nvPicPr>
        <xdr:cNvPr id="4" name="图片 3">
          <a:extLst>
            <a:ext uri="{FF2B5EF4-FFF2-40B4-BE49-F238E27FC236}">
              <a16:creationId xmlns:a16="http://schemas.microsoft.com/office/drawing/2014/main" id="{00000000-0008-0000-2700-000004000000}"/>
            </a:ext>
          </a:extLst>
        </xdr:cNvPr>
        <xdr:cNvPicPr>
          <a:picLocks noChangeAspect="1"/>
        </xdr:cNvPicPr>
      </xdr:nvPicPr>
      <xdr:blipFill>
        <a:blip xmlns:r="http://schemas.openxmlformats.org/officeDocument/2006/relationships" r:embed="rId2"/>
        <a:stretch>
          <a:fillRect/>
        </a:stretch>
      </xdr:blipFill>
      <xdr:spPr>
        <a:xfrm>
          <a:off x="16106775" y="4324350"/>
          <a:ext cx="6619048" cy="2809524"/>
        </a:xfrm>
        <a:prstGeom prst="rect">
          <a:avLst/>
        </a:prstGeom>
      </xdr:spPr>
    </xdr:pic>
    <xdr:clientData/>
  </xdr:twoCellAnchor>
  <xdr:twoCellAnchor editAs="oneCell">
    <xdr:from>
      <xdr:col>20</xdr:col>
      <xdr:colOff>123825</xdr:colOff>
      <xdr:row>40</xdr:row>
      <xdr:rowOff>94170</xdr:rowOff>
    </xdr:from>
    <xdr:to>
      <xdr:col>28</xdr:col>
      <xdr:colOff>608823</xdr:colOff>
      <xdr:row>58</xdr:row>
      <xdr:rowOff>18574</xdr:rowOff>
    </xdr:to>
    <xdr:pic>
      <xdr:nvPicPr>
        <xdr:cNvPr id="5" name="图片 4">
          <a:extLst>
            <a:ext uri="{FF2B5EF4-FFF2-40B4-BE49-F238E27FC236}">
              <a16:creationId xmlns:a16="http://schemas.microsoft.com/office/drawing/2014/main" id="{00000000-0008-0000-2700-000005000000}"/>
            </a:ext>
          </a:extLst>
        </xdr:cNvPr>
        <xdr:cNvPicPr>
          <a:picLocks noChangeAspect="1"/>
        </xdr:cNvPicPr>
      </xdr:nvPicPr>
      <xdr:blipFill>
        <a:blip xmlns:r="http://schemas.openxmlformats.org/officeDocument/2006/relationships" r:embed="rId3"/>
        <a:stretch>
          <a:fillRect/>
        </a:stretch>
      </xdr:blipFill>
      <xdr:spPr>
        <a:xfrm>
          <a:off x="16316325" y="7123620"/>
          <a:ext cx="5971398" cy="3648679"/>
        </a:xfrm>
        <a:prstGeom prst="rect">
          <a:avLst/>
        </a:prstGeom>
      </xdr:spPr>
    </xdr:pic>
    <xdr:clientData/>
  </xdr:twoCellAnchor>
  <xdr:twoCellAnchor editAs="oneCell">
    <xdr:from>
      <xdr:col>19</xdr:col>
      <xdr:colOff>428625</xdr:colOff>
      <xdr:row>61</xdr:row>
      <xdr:rowOff>57150</xdr:rowOff>
    </xdr:from>
    <xdr:to>
      <xdr:col>28</xdr:col>
      <xdr:colOff>427854</xdr:colOff>
      <xdr:row>79</xdr:row>
      <xdr:rowOff>152002</xdr:rowOff>
    </xdr:to>
    <xdr:pic>
      <xdr:nvPicPr>
        <xdr:cNvPr id="6" name="图片 5">
          <a:extLst>
            <a:ext uri="{FF2B5EF4-FFF2-40B4-BE49-F238E27FC236}">
              <a16:creationId xmlns:a16="http://schemas.microsoft.com/office/drawing/2014/main" id="{00000000-0008-0000-2700-000006000000}"/>
            </a:ext>
          </a:extLst>
        </xdr:cNvPr>
        <xdr:cNvPicPr>
          <a:picLocks noChangeAspect="1"/>
        </xdr:cNvPicPr>
      </xdr:nvPicPr>
      <xdr:blipFill>
        <a:blip xmlns:r="http://schemas.openxmlformats.org/officeDocument/2006/relationships" r:embed="rId4"/>
        <a:stretch>
          <a:fillRect/>
        </a:stretch>
      </xdr:blipFill>
      <xdr:spPr>
        <a:xfrm>
          <a:off x="15935325" y="10687050"/>
          <a:ext cx="6171429" cy="3180952"/>
        </a:xfrm>
        <a:prstGeom prst="rect">
          <a:avLst/>
        </a:prstGeom>
      </xdr:spPr>
    </xdr:pic>
    <xdr:clientData/>
  </xdr:twoCellAnchor>
  <xdr:twoCellAnchor editAs="oneCell">
    <xdr:from>
      <xdr:col>19</xdr:col>
      <xdr:colOff>133350</xdr:colOff>
      <xdr:row>79</xdr:row>
      <xdr:rowOff>66675</xdr:rowOff>
    </xdr:from>
    <xdr:to>
      <xdr:col>28</xdr:col>
      <xdr:colOff>2424</xdr:colOff>
      <xdr:row>91</xdr:row>
      <xdr:rowOff>94989</xdr:rowOff>
    </xdr:to>
    <xdr:pic>
      <xdr:nvPicPr>
        <xdr:cNvPr id="7" name="图片 6">
          <a:extLst>
            <a:ext uri="{FF2B5EF4-FFF2-40B4-BE49-F238E27FC236}">
              <a16:creationId xmlns:a16="http://schemas.microsoft.com/office/drawing/2014/main" id="{00000000-0008-0000-2700-000007000000}"/>
            </a:ext>
          </a:extLst>
        </xdr:cNvPr>
        <xdr:cNvPicPr>
          <a:picLocks noChangeAspect="1"/>
        </xdr:cNvPicPr>
      </xdr:nvPicPr>
      <xdr:blipFill>
        <a:blip xmlns:r="http://schemas.openxmlformats.org/officeDocument/2006/relationships" r:embed="rId5"/>
        <a:stretch>
          <a:fillRect/>
        </a:stretch>
      </xdr:blipFill>
      <xdr:spPr>
        <a:xfrm>
          <a:off x="13163550" y="13611225"/>
          <a:ext cx="6009524" cy="2085714"/>
        </a:xfrm>
        <a:prstGeom prst="rect">
          <a:avLst/>
        </a:prstGeom>
      </xdr:spPr>
    </xdr:pic>
    <xdr:clientData/>
  </xdr:twoCellAnchor>
  <xdr:twoCellAnchor editAs="oneCell">
    <xdr:from>
      <xdr:col>18</xdr:col>
      <xdr:colOff>361950</xdr:colOff>
      <xdr:row>89</xdr:row>
      <xdr:rowOff>24872</xdr:rowOff>
    </xdr:from>
    <xdr:to>
      <xdr:col>39</xdr:col>
      <xdr:colOff>425815</xdr:colOff>
      <xdr:row>109</xdr:row>
      <xdr:rowOff>85047</xdr:rowOff>
    </xdr:to>
    <xdr:pic>
      <xdr:nvPicPr>
        <xdr:cNvPr id="8" name="图片 7">
          <a:extLst>
            <a:ext uri="{FF2B5EF4-FFF2-40B4-BE49-F238E27FC236}">
              <a16:creationId xmlns:a16="http://schemas.microsoft.com/office/drawing/2014/main" id="{00000000-0008-0000-2700-000008000000}"/>
            </a:ext>
          </a:extLst>
        </xdr:cNvPr>
        <xdr:cNvPicPr>
          <a:picLocks noChangeAspect="1"/>
        </xdr:cNvPicPr>
      </xdr:nvPicPr>
      <xdr:blipFill>
        <a:blip xmlns:r="http://schemas.openxmlformats.org/officeDocument/2006/relationships" r:embed="rId6"/>
        <a:stretch>
          <a:fillRect/>
        </a:stretch>
      </xdr:blipFill>
      <xdr:spPr>
        <a:xfrm>
          <a:off x="12706350" y="15283922"/>
          <a:ext cx="14465665" cy="3489175"/>
        </a:xfrm>
        <a:prstGeom prst="rect">
          <a:avLst/>
        </a:prstGeom>
      </xdr:spPr>
    </xdr:pic>
    <xdr:clientData/>
  </xdr:twoCellAnchor>
  <xdr:twoCellAnchor editAs="oneCell">
    <xdr:from>
      <xdr:col>19</xdr:col>
      <xdr:colOff>9525</xdr:colOff>
      <xdr:row>109</xdr:row>
      <xdr:rowOff>142875</xdr:rowOff>
    </xdr:from>
    <xdr:to>
      <xdr:col>44</xdr:col>
      <xdr:colOff>521668</xdr:colOff>
      <xdr:row>115</xdr:row>
      <xdr:rowOff>18937</xdr:rowOff>
    </xdr:to>
    <xdr:pic>
      <xdr:nvPicPr>
        <xdr:cNvPr id="9" name="图片 8">
          <a:extLst>
            <a:ext uri="{FF2B5EF4-FFF2-40B4-BE49-F238E27FC236}">
              <a16:creationId xmlns:a16="http://schemas.microsoft.com/office/drawing/2014/main" id="{00000000-0008-0000-2700-000009000000}"/>
            </a:ext>
          </a:extLst>
        </xdr:cNvPr>
        <xdr:cNvPicPr>
          <a:picLocks noChangeAspect="1"/>
        </xdr:cNvPicPr>
      </xdr:nvPicPr>
      <xdr:blipFill>
        <a:blip xmlns:r="http://schemas.openxmlformats.org/officeDocument/2006/relationships" r:embed="rId7"/>
        <a:stretch>
          <a:fillRect/>
        </a:stretch>
      </xdr:blipFill>
      <xdr:spPr>
        <a:xfrm>
          <a:off x="13039725" y="18830925"/>
          <a:ext cx="17657143" cy="904762"/>
        </a:xfrm>
        <a:prstGeom prst="rect">
          <a:avLst/>
        </a:prstGeom>
      </xdr:spPr>
    </xdr:pic>
    <xdr:clientData/>
  </xdr:twoCellAnchor>
  <xdr:twoCellAnchor editAs="oneCell">
    <xdr:from>
      <xdr:col>19</xdr:col>
      <xdr:colOff>266700</xdr:colOff>
      <xdr:row>115</xdr:row>
      <xdr:rowOff>38100</xdr:rowOff>
    </xdr:from>
    <xdr:to>
      <xdr:col>28</xdr:col>
      <xdr:colOff>18309</xdr:colOff>
      <xdr:row>128</xdr:row>
      <xdr:rowOff>66393</xdr:rowOff>
    </xdr:to>
    <xdr:pic>
      <xdr:nvPicPr>
        <xdr:cNvPr id="10" name="图片 9">
          <a:extLst>
            <a:ext uri="{FF2B5EF4-FFF2-40B4-BE49-F238E27FC236}">
              <a16:creationId xmlns:a16="http://schemas.microsoft.com/office/drawing/2014/main" id="{00000000-0008-0000-2700-00000A000000}"/>
            </a:ext>
          </a:extLst>
        </xdr:cNvPr>
        <xdr:cNvPicPr>
          <a:picLocks noChangeAspect="1"/>
        </xdr:cNvPicPr>
      </xdr:nvPicPr>
      <xdr:blipFill>
        <a:blip xmlns:r="http://schemas.openxmlformats.org/officeDocument/2006/relationships" r:embed="rId8"/>
        <a:stretch>
          <a:fillRect/>
        </a:stretch>
      </xdr:blipFill>
      <xdr:spPr>
        <a:xfrm>
          <a:off x="13296900" y="19754850"/>
          <a:ext cx="5923809" cy="2257143"/>
        </a:xfrm>
        <a:prstGeom prst="rect">
          <a:avLst/>
        </a:prstGeom>
      </xdr:spPr>
    </xdr:pic>
    <xdr:clientData/>
  </xdr:twoCellAnchor>
  <xdr:twoCellAnchor editAs="oneCell">
    <xdr:from>
      <xdr:col>19</xdr:col>
      <xdr:colOff>381000</xdr:colOff>
      <xdr:row>128</xdr:row>
      <xdr:rowOff>66675</xdr:rowOff>
    </xdr:from>
    <xdr:to>
      <xdr:col>27</xdr:col>
      <xdr:colOff>542219</xdr:colOff>
      <xdr:row>151</xdr:row>
      <xdr:rowOff>113801</xdr:rowOff>
    </xdr:to>
    <xdr:pic>
      <xdr:nvPicPr>
        <xdr:cNvPr id="11" name="图片 10">
          <a:extLst>
            <a:ext uri="{FF2B5EF4-FFF2-40B4-BE49-F238E27FC236}">
              <a16:creationId xmlns:a16="http://schemas.microsoft.com/office/drawing/2014/main" id="{00000000-0008-0000-2700-00000B000000}"/>
            </a:ext>
          </a:extLst>
        </xdr:cNvPr>
        <xdr:cNvPicPr>
          <a:picLocks noChangeAspect="1"/>
        </xdr:cNvPicPr>
      </xdr:nvPicPr>
      <xdr:blipFill>
        <a:blip xmlns:r="http://schemas.openxmlformats.org/officeDocument/2006/relationships" r:embed="rId9"/>
        <a:stretch>
          <a:fillRect/>
        </a:stretch>
      </xdr:blipFill>
      <xdr:spPr>
        <a:xfrm>
          <a:off x="13411200" y="22012275"/>
          <a:ext cx="5647619" cy="3990476"/>
        </a:xfrm>
        <a:prstGeom prst="rect">
          <a:avLst/>
        </a:prstGeom>
      </xdr:spPr>
    </xdr:pic>
    <xdr:clientData/>
  </xdr:twoCellAnchor>
  <xdr:twoCellAnchor editAs="oneCell">
    <xdr:from>
      <xdr:col>19</xdr:col>
      <xdr:colOff>9525</xdr:colOff>
      <xdr:row>151</xdr:row>
      <xdr:rowOff>19050</xdr:rowOff>
    </xdr:from>
    <xdr:to>
      <xdr:col>27</xdr:col>
      <xdr:colOff>542173</xdr:colOff>
      <xdr:row>164</xdr:row>
      <xdr:rowOff>142581</xdr:rowOff>
    </xdr:to>
    <xdr:pic>
      <xdr:nvPicPr>
        <xdr:cNvPr id="12" name="图片 11">
          <a:extLst>
            <a:ext uri="{FF2B5EF4-FFF2-40B4-BE49-F238E27FC236}">
              <a16:creationId xmlns:a16="http://schemas.microsoft.com/office/drawing/2014/main" id="{00000000-0008-0000-2700-00000C000000}"/>
            </a:ext>
          </a:extLst>
        </xdr:cNvPr>
        <xdr:cNvPicPr>
          <a:picLocks noChangeAspect="1"/>
        </xdr:cNvPicPr>
      </xdr:nvPicPr>
      <xdr:blipFill>
        <a:blip xmlns:r="http://schemas.openxmlformats.org/officeDocument/2006/relationships" r:embed="rId10"/>
        <a:stretch>
          <a:fillRect/>
        </a:stretch>
      </xdr:blipFill>
      <xdr:spPr>
        <a:xfrm>
          <a:off x="13039725" y="25908000"/>
          <a:ext cx="6019048" cy="2352381"/>
        </a:xfrm>
        <a:prstGeom prst="rect">
          <a:avLst/>
        </a:prstGeom>
      </xdr:spPr>
    </xdr:pic>
    <xdr:clientData/>
  </xdr:twoCellAnchor>
  <xdr:twoCellAnchor editAs="oneCell">
    <xdr:from>
      <xdr:col>19</xdr:col>
      <xdr:colOff>76200</xdr:colOff>
      <xdr:row>164</xdr:row>
      <xdr:rowOff>161925</xdr:rowOff>
    </xdr:from>
    <xdr:to>
      <xdr:col>28</xdr:col>
      <xdr:colOff>94476</xdr:colOff>
      <xdr:row>233</xdr:row>
      <xdr:rowOff>103303</xdr:rowOff>
    </xdr:to>
    <xdr:pic>
      <xdr:nvPicPr>
        <xdr:cNvPr id="13" name="图片 12">
          <a:extLst>
            <a:ext uri="{FF2B5EF4-FFF2-40B4-BE49-F238E27FC236}">
              <a16:creationId xmlns:a16="http://schemas.microsoft.com/office/drawing/2014/main" id="{00000000-0008-0000-2700-00000D000000}"/>
            </a:ext>
          </a:extLst>
        </xdr:cNvPr>
        <xdr:cNvPicPr>
          <a:picLocks noChangeAspect="1"/>
        </xdr:cNvPicPr>
      </xdr:nvPicPr>
      <xdr:blipFill>
        <a:blip xmlns:r="http://schemas.openxmlformats.org/officeDocument/2006/relationships" r:embed="rId11"/>
        <a:stretch>
          <a:fillRect/>
        </a:stretch>
      </xdr:blipFill>
      <xdr:spPr>
        <a:xfrm>
          <a:off x="13106400" y="28279725"/>
          <a:ext cx="6190476" cy="11771428"/>
        </a:xfrm>
        <a:prstGeom prst="rect">
          <a:avLst/>
        </a:prstGeom>
      </xdr:spPr>
    </xdr:pic>
    <xdr:clientData/>
  </xdr:twoCellAnchor>
  <xdr:twoCellAnchor editAs="oneCell">
    <xdr:from>
      <xdr:col>19</xdr:col>
      <xdr:colOff>0</xdr:colOff>
      <xdr:row>234</xdr:row>
      <xdr:rowOff>0</xdr:rowOff>
    </xdr:from>
    <xdr:to>
      <xdr:col>27</xdr:col>
      <xdr:colOff>456457</xdr:colOff>
      <xdr:row>247</xdr:row>
      <xdr:rowOff>142579</xdr:rowOff>
    </xdr:to>
    <xdr:pic>
      <xdr:nvPicPr>
        <xdr:cNvPr id="14" name="图片 13">
          <a:extLst>
            <a:ext uri="{FF2B5EF4-FFF2-40B4-BE49-F238E27FC236}">
              <a16:creationId xmlns:a16="http://schemas.microsoft.com/office/drawing/2014/main" id="{00000000-0008-0000-2700-00000E000000}"/>
            </a:ext>
          </a:extLst>
        </xdr:cNvPr>
        <xdr:cNvPicPr>
          <a:picLocks noChangeAspect="1"/>
        </xdr:cNvPicPr>
      </xdr:nvPicPr>
      <xdr:blipFill>
        <a:blip xmlns:r="http://schemas.openxmlformats.org/officeDocument/2006/relationships" r:embed="rId12"/>
        <a:stretch>
          <a:fillRect/>
        </a:stretch>
      </xdr:blipFill>
      <xdr:spPr>
        <a:xfrm>
          <a:off x="13030200" y="40119300"/>
          <a:ext cx="5942857" cy="2371429"/>
        </a:xfrm>
        <a:prstGeom prst="rect">
          <a:avLst/>
        </a:prstGeom>
      </xdr:spPr>
    </xdr:pic>
    <xdr:clientData/>
  </xdr:twoCellAnchor>
  <xdr:twoCellAnchor editAs="oneCell">
    <xdr:from>
      <xdr:col>19</xdr:col>
      <xdr:colOff>66675</xdr:colOff>
      <xdr:row>247</xdr:row>
      <xdr:rowOff>142875</xdr:rowOff>
    </xdr:from>
    <xdr:to>
      <xdr:col>28</xdr:col>
      <xdr:colOff>151618</xdr:colOff>
      <xdr:row>260</xdr:row>
      <xdr:rowOff>28311</xdr:rowOff>
    </xdr:to>
    <xdr:pic>
      <xdr:nvPicPr>
        <xdr:cNvPr id="15" name="图片 14">
          <a:extLst>
            <a:ext uri="{FF2B5EF4-FFF2-40B4-BE49-F238E27FC236}">
              <a16:creationId xmlns:a16="http://schemas.microsoft.com/office/drawing/2014/main" id="{00000000-0008-0000-2700-00000F000000}"/>
            </a:ext>
          </a:extLst>
        </xdr:cNvPr>
        <xdr:cNvPicPr>
          <a:picLocks noChangeAspect="1"/>
        </xdr:cNvPicPr>
      </xdr:nvPicPr>
      <xdr:blipFill>
        <a:blip xmlns:r="http://schemas.openxmlformats.org/officeDocument/2006/relationships" r:embed="rId13"/>
        <a:stretch>
          <a:fillRect/>
        </a:stretch>
      </xdr:blipFill>
      <xdr:spPr>
        <a:xfrm>
          <a:off x="13096875" y="42491025"/>
          <a:ext cx="6257143" cy="2114286"/>
        </a:xfrm>
        <a:prstGeom prst="rect">
          <a:avLst/>
        </a:prstGeom>
      </xdr:spPr>
    </xdr:pic>
    <xdr:clientData/>
  </xdr:twoCellAnchor>
  <xdr:twoCellAnchor editAs="oneCell">
    <xdr:from>
      <xdr:col>19</xdr:col>
      <xdr:colOff>0</xdr:colOff>
      <xdr:row>260</xdr:row>
      <xdr:rowOff>0</xdr:rowOff>
    </xdr:from>
    <xdr:to>
      <xdr:col>28</xdr:col>
      <xdr:colOff>142086</xdr:colOff>
      <xdr:row>291</xdr:row>
      <xdr:rowOff>37431</xdr:rowOff>
    </xdr:to>
    <xdr:pic>
      <xdr:nvPicPr>
        <xdr:cNvPr id="16" name="图片 15">
          <a:extLst>
            <a:ext uri="{FF2B5EF4-FFF2-40B4-BE49-F238E27FC236}">
              <a16:creationId xmlns:a16="http://schemas.microsoft.com/office/drawing/2014/main" id="{00000000-0008-0000-2700-000010000000}"/>
            </a:ext>
          </a:extLst>
        </xdr:cNvPr>
        <xdr:cNvPicPr>
          <a:picLocks noChangeAspect="1"/>
        </xdr:cNvPicPr>
      </xdr:nvPicPr>
      <xdr:blipFill>
        <a:blip xmlns:r="http://schemas.openxmlformats.org/officeDocument/2006/relationships" r:embed="rId14"/>
        <a:stretch>
          <a:fillRect/>
        </a:stretch>
      </xdr:blipFill>
      <xdr:spPr>
        <a:xfrm>
          <a:off x="13030200" y="44577000"/>
          <a:ext cx="6314286" cy="5352381"/>
        </a:xfrm>
        <a:prstGeom prst="rect">
          <a:avLst/>
        </a:prstGeom>
      </xdr:spPr>
    </xdr:pic>
    <xdr:clientData/>
  </xdr:twoCellAnchor>
  <xdr:twoCellAnchor editAs="oneCell">
    <xdr:from>
      <xdr:col>19</xdr:col>
      <xdr:colOff>476250</xdr:colOff>
      <xdr:row>290</xdr:row>
      <xdr:rowOff>161925</xdr:rowOff>
    </xdr:from>
    <xdr:to>
      <xdr:col>26</xdr:col>
      <xdr:colOff>189936</xdr:colOff>
      <xdr:row>298</xdr:row>
      <xdr:rowOff>66515</xdr:rowOff>
    </xdr:to>
    <xdr:pic>
      <xdr:nvPicPr>
        <xdr:cNvPr id="17" name="图片 16">
          <a:extLst>
            <a:ext uri="{FF2B5EF4-FFF2-40B4-BE49-F238E27FC236}">
              <a16:creationId xmlns:a16="http://schemas.microsoft.com/office/drawing/2014/main" id="{00000000-0008-0000-2700-000011000000}"/>
            </a:ext>
          </a:extLst>
        </xdr:cNvPr>
        <xdr:cNvPicPr>
          <a:picLocks noChangeAspect="1"/>
        </xdr:cNvPicPr>
      </xdr:nvPicPr>
      <xdr:blipFill>
        <a:blip xmlns:r="http://schemas.openxmlformats.org/officeDocument/2006/relationships" r:embed="rId15"/>
        <a:stretch>
          <a:fillRect/>
        </a:stretch>
      </xdr:blipFill>
      <xdr:spPr>
        <a:xfrm>
          <a:off x="13506450" y="49882425"/>
          <a:ext cx="4514286" cy="1276190"/>
        </a:xfrm>
        <a:prstGeom prst="rect">
          <a:avLst/>
        </a:prstGeom>
      </xdr:spPr>
    </xdr:pic>
    <xdr:clientData/>
  </xdr:twoCellAnchor>
  <xdr:twoCellAnchor editAs="oneCell">
    <xdr:from>
      <xdr:col>27</xdr:col>
      <xdr:colOff>571499</xdr:colOff>
      <xdr:row>0</xdr:row>
      <xdr:rowOff>0</xdr:rowOff>
    </xdr:from>
    <xdr:to>
      <xdr:col>36</xdr:col>
      <xdr:colOff>1998</xdr:colOff>
      <xdr:row>23</xdr:row>
      <xdr:rowOff>83674</xdr:rowOff>
    </xdr:to>
    <xdr:pic>
      <xdr:nvPicPr>
        <xdr:cNvPr id="3" name="图片 2">
          <a:extLst>
            <a:ext uri="{FF2B5EF4-FFF2-40B4-BE49-F238E27FC236}">
              <a16:creationId xmlns:a16="http://schemas.microsoft.com/office/drawing/2014/main" id="{00000000-0008-0000-2700-000003000000}"/>
            </a:ext>
          </a:extLst>
        </xdr:cNvPr>
        <xdr:cNvPicPr>
          <a:picLocks noChangeAspect="1"/>
        </xdr:cNvPicPr>
      </xdr:nvPicPr>
      <xdr:blipFill>
        <a:blip xmlns:r="http://schemas.openxmlformats.org/officeDocument/2006/relationships" r:embed="rId16"/>
        <a:stretch>
          <a:fillRect/>
        </a:stretch>
      </xdr:blipFill>
      <xdr:spPr>
        <a:xfrm>
          <a:off x="21564599" y="0"/>
          <a:ext cx="5570949" cy="4369924"/>
        </a:xfrm>
        <a:prstGeom prst="rect">
          <a:avLst/>
        </a:prstGeom>
      </xdr:spPr>
    </xdr:pic>
    <xdr:clientData/>
  </xdr:twoCellAnchor>
  <xdr:twoCellAnchor editAs="oneCell">
    <xdr:from>
      <xdr:col>27</xdr:col>
      <xdr:colOff>685799</xdr:colOff>
      <xdr:row>23</xdr:row>
      <xdr:rowOff>117831</xdr:rowOff>
    </xdr:from>
    <xdr:to>
      <xdr:col>39</xdr:col>
      <xdr:colOff>559202</xdr:colOff>
      <xdr:row>41</xdr:row>
      <xdr:rowOff>160855</xdr:rowOff>
    </xdr:to>
    <xdr:pic>
      <xdr:nvPicPr>
        <xdr:cNvPr id="18" name="图片 17">
          <a:extLst>
            <a:ext uri="{FF2B5EF4-FFF2-40B4-BE49-F238E27FC236}">
              <a16:creationId xmlns:a16="http://schemas.microsoft.com/office/drawing/2014/main" id="{00000000-0008-0000-2700-000012000000}"/>
            </a:ext>
          </a:extLst>
        </xdr:cNvPr>
        <xdr:cNvPicPr>
          <a:picLocks noChangeAspect="1"/>
        </xdr:cNvPicPr>
      </xdr:nvPicPr>
      <xdr:blipFill>
        <a:blip xmlns:r="http://schemas.openxmlformats.org/officeDocument/2006/relationships" r:embed="rId17"/>
        <a:stretch>
          <a:fillRect/>
        </a:stretch>
      </xdr:blipFill>
      <xdr:spPr>
        <a:xfrm>
          <a:off x="21678899" y="4232631"/>
          <a:ext cx="8103003" cy="3129124"/>
        </a:xfrm>
        <a:prstGeom prst="rect">
          <a:avLst/>
        </a:prstGeom>
      </xdr:spPr>
    </xdr:pic>
    <xdr:clientData/>
  </xdr:twoCellAnchor>
  <xdr:twoCellAnchor editAs="oneCell">
    <xdr:from>
      <xdr:col>21</xdr:col>
      <xdr:colOff>657225</xdr:colOff>
      <xdr:row>4</xdr:row>
      <xdr:rowOff>323850</xdr:rowOff>
    </xdr:from>
    <xdr:to>
      <xdr:col>31</xdr:col>
      <xdr:colOff>370654</xdr:colOff>
      <xdr:row>23</xdr:row>
      <xdr:rowOff>47231</xdr:rowOff>
    </xdr:to>
    <xdr:pic>
      <xdr:nvPicPr>
        <xdr:cNvPr id="19" name="图片 18">
          <a:extLst>
            <a:ext uri="{FF2B5EF4-FFF2-40B4-BE49-F238E27FC236}">
              <a16:creationId xmlns:a16="http://schemas.microsoft.com/office/drawing/2014/main" id="{00000000-0008-0000-2700-000013000000}"/>
            </a:ext>
          </a:extLst>
        </xdr:cNvPr>
        <xdr:cNvPicPr>
          <a:picLocks noChangeAspect="1"/>
        </xdr:cNvPicPr>
      </xdr:nvPicPr>
      <xdr:blipFill>
        <a:blip xmlns:r="http://schemas.openxmlformats.org/officeDocument/2006/relationships" r:embed="rId18"/>
        <a:stretch>
          <a:fillRect/>
        </a:stretch>
      </xdr:blipFill>
      <xdr:spPr>
        <a:xfrm>
          <a:off x="17649825" y="1181100"/>
          <a:ext cx="6571429" cy="3152381"/>
        </a:xfrm>
        <a:prstGeom prst="rect">
          <a:avLst/>
        </a:prstGeom>
      </xdr:spPr>
    </xdr:pic>
    <xdr:clientData/>
  </xdr:twoCellAnchor>
  <xdr:twoCellAnchor editAs="oneCell">
    <xdr:from>
      <xdr:col>1</xdr:col>
      <xdr:colOff>523875</xdr:colOff>
      <xdr:row>39</xdr:row>
      <xdr:rowOff>59713</xdr:rowOff>
    </xdr:from>
    <xdr:to>
      <xdr:col>9</xdr:col>
      <xdr:colOff>38100</xdr:colOff>
      <xdr:row>58</xdr:row>
      <xdr:rowOff>484767</xdr:rowOff>
    </xdr:to>
    <xdr:pic>
      <xdr:nvPicPr>
        <xdr:cNvPr id="20" name="图片 19">
          <a:extLst>
            <a:ext uri="{FF2B5EF4-FFF2-40B4-BE49-F238E27FC236}">
              <a16:creationId xmlns:a16="http://schemas.microsoft.com/office/drawing/2014/main" id="{AEB22CD7-BA05-4EB0-B568-0ABD7743F811}"/>
            </a:ext>
          </a:extLst>
        </xdr:cNvPr>
        <xdr:cNvPicPr>
          <a:picLocks noChangeAspect="1"/>
        </xdr:cNvPicPr>
      </xdr:nvPicPr>
      <xdr:blipFill>
        <a:blip xmlns:r="http://schemas.openxmlformats.org/officeDocument/2006/relationships" r:embed="rId19"/>
        <a:stretch>
          <a:fillRect/>
        </a:stretch>
      </xdr:blipFill>
      <xdr:spPr>
        <a:xfrm>
          <a:off x="1209675" y="7089163"/>
          <a:ext cx="6867525" cy="432077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1200555</xdr:colOff>
      <xdr:row>32</xdr:row>
      <xdr:rowOff>9525</xdr:rowOff>
    </xdr:from>
    <xdr:to>
      <xdr:col>12</xdr:col>
      <xdr:colOff>1568</xdr:colOff>
      <xdr:row>61</xdr:row>
      <xdr:rowOff>56143</xdr:rowOff>
    </xdr:to>
    <xdr:pic>
      <xdr:nvPicPr>
        <xdr:cNvPr id="2" name="图片 1">
          <a:extLst>
            <a:ext uri="{FF2B5EF4-FFF2-40B4-BE49-F238E27FC236}">
              <a16:creationId xmlns:a16="http://schemas.microsoft.com/office/drawing/2014/main" id="{00000000-0008-0000-3300-000002000000}"/>
            </a:ext>
          </a:extLst>
        </xdr:cNvPr>
        <xdr:cNvPicPr>
          <a:picLocks noChangeAspect="1"/>
        </xdr:cNvPicPr>
      </xdr:nvPicPr>
      <xdr:blipFill>
        <a:blip xmlns:r="http://schemas.openxmlformats.org/officeDocument/2006/relationships" r:embed="rId1"/>
        <a:stretch>
          <a:fillRect/>
        </a:stretch>
      </xdr:blipFill>
      <xdr:spPr>
        <a:xfrm>
          <a:off x="2067330" y="5514975"/>
          <a:ext cx="8008513" cy="5018668"/>
        </a:xfrm>
        <a:prstGeom prst="rect">
          <a:avLst/>
        </a:prstGeom>
      </xdr:spPr>
    </xdr:pic>
    <xdr:clientData/>
  </xdr:twoCellAnchor>
  <xdr:twoCellAnchor>
    <xdr:from>
      <xdr:col>22</xdr:col>
      <xdr:colOff>419100</xdr:colOff>
      <xdr:row>24</xdr:row>
      <xdr:rowOff>66681</xdr:rowOff>
    </xdr:from>
    <xdr:to>
      <xdr:col>28</xdr:col>
      <xdr:colOff>292100</xdr:colOff>
      <xdr:row>39</xdr:row>
      <xdr:rowOff>136531</xdr:rowOff>
    </xdr:to>
    <xdr:graphicFrame macro="">
      <xdr:nvGraphicFramePr>
        <xdr:cNvPr id="4" name="图表 3">
          <a:extLst>
            <a:ext uri="{FF2B5EF4-FFF2-40B4-BE49-F238E27FC236}">
              <a16:creationId xmlns:a16="http://schemas.microsoft.com/office/drawing/2014/main" id="{00000000-0008-0000-33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32</xdr:col>
      <xdr:colOff>0</xdr:colOff>
      <xdr:row>17</xdr:row>
      <xdr:rowOff>117476</xdr:rowOff>
    </xdr:from>
    <xdr:to>
      <xdr:col>42</xdr:col>
      <xdr:colOff>85725</xdr:colOff>
      <xdr:row>34</xdr:row>
      <xdr:rowOff>9526</xdr:rowOff>
    </xdr:to>
    <xdr:graphicFrame macro="">
      <xdr:nvGraphicFramePr>
        <xdr:cNvPr id="4" name="图表 3">
          <a:extLst>
            <a:ext uri="{FF2B5EF4-FFF2-40B4-BE49-F238E27FC236}">
              <a16:creationId xmlns:a16="http://schemas.microsoft.com/office/drawing/2014/main" id="{88B08D9E-EFA8-4AA3-63E0-C4BA2F0AE28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219075</xdr:colOff>
      <xdr:row>21</xdr:row>
      <xdr:rowOff>60331</xdr:rowOff>
    </xdr:from>
    <xdr:to>
      <xdr:col>18</xdr:col>
      <xdr:colOff>746125</xdr:colOff>
      <xdr:row>39</xdr:row>
      <xdr:rowOff>111125</xdr:rowOff>
    </xdr:to>
    <xdr:graphicFrame macro="">
      <xdr:nvGraphicFramePr>
        <xdr:cNvPr id="5" name="图表 4">
          <a:extLst>
            <a:ext uri="{FF2B5EF4-FFF2-40B4-BE49-F238E27FC236}">
              <a16:creationId xmlns:a16="http://schemas.microsoft.com/office/drawing/2014/main" id="{A20EAAFD-A1DD-72B5-C117-87248B41E21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35</xdr:col>
      <xdr:colOff>76200</xdr:colOff>
      <xdr:row>3</xdr:row>
      <xdr:rowOff>171450</xdr:rowOff>
    </xdr:from>
    <xdr:to>
      <xdr:col>43</xdr:col>
      <xdr:colOff>552450</xdr:colOff>
      <xdr:row>11</xdr:row>
      <xdr:rowOff>190500</xdr:rowOff>
    </xdr:to>
    <xdr:graphicFrame macro="">
      <xdr:nvGraphicFramePr>
        <xdr:cNvPr id="6" name="图表 5">
          <a:extLst>
            <a:ext uri="{FF2B5EF4-FFF2-40B4-BE49-F238E27FC236}">
              <a16:creationId xmlns:a16="http://schemas.microsoft.com/office/drawing/2014/main" id="{D85DFED2-BBB8-4FC5-B52D-EDD571D23F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581025</xdr:colOff>
      <xdr:row>39</xdr:row>
      <xdr:rowOff>115592</xdr:rowOff>
    </xdr:from>
    <xdr:to>
      <xdr:col>7</xdr:col>
      <xdr:colOff>47625</xdr:colOff>
      <xdr:row>69</xdr:row>
      <xdr:rowOff>84994</xdr:rowOff>
    </xdr:to>
    <xdr:pic>
      <xdr:nvPicPr>
        <xdr:cNvPr id="2" name="图片 1">
          <a:extLst>
            <a:ext uri="{FF2B5EF4-FFF2-40B4-BE49-F238E27FC236}">
              <a16:creationId xmlns:a16="http://schemas.microsoft.com/office/drawing/2014/main" id="{00000000-0008-0000-3700-000002000000}"/>
            </a:ext>
          </a:extLst>
        </xdr:cNvPr>
        <xdr:cNvPicPr>
          <a:picLocks noChangeAspect="1"/>
        </xdr:cNvPicPr>
      </xdr:nvPicPr>
      <xdr:blipFill>
        <a:blip xmlns:r="http://schemas.openxmlformats.org/officeDocument/2006/relationships" r:embed="rId1"/>
        <a:stretch>
          <a:fillRect/>
        </a:stretch>
      </xdr:blipFill>
      <xdr:spPr>
        <a:xfrm>
          <a:off x="581025" y="7173617"/>
          <a:ext cx="11058525" cy="5398652"/>
        </a:xfrm>
        <a:prstGeom prst="rect">
          <a:avLst/>
        </a:prstGeom>
      </xdr:spPr>
    </xdr:pic>
    <xdr:clientData/>
  </xdr:twoCellAnchor>
  <xdr:twoCellAnchor editAs="oneCell">
    <xdr:from>
      <xdr:col>7</xdr:col>
      <xdr:colOff>419100</xdr:colOff>
      <xdr:row>37</xdr:row>
      <xdr:rowOff>47625</xdr:rowOff>
    </xdr:from>
    <xdr:to>
      <xdr:col>19</xdr:col>
      <xdr:colOff>760624</xdr:colOff>
      <xdr:row>75</xdr:row>
      <xdr:rowOff>56334</xdr:rowOff>
    </xdr:to>
    <xdr:pic>
      <xdr:nvPicPr>
        <xdr:cNvPr id="3" name="图片 2">
          <a:extLst>
            <a:ext uri="{FF2B5EF4-FFF2-40B4-BE49-F238E27FC236}">
              <a16:creationId xmlns:a16="http://schemas.microsoft.com/office/drawing/2014/main" id="{00000000-0008-0000-3700-000003000000}"/>
            </a:ext>
          </a:extLst>
        </xdr:cNvPr>
        <xdr:cNvPicPr>
          <a:picLocks noChangeAspect="1"/>
        </xdr:cNvPicPr>
      </xdr:nvPicPr>
      <xdr:blipFill>
        <a:blip xmlns:r="http://schemas.openxmlformats.org/officeDocument/2006/relationships" r:embed="rId2"/>
        <a:stretch>
          <a:fillRect/>
        </a:stretch>
      </xdr:blipFill>
      <xdr:spPr>
        <a:xfrm>
          <a:off x="12011025" y="6743700"/>
          <a:ext cx="11009524" cy="688575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114300</xdr:colOff>
      <xdr:row>17</xdr:row>
      <xdr:rowOff>45185</xdr:rowOff>
    </xdr:from>
    <xdr:to>
      <xdr:col>10</xdr:col>
      <xdr:colOff>485775</xdr:colOff>
      <xdr:row>32</xdr:row>
      <xdr:rowOff>75729</xdr:rowOff>
    </xdr:to>
    <xdr:pic>
      <xdr:nvPicPr>
        <xdr:cNvPr id="2" name="图片 1">
          <a:extLst>
            <a:ext uri="{FF2B5EF4-FFF2-40B4-BE49-F238E27FC236}">
              <a16:creationId xmlns:a16="http://schemas.microsoft.com/office/drawing/2014/main" id="{00000000-0008-0000-3800-000002000000}"/>
            </a:ext>
          </a:extLst>
        </xdr:cNvPr>
        <xdr:cNvPicPr>
          <a:picLocks noChangeAspect="1"/>
        </xdr:cNvPicPr>
      </xdr:nvPicPr>
      <xdr:blipFill>
        <a:blip xmlns:r="http://schemas.openxmlformats.org/officeDocument/2006/relationships" r:embed="rId1"/>
        <a:stretch>
          <a:fillRect/>
        </a:stretch>
      </xdr:blipFill>
      <xdr:spPr>
        <a:xfrm>
          <a:off x="800100" y="2959835"/>
          <a:ext cx="7820025" cy="2602294"/>
        </a:xfrm>
        <a:prstGeom prst="rect">
          <a:avLst/>
        </a:prstGeom>
      </xdr:spPr>
    </xdr:pic>
    <xdr:clientData/>
  </xdr:twoCellAnchor>
  <xdr:twoCellAnchor editAs="oneCell">
    <xdr:from>
      <xdr:col>1</xdr:col>
      <xdr:colOff>219538</xdr:colOff>
      <xdr:row>27</xdr:row>
      <xdr:rowOff>142875</xdr:rowOff>
    </xdr:from>
    <xdr:to>
      <xdr:col>10</xdr:col>
      <xdr:colOff>561975</xdr:colOff>
      <xdr:row>44</xdr:row>
      <xdr:rowOff>113775</xdr:rowOff>
    </xdr:to>
    <xdr:pic>
      <xdr:nvPicPr>
        <xdr:cNvPr id="3" name="图片 2">
          <a:extLst>
            <a:ext uri="{FF2B5EF4-FFF2-40B4-BE49-F238E27FC236}">
              <a16:creationId xmlns:a16="http://schemas.microsoft.com/office/drawing/2014/main" id="{00000000-0008-0000-3800-000003000000}"/>
            </a:ext>
          </a:extLst>
        </xdr:cNvPr>
        <xdr:cNvPicPr>
          <a:picLocks noChangeAspect="1"/>
        </xdr:cNvPicPr>
      </xdr:nvPicPr>
      <xdr:blipFill>
        <a:blip xmlns:r="http://schemas.openxmlformats.org/officeDocument/2006/relationships" r:embed="rId2"/>
        <a:stretch>
          <a:fillRect/>
        </a:stretch>
      </xdr:blipFill>
      <xdr:spPr>
        <a:xfrm>
          <a:off x="905338" y="4772025"/>
          <a:ext cx="7790987" cy="2885550"/>
        </a:xfrm>
        <a:prstGeom prst="rect">
          <a:avLst/>
        </a:prstGeom>
      </xdr:spPr>
    </xdr:pic>
    <xdr:clientData/>
  </xdr:twoCellAnchor>
  <xdr:twoCellAnchor editAs="oneCell">
    <xdr:from>
      <xdr:col>1</xdr:col>
      <xdr:colOff>200025</xdr:colOff>
      <xdr:row>6</xdr:row>
      <xdr:rowOff>15681</xdr:rowOff>
    </xdr:from>
    <xdr:to>
      <xdr:col>10</xdr:col>
      <xdr:colOff>257175</xdr:colOff>
      <xdr:row>20</xdr:row>
      <xdr:rowOff>104318</xdr:rowOff>
    </xdr:to>
    <xdr:pic>
      <xdr:nvPicPr>
        <xdr:cNvPr id="4" name="图片 3">
          <a:extLst>
            <a:ext uri="{FF2B5EF4-FFF2-40B4-BE49-F238E27FC236}">
              <a16:creationId xmlns:a16="http://schemas.microsoft.com/office/drawing/2014/main" id="{00000000-0008-0000-3800-000004000000}"/>
            </a:ext>
          </a:extLst>
        </xdr:cNvPr>
        <xdr:cNvPicPr>
          <a:picLocks noChangeAspect="1"/>
        </xdr:cNvPicPr>
      </xdr:nvPicPr>
      <xdr:blipFill>
        <a:blip xmlns:r="http://schemas.openxmlformats.org/officeDocument/2006/relationships" r:embed="rId3"/>
        <a:stretch>
          <a:fillRect/>
        </a:stretch>
      </xdr:blipFill>
      <xdr:spPr>
        <a:xfrm>
          <a:off x="885825" y="1044381"/>
          <a:ext cx="7505700" cy="248893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12</xdr:col>
      <xdr:colOff>971550</xdr:colOff>
      <xdr:row>16</xdr:row>
      <xdr:rowOff>104775</xdr:rowOff>
    </xdr:from>
    <xdr:to>
      <xdr:col>35</xdr:col>
      <xdr:colOff>390525</xdr:colOff>
      <xdr:row>37</xdr:row>
      <xdr:rowOff>66675</xdr:rowOff>
    </xdr:to>
    <xdr:graphicFrame macro="">
      <xdr:nvGraphicFramePr>
        <xdr:cNvPr id="2" name="图表 1">
          <a:extLst>
            <a:ext uri="{FF2B5EF4-FFF2-40B4-BE49-F238E27FC236}">
              <a16:creationId xmlns:a16="http://schemas.microsoft.com/office/drawing/2014/main" id="{00000000-0008-0000-3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228600</xdr:colOff>
      <xdr:row>0</xdr:row>
      <xdr:rowOff>57150</xdr:rowOff>
    </xdr:from>
    <xdr:to>
      <xdr:col>12</xdr:col>
      <xdr:colOff>408609</xdr:colOff>
      <xdr:row>27</xdr:row>
      <xdr:rowOff>161333</xdr:rowOff>
    </xdr:to>
    <xdr:pic>
      <xdr:nvPicPr>
        <xdr:cNvPr id="2" name="图片 1">
          <a:extLst>
            <a:ext uri="{FF2B5EF4-FFF2-40B4-BE49-F238E27FC236}">
              <a16:creationId xmlns:a16="http://schemas.microsoft.com/office/drawing/2014/main" id="{00000000-0008-0000-3A00-000002000000}"/>
            </a:ext>
          </a:extLst>
        </xdr:cNvPr>
        <xdr:cNvPicPr>
          <a:picLocks noChangeAspect="1"/>
        </xdr:cNvPicPr>
      </xdr:nvPicPr>
      <xdr:blipFill>
        <a:blip xmlns:r="http://schemas.openxmlformats.org/officeDocument/2006/relationships" r:embed="rId1"/>
        <a:stretch>
          <a:fillRect/>
        </a:stretch>
      </xdr:blipFill>
      <xdr:spPr>
        <a:xfrm>
          <a:off x="914400" y="57150"/>
          <a:ext cx="7723809" cy="4733333"/>
        </a:xfrm>
        <a:prstGeom prst="rect">
          <a:avLst/>
        </a:prstGeom>
      </xdr:spPr>
    </xdr:pic>
    <xdr:clientData/>
  </xdr:twoCellAnchor>
  <xdr:twoCellAnchor editAs="oneCell">
    <xdr:from>
      <xdr:col>11</xdr:col>
      <xdr:colOff>552173</xdr:colOff>
      <xdr:row>0</xdr:row>
      <xdr:rowOff>0</xdr:rowOff>
    </xdr:from>
    <xdr:to>
      <xdr:col>21</xdr:col>
      <xdr:colOff>513321</xdr:colOff>
      <xdr:row>31</xdr:row>
      <xdr:rowOff>123005</xdr:rowOff>
    </xdr:to>
    <xdr:pic>
      <xdr:nvPicPr>
        <xdr:cNvPr id="3" name="图片 2">
          <a:extLst>
            <a:ext uri="{FF2B5EF4-FFF2-40B4-BE49-F238E27FC236}">
              <a16:creationId xmlns:a16="http://schemas.microsoft.com/office/drawing/2014/main" id="{00000000-0008-0000-3A00-000003000000}"/>
            </a:ext>
          </a:extLst>
        </xdr:cNvPr>
        <xdr:cNvPicPr>
          <a:picLocks noChangeAspect="1"/>
        </xdr:cNvPicPr>
      </xdr:nvPicPr>
      <xdr:blipFill>
        <a:blip xmlns:r="http://schemas.openxmlformats.org/officeDocument/2006/relationships" r:embed="rId2"/>
        <a:stretch>
          <a:fillRect/>
        </a:stretch>
      </xdr:blipFill>
      <xdr:spPr>
        <a:xfrm>
          <a:off x="8095973" y="0"/>
          <a:ext cx="6819148" cy="543795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zrzyj.zhuhai.gov.cn/zwgk/sjfb/content/post_3804268.html" TargetMode="Externa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5.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6.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8.xml.rels><?xml version="1.0" encoding="UTF-8" standalone="yes"?>
<Relationships xmlns="http://schemas.openxmlformats.org/package/2006/relationships"><Relationship Id="rId3" Type="http://schemas.openxmlformats.org/officeDocument/2006/relationships/hyperlink" Target="https://zjj.zhuhai.gov.cn/zjj/zwgk/tzgg/content/post_3399604.html" TargetMode="External"/><Relationship Id="rId7" Type="http://schemas.openxmlformats.org/officeDocument/2006/relationships/drawing" Target="../drawings/drawing5.xml"/><Relationship Id="rId2" Type="http://schemas.openxmlformats.org/officeDocument/2006/relationships/hyperlink" Target="https://zjj.zhuhai.gov.cn/zjj/zwgk/tzgg/content/post_3585955.html" TargetMode="External"/><Relationship Id="rId1" Type="http://schemas.openxmlformats.org/officeDocument/2006/relationships/hyperlink" Target="https://zjj.zhuhai.gov.cn/zjj/zwgk/tzgg/content/post_3399897.html" TargetMode="External"/><Relationship Id="rId6" Type="http://schemas.openxmlformats.org/officeDocument/2006/relationships/hyperlink" Target="https://baijiahao.baidu.com/s?id=1676314638647064781&amp;wfr=spider&amp;for=pc" TargetMode="External"/><Relationship Id="rId5" Type="http://schemas.openxmlformats.org/officeDocument/2006/relationships/hyperlink" Target="https://zrzyj.zhuhai.gov.cn/gkmlpt/content/3/3013/post_3013162.html" TargetMode="External"/><Relationship Id="rId4" Type="http://schemas.openxmlformats.org/officeDocument/2006/relationships/hyperlink" Target="https://zrzyj.zhuhai.gov.cn/gkmlpt/content/3/3678/post_3678030.html" TargetMode="External"/></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8.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49.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房地产市场价值预评估</v>
      </c>
    </row>
    <row r="3" spans="1:2">
      <c r="A3" s="1119" t="s">
        <v>523</v>
      </c>
      <c r="B3" s="1120">
        <f>'预评函-封皮'!B40</f>
        <v>0</v>
      </c>
    </row>
    <row r="4" spans="1:2">
      <c r="A4" s="1119" t="s">
        <v>524</v>
      </c>
      <c r="B4" s="1120" t="str">
        <f>'预评函-封皮'!B46</f>
        <v>（注册号：0)、（注册号：0)</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受贵公司委托，我公司对房地产市场价值进行了预评估。</v>
      </c>
    </row>
    <row r="7" spans="1:2">
      <c r="A7" s="1119" t="s">
        <v>566</v>
      </c>
      <c r="B7" s="1120" t="str">
        <f>'预评函-1'!A7</f>
        <v>估价对象为房地产，为所有。根据《国有土地使用证》[]，估价对象（分摊）出让国有建设用地使用权面积为109.97平方米，建筑面积为449.18平方米。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估价对象为房地产,属开发建设的，该项目尚在开发建设中。根据《国有土地使用证》[]，估价对象（分摊）出让国有建设用地使用权面积为109.97平方米，规划建筑面积为449.18平方米。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为估价委托人了解估价对象房地产市场价值提供参考依据。</v>
      </c>
    </row>
    <row r="12" spans="1:2">
      <c r="A12" s="1119" t="s">
        <v>528</v>
      </c>
      <c r="B12" s="1120" t="str">
        <f>'预评函-1'!A15</f>
        <v>2025年7月1日（评估专业人员实地查勘之日）</v>
      </c>
    </row>
    <row r="13" spans="1:2">
      <c r="A13" s="1119" t="s">
        <v>529</v>
      </c>
      <c r="B13" s="1120" t="str">
        <f>'预评函-1'!A18</f>
        <v>本次估价的“房地产价值”是指在正常市场情况下，在价值时点2025年7月1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v>
      </c>
    </row>
    <row r="16" spans="1:2">
      <c r="A16" s="1119" t="s">
        <v>532</v>
      </c>
      <c r="B16" s="1120" t="str">
        <f>'预评函-1'!A21</f>
        <v>——</v>
      </c>
    </row>
    <row r="17" spans="1:2">
      <c r="A17" s="1119" t="s">
        <v>533</v>
      </c>
      <c r="B17" s="1120" t="str">
        <f>'预评函-1'!A22</f>
        <v>——</v>
      </c>
    </row>
    <row r="18" spans="1:2" s="1115" customFormat="1" ht="15" thickBot="1">
      <c r="A18" s="1122" t="s">
        <v>534</v>
      </c>
      <c r="B18" s="1123" t="str">
        <f>'预评函-1'!A24</f>
        <v>本次评估采用的主估价方法为基准地价系数修正法和基准地价系数修正法。</v>
      </c>
    </row>
    <row r="19" spans="1:2" s="1118" customFormat="1" ht="15" thickTop="1">
      <c r="A19" s="1116" t="s">
        <v>535</v>
      </c>
      <c r="B19" s="1117"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c r="A20" s="1119" t="s">
        <v>536</v>
      </c>
      <c r="B20" s="1120" t="e">
        <f ca="1">'预评函-2'!D5</f>
        <v>#REF!</v>
      </c>
    </row>
    <row r="21" spans="1:2">
      <c r="A21" s="1119" t="s">
        <v>537</v>
      </c>
      <c r="B21" s="1120" t="e">
        <f ca="1">'预评函-2'!D7</f>
        <v>#REF!</v>
      </c>
    </row>
    <row r="22" spans="1:2">
      <c r="A22" s="1119" t="s">
        <v>538</v>
      </c>
      <c r="B22" s="1120" t="e">
        <f ca="1">'预评函-2'!D6</f>
        <v>#REF!</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t="e">
        <f ca="1">'预评函-2'!D13</f>
        <v>#REF!</v>
      </c>
    </row>
    <row r="31" spans="1:2">
      <c r="A31" s="1119" t="s">
        <v>576</v>
      </c>
      <c r="B31" s="1120" t="e">
        <f ca="1">'预评函-2'!D15</f>
        <v>#REF!</v>
      </c>
    </row>
    <row r="32" spans="1:2">
      <c r="A32" s="1119" t="s">
        <v>543</v>
      </c>
      <c r="B32" s="1120" t="e">
        <f ca="1">'预评函-2'!D14</f>
        <v>#REF!</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房地产</v>
      </c>
    </row>
    <row r="42" spans="1:2">
      <c r="A42" s="1119" t="s">
        <v>590</v>
      </c>
      <c r="B42" s="1120" t="str">
        <f>'预评函-3'!B2</f>
        <v>建筑面积</v>
      </c>
    </row>
    <row r="43" spans="1:2">
      <c r="A43" s="1119" t="s">
        <v>591</v>
      </c>
      <c r="B43" s="1120">
        <f>'预评函-3'!B4</f>
        <v>449.18</v>
      </c>
    </row>
    <row r="44" spans="1:2">
      <c r="A44" s="1119" t="s">
        <v>575</v>
      </c>
      <c r="B44" s="1120" t="str">
        <f>'预评函-3'!C2</f>
        <v>(分摊)土地面积</v>
      </c>
    </row>
    <row r="45" spans="1:2">
      <c r="A45" s="1119" t="s">
        <v>547</v>
      </c>
      <c r="B45" s="1120">
        <f>'预评函-3'!C4</f>
        <v>109.97</v>
      </c>
    </row>
    <row r="46" spans="1:2">
      <c r="A46" s="1119" t="s">
        <v>573</v>
      </c>
      <c r="B46" s="1120" t="str">
        <f>'预评函-3'!D2</f>
        <v>出让国有建设用地使用权价值</v>
      </c>
    </row>
    <row r="47" spans="1:2">
      <c r="A47" s="1119" t="s">
        <v>548</v>
      </c>
      <c r="B47" s="1120" t="e">
        <f ca="1">'预评函-3'!D4</f>
        <v>#REF!</v>
      </c>
    </row>
    <row r="48" spans="1:2">
      <c r="A48" s="1119" t="s">
        <v>549</v>
      </c>
      <c r="B48" s="1120" t="e">
        <f ca="1">'预评函-3'!E4</f>
        <v>#REF!</v>
      </c>
    </row>
    <row r="49" spans="1:2">
      <c r="A49" s="1119" t="s">
        <v>550</v>
      </c>
      <c r="B49" s="1120" t="e">
        <f ca="1">'预评函-3'!D5</f>
        <v>#REF!</v>
      </c>
    </row>
    <row r="50" spans="1:2">
      <c r="A50" s="1119" t="s">
        <v>574</v>
      </c>
      <c r="B50" s="1120" t="str">
        <f>'预评函-3'!F2</f>
        <v>在建建筑物价值</v>
      </c>
    </row>
    <row r="51" spans="1:2">
      <c r="A51" s="1119" t="s">
        <v>551</v>
      </c>
      <c r="B51" s="1120" t="e">
        <f ca="1">'预评函-3'!F4</f>
        <v>#REF!</v>
      </c>
    </row>
    <row r="52" spans="1:2">
      <c r="A52" s="1119" t="s">
        <v>552</v>
      </c>
      <c r="B52" s="1120" t="e">
        <f ca="1">'预评函-3'!G4</f>
        <v>#REF!</v>
      </c>
    </row>
    <row r="53" spans="1:2">
      <c r="A53" s="1119" t="s">
        <v>580</v>
      </c>
      <c r="B53" s="1120" t="e">
        <f ca="1">'预评函-3'!F5</f>
        <v>#REF!</v>
      </c>
    </row>
    <row r="54" spans="1:2">
      <c r="A54" s="1119" t="s">
        <v>598</v>
      </c>
      <c r="B54" s="1120" t="str">
        <f>'预评函-3'!A8</f>
        <v/>
      </c>
    </row>
    <row r="55" spans="1:2">
      <c r="A55" s="1119" t="s">
        <v>581</v>
      </c>
      <c r="B55" s="1120" t="str">
        <f>'预评函-3'!A10</f>
        <v/>
      </c>
    </row>
    <row r="56" spans="1:2">
      <c r="A56" s="1119" t="s">
        <v>582</v>
      </c>
      <c r="B56" s="1120" t="str">
        <f>'预评函-3'!A12</f>
        <v/>
      </c>
    </row>
    <row r="57" spans="1:2" s="1115" customFormat="1" ht="15" thickBot="1">
      <c r="A57" s="1122" t="s">
        <v>599</v>
      </c>
      <c r="B57" s="1123" t="str">
        <f>'预评函-3'!A6</f>
        <v/>
      </c>
    </row>
    <row r="58" spans="1:2" s="1118" customFormat="1" ht="15" thickTop="1">
      <c r="A58" s="1116" t="s">
        <v>553</v>
      </c>
      <c r="B58" s="1117" t="str">
        <f>'预评函-4'!A12</f>
        <v>2.本次评估设定估价对象房地产权属无争议，未被查封或者以其他形式限制其房地产权利，未设定抵押权等他项权利，不涉及第三方权利义务。</v>
      </c>
    </row>
    <row r="59" spans="1:2">
      <c r="A59" s="1119" t="s">
        <v>554</v>
      </c>
      <c r="B59" s="1120" t="str">
        <f>'预评函-4'!A13</f>
        <v>——</v>
      </c>
    </row>
    <row r="60" spans="1:2">
      <c r="A60" s="1119" t="s">
        <v>555</v>
      </c>
      <c r="B60" s="1120" t="str">
        <f>'预评函-4'!A14</f>
        <v>——</v>
      </c>
    </row>
    <row r="61" spans="1:2">
      <c r="A61" s="1119" t="s">
        <v>556</v>
      </c>
      <c r="B61" s="1120" t="str">
        <f>'预评函-4'!A15</f>
        <v>——</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v>
      </c>
    </row>
    <row r="65" spans="1:2">
      <c r="A65" s="1119" t="s">
        <v>559</v>
      </c>
      <c r="B65" s="112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f>'预评函-4'!A4</f>
        <v>0</v>
      </c>
    </row>
    <row r="71" spans="1:2">
      <c r="A71" s="1119" t="s">
        <v>563</v>
      </c>
      <c r="B71" s="1120">
        <f>'预评函-4'!B4</f>
        <v>0</v>
      </c>
    </row>
    <row r="72" spans="1:2">
      <c r="A72" s="1119" t="s">
        <v>564</v>
      </c>
      <c r="B72" s="1127">
        <f>'预评函-4'!A5</f>
        <v>0</v>
      </c>
    </row>
    <row r="73" spans="1:2" s="1115" customFormat="1" ht="15" thickBot="1">
      <c r="A73" s="1122" t="s">
        <v>565</v>
      </c>
      <c r="B73" s="1123">
        <f>'预评函-4'!B5</f>
        <v>0</v>
      </c>
    </row>
    <row r="74" spans="1:2" ht="15" thickTop="1">
      <c r="A74" s="1112" t="s">
        <v>601</v>
      </c>
      <c r="B74" s="1128" t="str">
        <f>'预评函-4'!A8</f>
        <v>XX</v>
      </c>
    </row>
  </sheetData>
  <sheetProtection sheet="1" objects="1" scenarios="1"/>
  <phoneticPr fontId="136"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4" width="21.125" style="1405" customWidth="1"/>
    <col min="25" max="16384" width="9" style="1405"/>
  </cols>
  <sheetData>
    <row r="1" spans="1:23" s="1440" customFormat="1" ht="40.5">
      <c r="A1" s="1436" t="s">
        <v>44</v>
      </c>
      <c r="B1" s="1437" t="s">
        <v>977</v>
      </c>
      <c r="C1" s="1438" t="s">
        <v>314</v>
      </c>
      <c r="D1" s="1439" t="s">
        <v>3349</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3335</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3336</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3337</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3338</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3339</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3340</v>
      </c>
    </row>
    <row r="8" spans="1:23">
      <c r="A8" s="1441" t="s">
        <v>1026</v>
      </c>
      <c r="B8" s="1441" t="s">
        <v>1027</v>
      </c>
      <c r="C8" s="1442" t="s">
        <v>319</v>
      </c>
      <c r="F8" s="1443" t="s">
        <v>1028</v>
      </c>
      <c r="H8" s="1443" t="s">
        <v>2575</v>
      </c>
      <c r="I8" s="1443" t="s">
        <v>3341</v>
      </c>
    </row>
    <row r="9" spans="1:23">
      <c r="A9" s="1441" t="s">
        <v>1029</v>
      </c>
      <c r="B9" s="1441" t="s">
        <v>1030</v>
      </c>
      <c r="C9" s="1442" t="s">
        <v>320</v>
      </c>
      <c r="F9" s="1443" t="s">
        <v>1031</v>
      </c>
      <c r="H9" s="1443"/>
      <c r="I9" s="1445" t="s">
        <v>3342</v>
      </c>
    </row>
    <row r="10" spans="1:23">
      <c r="A10" s="1441" t="s">
        <v>1032</v>
      </c>
      <c r="B10" s="1441" t="s">
        <v>1033</v>
      </c>
      <c r="C10" s="1442" t="s">
        <v>321</v>
      </c>
      <c r="F10" s="1443" t="s">
        <v>2576</v>
      </c>
      <c r="I10" s="1445" t="s">
        <v>3343</v>
      </c>
    </row>
    <row r="11" spans="1:23">
      <c r="A11" s="1441" t="s">
        <v>1034</v>
      </c>
      <c r="B11" s="1441" t="s">
        <v>1035</v>
      </c>
      <c r="C11" s="1442" t="s">
        <v>322</v>
      </c>
      <c r="F11" s="1443" t="s">
        <v>13</v>
      </c>
      <c r="I11" s="1445" t="s">
        <v>3344</v>
      </c>
    </row>
    <row r="12" spans="1:23">
      <c r="A12" s="1441" t="s">
        <v>1036</v>
      </c>
      <c r="B12" s="1441" t="s">
        <v>1037</v>
      </c>
      <c r="C12" s="1442" t="s">
        <v>323</v>
      </c>
      <c r="I12" s="1445" t="s">
        <v>3345</v>
      </c>
    </row>
    <row r="13" spans="1:23">
      <c r="A13" s="1441" t="s">
        <v>1038</v>
      </c>
      <c r="B13" s="1441" t="s">
        <v>1039</v>
      </c>
      <c r="C13" s="1442" t="s">
        <v>324</v>
      </c>
      <c r="I13" s="1445" t="s">
        <v>3346</v>
      </c>
    </row>
    <row r="14" spans="1:23">
      <c r="A14" s="1441" t="s">
        <v>1040</v>
      </c>
      <c r="B14" s="1441" t="s">
        <v>1041</v>
      </c>
      <c r="C14" s="1443" t="s">
        <v>13</v>
      </c>
      <c r="I14" s="1445" t="s">
        <v>3347</v>
      </c>
    </row>
    <row r="15" spans="1:23">
      <c r="A15" s="1441" t="s">
        <v>1042</v>
      </c>
      <c r="B15" s="1441" t="s">
        <v>1043</v>
      </c>
      <c r="C15" s="1442"/>
      <c r="I15" s="1445" t="s">
        <v>3348</v>
      </c>
    </row>
    <row r="16" spans="1:23">
      <c r="A16" s="1441" t="s">
        <v>1044</v>
      </c>
      <c r="B16" s="1441" t="s">
        <v>312</v>
      </c>
      <c r="C16" s="1442"/>
    </row>
    <row r="17" spans="1:3">
      <c r="A17" s="1441" t="s">
        <v>1045</v>
      </c>
      <c r="B17" s="1441" t="s">
        <v>2291</v>
      </c>
      <c r="C17" s="1442"/>
    </row>
    <row r="18" spans="1:3">
      <c r="A18" s="1441" t="s">
        <v>1046</v>
      </c>
      <c r="B18" s="1441" t="s">
        <v>2431</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425"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7月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25"/>
      <c r="B54" s="1447" t="s">
        <v>385</v>
      </c>
      <c r="C54" s="1445" t="s">
        <v>583</v>
      </c>
    </row>
    <row r="55" spans="1:4">
      <c r="A55" s="3425"/>
      <c r="B55" s="1447" t="s">
        <v>386</v>
      </c>
      <c r="C55" s="1445" t="s">
        <v>584</v>
      </c>
    </row>
    <row r="56" spans="1:4">
      <c r="A56" s="3425"/>
      <c r="B56" s="1447" t="s">
        <v>387</v>
      </c>
      <c r="C56" s="1445" t="s">
        <v>588</v>
      </c>
    </row>
    <row r="57" spans="1:4">
      <c r="A57" s="3425"/>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8"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2759"/>
    <col min="8" max="8" width="5.5" style="2759" customWidth="1"/>
    <col min="9" max="13" width="9.5" style="2800" customWidth="1"/>
    <col min="14" max="18" width="9.5" style="2759" customWidth="1"/>
    <col min="19" max="16384" width="15.25" style="2759"/>
  </cols>
  <sheetData>
    <row r="1" spans="1:18">
      <c r="A1" s="2756" t="s">
        <v>2498</v>
      </c>
      <c r="B1" s="2757"/>
      <c r="C1" s="2757"/>
      <c r="D1" s="2757"/>
      <c r="E1" s="2757"/>
      <c r="F1" s="2758"/>
      <c r="I1" s="3135" t="s">
        <v>2591</v>
      </c>
      <c r="J1" s="2783"/>
      <c r="K1" s="2783"/>
      <c r="L1" s="2783"/>
      <c r="M1" s="2783"/>
      <c r="N1" s="2968"/>
      <c r="O1" s="2968"/>
      <c r="P1" s="2968"/>
      <c r="Q1" s="2968"/>
      <c r="R1" s="2968"/>
    </row>
    <row r="2" spans="1:18">
      <c r="A2" s="2760"/>
      <c r="B2" s="2761"/>
      <c r="C2" s="2761"/>
      <c r="D2" s="2761"/>
      <c r="E2" s="2761"/>
      <c r="F2" s="2762"/>
      <c r="I2" s="3426" t="s">
        <v>2578</v>
      </c>
      <c r="J2" s="3426"/>
      <c r="K2" s="3426"/>
      <c r="L2" s="3426"/>
      <c r="M2" s="3426"/>
      <c r="N2" s="3426"/>
      <c r="O2" s="3426"/>
      <c r="P2" s="3426"/>
      <c r="Q2" s="3426"/>
      <c r="R2" s="3426"/>
    </row>
    <row r="3" spans="1:18">
      <c r="A3" s="2763" t="s">
        <v>2499</v>
      </c>
      <c r="B3" s="2764">
        <f>项目基本情况!D3</f>
        <v>45839</v>
      </c>
      <c r="C3" s="2766"/>
      <c r="D3" s="2766"/>
      <c r="E3" s="2766"/>
      <c r="F3" s="2762"/>
      <c r="I3" s="2778"/>
      <c r="J3" s="2778" t="s">
        <v>2582</v>
      </c>
      <c r="K3" s="2778" t="s">
        <v>2583</v>
      </c>
      <c r="L3" s="2778" t="s">
        <v>2584</v>
      </c>
      <c r="M3" s="2778" t="s">
        <v>2585</v>
      </c>
      <c r="N3" s="3136" t="s">
        <v>2586</v>
      </c>
      <c r="O3" s="3136" t="s">
        <v>2587</v>
      </c>
      <c r="P3" s="3136" t="s">
        <v>2588</v>
      </c>
      <c r="Q3" s="3136" t="s">
        <v>2589</v>
      </c>
      <c r="R3" s="3136" t="s">
        <v>2590</v>
      </c>
    </row>
    <row r="4" spans="1:18">
      <c r="A4" s="2763" t="s">
        <v>2500</v>
      </c>
      <c r="B4" s="2766" t="s">
        <v>2501</v>
      </c>
      <c r="C4" s="2766" t="s">
        <v>2502</v>
      </c>
      <c r="D4" s="2766" t="s">
        <v>2503</v>
      </c>
      <c r="E4" s="2766" t="s">
        <v>2504</v>
      </c>
      <c r="F4" s="2762"/>
      <c r="I4" s="2778" t="s">
        <v>2579</v>
      </c>
      <c r="J4" s="2778">
        <v>80</v>
      </c>
      <c r="K4" s="2778">
        <v>70</v>
      </c>
      <c r="L4" s="2778">
        <v>20</v>
      </c>
      <c r="M4" s="2778">
        <v>30</v>
      </c>
      <c r="N4" s="2766">
        <v>45</v>
      </c>
      <c r="O4" s="2766">
        <v>60</v>
      </c>
      <c r="P4" s="2766">
        <v>50</v>
      </c>
      <c r="Q4" s="2766">
        <v>20</v>
      </c>
      <c r="R4" s="2766">
        <v>375</v>
      </c>
    </row>
    <row r="5" spans="1:18">
      <c r="A5" s="2767">
        <v>40</v>
      </c>
      <c r="B5" s="2764">
        <v>46375</v>
      </c>
      <c r="C5" s="2766">
        <f>ROUNDDOWN(MIN((B5-B3)/365,A5),2)</f>
        <v>1.46</v>
      </c>
      <c r="D5" s="2768">
        <f>IF(ISERROR(ROUND(POWER(1+E5,A5-C5)*(POWER(1+E5,C5)-1)/(POWER(1+E5,A5)-1),3)),0,ROUND(POWER(1+E5,A5-C5)*(POWER(1+E5,C5)-1)/(POWER(1+E5,A5)-1),4))</f>
        <v>7.0300000000000001E-2</v>
      </c>
      <c r="E5" s="2769">
        <v>0.04</v>
      </c>
      <c r="F5" s="2762"/>
      <c r="I5" s="2778" t="s">
        <v>2580</v>
      </c>
      <c r="J5" s="2778">
        <v>70</v>
      </c>
      <c r="K5" s="2778">
        <v>60</v>
      </c>
      <c r="L5" s="2778">
        <v>15</v>
      </c>
      <c r="M5" s="2778">
        <v>25</v>
      </c>
      <c r="N5" s="2766">
        <v>40</v>
      </c>
      <c r="O5" s="2766">
        <v>50</v>
      </c>
      <c r="P5" s="2766">
        <v>40</v>
      </c>
      <c r="Q5" s="2766">
        <v>15</v>
      </c>
      <c r="R5" s="2766">
        <v>315</v>
      </c>
    </row>
    <row r="6" spans="1:18">
      <c r="A6" s="2767">
        <v>50</v>
      </c>
      <c r="B6" s="2764">
        <v>50028</v>
      </c>
      <c r="C6" s="2766">
        <f>ROUNDDOWN(MIN((B6-B3)/365,A6),2)</f>
        <v>11.47</v>
      </c>
      <c r="D6" s="2768">
        <f>IF(ISERROR(ROUND(POWER(1+E6,A6-C6)*(POWER(1+E6,C6)-1)/(POWER(1+E6,A6)-1),3)),0,ROUND(POWER(1+E6,A6-C6)*(POWER(1+E6,C6)-1)/(POWER(1+E6,A6)-1),4))</f>
        <v>0.42159999999999997</v>
      </c>
      <c r="E6" s="2769">
        <v>0.04</v>
      </c>
      <c r="F6" s="2762"/>
      <c r="I6" s="2778" t="s">
        <v>2581</v>
      </c>
      <c r="J6" s="2778">
        <v>60</v>
      </c>
      <c r="K6" s="2778">
        <v>50</v>
      </c>
      <c r="L6" s="2778">
        <v>10</v>
      </c>
      <c r="M6" s="2778">
        <v>20</v>
      </c>
      <c r="N6" s="2766">
        <v>35</v>
      </c>
      <c r="O6" s="2766">
        <v>40</v>
      </c>
      <c r="P6" s="2766">
        <v>30</v>
      </c>
      <c r="Q6" s="2766">
        <v>10</v>
      </c>
      <c r="R6" s="2766">
        <v>255</v>
      </c>
    </row>
    <row r="7" spans="1:18">
      <c r="A7" s="2767">
        <v>70</v>
      </c>
      <c r="B7" s="2764">
        <v>57333</v>
      </c>
      <c r="C7" s="2766">
        <f>ROUNDDOWN(MIN((B7-B3)/365,A7),2)</f>
        <v>31.49</v>
      </c>
      <c r="D7" s="2768">
        <f>IF(ISERROR(ROUND(POWER(1+E7,A7-C7)*(POWER(1+E7,C7)-1)/(POWER(1+E7,A7)-1),3)),0,ROUND(POWER(1+E7,A7-C7)*(POWER(1+E7,C7)-1)/(POWER(1+E7,A7)-1),4))</f>
        <v>0.75790000000000002</v>
      </c>
      <c r="E7" s="2769">
        <v>0.04</v>
      </c>
      <c r="F7" s="2762"/>
    </row>
    <row r="8" spans="1:18">
      <c r="A8" s="2760"/>
      <c r="B8" s="2761"/>
      <c r="C8" s="2761"/>
      <c r="D8" s="2761"/>
      <c r="E8" s="2761"/>
      <c r="F8" s="2762"/>
    </row>
    <row r="9" spans="1:18">
      <c r="A9" s="2763" t="s">
        <v>2505</v>
      </c>
      <c r="B9" s="2766"/>
      <c r="C9" s="2766"/>
      <c r="D9" s="2766"/>
      <c r="E9" s="2766"/>
      <c r="F9" s="2770"/>
    </row>
    <row r="10" spans="1:18">
      <c r="A10" s="2763" t="s">
        <v>2506</v>
      </c>
      <c r="B10" s="2766"/>
      <c r="C10" s="2766"/>
      <c r="D10" s="2766" t="s">
        <v>2504</v>
      </c>
      <c r="E10" s="2766"/>
      <c r="F10" s="2770" t="s">
        <v>2503</v>
      </c>
    </row>
    <row r="11" spans="1:18">
      <c r="A11" s="2763" t="s">
        <v>2507</v>
      </c>
      <c r="B11" s="2771">
        <v>70</v>
      </c>
      <c r="C11" s="2766" t="s">
        <v>2508</v>
      </c>
      <c r="D11" s="2771">
        <v>4.4999999999999998E-2</v>
      </c>
      <c r="E11" s="2766" t="s">
        <v>2509</v>
      </c>
      <c r="F11" s="2772">
        <f>ROUND(1-(1/(POWER(1+D11,B11))),4)</f>
        <v>0.95409999999999995</v>
      </c>
    </row>
    <row r="12" spans="1:18">
      <c r="A12" s="2763" t="s">
        <v>2510</v>
      </c>
      <c r="B12" s="2771">
        <v>40</v>
      </c>
      <c r="C12" s="2766" t="s">
        <v>2511</v>
      </c>
      <c r="D12" s="2771">
        <v>4.4999999999999998E-2</v>
      </c>
      <c r="E12" s="2766" t="s">
        <v>2512</v>
      </c>
      <c r="F12" s="2772">
        <f>ROUND(1-(1/(POWER(1+D12,B12))),4)</f>
        <v>0.82809999999999995</v>
      </c>
    </row>
    <row r="13" spans="1:18">
      <c r="A13" s="2763" t="s">
        <v>2513</v>
      </c>
      <c r="B13" s="2766"/>
      <c r="C13" s="2766"/>
      <c r="D13" s="2761"/>
      <c r="E13" s="2761"/>
      <c r="F13" s="2762"/>
    </row>
    <row r="14" spans="1:18">
      <c r="A14" s="2763" t="s">
        <v>2514</v>
      </c>
      <c r="B14" s="2771">
        <v>5000</v>
      </c>
      <c r="C14" s="2765"/>
      <c r="D14" s="2761"/>
      <c r="E14" s="2761"/>
      <c r="F14" s="2762"/>
    </row>
    <row r="15" spans="1:18">
      <c r="A15" s="2763" t="s">
        <v>2515</v>
      </c>
      <c r="B15" s="2766">
        <f>ROUND(B14*F12/F11,2)</f>
        <v>4339.6899999999996</v>
      </c>
      <c r="C15" s="2766">
        <f>ROUND(F12/F11,4)</f>
        <v>0.8679</v>
      </c>
      <c r="D15" s="2761"/>
      <c r="E15" s="2761"/>
      <c r="F15" s="2762"/>
    </row>
    <row r="16" spans="1:18">
      <c r="A16" s="2763" t="s">
        <v>2516</v>
      </c>
      <c r="B16" s="2766"/>
      <c r="C16" s="2766"/>
      <c r="D16" s="2761"/>
      <c r="E16" s="2761"/>
      <c r="F16" s="2762"/>
    </row>
    <row r="17" spans="1:14">
      <c r="A17" s="2763" t="s">
        <v>2515</v>
      </c>
      <c r="B17" s="2771">
        <v>4810</v>
      </c>
      <c r="C17" s="2765"/>
      <c r="D17" s="2761"/>
      <c r="E17" s="2761"/>
      <c r="F17" s="2762"/>
    </row>
    <row r="18" spans="1:14" ht="14.25" thickBot="1">
      <c r="A18" s="2773" t="s">
        <v>2514</v>
      </c>
      <c r="B18" s="2774">
        <f>ROUND(B17*F11/F12,2)</f>
        <v>5541.87</v>
      </c>
      <c r="C18" s="2774">
        <f>ROUND(F11/F12,4)</f>
        <v>1.1521999999999999</v>
      </c>
      <c r="D18" s="2775"/>
      <c r="E18" s="2775"/>
      <c r="F18" s="2776"/>
    </row>
    <row r="19" spans="1:14" ht="14.25" thickBot="1"/>
    <row r="20" spans="1:14" s="2809" customFormat="1" ht="14.25" thickTop="1">
      <c r="A20" s="2806" t="s">
        <v>2517</v>
      </c>
      <c r="B20" s="2807"/>
      <c r="C20" s="2807"/>
      <c r="D20" s="2807"/>
      <c r="E20" s="2807"/>
      <c r="F20" s="2807"/>
      <c r="G20" s="2808"/>
      <c r="I20" s="2810" t="s">
        <v>2562</v>
      </c>
      <c r="J20" s="2810" t="s">
        <v>2567</v>
      </c>
      <c r="K20" s="2810"/>
      <c r="L20" s="2810"/>
      <c r="M20" s="2810"/>
    </row>
    <row r="21" spans="1:14">
      <c r="A21" s="2777"/>
      <c r="B21" s="2778" t="s">
        <v>2518</v>
      </c>
      <c r="C21" s="2778" t="s">
        <v>2519</v>
      </c>
      <c r="D21" s="2778" t="s">
        <v>2520</v>
      </c>
      <c r="E21" s="2778" t="s">
        <v>2521</v>
      </c>
      <c r="F21" s="2778" t="s">
        <v>2522</v>
      </c>
      <c r="G21" s="2779" t="s">
        <v>2523</v>
      </c>
      <c r="I21" s="2800">
        <v>5</v>
      </c>
      <c r="J21" s="2800">
        <v>54.2</v>
      </c>
    </row>
    <row r="22" spans="1:14">
      <c r="A22" s="2777" t="s">
        <v>2524</v>
      </c>
      <c r="B22" s="2780">
        <v>70</v>
      </c>
      <c r="C22" s="2780">
        <v>30</v>
      </c>
      <c r="D22" s="2781">
        <v>0.04</v>
      </c>
      <c r="E22" s="2778">
        <f>ROUND(POWER(1+D22,B22-C22)*(POWER(1+D22,C22)-1)/(POWER(1+D22,B22)-1),3)</f>
        <v>0.73899999999999999</v>
      </c>
      <c r="F22" s="2781">
        <v>0.7</v>
      </c>
      <c r="G22" s="2779">
        <f>ROUND(100*(1-(1-E22)*F22),1)</f>
        <v>81.7</v>
      </c>
      <c r="I22" s="2800">
        <v>10</v>
      </c>
      <c r="J22" s="2800">
        <v>65.400000000000006</v>
      </c>
      <c r="K22" s="2800">
        <f>J22-J21</f>
        <v>11.200000000000003</v>
      </c>
    </row>
    <row r="23" spans="1:14">
      <c r="A23" s="2777" t="s">
        <v>2525</v>
      </c>
      <c r="B23" s="2780">
        <v>70</v>
      </c>
      <c r="C23" s="2780">
        <v>40</v>
      </c>
      <c r="D23" s="2781">
        <v>0.04</v>
      </c>
      <c r="E23" s="2778">
        <f t="shared" ref="E23:E25" si="0">ROUND(POWER(1+D23,B23-C23)*(POWER(1+D23,C23)-1)/(POWER(1+D23,B23)-1),3)</f>
        <v>0.84599999999999997</v>
      </c>
      <c r="F23" s="2781">
        <f>F22</f>
        <v>0.7</v>
      </c>
      <c r="G23" s="2779">
        <f t="shared" ref="G23:G25" si="1">ROUND(100*(1-(1-E23)*F23),1)</f>
        <v>89.2</v>
      </c>
      <c r="I23" s="2800">
        <v>15</v>
      </c>
      <c r="J23" s="2800">
        <v>74.099999999999994</v>
      </c>
      <c r="K23" s="2800">
        <f t="shared" ref="K23:K30" si="2">J23-J22</f>
        <v>8.6999999999999886</v>
      </c>
      <c r="L23" s="2800" t="s">
        <v>2565</v>
      </c>
      <c r="N23" s="3153" t="s">
        <v>2566</v>
      </c>
    </row>
    <row r="24" spans="1:14">
      <c r="A24" s="2777" t="s">
        <v>2526</v>
      </c>
      <c r="B24" s="2780">
        <v>70</v>
      </c>
      <c r="C24" s="2780">
        <v>50</v>
      </c>
      <c r="D24" s="2781">
        <v>0.04</v>
      </c>
      <c r="E24" s="2778">
        <f t="shared" si="0"/>
        <v>0.91800000000000004</v>
      </c>
      <c r="F24" s="2781">
        <f>F23</f>
        <v>0.7</v>
      </c>
      <c r="G24" s="2779">
        <f t="shared" si="1"/>
        <v>94.3</v>
      </c>
      <c r="I24" s="2800">
        <v>20</v>
      </c>
      <c r="J24" s="2800">
        <v>81</v>
      </c>
      <c r="K24" s="2800">
        <f t="shared" si="2"/>
        <v>6.9000000000000057</v>
      </c>
      <c r="L24" s="2800" t="s">
        <v>2564</v>
      </c>
      <c r="N24" s="3153">
        <v>10</v>
      </c>
    </row>
    <row r="25" spans="1:14">
      <c r="A25" s="2777" t="s">
        <v>2527</v>
      </c>
      <c r="B25" s="2780">
        <v>70</v>
      </c>
      <c r="C25" s="2780">
        <v>60</v>
      </c>
      <c r="D25" s="2781">
        <v>0.04</v>
      </c>
      <c r="E25" s="2778">
        <f t="shared" si="0"/>
        <v>0.96699999999999997</v>
      </c>
      <c r="F25" s="2781">
        <f>F24</f>
        <v>0.7</v>
      </c>
      <c r="G25" s="2779">
        <f t="shared" si="1"/>
        <v>97.7</v>
      </c>
      <c r="I25" s="2800">
        <v>25</v>
      </c>
      <c r="J25" s="2800">
        <v>86.3</v>
      </c>
      <c r="K25" s="2800">
        <f t="shared" si="2"/>
        <v>5.2999999999999972</v>
      </c>
      <c r="L25" s="2800" t="s">
        <v>2568</v>
      </c>
      <c r="N25" s="3153">
        <v>8</v>
      </c>
    </row>
    <row r="26" spans="1:14">
      <c r="A26" s="2782"/>
      <c r="B26" s="2783"/>
      <c r="C26" s="2783"/>
      <c r="D26" s="2783"/>
      <c r="E26" s="2783"/>
      <c r="F26" s="2783"/>
      <c r="G26" s="2784"/>
      <c r="I26" s="2800">
        <v>30</v>
      </c>
      <c r="J26" s="2800">
        <v>90.5</v>
      </c>
      <c r="K26" s="2800">
        <f t="shared" si="2"/>
        <v>4.2000000000000028</v>
      </c>
      <c r="L26" s="2800" t="s">
        <v>2569</v>
      </c>
      <c r="N26" s="3153">
        <v>5</v>
      </c>
    </row>
    <row r="27" spans="1:14">
      <c r="A27" s="2782" t="s">
        <v>2528</v>
      </c>
      <c r="B27" s="2783"/>
      <c r="C27" s="2783"/>
      <c r="D27" s="2783"/>
      <c r="E27" s="2783"/>
      <c r="F27" s="2783"/>
      <c r="G27" s="2784"/>
      <c r="I27" s="2800">
        <v>35</v>
      </c>
      <c r="J27" s="2800">
        <v>93.8</v>
      </c>
      <c r="K27" s="2800">
        <f t="shared" si="2"/>
        <v>3.2999999999999972</v>
      </c>
      <c r="L27" s="2800" t="s">
        <v>2570</v>
      </c>
      <c r="N27" s="3153">
        <v>3</v>
      </c>
    </row>
    <row r="28" spans="1:14">
      <c r="A28" s="2782" t="s">
        <v>2529</v>
      </c>
      <c r="B28" s="2783"/>
      <c r="C28" s="2783"/>
      <c r="D28" s="2783"/>
      <c r="E28" s="2783"/>
      <c r="F28" s="2783"/>
      <c r="G28" s="2784"/>
      <c r="I28" s="2800">
        <v>40</v>
      </c>
      <c r="J28" s="2800">
        <v>96.4</v>
      </c>
      <c r="K28" s="2800">
        <f t="shared" si="2"/>
        <v>2.6000000000000085</v>
      </c>
      <c r="L28" s="2800" t="s">
        <v>2571</v>
      </c>
      <c r="N28" s="3153">
        <v>2</v>
      </c>
    </row>
    <row r="29" spans="1:14">
      <c r="A29" s="2782" t="s">
        <v>2530</v>
      </c>
      <c r="B29" s="2783"/>
      <c r="C29" s="2783"/>
      <c r="D29" s="2783"/>
      <c r="E29" s="2783"/>
      <c r="F29" s="2783"/>
      <c r="G29" s="2784"/>
      <c r="I29" s="2800">
        <v>45</v>
      </c>
      <c r="J29" s="2800">
        <v>98.4</v>
      </c>
      <c r="K29" s="2800">
        <f t="shared" si="2"/>
        <v>2</v>
      </c>
    </row>
    <row r="30" spans="1:14">
      <c r="A30" s="2782" t="s">
        <v>2531</v>
      </c>
      <c r="B30" s="2783"/>
      <c r="C30" s="2783"/>
      <c r="D30" s="2783"/>
      <c r="E30" s="2783"/>
      <c r="F30" s="2783"/>
      <c r="G30" s="2784"/>
      <c r="I30" s="2800">
        <v>50</v>
      </c>
      <c r="J30" s="2800">
        <v>100</v>
      </c>
      <c r="K30" s="2800">
        <f t="shared" si="2"/>
        <v>1.5999999999999943</v>
      </c>
    </row>
    <row r="31" spans="1:14">
      <c r="A31" s="2782" t="s">
        <v>2532</v>
      </c>
      <c r="B31" s="2783"/>
      <c r="C31" s="2783"/>
      <c r="D31" s="2783"/>
      <c r="E31" s="2783"/>
      <c r="F31" s="2783"/>
      <c r="G31" s="2784"/>
      <c r="I31" s="2800" t="s">
        <v>2563</v>
      </c>
    </row>
    <row r="32" spans="1:14">
      <c r="A32" s="2782" t="s">
        <v>2533</v>
      </c>
      <c r="B32" s="2783"/>
      <c r="C32" s="2783"/>
      <c r="D32" s="2783"/>
      <c r="E32" s="2783"/>
      <c r="F32" s="2783"/>
      <c r="G32" s="2784"/>
    </row>
    <row r="33" spans="1:14">
      <c r="A33" s="2782" t="s">
        <v>2534</v>
      </c>
      <c r="B33" s="2783"/>
      <c r="C33" s="2783"/>
      <c r="D33" s="2783"/>
      <c r="E33" s="2783"/>
      <c r="F33" s="2783"/>
      <c r="G33" s="2784"/>
      <c r="I33" s="2800" t="s">
        <v>2562</v>
      </c>
      <c r="J33" s="2800" t="s">
        <v>2572</v>
      </c>
    </row>
    <row r="34" spans="1:14">
      <c r="A34" s="2782" t="s">
        <v>2535</v>
      </c>
      <c r="B34" s="2783"/>
      <c r="C34" s="2783"/>
      <c r="D34" s="2783"/>
      <c r="E34" s="2783"/>
      <c r="F34" s="2783"/>
      <c r="G34" s="2784"/>
      <c r="I34" s="2800">
        <v>5</v>
      </c>
      <c r="J34" s="2800">
        <v>55.1</v>
      </c>
    </row>
    <row r="35" spans="1:14">
      <c r="A35" s="2782" t="s">
        <v>2536</v>
      </c>
      <c r="B35" s="2783"/>
      <c r="C35" s="2783"/>
      <c r="D35" s="2783"/>
      <c r="E35" s="2783"/>
      <c r="F35" s="2783"/>
      <c r="G35" s="2784"/>
      <c r="I35" s="2800">
        <v>10</v>
      </c>
      <c r="J35" s="2800">
        <v>67</v>
      </c>
      <c r="K35" s="2800">
        <f>J35-J34</f>
        <v>11.899999999999999</v>
      </c>
    </row>
    <row r="36" spans="1:14">
      <c r="A36" s="2782" t="s">
        <v>2537</v>
      </c>
      <c r="B36" s="2783"/>
      <c r="C36" s="2783"/>
      <c r="D36" s="2783"/>
      <c r="E36" s="2783"/>
      <c r="F36" s="2783"/>
      <c r="G36" s="2784"/>
      <c r="I36" s="2800">
        <v>15</v>
      </c>
      <c r="J36" s="2800">
        <v>76.3</v>
      </c>
      <c r="K36" s="2800">
        <f t="shared" ref="K36:K41" si="3">J36-J35</f>
        <v>9.2999999999999972</v>
      </c>
      <c r="L36" s="2800" t="s">
        <v>2565</v>
      </c>
      <c r="N36" s="3153" t="s">
        <v>2566</v>
      </c>
    </row>
    <row r="37" spans="1:14">
      <c r="A37" s="2782" t="s">
        <v>2538</v>
      </c>
      <c r="B37" s="2783"/>
      <c r="C37" s="2783"/>
      <c r="D37" s="2783"/>
      <c r="E37" s="2783"/>
      <c r="F37" s="2783"/>
      <c r="G37" s="2784"/>
      <c r="I37" s="2800">
        <v>20</v>
      </c>
      <c r="J37" s="2800">
        <v>83.6</v>
      </c>
      <c r="K37" s="2800">
        <f t="shared" si="3"/>
        <v>7.2999999999999972</v>
      </c>
      <c r="L37" s="2800" t="s">
        <v>2564</v>
      </c>
      <c r="N37" s="3153">
        <v>10</v>
      </c>
    </row>
    <row r="38" spans="1:14">
      <c r="A38" s="2782" t="s">
        <v>2539</v>
      </c>
      <c r="B38" s="2783"/>
      <c r="C38" s="2783"/>
      <c r="D38" s="2783"/>
      <c r="E38" s="2783"/>
      <c r="F38" s="2783"/>
      <c r="G38" s="2784"/>
      <c r="I38" s="2800">
        <v>25</v>
      </c>
      <c r="J38" s="2800">
        <v>89.3</v>
      </c>
      <c r="K38" s="2800">
        <f t="shared" si="3"/>
        <v>5.7000000000000028</v>
      </c>
      <c r="L38" s="2800" t="s">
        <v>2568</v>
      </c>
      <c r="N38" s="3153">
        <v>8</v>
      </c>
    </row>
    <row r="39" spans="1:14">
      <c r="A39" s="2782"/>
      <c r="B39" s="2783"/>
      <c r="C39" s="2783"/>
      <c r="D39" s="2783"/>
      <c r="E39" s="2783"/>
      <c r="F39" s="2783"/>
      <c r="G39" s="2784"/>
      <c r="I39" s="2800">
        <v>30</v>
      </c>
      <c r="J39" s="2800">
        <v>93.8</v>
      </c>
      <c r="K39" s="2800">
        <f t="shared" si="3"/>
        <v>4.5</v>
      </c>
      <c r="L39" s="2800" t="s">
        <v>2569</v>
      </c>
      <c r="N39" s="3153">
        <v>6</v>
      </c>
    </row>
    <row r="40" spans="1:14">
      <c r="A40" s="2785" t="s">
        <v>2540</v>
      </c>
      <c r="B40" s="2786"/>
      <c r="C40" s="2786"/>
      <c r="D40" s="2786"/>
      <c r="E40" s="2786"/>
      <c r="F40" s="2786"/>
      <c r="G40" s="2787"/>
      <c r="I40" s="2800">
        <v>35</v>
      </c>
      <c r="J40" s="2800">
        <v>97.2</v>
      </c>
      <c r="K40" s="2800">
        <f t="shared" si="3"/>
        <v>3.4000000000000057</v>
      </c>
      <c r="L40" s="2800" t="s">
        <v>2570</v>
      </c>
      <c r="N40" s="3153">
        <v>3</v>
      </c>
    </row>
    <row r="41" spans="1:14">
      <c r="A41" s="2788" t="s">
        <v>2541</v>
      </c>
      <c r="B41" s="2789" t="s">
        <v>2542</v>
      </c>
      <c r="C41" s="2790" t="s">
        <v>2543</v>
      </c>
      <c r="D41" s="2790" t="s">
        <v>2544</v>
      </c>
      <c r="E41" s="2791"/>
      <c r="F41" s="2792"/>
      <c r="G41" s="2793"/>
      <c r="I41" s="2800">
        <v>40</v>
      </c>
      <c r="J41" s="2800">
        <v>100</v>
      </c>
      <c r="K41" s="2800">
        <f t="shared" si="3"/>
        <v>2.7999999999999972</v>
      </c>
    </row>
    <row r="42" spans="1:14">
      <c r="A42" s="2788" t="s">
        <v>2545</v>
      </c>
      <c r="B42" s="2789" t="s">
        <v>2546</v>
      </c>
      <c r="C42" s="2790" t="s">
        <v>2547</v>
      </c>
      <c r="D42" s="2794" t="s">
        <v>2548</v>
      </c>
      <c r="E42" s="2786" t="s">
        <v>2549</v>
      </c>
      <c r="F42" s="2786"/>
      <c r="G42" s="2787"/>
    </row>
    <row r="43" spans="1:14">
      <c r="A43" s="2788" t="s">
        <v>2550</v>
      </c>
      <c r="B43" s="2789" t="s">
        <v>2551</v>
      </c>
      <c r="C43" s="2790" t="s">
        <v>2552</v>
      </c>
      <c r="D43" s="2790" t="s">
        <v>2553</v>
      </c>
      <c r="E43" s="2791" t="s">
        <v>2554</v>
      </c>
      <c r="F43" s="2792"/>
      <c r="G43" s="2793"/>
      <c r="I43" s="2800" t="s">
        <v>2562</v>
      </c>
      <c r="J43" s="2800" t="s">
        <v>2573</v>
      </c>
    </row>
    <row r="44" spans="1:14">
      <c r="A44" s="2788" t="s">
        <v>2555</v>
      </c>
      <c r="B44" s="2789" t="s">
        <v>2556</v>
      </c>
      <c r="C44" s="2790" t="s">
        <v>2557</v>
      </c>
      <c r="D44" s="2794">
        <v>0.5</v>
      </c>
      <c r="E44" s="2791" t="s">
        <v>2558</v>
      </c>
      <c r="F44" s="2792"/>
      <c r="G44" s="2793"/>
      <c r="I44" s="2800">
        <v>30</v>
      </c>
      <c r="J44" s="2800">
        <v>81.7</v>
      </c>
    </row>
    <row r="45" spans="1:14" ht="14.25" thickBot="1">
      <c r="A45" s="2795" t="s">
        <v>2559</v>
      </c>
      <c r="B45" s="2796" t="s">
        <v>2546</v>
      </c>
      <c r="C45" s="2797" t="s">
        <v>2546</v>
      </c>
      <c r="D45" s="2797" t="s">
        <v>2560</v>
      </c>
      <c r="E45" s="2798" t="s">
        <v>2561</v>
      </c>
      <c r="F45" s="2798"/>
      <c r="G45" s="2799"/>
      <c r="I45" s="2800">
        <v>40</v>
      </c>
      <c r="J45" s="2800">
        <v>89.2</v>
      </c>
      <c r="K45" s="2800">
        <f>J45-J44</f>
        <v>7.5</v>
      </c>
    </row>
    <row r="46" spans="1:14">
      <c r="I46" s="2800">
        <v>50</v>
      </c>
      <c r="J46" s="2800">
        <v>94.3</v>
      </c>
      <c r="K46" s="2800">
        <f t="shared" ref="K46:K47" si="4">J46-J45</f>
        <v>5.0999999999999943</v>
      </c>
    </row>
    <row r="47" spans="1:14">
      <c r="I47" s="2800">
        <v>60</v>
      </c>
      <c r="J47" s="2800">
        <v>97.7</v>
      </c>
      <c r="K47" s="2800">
        <f t="shared" si="4"/>
        <v>3.4000000000000057</v>
      </c>
    </row>
    <row r="48" spans="1:14" ht="14.25" thickBot="1"/>
    <row r="49" spans="1:4">
      <c r="A49" s="2756" t="s">
        <v>3385</v>
      </c>
    </row>
    <row r="50" spans="1:4">
      <c r="A50" s="3145" t="s">
        <v>3386</v>
      </c>
      <c r="B50" s="3145" t="s">
        <v>3387</v>
      </c>
      <c r="C50" s="3145" t="s">
        <v>3388</v>
      </c>
      <c r="D50" s="3145" t="s">
        <v>3389</v>
      </c>
    </row>
    <row r="51" spans="1:4">
      <c r="A51" s="3145" t="s">
        <v>3390</v>
      </c>
      <c r="B51" s="2765">
        <f>B52+B53</f>
        <v>15000</v>
      </c>
      <c r="C51" s="3146">
        <f>D51/B51</f>
        <v>2666.6666666666665</v>
      </c>
      <c r="D51" s="2765">
        <f>D52+D53</f>
        <v>40000000</v>
      </c>
    </row>
    <row r="52" spans="1:4">
      <c r="A52" s="3147" t="s">
        <v>3391</v>
      </c>
      <c r="B52" s="3148">
        <v>10000</v>
      </c>
      <c r="C52" s="3148">
        <v>1500</v>
      </c>
      <c r="D52" s="3149">
        <f>C52*B52</f>
        <v>15000000</v>
      </c>
    </row>
    <row r="53" spans="1:4">
      <c r="A53" s="3147" t="s">
        <v>3392</v>
      </c>
      <c r="B53" s="3148">
        <v>5000</v>
      </c>
      <c r="C53" s="3148">
        <v>5000</v>
      </c>
      <c r="D53" s="3149">
        <f>C53*B53</f>
        <v>25000000</v>
      </c>
    </row>
    <row r="54" spans="1:4">
      <c r="A54" s="3145" t="s">
        <v>3393</v>
      </c>
      <c r="B54" s="2765">
        <f>B51</f>
        <v>15000</v>
      </c>
      <c r="C54" s="2771">
        <v>700</v>
      </c>
      <c r="D54" s="2765">
        <f t="shared" ref="D54:D55" si="5">C54*B54</f>
        <v>10500000</v>
      </c>
    </row>
    <row r="55" spans="1:4">
      <c r="A55" s="3145" t="s">
        <v>3394</v>
      </c>
      <c r="B55" s="2765">
        <f>B51</f>
        <v>15000</v>
      </c>
      <c r="C55" s="2771">
        <v>1500</v>
      </c>
      <c r="D55" s="2765">
        <f t="shared" si="5"/>
        <v>22500000</v>
      </c>
    </row>
    <row r="56" spans="1:4">
      <c r="A56" s="3145" t="s">
        <v>3395</v>
      </c>
      <c r="B56" s="2765">
        <f>B51</f>
        <v>15000</v>
      </c>
      <c r="C56" s="3150">
        <f>C51+C54+C55</f>
        <v>4866.6666666666661</v>
      </c>
      <c r="D56" s="2765">
        <f>D51+D54+D55</f>
        <v>73000000</v>
      </c>
    </row>
    <row r="58" spans="1:4">
      <c r="A58" s="3145" t="s">
        <v>3396</v>
      </c>
      <c r="B58" s="3151">
        <v>0.05</v>
      </c>
      <c r="C58" s="2765">
        <f>C56*(1+B58)</f>
        <v>5110</v>
      </c>
      <c r="D58" s="2765">
        <f>D56*B58</f>
        <v>3650000</v>
      </c>
    </row>
    <row r="60" spans="1:4">
      <c r="A60" s="3145" t="s">
        <v>3397</v>
      </c>
      <c r="B60" s="2771">
        <v>3500</v>
      </c>
      <c r="C60" s="2771">
        <f>C53</f>
        <v>5000</v>
      </c>
      <c r="D60" s="2765">
        <f>C60*B60</f>
        <v>17500000</v>
      </c>
    </row>
    <row r="62" spans="1:4">
      <c r="A62" s="3145" t="s">
        <v>3398</v>
      </c>
      <c r="B62" s="2771">
        <f>B51</f>
        <v>15000</v>
      </c>
      <c r="C62" s="3152">
        <f>D62/B62</f>
        <v>6276.666666666667</v>
      </c>
      <c r="D62" s="2771">
        <f>D56+D58+D60</f>
        <v>94150000</v>
      </c>
    </row>
  </sheetData>
  <sheetProtection password="CEE9" sheet="1" objects="1" scenarios="1" formatCells="0" formatColumns="0" formatRows="0"/>
  <mergeCells count="1">
    <mergeCell ref="I2:R2"/>
  </mergeCells>
  <phoneticPr fontId="1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N30" sqref="N30"/>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13" customWidth="1"/>
    <col min="12" max="13" width="10" style="2414"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2166</v>
      </c>
      <c r="B1" s="3427" t="str">
        <f>IF(B10="北京市","北京市",C10)&amp;F10&amp;IF(结果表!G1="在建","出让国有建设用地使用权及在建建筑物",IF(结果表!G1="土地","出让国有建设用地使用权",))&amp;B9&amp;"预评估"</f>
        <v>房地产市场价值预评估</v>
      </c>
      <c r="C1" s="3428"/>
      <c r="D1" s="3428"/>
      <c r="E1" s="3428"/>
      <c r="F1" s="3428"/>
      <c r="G1" s="3428"/>
      <c r="H1" s="3428"/>
      <c r="I1" s="3429"/>
      <c r="J1" s="2245"/>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房地产市场价值</v>
      </c>
      <c r="T1" s="1618"/>
      <c r="U1" s="1618"/>
      <c r="V1" s="1618"/>
      <c r="W1" s="1618"/>
      <c r="X1" s="1618"/>
      <c r="Y1" s="1618"/>
      <c r="Z1" s="1618"/>
      <c r="AA1" s="1618"/>
      <c r="AB1" s="1618"/>
    </row>
    <row r="2" spans="1:30">
      <c r="A2" s="2182" t="s">
        <v>2167</v>
      </c>
      <c r="B2" s="122"/>
      <c r="D2" s="2448"/>
      <c r="E2" s="2441"/>
      <c r="F2" s="2441"/>
      <c r="G2" s="2442"/>
      <c r="H2" s="2442"/>
      <c r="I2" s="2442"/>
      <c r="J2" s="2245"/>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房地产</v>
      </c>
      <c r="T2" s="1618"/>
      <c r="U2" s="1618"/>
      <c r="V2" s="1618"/>
      <c r="W2" s="1618"/>
      <c r="X2" s="1618"/>
      <c r="Y2" s="1618"/>
      <c r="Z2" s="1618"/>
      <c r="AA2" s="1618"/>
      <c r="AB2" s="1618"/>
    </row>
    <row r="3" spans="1:30">
      <c r="A3" s="294" t="s">
        <v>2168</v>
      </c>
      <c r="B3" s="2185">
        <v>45839</v>
      </c>
      <c r="C3" s="2186" t="s">
        <v>2169</v>
      </c>
      <c r="D3" s="2185">
        <f>B3</f>
        <v>45839</v>
      </c>
      <c r="E3" s="2442"/>
      <c r="F3" s="2442"/>
      <c r="G3" s="2442"/>
      <c r="H3" s="2442"/>
      <c r="I3" s="2442"/>
      <c r="J3" s="2245"/>
      <c r="K3" s="2183"/>
      <c r="L3" s="2184"/>
      <c r="M3" s="2184"/>
      <c r="N3" s="2182"/>
      <c r="O3" s="1466"/>
      <c r="P3" s="2182"/>
      <c r="Q3" s="2182"/>
      <c r="R3" s="2182"/>
      <c r="S3" s="1561"/>
      <c r="T3" s="1618"/>
      <c r="U3" s="1618"/>
      <c r="V3" s="1618"/>
      <c r="W3" s="1618"/>
      <c r="X3" s="1618"/>
      <c r="Y3" s="1618"/>
      <c r="Z3" s="1618"/>
      <c r="AA3" s="1618"/>
      <c r="AB3" s="1618"/>
    </row>
    <row r="4" spans="1:30" ht="13.5" thickBot="1">
      <c r="A4" s="1027" t="s">
        <v>2170</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5"/>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5" thickTop="1">
      <c r="A5" s="2190" t="s">
        <v>2171</v>
      </c>
      <c r="B5" s="2191"/>
      <c r="C5" s="2192"/>
      <c r="D5" s="2193"/>
      <c r="E5" s="2442"/>
      <c r="F5" s="2442"/>
      <c r="G5" s="2442"/>
      <c r="H5" s="2442"/>
      <c r="I5" s="2442"/>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2172</v>
      </c>
      <c r="B6" s="2195"/>
      <c r="C6" s="2196"/>
      <c r="D6" s="2197"/>
      <c r="E6" s="2441"/>
      <c r="F6" s="2442"/>
      <c r="G6" s="2442"/>
      <c r="H6" s="2442"/>
      <c r="I6" s="2442"/>
      <c r="J6" s="2245"/>
      <c r="K6" s="2401" t="str">
        <f>IF(COUNTIF(B6,"*上海银行*"),"上海银行","")</f>
        <v/>
      </c>
      <c r="L6" s="2399"/>
      <c r="M6" s="2399"/>
      <c r="N6" s="2245"/>
      <c r="O6" s="1670"/>
      <c r="P6" s="2245"/>
      <c r="Q6" s="2245"/>
      <c r="R6" s="2245"/>
    </row>
    <row r="7" spans="1:30">
      <c r="A7" s="2194" t="s">
        <v>2173</v>
      </c>
      <c r="B7" s="2198"/>
      <c r="C7" s="2196"/>
      <c r="D7" s="2197"/>
      <c r="E7" s="2441"/>
      <c r="F7" s="2442"/>
      <c r="G7" s="2442"/>
      <c r="H7" s="2442"/>
      <c r="I7" s="2442"/>
      <c r="J7" s="2245"/>
      <c r="K7" s="2402"/>
      <c r="L7" s="2399"/>
      <c r="M7" s="2399"/>
      <c r="N7" s="2245"/>
      <c r="O7" s="1670"/>
      <c r="P7" s="2245"/>
      <c r="Q7" s="2245"/>
      <c r="R7" s="2245"/>
    </row>
    <row r="8" spans="1:30">
      <c r="A8" s="2199" t="s">
        <v>2174</v>
      </c>
      <c r="B8" s="2200" t="s">
        <v>3441</v>
      </c>
      <c r="C8" s="2201"/>
      <c r="D8" s="3430" t="s">
        <v>2175</v>
      </c>
      <c r="E8" s="2202"/>
      <c r="F8" s="2203"/>
      <c r="G8" s="2442"/>
      <c r="H8" s="2442"/>
      <c r="I8" s="2442"/>
      <c r="J8" s="2245"/>
      <c r="K8" s="2400"/>
      <c r="L8" s="2399"/>
      <c r="M8" s="2399"/>
      <c r="N8" s="2245"/>
      <c r="O8" s="1670"/>
      <c r="P8" s="2245"/>
      <c r="Q8" s="2245"/>
      <c r="R8" s="2245"/>
    </row>
    <row r="9" spans="1:30" ht="13.5" thickBot="1">
      <c r="A9" s="2204" t="s">
        <v>2176</v>
      </c>
      <c r="B9" s="2205" t="s">
        <v>3440</v>
      </c>
      <c r="C9" s="2206"/>
      <c r="D9" s="3431"/>
      <c r="E9" s="2205"/>
      <c r="F9" s="2207"/>
      <c r="G9" s="2443"/>
      <c r="H9" s="2443"/>
      <c r="I9" s="2443"/>
      <c r="J9" s="2245"/>
      <c r="K9" s="2402"/>
      <c r="L9" s="2399"/>
      <c r="M9" s="2399"/>
      <c r="N9" s="2245"/>
      <c r="O9" s="1670"/>
      <c r="P9" s="2245"/>
      <c r="Q9" s="2245"/>
      <c r="R9" s="2245"/>
    </row>
    <row r="10" spans="1:30" ht="13.5" thickTop="1">
      <c r="A10" s="2208" t="s">
        <v>2177</v>
      </c>
      <c r="B10" s="2209" t="s">
        <v>3438</v>
      </c>
      <c r="C10" s="2210"/>
      <c r="D10" s="2193"/>
      <c r="E10" s="2211" t="s">
        <v>2178</v>
      </c>
      <c r="F10" s="2444"/>
      <c r="G10" s="2445"/>
      <c r="H10" s="2446"/>
      <c r="I10" s="2447"/>
      <c r="J10" s="2245"/>
      <c r="K10" s="2402"/>
      <c r="L10" s="2399"/>
      <c r="M10" s="2399"/>
      <c r="N10" s="2245"/>
      <c r="O10" s="1670"/>
      <c r="P10" s="2245"/>
      <c r="Q10" s="2245"/>
      <c r="R10" s="2245"/>
    </row>
    <row r="11" spans="1:30">
      <c r="A11" s="2212" t="s">
        <v>2179</v>
      </c>
      <c r="B11" s="2213" t="s">
        <v>3439</v>
      </c>
      <c r="C11" s="2214"/>
      <c r="D11" s="2215"/>
      <c r="E11" s="2182"/>
      <c r="F11" s="2182"/>
      <c r="G11" s="2182"/>
      <c r="H11" s="2182"/>
      <c r="I11" s="2182"/>
      <c r="J11" s="2802"/>
      <c r="K11" s="2399"/>
      <c r="L11" s="2399"/>
      <c r="M11" s="2399"/>
      <c r="N11" s="2245"/>
      <c r="O11" s="1670"/>
      <c r="P11" s="2245"/>
      <c r="Q11" s="2245"/>
      <c r="R11" s="2245"/>
    </row>
    <row r="12" spans="1:30">
      <c r="A12" s="2216" t="s">
        <v>2180</v>
      </c>
      <c r="B12" s="315" t="s">
        <v>2181</v>
      </c>
      <c r="C12" s="2217" t="s">
        <v>2182</v>
      </c>
      <c r="D12" s="2217" t="s">
        <v>2183</v>
      </c>
      <c r="E12" s="2217" t="s">
        <v>2184</v>
      </c>
      <c r="F12" s="2217" t="s">
        <v>2185</v>
      </c>
      <c r="G12" s="2217" t="s">
        <v>2186</v>
      </c>
      <c r="H12" s="2217" t="s">
        <v>2187</v>
      </c>
      <c r="I12" s="2801" t="s">
        <v>2574</v>
      </c>
      <c r="J12" s="2803"/>
      <c r="K12" s="2399"/>
      <c r="L12" s="2399"/>
      <c r="M12" s="2245"/>
      <c r="N12" s="1670"/>
      <c r="O12" s="2245"/>
      <c r="P12" s="2245"/>
      <c r="Q12" s="2245"/>
      <c r="AD12" s="1618"/>
    </row>
    <row r="13" spans="1:30">
      <c r="A13" s="3122" t="s">
        <v>3330</v>
      </c>
      <c r="B13" s="2218" t="s">
        <v>2188</v>
      </c>
      <c r="C13" s="803">
        <v>67050</v>
      </c>
      <c r="D13" s="803"/>
      <c r="E13" s="803"/>
      <c r="F13" s="803"/>
      <c r="G13" s="803"/>
      <c r="H13" s="803"/>
      <c r="I13" s="803"/>
      <c r="J13" s="2803"/>
      <c r="K13" s="2399"/>
      <c r="L13" s="2399"/>
      <c r="M13" s="2245"/>
      <c r="N13" s="1670"/>
      <c r="O13" s="2245"/>
      <c r="P13" s="2245"/>
      <c r="Q13" s="2245"/>
      <c r="AD13" s="1618"/>
    </row>
    <row r="14" spans="1:30">
      <c r="A14" s="1018"/>
      <c r="B14" s="2218" t="s">
        <v>2189</v>
      </c>
      <c r="C14" s="2219">
        <v>70</v>
      </c>
      <c r="D14" s="2219"/>
      <c r="E14" s="2219"/>
      <c r="F14" s="2219"/>
      <c r="G14" s="2219"/>
      <c r="H14" s="2219"/>
      <c r="I14" s="2219"/>
      <c r="J14" s="2804"/>
      <c r="K14" s="2399"/>
      <c r="L14" s="2399"/>
      <c r="M14" s="2245"/>
      <c r="N14" s="1670"/>
      <c r="O14" s="2245"/>
      <c r="P14" s="2245"/>
      <c r="Q14" s="2245"/>
      <c r="AD14" s="1618"/>
    </row>
    <row r="15" spans="1:30">
      <c r="A15" s="312"/>
      <c r="B15" s="2220" t="s">
        <v>2190</v>
      </c>
      <c r="C15" s="2221">
        <f>IF(A13="出让",IF(C13="","",ROUNDDOWN(MIN((C13-$D$3)/365,C14),2)),C14)</f>
        <v>58.11</v>
      </c>
      <c r="D15" s="2221" t="str">
        <f>IF(A13="出让",IF(D13="","",ROUNDDOWN(MIN((D13-$D$3)/365,D14),2)),D14)</f>
        <v/>
      </c>
      <c r="E15" s="2221" t="str">
        <f>IF(A13="出让",IF(E13="","",ROUNDDOWN(MIN((E13-$D$3)/365,E14),2)),E14)</f>
        <v/>
      </c>
      <c r="F15" s="2221" t="str">
        <f>IF(A13="出让",IF(F13="","",ROUNDDOWN(MIN((F13-$D$3)/365,F14),2)),F14)</f>
        <v/>
      </c>
      <c r="G15" s="2221" t="str">
        <f>IF(A13="出让",IF(G13="","",ROUNDDOWN(MIN((G13-$D$3)/365,G14),2)),G14)</f>
        <v/>
      </c>
      <c r="H15" s="2221" t="str">
        <f>IF(A13="出让",IF(H13="","",ROUNDDOWN(MIN((H13-$D$3)/365,H14),2)),H14)</f>
        <v/>
      </c>
      <c r="I15" s="2221" t="str">
        <f>IF(A13="出让",IF(I13="","",ROUNDDOWN(MIN((I13-$D$3)/365,I14),2)),I14)</f>
        <v/>
      </c>
      <c r="J15" s="2805"/>
      <c r="K15" s="1670"/>
      <c r="L15" s="1670"/>
      <c r="M15" s="2245"/>
      <c r="N15" s="1670"/>
      <c r="O15" s="2245"/>
      <c r="P15" s="2245"/>
      <c r="Q15" s="2245"/>
      <c r="AD15" s="1618"/>
    </row>
    <row r="16" spans="1:30">
      <c r="A16" s="2211" t="s">
        <v>2191</v>
      </c>
      <c r="B16" s="3437"/>
      <c r="C16" s="3438"/>
      <c r="D16" s="3439"/>
      <c r="E16" s="2222" t="s">
        <v>2192</v>
      </c>
      <c r="F16" s="3440"/>
      <c r="G16" s="3441"/>
      <c r="H16" s="3441"/>
      <c r="I16" s="3442"/>
      <c r="J16" s="2245"/>
      <c r="K16" s="2403"/>
      <c r="L16" s="1670"/>
      <c r="M16" s="1670"/>
      <c r="N16" s="2245"/>
      <c r="O16" s="1670"/>
      <c r="P16" s="2245"/>
      <c r="Q16" s="2245"/>
      <c r="R16" s="2245"/>
    </row>
    <row r="17" spans="1:28">
      <c r="A17" s="305" t="s">
        <v>2193</v>
      </c>
      <c r="B17" s="294" t="s">
        <v>2194</v>
      </c>
      <c r="C17" s="8">
        <f>'数据-汇总表'!E3</f>
        <v>449.18</v>
      </c>
      <c r="D17" s="1256" t="s">
        <v>2195</v>
      </c>
      <c r="E17" s="3443" t="s">
        <v>2196</v>
      </c>
      <c r="F17" s="3444"/>
      <c r="G17" s="3444"/>
      <c r="H17" s="3444"/>
      <c r="I17" s="3445"/>
      <c r="J17" s="2245"/>
      <c r="K17" s="2404"/>
      <c r="L17" s="1670"/>
      <c r="M17" s="1670"/>
      <c r="N17" s="2245"/>
      <c r="O17" s="1670"/>
      <c r="P17" s="2245"/>
      <c r="Q17" s="2245"/>
      <c r="R17" s="2245"/>
      <c r="S17" s="2245"/>
      <c r="T17" s="2245"/>
      <c r="U17" s="2245"/>
      <c r="V17" s="2245"/>
    </row>
    <row r="18" spans="1:28" ht="24.75" thickBot="1">
      <c r="A18" s="2223" t="s">
        <v>2197</v>
      </c>
      <c r="B18" s="1027" t="s">
        <v>2198</v>
      </c>
      <c r="C18" s="2224">
        <f>'数据-汇总表'!D3</f>
        <v>109.97</v>
      </c>
      <c r="D18" s="1029" t="s">
        <v>2199</v>
      </c>
      <c r="E18" s="3446" t="s">
        <v>2200</v>
      </c>
      <c r="F18" s="3447"/>
      <c r="G18" s="3447"/>
      <c r="H18" s="3447"/>
      <c r="I18" s="3448"/>
      <c r="J18" s="2245"/>
      <c r="K18" s="2404"/>
      <c r="L18" s="1670"/>
      <c r="M18" s="1670"/>
      <c r="N18" s="2245"/>
      <c r="O18" s="1670"/>
      <c r="P18" s="2245"/>
      <c r="Q18" s="2245"/>
      <c r="R18" s="2245"/>
      <c r="S18" s="2245"/>
      <c r="T18" s="2245"/>
      <c r="U18" s="2245"/>
      <c r="V18" s="2245"/>
    </row>
    <row r="19" spans="1:28" ht="37.5" thickTop="1" thickBot="1">
      <c r="A19" s="319" t="s">
        <v>1055</v>
      </c>
      <c r="B19" s="299" t="s">
        <v>2201</v>
      </c>
      <c r="C19" s="1455"/>
      <c r="D19" s="1456" t="s">
        <v>2202</v>
      </c>
      <c r="E19" s="1457"/>
      <c r="F19" s="1458" t="str">
        <f>IF(AND(C19="是",E19="否"),"是否提供他项权证或相关说明","")</f>
        <v/>
      </c>
      <c r="G19" s="1459"/>
      <c r="H19" s="2442"/>
      <c r="I19" s="2442"/>
      <c r="J19" s="2245"/>
      <c r="K19" s="2402"/>
      <c r="L19" s="2399"/>
      <c r="M19" s="2399"/>
      <c r="N19" s="2245"/>
      <c r="O19" s="1670"/>
      <c r="P19" s="2245"/>
      <c r="Q19" s="2245"/>
      <c r="R19" s="2245"/>
      <c r="S19" s="2245"/>
      <c r="T19" s="2245"/>
      <c r="U19" s="2245"/>
      <c r="V19" s="2245"/>
    </row>
    <row r="20" spans="1:28">
      <c r="A20" s="2417" t="s">
        <v>2203</v>
      </c>
      <c r="B20" s="3433" t="s">
        <v>2204</v>
      </c>
      <c r="C20" s="3434"/>
      <c r="D20" s="3435" t="s">
        <v>2205</v>
      </c>
      <c r="E20" s="3436"/>
      <c r="F20" s="2430" t="s">
        <v>1056</v>
      </c>
      <c r="G20" s="2442"/>
      <c r="H20" s="2442"/>
      <c r="I20" s="2442"/>
      <c r="J20" s="2245"/>
      <c r="K20" s="3432" t="s">
        <v>2206</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24.75" thickBot="1">
      <c r="A21" s="2417"/>
      <c r="B21" s="2418" t="s">
        <v>2207</v>
      </c>
      <c r="C21" s="2296" t="s">
        <v>1057</v>
      </c>
      <c r="D21" s="1460" t="s">
        <v>2208</v>
      </c>
      <c r="E21" s="2419" t="s">
        <v>1057</v>
      </c>
      <c r="F21" s="2431"/>
      <c r="G21" s="2442"/>
      <c r="H21" s="2442"/>
      <c r="I21" s="2442"/>
      <c r="J21" s="2245"/>
      <c r="K21" s="3432"/>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24.75" thickBot="1">
      <c r="A22" s="2417"/>
      <c r="B22" s="2420" t="s">
        <v>2209</v>
      </c>
      <c r="C22" s="2296" t="s">
        <v>1058</v>
      </c>
      <c r="D22" s="2442"/>
      <c r="E22" s="2442"/>
      <c r="F22" s="2442"/>
      <c r="G22" s="2442"/>
      <c r="H22" s="2442"/>
      <c r="I22" s="2442"/>
      <c r="J22" s="2245"/>
      <c r="K22" s="3432"/>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1" t="s">
        <v>2210</v>
      </c>
      <c r="B23" s="2293" t="s">
        <v>2211</v>
      </c>
      <c r="C23" s="2422"/>
      <c r="D23" s="2423" t="s">
        <v>2211</v>
      </c>
      <c r="E23" s="2424"/>
      <c r="F23" s="2442"/>
      <c r="G23" s="2442"/>
      <c r="H23" s="2442"/>
      <c r="I23" s="2442"/>
      <c r="J23" s="2245"/>
      <c r="K23" s="2401"/>
      <c r="L23" s="121"/>
      <c r="M23" s="2399"/>
      <c r="N23" s="2245"/>
      <c r="O23" s="1670"/>
      <c r="P23" s="2245"/>
      <c r="Q23" s="2245"/>
      <c r="R23" s="2245"/>
      <c r="S23" s="2245"/>
      <c r="T23" s="2245"/>
      <c r="U23" s="2245"/>
      <c r="V23" s="2245"/>
    </row>
    <row r="24" spans="1:28">
      <c r="A24" s="2421"/>
      <c r="B24" s="2293" t="s">
        <v>1059</v>
      </c>
      <c r="C24" s="2271"/>
      <c r="D24" s="2421" t="s">
        <v>1059</v>
      </c>
      <c r="E24" s="2425"/>
      <c r="F24" s="2442"/>
      <c r="G24" s="2442"/>
      <c r="H24" s="2442"/>
      <c r="I24" s="2442"/>
      <c r="J24" s="2245"/>
      <c r="K24" s="2401"/>
      <c r="L24" s="121"/>
      <c r="M24" s="2399"/>
      <c r="N24" s="2245"/>
      <c r="O24" s="1670"/>
      <c r="P24" s="2245"/>
      <c r="Q24" s="2245"/>
      <c r="R24" s="2245"/>
      <c r="S24" s="2245"/>
      <c r="T24" s="2245"/>
      <c r="U24" s="2245"/>
      <c r="V24" s="2245"/>
    </row>
    <row r="25" spans="1:28">
      <c r="A25" s="2421"/>
      <c r="B25" s="2293" t="s">
        <v>1060</v>
      </c>
      <c r="C25" s="2271"/>
      <c r="D25" s="2421" t="s">
        <v>1060</v>
      </c>
      <c r="E25" s="2425"/>
      <c r="F25" s="2442"/>
      <c r="G25" s="2442"/>
      <c r="H25" s="2442"/>
      <c r="I25" s="2442"/>
      <c r="J25" s="2245"/>
      <c r="K25" s="2402"/>
      <c r="L25" s="2399"/>
      <c r="M25" s="2399"/>
      <c r="N25" s="2245"/>
      <c r="O25" s="1670"/>
      <c r="P25" s="2245"/>
      <c r="Q25" s="2245"/>
      <c r="R25" s="2245"/>
      <c r="S25" s="2245"/>
      <c r="T25" s="2245"/>
      <c r="U25" s="2245"/>
      <c r="V25" s="2245"/>
    </row>
    <row r="26" spans="1:28" ht="13.5" thickBot="1">
      <c r="A26" s="2426"/>
      <c r="B26" s="2427" t="s">
        <v>1061</v>
      </c>
      <c r="C26" s="2428"/>
      <c r="D26" s="2426" t="s">
        <v>1061</v>
      </c>
      <c r="E26" s="2429"/>
      <c r="F26" s="2443"/>
      <c r="G26" s="2443"/>
      <c r="H26" s="2443"/>
      <c r="I26" s="2443"/>
      <c r="J26" s="2245"/>
      <c r="K26" s="2402"/>
      <c r="L26" s="2399"/>
      <c r="M26" s="2399"/>
      <c r="N26" s="2245"/>
      <c r="O26" s="1670"/>
      <c r="P26" s="2245"/>
      <c r="Q26" s="2245"/>
      <c r="R26" s="2245"/>
      <c r="S26" s="2245"/>
      <c r="T26" s="2245"/>
      <c r="U26" s="2245"/>
      <c r="V26" s="2245"/>
    </row>
    <row r="27" spans="1:28" ht="13.5" thickTop="1">
      <c r="A27" s="3450" t="s">
        <v>2212</v>
      </c>
      <c r="B27" s="312" t="s">
        <v>2213</v>
      </c>
      <c r="C27" s="2225"/>
      <c r="D27" s="2226"/>
      <c r="E27" s="2442"/>
      <c r="F27" s="2442"/>
      <c r="G27" s="2442"/>
      <c r="H27" s="2442"/>
      <c r="I27" s="2442"/>
      <c r="J27" s="2245"/>
      <c r="K27" s="2403"/>
      <c r="L27" s="1670"/>
      <c r="M27" s="1670"/>
      <c r="N27" s="2245"/>
      <c r="O27" s="1670"/>
      <c r="P27" s="2245"/>
      <c r="Q27" s="2245"/>
      <c r="R27" s="2245"/>
      <c r="S27" s="2245"/>
      <c r="T27" s="2245"/>
      <c r="U27" s="2245"/>
      <c r="V27" s="2245"/>
    </row>
    <row r="28" spans="1:28">
      <c r="A28" s="3450"/>
      <c r="B28" s="294" t="s">
        <v>2214</v>
      </c>
      <c r="C28" s="2227"/>
      <c r="D28" s="2228"/>
      <c r="E28" s="2442"/>
      <c r="F28" s="2442"/>
      <c r="G28" s="2442"/>
      <c r="H28" s="2442"/>
      <c r="I28" s="2442"/>
      <c r="J28" s="2245"/>
      <c r="K28" s="2402"/>
      <c r="L28" s="2399"/>
      <c r="M28" s="2399"/>
      <c r="N28" s="2245"/>
      <c r="O28" s="1670"/>
      <c r="P28" s="2245"/>
      <c r="Q28" s="2245"/>
      <c r="R28" s="2245"/>
      <c r="S28" s="2245"/>
      <c r="T28" s="2245"/>
      <c r="U28" s="2245"/>
      <c r="V28" s="2245"/>
    </row>
    <row r="29" spans="1:28">
      <c r="A29" s="3450"/>
      <c r="B29" s="294" t="s">
        <v>2215</v>
      </c>
      <c r="C29" s="2229"/>
      <c r="D29" s="2230"/>
      <c r="E29" s="2442"/>
      <c r="F29" s="2442"/>
      <c r="G29" s="2442"/>
      <c r="H29" s="2442"/>
      <c r="I29" s="2442"/>
      <c r="J29" s="2245"/>
      <c r="K29" s="2402"/>
      <c r="L29" s="2399"/>
      <c r="M29" s="2399"/>
      <c r="N29" s="2245"/>
      <c r="O29" s="1670"/>
      <c r="P29" s="2245"/>
      <c r="Q29" s="2245"/>
      <c r="R29" s="2245"/>
      <c r="S29" s="2245"/>
      <c r="T29" s="2245"/>
      <c r="U29" s="2245"/>
      <c r="V29" s="2245"/>
    </row>
    <row r="30" spans="1:28">
      <c r="A30" s="3451"/>
      <c r="B30" s="294" t="s">
        <v>2216</v>
      </c>
      <c r="C30" s="3452"/>
      <c r="D30" s="3453"/>
      <c r="E30" s="2442"/>
      <c r="F30" s="2442"/>
      <c r="G30" s="2442"/>
      <c r="H30" s="2442"/>
      <c r="I30" s="2442"/>
      <c r="J30" s="2245"/>
      <c r="K30" s="2402"/>
      <c r="L30" s="2399"/>
      <c r="M30" s="2399"/>
      <c r="N30" s="2245"/>
      <c r="O30" s="1670"/>
      <c r="P30" s="2245"/>
      <c r="Q30" s="2245"/>
      <c r="R30" s="2245"/>
      <c r="S30" s="2245"/>
      <c r="T30" s="2245"/>
      <c r="U30" s="2245"/>
      <c r="V30" s="2245"/>
    </row>
    <row r="31" spans="1:28">
      <c r="A31" s="3454" t="s">
        <v>2217</v>
      </c>
      <c r="B31" s="2231"/>
      <c r="C31" s="12" t="str">
        <f>IF(B31="现房","成新及维护状况正常否",IF(B31="在建","工程状态是否正常",IF(B31="土地","是否闲置","-")))</f>
        <v>-</v>
      </c>
      <c r="D31" s="1281"/>
      <c r="E31" s="2232"/>
      <c r="F31" s="2442"/>
      <c r="G31" s="2442"/>
      <c r="H31" s="2442"/>
      <c r="I31" s="2442"/>
      <c r="J31" s="2245"/>
      <c r="K31" s="2401"/>
      <c r="L31" s="2399"/>
      <c r="M31" s="2399"/>
      <c r="N31" s="2245"/>
      <c r="O31" s="1670"/>
      <c r="P31" s="2245"/>
      <c r="Q31" s="2245"/>
      <c r="R31" s="2245"/>
      <c r="S31" s="2245"/>
      <c r="T31" s="2245"/>
      <c r="U31" s="2245"/>
      <c r="V31" s="2245"/>
    </row>
    <row r="32" spans="1:28">
      <c r="A32" s="3455"/>
      <c r="B32" s="2231"/>
      <c r="C32" s="12" t="str">
        <f>IF(B32="现房","成新及维护状况是否正常",IF(B32="在建","工程状态是否正常",IF(B32="土地","是否闲置","-")))</f>
        <v>-</v>
      </c>
      <c r="D32" s="1281"/>
      <c r="E32" s="2232"/>
      <c r="F32" s="2442"/>
      <c r="G32" s="2442"/>
      <c r="H32" s="2442"/>
      <c r="I32" s="2442"/>
      <c r="J32" s="2245"/>
      <c r="K32" s="2402"/>
      <c r="L32" s="2399"/>
      <c r="M32" s="2399"/>
      <c r="N32" s="2245"/>
      <c r="O32" s="1670"/>
      <c r="P32" s="2245"/>
      <c r="Q32" s="2245"/>
      <c r="R32" s="2245"/>
      <c r="S32" s="2245"/>
      <c r="T32" s="2245"/>
      <c r="U32" s="2245"/>
      <c r="V32" s="2245"/>
    </row>
    <row r="33" spans="1:30">
      <c r="A33" s="3455"/>
      <c r="B33" s="2234"/>
      <c r="C33" s="1478" t="str">
        <f>IF(B33="现房","成新及维护状况是否正常",IF(B33="在建","工程状态是否正常",IF(B33="土地","是否闲置","-")))</f>
        <v>-</v>
      </c>
      <c r="D33" s="1274"/>
      <c r="E33" s="2235"/>
      <c r="F33" s="2442"/>
      <c r="G33" s="2442"/>
      <c r="H33" s="2442"/>
      <c r="I33" s="2442"/>
      <c r="J33" s="2245"/>
      <c r="K33" s="2402"/>
      <c r="L33" s="2399"/>
      <c r="M33" s="2399"/>
      <c r="N33" s="2245"/>
      <c r="O33" s="1670"/>
      <c r="P33" s="2245"/>
      <c r="Q33" s="2245"/>
      <c r="R33" s="2245"/>
      <c r="S33" s="2245"/>
      <c r="T33" s="2245"/>
      <c r="U33" s="2245"/>
      <c r="V33" s="2245"/>
    </row>
    <row r="34" spans="1:30">
      <c r="A34" s="294" t="s">
        <v>2218</v>
      </c>
      <c r="B34" s="1870"/>
      <c r="C34" s="1870"/>
      <c r="D34" s="1870"/>
      <c r="E34" s="1870"/>
      <c r="F34" s="1870"/>
      <c r="G34" s="1870"/>
      <c r="H34" s="1870"/>
      <c r="I34" s="2442"/>
      <c r="J34" s="2245"/>
      <c r="K34" s="8">
        <f>COUNTIF(B34:H34,"——")</f>
        <v>0</v>
      </c>
      <c r="L34" s="315" t="s">
        <v>2219</v>
      </c>
      <c r="M34" s="315" t="s">
        <v>2220</v>
      </c>
      <c r="N34" s="315" t="s">
        <v>2221</v>
      </c>
      <c r="O34" s="315" t="s">
        <v>2222</v>
      </c>
      <c r="P34" s="315" t="s">
        <v>2223</v>
      </c>
      <c r="Q34" s="315" t="s">
        <v>2224</v>
      </c>
      <c r="R34" s="315" t="s">
        <v>2225</v>
      </c>
      <c r="S34" s="3449" t="s">
        <v>2226</v>
      </c>
      <c r="T34" s="315" t="str">
        <f>NUMBERSTRING(7-K34,1)&amp;"通"</f>
        <v>七通</v>
      </c>
      <c r="U34" s="2245"/>
      <c r="V34" s="2245"/>
    </row>
    <row r="35" spans="1:30">
      <c r="A35" s="2236"/>
      <c r="B35" s="3449" t="s">
        <v>2227</v>
      </c>
      <c r="C35" s="3449"/>
      <c r="D35" s="3449"/>
      <c r="E35" s="3449"/>
      <c r="F35" s="8">
        <f>C10</f>
        <v>0</v>
      </c>
      <c r="G35" s="2442"/>
      <c r="H35" s="2442"/>
      <c r="I35" s="2442"/>
      <c r="J35" s="2245"/>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449"/>
      <c r="T35" s="138" t="str">
        <f>IF(T34="一通",L35,IF(T34="二通",M35,IF(T34="三通",N35,IF(T34="四通",O35,IF(T34="五通",P35,IF(T34="六通",Q35,R35))))))</f>
        <v>、、、、、、</v>
      </c>
      <c r="U35" s="2245"/>
      <c r="V35" s="2245"/>
    </row>
    <row r="36" spans="1:30">
      <c r="A36" s="2183"/>
      <c r="B36" s="8" t="s">
        <v>2183</v>
      </c>
      <c r="C36" s="8" t="s">
        <v>2184</v>
      </c>
      <c r="D36" s="8" t="s">
        <v>2182</v>
      </c>
      <c r="E36" s="8" t="s">
        <v>2187</v>
      </c>
      <c r="F36" s="2801" t="s">
        <v>2577</v>
      </c>
      <c r="G36" s="2442"/>
      <c r="H36" s="2442"/>
      <c r="I36" s="2442"/>
      <c r="J36" s="2245"/>
      <c r="K36" s="2402"/>
      <c r="L36" s="2399"/>
      <c r="M36" s="2399"/>
      <c r="N36" s="2245"/>
      <c r="O36" s="1670"/>
      <c r="P36" s="2245"/>
      <c r="Q36" s="2245"/>
      <c r="R36" s="2245"/>
      <c r="S36" s="2245"/>
      <c r="T36" s="2245"/>
      <c r="U36" s="2245"/>
      <c r="V36" s="2245"/>
    </row>
    <row r="37" spans="1:30">
      <c r="A37" s="2415" t="s">
        <v>2228</v>
      </c>
      <c r="B37" s="2237"/>
      <c r="C37" s="2237"/>
      <c r="D37" s="2237"/>
      <c r="E37" s="2237"/>
      <c r="F37" s="2237"/>
      <c r="G37" s="2442"/>
      <c r="H37" s="2442"/>
      <c r="I37" s="2442"/>
      <c r="J37" s="2245"/>
      <c r="K37" s="2402"/>
      <c r="L37" s="2399"/>
      <c r="M37" s="2399"/>
      <c r="N37" s="2245"/>
      <c r="O37" s="1670"/>
      <c r="P37" s="2245"/>
      <c r="Q37" s="2245"/>
      <c r="R37" s="2245"/>
      <c r="S37" s="2245"/>
      <c r="T37" s="2245"/>
      <c r="U37" s="2245"/>
      <c r="V37" s="2245"/>
    </row>
    <row r="38" spans="1:30" ht="13.5" thickBot="1">
      <c r="A38" s="2416" t="s">
        <v>2229</v>
      </c>
      <c r="B38" s="2238"/>
      <c r="C38" s="2238"/>
      <c r="D38" s="2238"/>
      <c r="E38" s="2238"/>
      <c r="F38" s="2238"/>
      <c r="G38" s="2443"/>
      <c r="H38" s="2443"/>
      <c r="I38" s="2443"/>
      <c r="J38" s="2245"/>
      <c r="K38" s="2402"/>
      <c r="L38" s="2399"/>
      <c r="M38" s="2399"/>
      <c r="N38" s="2245"/>
      <c r="O38" s="1670"/>
      <c r="P38" s="2245"/>
      <c r="Q38" s="2245"/>
      <c r="R38" s="2245"/>
      <c r="S38" s="2245"/>
      <c r="T38" s="2245"/>
      <c r="U38" s="2245"/>
      <c r="V38" s="2245"/>
    </row>
    <row r="39" spans="1:30" s="2241" customFormat="1" ht="14.25" thickTop="1" thickBot="1">
      <c r="A39" s="2239" t="s">
        <v>2230</v>
      </c>
      <c r="B39" s="2240"/>
      <c r="C39" s="2240"/>
      <c r="D39" s="2240"/>
      <c r="E39" s="2240"/>
      <c r="F39" s="2240"/>
      <c r="G39" s="2240"/>
      <c r="H39" s="2240"/>
      <c r="I39" s="2240"/>
      <c r="J39" s="2407"/>
      <c r="K39" s="2408"/>
      <c r="L39" s="2407"/>
      <c r="M39" s="2407"/>
      <c r="N39" s="2407"/>
      <c r="O39" s="2409"/>
      <c r="P39" s="2407"/>
      <c r="Q39" s="2407"/>
      <c r="R39" s="2407"/>
      <c r="S39" s="2407"/>
      <c r="T39" s="2407"/>
      <c r="U39" s="2407"/>
      <c r="V39" s="2407"/>
      <c r="W39" s="2410"/>
      <c r="X39" s="2410"/>
      <c r="Y39" s="2410"/>
      <c r="Z39" s="2410"/>
      <c r="AA39" s="2410"/>
      <c r="AB39" s="2410"/>
      <c r="AC39" s="2410"/>
      <c r="AD39" s="2410"/>
    </row>
    <row r="40" spans="1:30">
      <c r="A40" s="2182"/>
      <c r="B40" s="2182"/>
      <c r="C40" s="2182"/>
      <c r="D40" s="2182"/>
      <c r="E40" s="2182"/>
      <c r="F40" s="2182"/>
      <c r="G40" s="2182"/>
      <c r="H40" s="2182"/>
      <c r="I40" s="1466"/>
      <c r="J40" s="2245"/>
      <c r="K40" s="2401"/>
      <c r="L40" s="1670"/>
      <c r="M40" s="1670"/>
      <c r="N40" s="2245"/>
      <c r="O40" s="1670"/>
      <c r="P40" s="2245"/>
      <c r="Q40" s="2245"/>
      <c r="R40" s="2245"/>
      <c r="S40" s="2245"/>
      <c r="T40" s="2245"/>
      <c r="U40" s="2245"/>
      <c r="V40" s="2245"/>
    </row>
    <row r="41" spans="1:30">
      <c r="A41" s="2242" t="s">
        <v>2231</v>
      </c>
      <c r="B41" s="1627"/>
      <c r="C41" s="1281"/>
      <c r="D41" s="2182"/>
      <c r="E41" s="2182"/>
      <c r="F41" s="2182"/>
      <c r="G41" s="2182"/>
      <c r="H41" s="2182"/>
      <c r="I41" s="1466"/>
      <c r="J41" s="2245"/>
      <c r="K41" s="2402"/>
      <c r="L41" s="2399"/>
      <c r="M41" s="2399"/>
      <c r="N41" s="2245"/>
      <c r="O41" s="1670"/>
      <c r="P41" s="2245"/>
      <c r="Q41" s="2245"/>
      <c r="R41" s="2245"/>
      <c r="S41" s="2245"/>
      <c r="T41" s="2245"/>
      <c r="U41" s="2245"/>
      <c r="V41" s="2245"/>
    </row>
    <row r="42" spans="1:30" ht="25.5">
      <c r="A42" s="315" t="s">
        <v>2232</v>
      </c>
      <c r="B42" s="8" t="s">
        <v>2233</v>
      </c>
      <c r="C42" s="8" t="s">
        <v>2234</v>
      </c>
      <c r="D42" s="8" t="s">
        <v>2235</v>
      </c>
      <c r="E42" s="8" t="s">
        <v>2236</v>
      </c>
      <c r="F42" s="8" t="s">
        <v>2237</v>
      </c>
      <c r="G42" s="8" t="s">
        <v>2238</v>
      </c>
      <c r="H42" s="8" t="s">
        <v>2239</v>
      </c>
      <c r="I42" s="8" t="s">
        <v>2240</v>
      </c>
      <c r="J42" s="2411" t="s">
        <v>2241</v>
      </c>
      <c r="K42" s="2412" t="s">
        <v>2242</v>
      </c>
      <c r="L42" s="2412" t="s">
        <v>2243</v>
      </c>
      <c r="M42" s="2412" t="s">
        <v>2244</v>
      </c>
      <c r="N42" s="2405" t="s">
        <v>2245</v>
      </c>
      <c r="O42" s="2405" t="s">
        <v>2246</v>
      </c>
      <c r="P42" s="2405" t="s">
        <v>2247</v>
      </c>
      <c r="Q42" s="2406" t="s">
        <v>2248</v>
      </c>
      <c r="R42" s="2406" t="s">
        <v>2249</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8"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130" zoomScaleNormal="100" zoomScaleSheetLayoutView="130" workbookViewId="0">
      <pane xSplit="4" ySplit="12" topLeftCell="E13" activePane="bottomRight" state="frozen"/>
      <selection activeCell="C50" sqref="C50"/>
      <selection pane="topRight" activeCell="C50" sqref="C50"/>
      <selection pane="bottomLeft" activeCell="C50" sqref="C50"/>
      <selection pane="bottomRight" activeCell="K16" sqref="K16"/>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5" width="9.875" style="1463" customWidth="1"/>
    <col min="16" max="16" width="9.75" style="1463" customWidth="1"/>
    <col min="17" max="17" width="9.375" style="1463" customWidth="1"/>
    <col min="18" max="18" width="9.25" style="1463" customWidth="1"/>
    <col min="19" max="19" width="10.875" style="1463" customWidth="1"/>
    <col min="20" max="21" width="10.75" style="1463" customWidth="1"/>
    <col min="22" max="22" width="10.875" style="1463" customWidth="1"/>
    <col min="23" max="27" width="10.75" style="1463" customWidth="1"/>
    <col min="28" max="28" width="10.875" style="1463" customWidth="1"/>
    <col min="29" max="29" width="11" style="1463" bestFit="1" customWidth="1"/>
    <col min="30" max="30" width="10" style="1463" bestFit="1" customWidth="1"/>
    <col min="31" max="31" width="9.75" style="1463" customWidth="1"/>
    <col min="32"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f>房源表!H4</f>
        <v>109.97</v>
      </c>
      <c r="B3" s="11">
        <f>IF(C3="否",G5-AT5,G5)</f>
        <v>449.18</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1071</v>
      </c>
      <c r="B5" s="1259"/>
      <c r="C5" s="1259"/>
      <c r="D5" s="1260"/>
      <c r="E5" s="13" t="s">
        <v>0</v>
      </c>
      <c r="F5" s="13">
        <f>SUM(F13:F587)</f>
        <v>0</v>
      </c>
      <c r="G5" s="13">
        <f>SUM(G13:G587)</f>
        <v>449.18</v>
      </c>
      <c r="H5" s="13">
        <f t="shared" ref="H5:AT5" si="0">SUM(H13:H656)</f>
        <v>449.18</v>
      </c>
      <c r="I5" s="13">
        <f t="shared" si="0"/>
        <v>194.07</v>
      </c>
      <c r="J5" s="13">
        <f t="shared" si="0"/>
        <v>0</v>
      </c>
      <c r="K5" s="13">
        <f t="shared" si="0"/>
        <v>255.11</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449.18</v>
      </c>
      <c r="BA5" s="15">
        <f t="shared" si="1"/>
        <v>449.18</v>
      </c>
      <c r="BB5" s="15">
        <f t="shared" si="1"/>
        <v>194.07</v>
      </c>
      <c r="BC5" s="15">
        <f t="shared" si="1"/>
        <v>255.11</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1072</v>
      </c>
      <c r="B6" s="1474"/>
      <c r="C6" s="1474"/>
      <c r="D6" s="1475"/>
      <c r="E6" s="13">
        <f>H6+AC6+AT6</f>
        <v>109.97</v>
      </c>
      <c r="F6" s="13" t="s">
        <v>0</v>
      </c>
      <c r="G6" s="13" t="s">
        <v>1</v>
      </c>
      <c r="H6" s="17">
        <f>SUMIF(I$12:AB$12,"总值",I6:AB6)</f>
        <v>109.97</v>
      </c>
      <c r="I6" s="13">
        <f t="shared" ref="I6:AB6" si="2">ROUND($A$3*I5/$B$3,2)</f>
        <v>47.51</v>
      </c>
      <c r="J6" s="13">
        <f t="shared" si="2"/>
        <v>0</v>
      </c>
      <c r="K6" s="13">
        <f t="shared" si="2"/>
        <v>62.46</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109.97</v>
      </c>
      <c r="AZ6" s="13" t="s">
        <v>2</v>
      </c>
      <c r="BA6" s="13">
        <f>ROUND($AY$6*BA5/$AZ$5,2)</f>
        <v>109.97</v>
      </c>
      <c r="BB6" s="13">
        <f>ROUND($AY$6*BB5/$AZ$5,2)</f>
        <v>47.51</v>
      </c>
      <c r="BC6" s="13">
        <f t="shared" ref="BC6:BH6" si="4">ROUND($AY$6*BC5/$AZ$5,2)</f>
        <v>62.46</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4.75">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1091</v>
      </c>
      <c r="I9" s="1491" t="s">
        <v>3470</v>
      </c>
      <c r="J9" s="761"/>
      <c r="K9" s="1491" t="s">
        <v>3471</v>
      </c>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2.75">
      <c r="A10" s="1482"/>
      <c r="B10" s="1482"/>
      <c r="C10" s="1482"/>
      <c r="D10" s="1482"/>
      <c r="E10" s="1482"/>
      <c r="F10" s="1482"/>
      <c r="G10" s="1007"/>
      <c r="H10" s="25"/>
      <c r="I10" s="1491" t="s">
        <v>3404</v>
      </c>
      <c r="J10" s="761"/>
      <c r="K10" s="1497" t="s">
        <v>3404</v>
      </c>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t="str">
        <f>K9</f>
        <v>地下</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住宅</v>
      </c>
      <c r="BC11" s="1487" t="str">
        <f>K10</f>
        <v>住宅</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75">
      <c r="A13" s="628"/>
      <c r="B13" s="628">
        <v>14</v>
      </c>
      <c r="C13" s="3197" t="s">
        <v>3472</v>
      </c>
      <c r="D13" s="1513" t="s">
        <v>3469</v>
      </c>
      <c r="E13" s="13">
        <f>IF($C$3="是",ROUND($A$3*G13/$B$3,2),ROUND($A$3*(G13-AT13)/$B$3,2))</f>
        <v>30.19</v>
      </c>
      <c r="F13" s="29"/>
      <c r="G13" s="30">
        <f>H13+AC13+AT13</f>
        <v>123.31</v>
      </c>
      <c r="H13" s="17">
        <f>SUMIF(I$12:AB$12,"总值",I13:AB13)</f>
        <v>123.31</v>
      </c>
      <c r="I13" s="1514">
        <f>房源修正表!G36</f>
        <v>123.31</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14</v>
      </c>
      <c r="AX13" s="8" t="str">
        <f t="shared" si="6"/>
        <v>1层</v>
      </c>
      <c r="AY13" s="1260">
        <f>ROUND($AY$6*AZ13/$AZ$5,2)</f>
        <v>30.19</v>
      </c>
      <c r="AZ13" s="13">
        <f>BA13+BL13</f>
        <v>123.31</v>
      </c>
      <c r="BA13" s="13">
        <f>SUM(BB13:BK13)</f>
        <v>123.31</v>
      </c>
      <c r="BB13" s="13">
        <f>IF($D13="是",I13-J13,0)</f>
        <v>123.31</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75">
      <c r="A14" s="628"/>
      <c r="B14" s="628"/>
      <c r="C14" s="1462" t="s">
        <v>3473</v>
      </c>
      <c r="D14" s="1513" t="s">
        <v>3469</v>
      </c>
      <c r="E14" s="13">
        <f>IF($C$3="是",ROUND($A$3*G14/$B$3,2),ROUND($A$3*(G14-AT14)/$B$3,2))</f>
        <v>17.32</v>
      </c>
      <c r="F14" s="29"/>
      <c r="G14" s="30">
        <f>H14+AC14+AT14</f>
        <v>70.760000000000005</v>
      </c>
      <c r="H14" s="17">
        <f>SUMIF(I$12:AB$12,"总值",I14:AB14)</f>
        <v>70.760000000000005</v>
      </c>
      <c r="I14" s="1514">
        <f>房源修正表!G37</f>
        <v>70.760000000000005</v>
      </c>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t="str">
        <f t="shared" si="6"/>
        <v>2层</v>
      </c>
      <c r="AY14" s="1260">
        <f>ROUND($AY$6*AZ14/$AZ$5,2)</f>
        <v>17.32</v>
      </c>
      <c r="AZ14" s="13">
        <f>BA14+BL14</f>
        <v>70.760000000000005</v>
      </c>
      <c r="BA14" s="13">
        <f>SUM(BB14:BK14)</f>
        <v>70.760000000000005</v>
      </c>
      <c r="BB14" s="13">
        <f>IF($D14="是",I14-J14,0)</f>
        <v>70.760000000000005</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628"/>
      <c r="C15" s="3196" t="s">
        <v>3474</v>
      </c>
      <c r="D15" s="1513" t="s">
        <v>3469</v>
      </c>
      <c r="E15" s="13">
        <f>IF($C$3="是",ROUND($A$3*G15/$B$3,2),ROUND($A$3*(G15-AT15)/$B$3,2))</f>
        <v>62.46</v>
      </c>
      <c r="F15" s="29"/>
      <c r="G15" s="30">
        <f>H15+AC15+AT15</f>
        <v>255.11</v>
      </c>
      <c r="H15" s="17">
        <f>SUMIF(I$12:AB$12,"总值",I15:AB15)</f>
        <v>255.11</v>
      </c>
      <c r="I15" s="1514"/>
      <c r="J15" s="1514"/>
      <c r="K15" s="1514">
        <f>房源修正表!G35</f>
        <v>255.11</v>
      </c>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t="str">
        <f t="shared" si="6"/>
        <v>地下1层</v>
      </c>
      <c r="AY15" s="1260">
        <f>ROUND($AY$6*AZ15/$AZ$5,2)</f>
        <v>62.46</v>
      </c>
      <c r="AZ15" s="13">
        <f>BA15+BL15</f>
        <v>255.11</v>
      </c>
      <c r="BA15" s="13">
        <f>SUM(BB15:BK15)</f>
        <v>255.11</v>
      </c>
      <c r="BB15" s="13">
        <f>IF($D15="是",I15-J15,0)</f>
        <v>0</v>
      </c>
      <c r="BC15" s="13">
        <f>IF($D15="是",K15-L15,0)</f>
        <v>255.11</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5"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115" zoomScaleNormal="100" zoomScaleSheetLayoutView="115" workbookViewId="0">
      <selection activeCell="G21" sqref="G21"/>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1130</v>
      </c>
      <c r="B1" s="1071"/>
      <c r="C1" s="1071"/>
      <c r="D1" s="1071"/>
      <c r="E1" s="1071"/>
      <c r="F1" s="1071"/>
      <c r="G1" s="1071"/>
      <c r="H1" s="1071"/>
      <c r="I1" s="1071"/>
      <c r="J1" s="1071"/>
      <c r="K1" s="1071"/>
      <c r="L1" s="1071"/>
      <c r="M1" s="1071"/>
      <c r="N1" s="1071"/>
      <c r="O1" s="1071"/>
      <c r="P1" s="1071"/>
    </row>
    <row r="2" spans="1:16" ht="15">
      <c r="A2" s="3465" t="s">
        <v>1131</v>
      </c>
      <c r="B2" s="3465"/>
      <c r="C2" s="3465"/>
      <c r="D2" s="748" t="s">
        <v>1107</v>
      </c>
      <c r="E2" s="1523" t="s">
        <v>1108</v>
      </c>
      <c r="F2" s="2439"/>
      <c r="G2" s="2432"/>
      <c r="H2" s="2433"/>
      <c r="I2" s="2146" t="s">
        <v>1132</v>
      </c>
      <c r="J2" s="2439"/>
      <c r="K2" s="2439"/>
      <c r="L2" s="2439"/>
      <c r="M2" s="2439"/>
      <c r="N2" s="2440"/>
      <c r="O2" s="2439"/>
      <c r="P2" s="2439"/>
    </row>
    <row r="3" spans="1:16" ht="15.75" thickBot="1">
      <c r="A3" s="3466" t="s">
        <v>1105</v>
      </c>
      <c r="B3" s="3466"/>
      <c r="C3" s="3466"/>
      <c r="D3" s="41">
        <f>'数据-基础表'!AY6</f>
        <v>109.97</v>
      </c>
      <c r="E3" s="41">
        <f>'数据-基础表'!AZ5</f>
        <v>449.18</v>
      </c>
      <c r="F3" s="2439"/>
      <c r="G3" s="42"/>
      <c r="H3" s="43" t="s">
        <v>1106</v>
      </c>
      <c r="I3" s="802">
        <f>ROUND('数据-基础表'!B3/'数据-基础表'!A3,2)</f>
        <v>4.08</v>
      </c>
      <c r="J3" s="2439"/>
      <c r="K3" s="2439"/>
      <c r="L3" s="2439"/>
      <c r="M3" s="2439"/>
      <c r="N3" s="2440"/>
      <c r="O3" s="2439"/>
      <c r="P3" s="2439"/>
    </row>
    <row r="4" spans="1:16" ht="15">
      <c r="A4" s="3467"/>
      <c r="B4" s="3468"/>
      <c r="C4" s="3469"/>
      <c r="D4" s="1524" t="s">
        <v>1107</v>
      </c>
      <c r="E4" s="1525" t="s">
        <v>1108</v>
      </c>
      <c r="F4" s="2439"/>
      <c r="G4" s="2434" t="s">
        <v>1133</v>
      </c>
      <c r="H4" s="43" t="s">
        <v>1113</v>
      </c>
      <c r="I4" s="802">
        <f>ROUND(SUMIF('数据-基础表'!I9:AS9,"地上",'数据-基础表'!I5:AS5)/'数据-基础表'!A3,2)</f>
        <v>1.76</v>
      </c>
      <c r="J4" s="2439"/>
      <c r="K4" s="2439"/>
      <c r="L4" s="2439"/>
      <c r="M4" s="2439"/>
      <c r="N4" s="2440"/>
      <c r="O4" s="2439"/>
      <c r="P4" s="2439"/>
    </row>
    <row r="5" spans="1:16">
      <c r="A5" s="42" t="s">
        <v>1109</v>
      </c>
      <c r="B5" s="3470" t="s">
        <v>1110</v>
      </c>
      <c r="C5" s="3470"/>
      <c r="D5" s="43">
        <f>ROUND($D$3*E5/$E$3,2)</f>
        <v>109.97</v>
      </c>
      <c r="E5" s="44">
        <f>SUMIF('数据-基础表'!$11:$11,"住宅",'数据-基础表'!$5:$5)</f>
        <v>449.18</v>
      </c>
      <c r="F5" s="2439"/>
      <c r="G5" s="42"/>
      <c r="H5" s="43" t="s">
        <v>1106</v>
      </c>
      <c r="I5" s="802">
        <f>ROUND(E31/D31,2)</f>
        <v>4.08</v>
      </c>
      <c r="J5" s="2439"/>
      <c r="K5" s="2439"/>
      <c r="L5" s="2439"/>
      <c r="M5" s="2439"/>
      <c r="N5" s="2439"/>
      <c r="O5" s="2439"/>
      <c r="P5" s="2439"/>
    </row>
    <row r="6" spans="1:16" ht="15" thickBot="1">
      <c r="A6" s="1527"/>
      <c r="B6" s="3470" t="s">
        <v>1111</v>
      </c>
      <c r="C6" s="3470"/>
      <c r="D6" s="43">
        <f>ROUND($D$3*E6/$E$3,2)</f>
        <v>0</v>
      </c>
      <c r="E6" s="44">
        <f>E3-E5</f>
        <v>0</v>
      </c>
      <c r="F6" s="2439"/>
      <c r="G6" s="1529" t="s">
        <v>1112</v>
      </c>
      <c r="H6" s="45" t="s">
        <v>1113</v>
      </c>
      <c r="I6" s="2435">
        <f>ROUND(F31/D31,2)</f>
        <v>1.76</v>
      </c>
      <c r="J6" s="2439"/>
      <c r="K6" s="2439"/>
      <c r="L6" s="2439"/>
      <c r="M6" s="2439"/>
      <c r="N6" s="2439"/>
      <c r="O6" s="2439"/>
      <c r="P6" s="2439"/>
    </row>
    <row r="7" spans="1:16" ht="15.75" thickBot="1">
      <c r="A7" s="3462"/>
      <c r="B7" s="3463"/>
      <c r="C7" s="3464"/>
      <c r="D7" s="1524" t="s">
        <v>1107</v>
      </c>
      <c r="E7" s="1528" t="s">
        <v>1114</v>
      </c>
      <c r="F7" s="2439"/>
      <c r="G7" s="2436" t="s">
        <v>1115</v>
      </c>
      <c r="H7" s="95"/>
      <c r="I7" s="2437"/>
      <c r="J7" s="2439"/>
      <c r="K7" s="2439"/>
      <c r="L7" s="2439"/>
      <c r="M7" s="2439"/>
      <c r="N7" s="2439"/>
      <c r="O7" s="2439"/>
      <c r="P7" s="2439"/>
    </row>
    <row r="8" spans="1:16">
      <c r="A8" s="42" t="s">
        <v>1116</v>
      </c>
      <c r="B8" s="45" t="s">
        <v>1117</v>
      </c>
      <c r="C8" s="43" t="s">
        <v>1118</v>
      </c>
      <c r="D8" s="43">
        <f t="shared" ref="D8:D15" si="0">ROUND($D$3*E8/$E$3,2)</f>
        <v>47.51</v>
      </c>
      <c r="E8" s="46">
        <f>SUMIF('数据-基础表'!BB10:BK10,"地上",'数据-基础表'!BB5:BK5)</f>
        <v>194.07</v>
      </c>
      <c r="F8" s="2439"/>
      <c r="G8" s="2439"/>
      <c r="H8" s="2439"/>
      <c r="I8" s="2439"/>
      <c r="J8" s="2439"/>
      <c r="K8" s="2439"/>
      <c r="L8" s="2439"/>
      <c r="M8" s="2439"/>
      <c r="N8" s="2439"/>
      <c r="O8" s="2439"/>
      <c r="P8" s="2439"/>
    </row>
    <row r="9" spans="1:16">
      <c r="A9" s="1529"/>
      <c r="B9" s="1530"/>
      <c r="C9" s="43" t="s">
        <v>1119</v>
      </c>
      <c r="D9" s="43">
        <f t="shared" si="0"/>
        <v>0</v>
      </c>
      <c r="E9" s="47">
        <v>0</v>
      </c>
      <c r="F9" s="2439"/>
      <c r="G9" s="2439"/>
      <c r="H9" s="2439"/>
      <c r="I9" s="2439"/>
      <c r="J9" s="2439"/>
      <c r="K9" s="2439"/>
      <c r="L9" s="2439"/>
      <c r="M9" s="2439"/>
      <c r="N9" s="2439"/>
      <c r="O9" s="2439"/>
      <c r="P9" s="2439"/>
    </row>
    <row r="10" spans="1:16">
      <c r="A10" s="1529"/>
      <c r="B10" s="1530"/>
      <c r="C10" s="43" t="s">
        <v>1128</v>
      </c>
      <c r="D10" s="43">
        <f t="shared" si="0"/>
        <v>0</v>
      </c>
      <c r="E10" s="46">
        <f>SUMPRODUCT(('数据-基础表'!BB10:BK10="地下")*('数据-基础表'!BB11:BK11="商业")*('数据-基础表'!BB5:BK5))</f>
        <v>0</v>
      </c>
      <c r="F10" s="2439"/>
      <c r="G10" s="2439"/>
      <c r="H10" s="2439"/>
      <c r="I10" s="2439"/>
      <c r="J10" s="2439"/>
      <c r="K10" s="2439"/>
      <c r="L10" s="2439"/>
      <c r="M10" s="2439"/>
      <c r="N10" s="2439"/>
      <c r="O10" s="2439"/>
      <c r="P10" s="2439"/>
    </row>
    <row r="11" spans="1:16">
      <c r="A11" s="1529"/>
      <c r="B11" s="1530"/>
      <c r="C11" s="43" t="s">
        <v>1120</v>
      </c>
      <c r="D11" s="43">
        <f t="shared" si="0"/>
        <v>0</v>
      </c>
      <c r="E11" s="46">
        <f>SUMPRODUCT(('数据-基础表'!BB10:BK10="地下")*('数据-基础表'!BB11:BK11="办公")*('数据-基础表'!BB5:BK5))+'数据-基础表'!BP5</f>
        <v>0</v>
      </c>
      <c r="F11" s="2439"/>
      <c r="G11" s="2439"/>
      <c r="H11" s="2439"/>
      <c r="I11" s="2439"/>
      <c r="J11" s="2439"/>
      <c r="K11" s="2439"/>
      <c r="L11" s="2439"/>
      <c r="M11" s="2439"/>
      <c r="N11" s="2439"/>
      <c r="O11" s="2439"/>
      <c r="P11" s="2439"/>
    </row>
    <row r="12" spans="1:16">
      <c r="A12" s="1529"/>
      <c r="B12" s="1530"/>
      <c r="C12" s="43" t="s">
        <v>1121</v>
      </c>
      <c r="D12" s="43">
        <f t="shared" si="0"/>
        <v>0</v>
      </c>
      <c r="E12" s="46">
        <f>SUMPRODUCT(('数据-基础表'!BB10:BK10="地下")*('数据-基础表'!BB11:BK11="仓储")*('数据-基础表'!BB5:BK5))</f>
        <v>0</v>
      </c>
      <c r="F12" s="2439"/>
      <c r="G12" s="2439"/>
      <c r="H12" s="2439"/>
      <c r="I12" s="2439"/>
      <c r="J12" s="2439"/>
      <c r="K12" s="2439"/>
      <c r="L12" s="2439"/>
      <c r="M12" s="2439"/>
      <c r="N12" s="2439"/>
      <c r="O12" s="2439"/>
      <c r="P12" s="2439"/>
    </row>
    <row r="13" spans="1:16">
      <c r="A13" s="1529"/>
      <c r="B13" s="1530"/>
      <c r="C13" s="43" t="s">
        <v>1122</v>
      </c>
      <c r="D13" s="43">
        <f t="shared" si="0"/>
        <v>0</v>
      </c>
      <c r="E13" s="46">
        <f>SUMPRODUCT(('数据-基础表'!BB10:BK10="地下")*('数据-基础表'!BB11:BK11="车库")*('数据-基础表'!BB5:BK5))</f>
        <v>0</v>
      </c>
      <c r="F13" s="2439"/>
      <c r="G13" s="2439"/>
      <c r="H13" s="2439"/>
      <c r="I13" s="2439"/>
      <c r="J13" s="2439"/>
      <c r="K13" s="2439"/>
      <c r="L13" s="2439"/>
      <c r="M13" s="2439"/>
      <c r="N13" s="2439"/>
      <c r="O13" s="2439"/>
      <c r="P13" s="2439"/>
    </row>
    <row r="14" spans="1:16">
      <c r="A14" s="1529"/>
      <c r="B14" s="1530"/>
      <c r="C14" s="43" t="s">
        <v>1134</v>
      </c>
      <c r="D14" s="43">
        <f t="shared" si="0"/>
        <v>0</v>
      </c>
      <c r="E14" s="46">
        <f>SUMPRODUCT(('数据-基础表'!BB10:BK10="地下")*('数据-基础表'!BB11:BK11="车库—商业")*('数据-基础表'!BB5:BK5))</f>
        <v>0</v>
      </c>
      <c r="F14" s="2439"/>
      <c r="G14" s="2439"/>
      <c r="H14" s="2439"/>
      <c r="I14" s="2439"/>
      <c r="J14" s="2439"/>
      <c r="K14" s="2439"/>
      <c r="L14" s="2439"/>
      <c r="M14" s="2439"/>
      <c r="N14" s="2439"/>
      <c r="O14" s="2439"/>
      <c r="P14" s="2439"/>
    </row>
    <row r="15" spans="1:16" ht="15" thickBot="1">
      <c r="A15" s="1529"/>
      <c r="B15" s="1530"/>
      <c r="C15" s="43" t="s">
        <v>1129</v>
      </c>
      <c r="D15" s="43">
        <f t="shared" si="0"/>
        <v>0</v>
      </c>
      <c r="E15" s="46">
        <f>SUMPRODUCT(('数据-基础表'!BB10:BK10="地下")*('数据-基础表'!BB11:BK11="车库—办公")*('数据-基础表'!BB5:BK5))</f>
        <v>0</v>
      </c>
      <c r="F15" s="2439"/>
      <c r="G15" s="2439"/>
      <c r="H15" s="2439"/>
      <c r="I15" s="2439"/>
      <c r="J15" s="2439"/>
      <c r="K15" s="2439"/>
      <c r="L15" s="2439"/>
      <c r="M15" s="2439"/>
      <c r="N15" s="2439"/>
      <c r="O15" s="2439"/>
      <c r="P15" s="2439"/>
    </row>
    <row r="16" spans="1:16" ht="15.75" thickBot="1">
      <c r="A16" s="1527"/>
      <c r="B16" s="1530"/>
      <c r="C16" s="45" t="s">
        <v>1123</v>
      </c>
      <c r="D16" s="45">
        <f>SUM(D8:D15)</f>
        <v>47.51</v>
      </c>
      <c r="E16" s="48">
        <f>SUM(E8:E15)</f>
        <v>194.07</v>
      </c>
      <c r="F16" s="2439"/>
      <c r="G16" s="2439"/>
      <c r="H16" s="1531" t="s">
        <v>1135</v>
      </c>
      <c r="I16" s="1532"/>
      <c r="J16" s="1071"/>
      <c r="K16" s="3459" t="s">
        <v>1135</v>
      </c>
      <c r="L16" s="3460"/>
      <c r="M16" s="3460"/>
      <c r="N16" s="3460"/>
      <c r="O16" s="3460"/>
      <c r="P16" s="3461"/>
    </row>
    <row r="17" spans="1:19" ht="15">
      <c r="A17" s="1533" t="s">
        <v>1136</v>
      </c>
      <c r="B17" s="1534" t="s">
        <v>1137</v>
      </c>
      <c r="C17" s="1535" t="s">
        <v>1138</v>
      </c>
      <c r="D17" s="1536" t="s">
        <v>1126</v>
      </c>
      <c r="E17" s="1537" t="s">
        <v>1127</v>
      </c>
      <c r="F17" s="1538"/>
      <c r="G17" s="1539"/>
      <c r="H17" s="1540" t="s">
        <v>1139</v>
      </c>
      <c r="I17" s="1541" t="s">
        <v>1124</v>
      </c>
      <c r="J17" s="1071"/>
      <c r="K17" s="3456" t="s">
        <v>1140</v>
      </c>
      <c r="L17" s="3457"/>
      <c r="M17" s="3458"/>
      <c r="N17" s="3456" t="s">
        <v>1141</v>
      </c>
      <c r="O17" s="3457"/>
      <c r="P17" s="3458"/>
      <c r="R17" s="769" t="s">
        <v>1142</v>
      </c>
      <c r="S17" s="54"/>
    </row>
    <row r="18" spans="1:19" ht="15">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6" t="s">
        <v>3782</v>
      </c>
      <c r="D19" s="43">
        <f>ROUND($D$3*E19/$E$3,2)</f>
        <v>47.51</v>
      </c>
      <c r="E19" s="51">
        <f t="shared" ref="E19:E26" si="1">SUM(F19:G19)</f>
        <v>194.07</v>
      </c>
      <c r="F19" s="2558">
        <f>'数据-基础表'!I5</f>
        <v>194.07</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47.51</v>
      </c>
      <c r="S19" s="51">
        <f t="shared" si="5"/>
        <v>194.07</v>
      </c>
    </row>
    <row r="20" spans="1:19">
      <c r="A20" s="1549"/>
      <c r="B20" s="45" t="s">
        <v>1153</v>
      </c>
      <c r="C20" s="3116"/>
      <c r="D20" s="43">
        <f t="shared" ref="D20:D26" si="6">ROUND($D$3*E20/$E$3,2)</f>
        <v>0</v>
      </c>
      <c r="E20" s="51">
        <f t="shared" si="1"/>
        <v>0</v>
      </c>
      <c r="F20" s="2558"/>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1153</v>
      </c>
      <c r="C21" s="3116" t="s">
        <v>3475</v>
      </c>
      <c r="D21" s="43">
        <f t="shared" si="6"/>
        <v>62.46</v>
      </c>
      <c r="E21" s="51">
        <f t="shared" si="1"/>
        <v>255.11</v>
      </c>
      <c r="F21" s="2558"/>
      <c r="G21" s="1243">
        <f>'数据-基础表'!K15</f>
        <v>255.11</v>
      </c>
      <c r="H21" s="637">
        <f t="shared" si="7"/>
        <v>0</v>
      </c>
      <c r="I21" s="46">
        <f t="shared" si="2"/>
        <v>0</v>
      </c>
      <c r="J21" s="1071"/>
      <c r="K21" s="637">
        <f t="shared" si="3"/>
        <v>0</v>
      </c>
      <c r="L21" s="43">
        <f t="shared" si="4"/>
        <v>0</v>
      </c>
      <c r="M21" s="46">
        <f t="shared" si="8"/>
        <v>0</v>
      </c>
      <c r="N21" s="1550"/>
      <c r="O21" s="1551"/>
      <c r="P21" s="46">
        <f t="shared" si="9"/>
        <v>0</v>
      </c>
      <c r="R21" s="43">
        <f t="shared" si="5"/>
        <v>62.46</v>
      </c>
      <c r="S21" s="51">
        <f t="shared" si="5"/>
        <v>255.11</v>
      </c>
    </row>
    <row r="22" spans="1:19">
      <c r="A22" s="1549"/>
      <c r="B22" s="45" t="s">
        <v>1153</v>
      </c>
      <c r="C22" s="3117"/>
      <c r="D22" s="43">
        <f t="shared" si="6"/>
        <v>0</v>
      </c>
      <c r="E22" s="51">
        <f t="shared" si="1"/>
        <v>0</v>
      </c>
      <c r="F22" s="2559"/>
      <c r="G22" s="2560"/>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7"/>
      <c r="D23" s="43">
        <f>ROUND($D$3*E23/$E$3,2)</f>
        <v>0</v>
      </c>
      <c r="E23" s="51">
        <f>SUM(F23:G23)</f>
        <v>0</v>
      </c>
      <c r="F23" s="2559"/>
      <c r="G23" s="2560"/>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7"/>
      <c r="D24" s="43">
        <f>ROUND($D$3*E24/$E$3,2)</f>
        <v>0</v>
      </c>
      <c r="E24" s="51">
        <f>SUM(F24:G24)</f>
        <v>0</v>
      </c>
      <c r="F24" s="2559"/>
      <c r="G24" s="2560"/>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7"/>
      <c r="D25" s="43">
        <f t="shared" si="6"/>
        <v>0</v>
      </c>
      <c r="E25" s="51">
        <f t="shared" si="1"/>
        <v>0</v>
      </c>
      <c r="F25" s="2559"/>
      <c r="G25" s="2560"/>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9"/>
      <c r="G26" s="2560"/>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75" thickBot="1">
      <c r="A27" s="1549"/>
      <c r="B27" s="43"/>
      <c r="C27" s="1554" t="s">
        <v>1154</v>
      </c>
      <c r="D27" s="1072">
        <f>SUM(D19:D26)</f>
        <v>109.97</v>
      </c>
      <c r="E27" s="1073">
        <f>IF(SUM(E19:E26)='数据-基础表'!BA5,SUM(E19:E26),IF(F27="地上面积有误","面积有误","地下面积有误"))</f>
        <v>449.18</v>
      </c>
      <c r="F27" s="1072">
        <f>IF(SUM(F19:F26)=E8,SUM(F19:F26),"地上面积有误")</f>
        <v>194.07</v>
      </c>
      <c r="G27" s="1074">
        <f>SUM(G19:G26)</f>
        <v>255.11</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109.97</v>
      </c>
      <c r="S27" s="43">
        <f>IF(SUM(S19:S26)=$E$3,SUM(S19:S26),SUM(S19:S26)&amp;"误差"&amp;ROUND(SUM(S19:S26)-E3,2))</f>
        <v>449.18</v>
      </c>
    </row>
    <row r="28" spans="1:19">
      <c r="A28" s="1549"/>
      <c r="B28" s="45" t="s">
        <v>1155</v>
      </c>
      <c r="C28" s="54" t="s">
        <v>1156</v>
      </c>
      <c r="D28" s="43">
        <f>ROUND($D$3*E28/$E$3,2)</f>
        <v>0</v>
      </c>
      <c r="E28" s="51">
        <f>SUM(F28:G28)</f>
        <v>0</v>
      </c>
      <c r="F28" s="54">
        <f>'数据-基础表'!BQ5+'数据-基础表'!BS5</f>
        <v>0</v>
      </c>
      <c r="G28" s="55">
        <f>'数据-基础表'!BR5+'数据-基础表'!BT5</f>
        <v>0</v>
      </c>
      <c r="H28" s="2439"/>
      <c r="I28" s="2439"/>
      <c r="J28" s="2439"/>
      <c r="K28" s="2439"/>
      <c r="L28" s="2439"/>
      <c r="M28" s="2439"/>
      <c r="N28" s="2439"/>
      <c r="O28" s="2439"/>
      <c r="P28" s="2439"/>
    </row>
    <row r="29" spans="1:19">
      <c r="A29" s="1549"/>
      <c r="B29" s="45" t="s">
        <v>1155</v>
      </c>
      <c r="C29" s="1555" t="s">
        <v>1157</v>
      </c>
      <c r="D29" s="43">
        <f>ROUND($D$3*E29/$E$3,2)</f>
        <v>0</v>
      </c>
      <c r="E29" s="51">
        <f>SUM(F29:G29)</f>
        <v>0</v>
      </c>
      <c r="F29" s="56">
        <f>'数据-基础表'!BM5+'数据-基础表'!BO5</f>
        <v>0</v>
      </c>
      <c r="G29" s="48">
        <f>'数据-基础表'!BN5+'数据-基础表'!BP5</f>
        <v>0</v>
      </c>
      <c r="H29" s="2439"/>
      <c r="I29" s="2439"/>
      <c r="J29" s="2439"/>
      <c r="K29" s="2439"/>
      <c r="L29" s="2439"/>
      <c r="M29" s="2439"/>
      <c r="N29" s="2439"/>
      <c r="O29" s="2439"/>
      <c r="P29" s="2439"/>
    </row>
    <row r="30" spans="1:19" ht="15">
      <c r="A30" s="1549"/>
      <c r="B30" s="45"/>
      <c r="C30" s="1556" t="s">
        <v>1154</v>
      </c>
      <c r="D30" s="1072">
        <f>SUM(D28:D29)</f>
        <v>0</v>
      </c>
      <c r="E30" s="1072">
        <f>SUM(E28:E29)</f>
        <v>0</v>
      </c>
      <c r="F30" s="1072">
        <f>SUM(F28:F29)</f>
        <v>0</v>
      </c>
      <c r="G30" s="1074">
        <f>SUM(G28:G29)</f>
        <v>0</v>
      </c>
      <c r="H30" s="2439"/>
      <c r="I30" s="2439"/>
      <c r="J30" s="2439"/>
      <c r="K30" s="2439"/>
      <c r="L30" s="2439"/>
      <c r="M30" s="2439"/>
      <c r="N30" s="2439"/>
      <c r="O30" s="2439"/>
      <c r="P30" s="2439"/>
    </row>
    <row r="31" spans="1:19" ht="15.75" thickBot="1">
      <c r="A31" s="1557"/>
      <c r="B31" s="96"/>
      <c r="C31" s="785" t="s">
        <v>1158</v>
      </c>
      <c r="D31" s="643">
        <f>D27+D30</f>
        <v>109.97</v>
      </c>
      <c r="E31" s="643">
        <f>E27+E30</f>
        <v>449.18</v>
      </c>
      <c r="F31" s="644">
        <f>F27+F30</f>
        <v>194.07</v>
      </c>
      <c r="G31" s="645">
        <f>G27+G30</f>
        <v>255.11</v>
      </c>
      <c r="H31" s="2439"/>
      <c r="I31" s="2439"/>
      <c r="J31" s="2439"/>
      <c r="K31" s="2439"/>
      <c r="L31" s="2439"/>
      <c r="M31" s="2439"/>
      <c r="N31" s="2439"/>
      <c r="O31" s="2439"/>
      <c r="P31" s="2439"/>
    </row>
    <row r="32" spans="1:19">
      <c r="A32" s="1526"/>
      <c r="B32" s="1526" t="s">
        <v>1159</v>
      </c>
      <c r="C32" s="1526"/>
      <c r="D32" s="1526"/>
      <c r="E32" s="990">
        <f>SUMIF(C19:C26,"*住宅*",E19:E26)</f>
        <v>0</v>
      </c>
      <c r="F32" s="1526"/>
      <c r="G32" s="1526"/>
      <c r="H32" s="2439"/>
      <c r="I32" s="2439"/>
      <c r="J32" s="2439"/>
      <c r="K32" s="2439"/>
      <c r="L32" s="2439"/>
      <c r="M32" s="2439"/>
      <c r="N32" s="2439"/>
      <c r="O32" s="2439"/>
      <c r="P32" s="2439"/>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9" type="noConversion"/>
  <conditionalFormatting sqref="E27">
    <cfRule type="containsText" dxfId="147" priority="1" stopIfTrue="1" operator="containsText" text="面积有误">
      <formula>NOT(ISERROR(SEARCH("面积有误",E27)))</formula>
    </cfRule>
    <cfRule type="cellIs" dxfId="146" priority="3" stopIfTrue="1" operator="equal">
      <formula>"地下面积有误"</formula>
    </cfRule>
  </conditionalFormatting>
  <conditionalFormatting sqref="F27">
    <cfRule type="cellIs" dxfId="145"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115" zoomScaleNormal="115" zoomScaleSheetLayoutView="90" workbookViewId="0">
      <pane xSplit="3" ySplit="5" topLeftCell="G6" activePane="bottomRight" state="frozen"/>
      <selection activeCell="C50" sqref="C50"/>
      <selection pane="topRight" activeCell="C50" sqref="C50"/>
      <selection pane="bottomLeft" activeCell="C50" sqref="C50"/>
      <selection pane="bottomRight" activeCell="N28" sqref="N28"/>
    </sheetView>
  </sheetViews>
  <sheetFormatPr defaultColWidth="13.75" defaultRowHeight="12.75"/>
  <cols>
    <col min="1" max="1" width="20.87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7.5" style="1561" customWidth="1"/>
    <col min="22" max="22" width="6.375" style="1561" customWidth="1"/>
    <col min="23" max="30" width="6.75" style="156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9"/>
      <c r="AO1" s="2449"/>
      <c r="AP1" s="2449"/>
      <c r="AQ1" s="2449"/>
      <c r="AR1" s="2449"/>
    </row>
    <row r="2" spans="1:67" s="1451" customFormat="1" ht="15.75" thickBot="1">
      <c r="A2" s="1562" t="s">
        <v>1161</v>
      </c>
      <c r="B2" s="984">
        <f>项目基本情况!D3</f>
        <v>45839</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9"/>
      <c r="AO2" s="2439"/>
      <c r="AP2" s="2439"/>
      <c r="AQ2" s="2439"/>
      <c r="AR2" s="2439"/>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9"/>
      <c r="AO3" s="2439"/>
      <c r="AP3" s="2439"/>
      <c r="AQ3" s="2439"/>
      <c r="AR3" s="2439"/>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8"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9"/>
      <c r="AO4" s="2439"/>
      <c r="AP4" s="2439"/>
      <c r="AQ4" s="2439"/>
      <c r="AR4" s="2439"/>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3717</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t="str">
        <f>'数据-汇总表'!C19</f>
        <v>地上</v>
      </c>
      <c r="B6" s="1587" t="str">
        <f>IF(A6=0,"","经营性")</f>
        <v>经营性</v>
      </c>
      <c r="C6" s="1588" t="s">
        <v>3404</v>
      </c>
      <c r="D6" s="805">
        <f>SUMIF(项目基本情况!C$12:I$12,C6,项目基本情况!C$14:I$14)</f>
        <v>70</v>
      </c>
      <c r="E6" s="804">
        <f>IF(B6="","",SUMIF(项目基本情况!C$12:I$12,C6,项目基本情况!C$13:I$13))</f>
        <v>67050</v>
      </c>
      <c r="F6" s="61">
        <f>SUMIF(项目基本情况!C$12:I$12,C6,项目基本情况!C$15:I$15)</f>
        <v>58.11</v>
      </c>
      <c r="G6" s="62">
        <f>IF(ISERROR(ROUND(POWER(1+H6,D6-F6)*(POWER(1+H6,F6)-1)/(POWER(1+H6,D6)-1),3)),0,ROUND(POWER(1+H6,D6-F6)*(POWER(1+H6,F6)-1)/(POWER(1+H6,D6)-1),3))</f>
        <v>0.97399999999999998</v>
      </c>
      <c r="H6" s="691">
        <v>5.0299999999999997E-2</v>
      </c>
      <c r="I6" s="691">
        <v>5.5E-2</v>
      </c>
      <c r="J6" s="63">
        <v>0.05</v>
      </c>
      <c r="K6" s="970">
        <f>SUMIF('数据-汇总表'!C$19:C$33,A6,'数据-汇总表'!E$19:E$33)</f>
        <v>194.07</v>
      </c>
      <c r="L6" s="692">
        <v>2900</v>
      </c>
      <c r="M6" s="64">
        <f t="shared" ref="M6:M14" si="0">ROUND(K6*L6/10000,0)</f>
        <v>56</v>
      </c>
      <c r="N6" s="690">
        <v>1</v>
      </c>
      <c r="O6" s="64" t="str">
        <f>IF($N$5="成新度","——",ROUND(M6*N6,0))</f>
        <v>——</v>
      </c>
      <c r="P6" s="65" t="str">
        <f>IF($N$5="成新度","——",M6-O6)</f>
        <v>——</v>
      </c>
      <c r="Q6" s="693">
        <v>0.3</v>
      </c>
      <c r="R6" s="66">
        <f ca="1">SUMIF('数据-汇总表'!C$19:C$33,A6,'数据-汇总表'!R$19:R$27)</f>
        <v>47.51</v>
      </c>
      <c r="S6" s="49">
        <f>IF('数据-汇总表'!$I$17="按面积比例",SUMIF('数据-汇总表'!C$19:C$33,A6,'数据-汇总表'!K$19:K$33),SUMIF('数据-汇总表'!C$19:C$33,A6,'数据-汇总表'!N$19:N$33))</f>
        <v>0</v>
      </c>
      <c r="T6" s="1092">
        <f>ROUND($L$14*S6/10000,0)</f>
        <v>0</v>
      </c>
      <c r="U6" s="3127"/>
      <c r="V6" s="67"/>
      <c r="W6" s="67"/>
      <c r="X6" s="979"/>
      <c r="Y6" s="68"/>
      <c r="Z6" s="69"/>
      <c r="AA6" s="63"/>
      <c r="AB6" s="63"/>
      <c r="AC6" s="979"/>
      <c r="AD6" s="70"/>
      <c r="AE6" s="980">
        <f ca="1">IF(AN6="",0,SUMIF(INDIRECT("'"&amp;AN6&amp;"'"&amp;"!E:E"),$AE$5,INDIRECT("'"&amp;AN6&amp;"'"&amp;"!F:F")))</f>
        <v>0</v>
      </c>
      <c r="AF6" s="74"/>
      <c r="AG6" s="130">
        <f>IF(AF6="",0,AE6-AF6)</f>
        <v>0</v>
      </c>
      <c r="AH6" s="71"/>
      <c r="AI6" s="73"/>
      <c r="AJ6" s="74"/>
      <c r="AK6" s="75"/>
      <c r="AL6" s="76"/>
      <c r="AM6" s="77"/>
      <c r="AN6" s="1589"/>
      <c r="AO6" s="50" t="e">
        <f ca="1">SUMIF(INDIRECT("'"&amp;AN6&amp;"'"&amp;"!A:A"),"总价",INDIRECT("'"&amp;AN6&amp;"'"&amp;"!B:B"))</f>
        <v>#REF!</v>
      </c>
      <c r="AP6" s="1590">
        <f>IF(C6="住宅",K6*L6,0)</f>
        <v>562803</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c r="A7" s="1586">
        <f>'数据-汇总表'!C20</f>
        <v>0</v>
      </c>
      <c r="B7" s="1587" t="str">
        <f t="shared" ref="B7:B13" si="1">IF(A7=0,"","经营性")</f>
        <v/>
      </c>
      <c r="C7" s="1588" t="s">
        <v>3404</v>
      </c>
      <c r="D7" s="805">
        <f>SUMIF(项目基本情况!C$12:I$12,C7,项目基本情况!C$14:I$14)</f>
        <v>70</v>
      </c>
      <c r="E7" s="804" t="str">
        <f>IF(B7="","",SUMIF(项目基本情况!C$12:I$12,C7,项目基本情况!C$13:I$13))</f>
        <v/>
      </c>
      <c r="F7" s="61">
        <f>SUMIF(项目基本情况!C$12:I$12,C7,项目基本情况!C$15:I$15)</f>
        <v>58.11</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7"/>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c r="A8" s="1586" t="str">
        <f>'数据-汇总表'!C21</f>
        <v>地下1层</v>
      </c>
      <c r="B8" s="1587" t="str">
        <f t="shared" si="1"/>
        <v>经营性</v>
      </c>
      <c r="C8" s="1588" t="s">
        <v>3404</v>
      </c>
      <c r="D8" s="805">
        <f>SUMIF(项目基本情况!C$12:I$12,C8,项目基本情况!C$14:I$14)</f>
        <v>70</v>
      </c>
      <c r="E8" s="804">
        <f>IF(B8="","",SUMIF(项目基本情况!C$12:I$12,C8,项目基本情况!C$13:I$13))</f>
        <v>67050</v>
      </c>
      <c r="F8" s="61">
        <f>SUMIF(项目基本情况!C$12:I$12,C8,项目基本情况!C$15:I$15)</f>
        <v>58.11</v>
      </c>
      <c r="G8" s="62">
        <f t="shared" si="2"/>
        <v>0.97399999999999998</v>
      </c>
      <c r="H8" s="691">
        <v>5.0299999999999997E-2</v>
      </c>
      <c r="I8" s="691">
        <v>5.5E-2</v>
      </c>
      <c r="J8" s="63">
        <v>0.06</v>
      </c>
      <c r="K8" s="970">
        <f>SUMIF('数据-汇总表'!C$19:C$33,A8,'数据-汇总表'!E$19:E$33)</f>
        <v>255.11</v>
      </c>
      <c r="L8" s="692">
        <v>2900</v>
      </c>
      <c r="M8" s="64">
        <f>ROUND(K8*L8/10000,0)</f>
        <v>74</v>
      </c>
      <c r="N8" s="690">
        <v>1</v>
      </c>
      <c r="O8" s="64" t="str">
        <f t="shared" si="3"/>
        <v>——</v>
      </c>
      <c r="P8" s="65" t="str">
        <f t="shared" si="4"/>
        <v>——</v>
      </c>
      <c r="Q8" s="3734">
        <v>0.18</v>
      </c>
      <c r="R8" s="66">
        <f ca="1">SUMIF('数据-汇总表'!C$19:C$33,A8,'数据-汇总表'!R$19:R$27)</f>
        <v>62.46</v>
      </c>
      <c r="S8" s="49">
        <f>IF('数据-汇总表'!$I$17="按面积比例",SUMIF('数据-汇总表'!C$19:C$33,A8,'数据-汇总表'!K$19:K$33),SUMIF('数据-汇总表'!C$19:C$33,A8,'数据-汇总表'!N$19:N$33))</f>
        <v>0</v>
      </c>
      <c r="T8" s="1092">
        <f t="shared" si="5"/>
        <v>0</v>
      </c>
      <c r="U8" s="3128"/>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739819</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7"/>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7"/>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7"/>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7"/>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9"/>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9"/>
      <c r="AO14" s="2439"/>
      <c r="AP14" s="2439"/>
      <c r="AQ14" s="2439"/>
      <c r="AR14" s="2439"/>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9"/>
      <c r="AO15" s="2439"/>
      <c r="AP15" s="2439"/>
      <c r="AQ15" s="2439"/>
      <c r="AR15" s="2439"/>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1209</v>
      </c>
      <c r="B16" s="82"/>
      <c r="C16" s="783"/>
      <c r="D16" s="1594"/>
      <c r="E16" s="82"/>
      <c r="F16" s="82"/>
      <c r="G16" s="83">
        <f>ROUND(SUMPRODUCT(G6:G13,K6:K13)/SUMPRODUCT((G6:G13&gt;0)*(K6:K13)),3)</f>
        <v>0.97399999999999998</v>
      </c>
      <c r="H16" s="84">
        <f>ROUND(SUMPRODUCT(H6:H13,K6:K13)/SUMPRODUCT((H6:H13&gt;0)*(K6:K13)),3)</f>
        <v>0.05</v>
      </c>
      <c r="I16" s="85"/>
      <c r="J16" s="85"/>
      <c r="K16" s="86">
        <f>SUM(K6:K15)</f>
        <v>449.18</v>
      </c>
      <c r="L16" s="87">
        <f>ROUND(M16*10000/SUM(K6:K14),0)</f>
        <v>2894</v>
      </c>
      <c r="M16" s="87">
        <f>SUM(M6:M14)</f>
        <v>130</v>
      </c>
      <c r="N16" s="88">
        <f>ROUND(SUMPRODUCT(M6:M14,N6:N14)/M16,3)</f>
        <v>1</v>
      </c>
      <c r="O16" s="87">
        <f>SUM(O6:O14)</f>
        <v>0</v>
      </c>
      <c r="P16" s="87">
        <f>SUM(P6:P14)</f>
        <v>0</v>
      </c>
      <c r="Q16" s="89">
        <f>ROUND(SUMPRODUCT(Q6:Q13,K6:K13)/SUMPRODUCT((Q6:Q13&gt;0)*(K6:K13)),2)</f>
        <v>0.23</v>
      </c>
      <c r="R16" s="974">
        <f ca="1">SUM(R6:R13)</f>
        <v>109.97</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9"/>
      <c r="AO16" s="2439"/>
      <c r="AP16" s="2439"/>
      <c r="AQ16" s="2439"/>
      <c r="AR16" s="2439"/>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8"/>
      <c r="C17" s="2449"/>
      <c r="D17" s="2451"/>
      <c r="E17" s="2451"/>
      <c r="F17" s="2449"/>
      <c r="G17" s="2449"/>
      <c r="H17" s="2449"/>
      <c r="I17" s="2449"/>
      <c r="J17" s="2449"/>
      <c r="K17" s="2450"/>
      <c r="L17" s="2450"/>
      <c r="M17" s="2449"/>
      <c r="N17" s="2449"/>
      <c r="O17" s="2449"/>
      <c r="P17" s="2449"/>
      <c r="Q17" s="2449"/>
      <c r="R17" s="2449"/>
      <c r="S17" s="2449"/>
      <c r="T17" s="2449"/>
      <c r="U17" s="2449"/>
      <c r="V17" s="2449"/>
      <c r="W17" s="2449"/>
      <c r="X17" s="2449"/>
      <c r="Y17" s="2449"/>
      <c r="Z17" s="2449"/>
      <c r="AA17" s="2449"/>
      <c r="AB17" s="2449"/>
      <c r="AC17" s="2449"/>
      <c r="AD17" s="2449"/>
      <c r="AE17" s="2449"/>
      <c r="AF17" s="2449"/>
      <c r="AG17" s="2449"/>
      <c r="AH17" s="2449"/>
      <c r="AI17" s="2449"/>
      <c r="AJ17" s="2449"/>
      <c r="AK17" s="2449"/>
      <c r="AL17" s="2449"/>
      <c r="AM17" s="2449"/>
      <c r="AN17" s="2449"/>
      <c r="AO17" s="2449"/>
      <c r="AP17" s="2449"/>
      <c r="AQ17" s="2449"/>
      <c r="AR17" s="2449"/>
    </row>
    <row r="18" spans="1:44" ht="15" thickBot="1">
      <c r="A18" s="57" t="s">
        <v>1210</v>
      </c>
      <c r="B18" s="2461"/>
      <c r="C18" s="2439"/>
      <c r="D18" s="2452"/>
      <c r="E18" s="2439"/>
      <c r="F18" s="2439"/>
      <c r="G18" s="2439"/>
      <c r="H18" s="2439"/>
      <c r="I18" s="2439"/>
      <c r="J18" s="2439"/>
      <c r="K18" s="2450"/>
      <c r="L18" s="2450"/>
      <c r="M18" s="2449"/>
      <c r="N18" s="2449"/>
      <c r="O18" s="2449"/>
      <c r="P18" s="2449"/>
      <c r="Q18" s="2449"/>
      <c r="R18" s="2449"/>
      <c r="S18" s="2449"/>
      <c r="T18" s="2449"/>
      <c r="U18" s="2449"/>
      <c r="V18" s="2449"/>
      <c r="W18" s="2449"/>
      <c r="X18" s="2449"/>
      <c r="Y18" s="2449"/>
      <c r="Z18" s="2449"/>
      <c r="AA18" s="2449"/>
      <c r="AB18" s="2449"/>
      <c r="AC18" s="2449"/>
      <c r="AD18" s="2449"/>
      <c r="AE18" s="2449"/>
      <c r="AF18" s="2449"/>
      <c r="AG18" s="2449"/>
      <c r="AH18" s="2449"/>
      <c r="AI18" s="2449"/>
      <c r="AJ18" s="2449"/>
      <c r="AK18" s="2449"/>
      <c r="AL18" s="2449"/>
      <c r="AM18" s="2449"/>
      <c r="AN18" s="2449"/>
      <c r="AO18" s="2449"/>
      <c r="AP18" s="2449"/>
      <c r="AQ18" s="2449"/>
      <c r="AR18" s="2449"/>
    </row>
    <row r="19" spans="1:44" ht="14.25">
      <c r="A19" s="1596" t="s">
        <v>1211</v>
      </c>
      <c r="B19" s="97">
        <v>0</v>
      </c>
      <c r="C19" s="2561" t="s">
        <v>2300</v>
      </c>
      <c r="D19" s="2452"/>
      <c r="E19" s="2439"/>
      <c r="F19" s="2439"/>
      <c r="G19" s="2439"/>
      <c r="H19" s="2439"/>
      <c r="I19" s="2439"/>
      <c r="J19" s="2439"/>
      <c r="K19" s="2450"/>
      <c r="L19" s="2450"/>
      <c r="M19" s="2449"/>
      <c r="N19" s="2449"/>
      <c r="O19" s="2449"/>
      <c r="P19" s="2449"/>
      <c r="Q19" s="2449"/>
      <c r="R19" s="2449"/>
      <c r="S19" s="2449"/>
      <c r="T19" s="2449"/>
      <c r="U19" s="2449"/>
      <c r="V19" s="2449"/>
      <c r="W19" s="2449"/>
      <c r="X19" s="2449"/>
      <c r="Y19" s="2449"/>
      <c r="Z19" s="2449"/>
      <c r="AA19" s="2449"/>
      <c r="AB19" s="2449"/>
      <c r="AC19" s="2449"/>
      <c r="AD19" s="2449"/>
      <c r="AE19" s="2449"/>
      <c r="AF19" s="2449"/>
      <c r="AG19" s="2449"/>
      <c r="AH19" s="2449"/>
      <c r="AI19" s="2449"/>
      <c r="AJ19" s="2449"/>
      <c r="AK19" s="2449"/>
      <c r="AL19" s="2449"/>
      <c r="AM19" s="2449"/>
      <c r="AN19" s="2449"/>
      <c r="AO19" s="2449"/>
      <c r="AP19" s="2449"/>
      <c r="AQ19" s="2449"/>
      <c r="AR19" s="2449"/>
    </row>
    <row r="20" spans="1:44" ht="14.25">
      <c r="A20" s="1597" t="s">
        <v>1212</v>
      </c>
      <c r="B20" s="98">
        <v>1</v>
      </c>
      <c r="C20" s="2562" t="s">
        <v>2298</v>
      </c>
      <c r="D20" s="2452"/>
      <c r="E20" s="2439"/>
      <c r="F20" s="2439"/>
      <c r="G20" s="2439"/>
      <c r="H20" s="2439"/>
      <c r="I20" s="2439"/>
      <c r="J20" s="2439"/>
      <c r="K20" s="2450"/>
      <c r="L20" s="2450"/>
      <c r="M20" s="2449"/>
      <c r="N20" s="2449"/>
      <c r="O20" s="2449"/>
      <c r="P20" s="2449"/>
      <c r="Q20" s="2449"/>
      <c r="R20" s="2449"/>
      <c r="S20" s="2449"/>
      <c r="T20" s="2449"/>
      <c r="U20" s="2449"/>
      <c r="V20" s="2449"/>
      <c r="W20" s="2449"/>
      <c r="X20" s="2449"/>
      <c r="Y20" s="2449"/>
      <c r="Z20" s="2449"/>
      <c r="AA20" s="2449"/>
      <c r="AB20" s="2449"/>
      <c r="AC20" s="2449"/>
      <c r="AD20" s="2449"/>
      <c r="AE20" s="2449"/>
      <c r="AF20" s="2449"/>
      <c r="AG20" s="2449"/>
      <c r="AH20" s="2449"/>
      <c r="AI20" s="2449"/>
      <c r="AJ20" s="2449"/>
      <c r="AK20" s="2449"/>
      <c r="AL20" s="2449"/>
      <c r="AM20" s="2449"/>
      <c r="AN20" s="2449"/>
      <c r="AO20" s="2449"/>
      <c r="AP20" s="2449"/>
      <c r="AQ20" s="2449"/>
      <c r="AR20" s="2449"/>
    </row>
    <row r="21" spans="1:44" ht="14.25">
      <c r="A21" s="1598" t="s">
        <v>1213</v>
      </c>
      <c r="B21" s="98">
        <v>1</v>
      </c>
      <c r="C21" s="2439"/>
      <c r="D21" s="2452"/>
      <c r="E21" s="2439"/>
      <c r="F21" s="2439"/>
      <c r="G21" s="2439"/>
      <c r="H21" s="2439"/>
      <c r="I21" s="2439"/>
      <c r="J21" s="2439"/>
      <c r="K21" s="2450"/>
      <c r="L21" s="2450"/>
      <c r="M21" s="2449"/>
      <c r="N21" s="2449"/>
      <c r="O21" s="2449"/>
      <c r="P21" s="2449"/>
      <c r="Q21" s="2449"/>
      <c r="R21" s="2449"/>
      <c r="S21" s="2449"/>
      <c r="T21" s="2449"/>
      <c r="U21" s="2449"/>
      <c r="V21" s="2449"/>
      <c r="W21" s="2449"/>
      <c r="X21" s="2449"/>
      <c r="Y21" s="2449"/>
      <c r="Z21" s="2449"/>
      <c r="AA21" s="2449"/>
      <c r="AB21" s="2449"/>
      <c r="AC21" s="2449"/>
      <c r="AD21" s="2449"/>
      <c r="AE21" s="2449"/>
      <c r="AF21" s="2449"/>
      <c r="AG21" s="2449"/>
      <c r="AH21" s="2449"/>
      <c r="AI21" s="2449"/>
      <c r="AJ21" s="2449"/>
      <c r="AK21" s="2449"/>
      <c r="AL21" s="2449"/>
      <c r="AM21" s="2449"/>
      <c r="AN21" s="2449"/>
      <c r="AO21" s="2449"/>
      <c r="AP21" s="2449"/>
      <c r="AQ21" s="2449"/>
      <c r="AR21" s="2449"/>
    </row>
    <row r="22" spans="1:44" ht="14.25">
      <c r="A22" s="1597" t="s">
        <v>1214</v>
      </c>
      <c r="B22" s="99">
        <f>B19+B20</f>
        <v>1</v>
      </c>
      <c r="C22" s="2439"/>
      <c r="D22" s="2452"/>
      <c r="E22" s="2439"/>
      <c r="F22" s="2439"/>
      <c r="G22" s="2439"/>
      <c r="H22" s="2439"/>
      <c r="I22" s="2439"/>
      <c r="J22" s="2439"/>
      <c r="K22" s="2450"/>
      <c r="L22" s="2450"/>
      <c r="M22" s="2449"/>
      <c r="N22" s="2449"/>
      <c r="O22" s="2449"/>
      <c r="P22" s="2449"/>
      <c r="Q22" s="2449"/>
      <c r="R22" s="2449"/>
      <c r="S22" s="2449"/>
      <c r="T22" s="2449"/>
      <c r="U22" s="2449"/>
      <c r="V22" s="2449"/>
      <c r="W22" s="2449"/>
      <c r="X22" s="2449"/>
      <c r="Y22" s="2449"/>
      <c r="Z22" s="2449"/>
      <c r="AA22" s="2449"/>
      <c r="AB22" s="2449"/>
      <c r="AC22" s="2449"/>
      <c r="AD22" s="2449"/>
      <c r="AE22" s="2449"/>
      <c r="AF22" s="2449"/>
      <c r="AG22" s="2449"/>
      <c r="AH22" s="2449"/>
      <c r="AI22" s="2449"/>
      <c r="AJ22" s="2449"/>
      <c r="AK22" s="2449"/>
      <c r="AL22" s="2449"/>
      <c r="AM22" s="2449"/>
      <c r="AN22" s="2449"/>
      <c r="AO22" s="2449"/>
      <c r="AP22" s="2449"/>
      <c r="AQ22" s="2449"/>
      <c r="AR22" s="2449"/>
    </row>
    <row r="23" spans="1:44" ht="14.25">
      <c r="A23" s="1598" t="s">
        <v>1215</v>
      </c>
      <c r="B23" s="99">
        <f>B19+B21</f>
        <v>1</v>
      </c>
      <c r="C23" s="2439"/>
      <c r="D23" s="2452"/>
      <c r="E23" s="2439"/>
      <c r="F23" s="2439"/>
      <c r="G23" s="2439"/>
      <c r="H23" s="2439"/>
      <c r="I23" s="2439"/>
      <c r="J23" s="2439"/>
      <c r="K23" s="2450"/>
      <c r="L23" s="2450"/>
      <c r="M23" s="2449"/>
      <c r="N23" s="2449"/>
      <c r="O23" s="2449"/>
      <c r="P23" s="2449"/>
      <c r="Q23" s="2449"/>
      <c r="R23" s="2449"/>
      <c r="S23" s="2449"/>
      <c r="T23" s="2449"/>
      <c r="U23" s="2449"/>
      <c r="V23" s="2449"/>
      <c r="W23" s="2449"/>
      <c r="X23" s="2449"/>
      <c r="Y23" s="2449"/>
      <c r="Z23" s="2449"/>
      <c r="AA23" s="2449"/>
      <c r="AB23" s="2449"/>
      <c r="AC23" s="2449"/>
      <c r="AD23" s="2449"/>
      <c r="AE23" s="2449"/>
      <c r="AF23" s="2449"/>
      <c r="AG23" s="2449"/>
      <c r="AH23" s="2449"/>
      <c r="AI23" s="2449"/>
      <c r="AJ23" s="2449"/>
      <c r="AK23" s="2449"/>
      <c r="AL23" s="2449"/>
      <c r="AM23" s="2449"/>
      <c r="AN23" s="2449"/>
      <c r="AO23" s="2449"/>
      <c r="AP23" s="2449"/>
      <c r="AQ23" s="2449"/>
      <c r="AR23" s="2449"/>
    </row>
    <row r="24" spans="1:44" ht="15" thickBot="1">
      <c r="A24" s="1599" t="s">
        <v>1216</v>
      </c>
      <c r="B24" s="100">
        <f>B20-B21</f>
        <v>0</v>
      </c>
      <c r="C24" s="2439"/>
      <c r="D24" s="2452"/>
      <c r="E24" s="2439"/>
      <c r="F24" s="2439"/>
      <c r="G24" s="2439"/>
      <c r="H24" s="2439"/>
      <c r="I24" s="2439"/>
      <c r="J24" s="2439"/>
      <c r="K24" s="2450"/>
      <c r="L24" s="2450"/>
      <c r="M24" s="2449"/>
      <c r="N24" s="2449"/>
      <c r="O24" s="2449"/>
      <c r="P24" s="2449"/>
      <c r="Q24" s="2449"/>
      <c r="R24" s="2449"/>
      <c r="S24" s="2449"/>
      <c r="T24" s="2449"/>
      <c r="U24" s="2449"/>
      <c r="V24" s="2449"/>
      <c r="W24" s="2449"/>
      <c r="X24" s="2449"/>
      <c r="Y24" s="2449"/>
      <c r="Z24" s="2449"/>
      <c r="AA24" s="2449"/>
      <c r="AB24" s="2449"/>
      <c r="AC24" s="2449"/>
      <c r="AD24" s="2449"/>
      <c r="AE24" s="2449"/>
      <c r="AF24" s="2449"/>
      <c r="AG24" s="2449"/>
      <c r="AH24" s="2449"/>
      <c r="AI24" s="2449"/>
      <c r="AJ24" s="2449"/>
      <c r="AK24" s="2449"/>
      <c r="AL24" s="2449"/>
      <c r="AM24" s="2449"/>
      <c r="AN24" s="2449"/>
      <c r="AO24" s="2449"/>
      <c r="AP24" s="2449"/>
      <c r="AQ24" s="2449"/>
      <c r="AR24" s="2449"/>
    </row>
    <row r="25" spans="1:44" ht="15" thickBot="1">
      <c r="A25" s="1449"/>
      <c r="B25" s="1542"/>
      <c r="C25" s="2439"/>
      <c r="D25" s="2452"/>
      <c r="E25" s="2439"/>
      <c r="F25" s="2439"/>
      <c r="G25" s="2439"/>
      <c r="H25" s="2439"/>
      <c r="I25" s="2439"/>
      <c r="J25" s="2439"/>
      <c r="K25" s="2450"/>
      <c r="L25" s="2450"/>
      <c r="M25" s="2449"/>
      <c r="N25" s="2449"/>
      <c r="O25" s="2449"/>
      <c r="P25" s="2449"/>
      <c r="Q25" s="2449"/>
      <c r="R25" s="2449"/>
      <c r="S25" s="2449"/>
      <c r="T25" s="2449"/>
      <c r="U25" s="2449"/>
      <c r="V25" s="2449"/>
      <c r="W25" s="2449"/>
      <c r="X25" s="2449"/>
      <c r="Y25" s="2449"/>
      <c r="Z25" s="2449"/>
      <c r="AA25" s="2449"/>
      <c r="AB25" s="2449"/>
      <c r="AC25" s="2449"/>
      <c r="AD25" s="2449"/>
      <c r="AE25" s="2449"/>
      <c r="AF25" s="2449"/>
      <c r="AG25" s="2449"/>
      <c r="AH25" s="2449"/>
      <c r="AI25" s="2449"/>
      <c r="AJ25" s="2449"/>
      <c r="AK25" s="2449"/>
      <c r="AL25" s="2449"/>
      <c r="AM25" s="2449"/>
      <c r="AN25" s="2449"/>
      <c r="AO25" s="2449"/>
      <c r="AP25" s="2449"/>
      <c r="AQ25" s="2449"/>
      <c r="AR25" s="2449"/>
    </row>
    <row r="26" spans="1:44" ht="15" thickBot="1">
      <c r="A26" s="1562" t="s">
        <v>1217</v>
      </c>
      <c r="B26" s="1600" t="s">
        <v>1218</v>
      </c>
      <c r="C26" s="2453" t="s">
        <v>1219</v>
      </c>
      <c r="D26" s="2452"/>
      <c r="E26" s="2439"/>
      <c r="F26" s="2439"/>
      <c r="G26" s="2439"/>
      <c r="H26" s="2439"/>
      <c r="I26" s="2439"/>
      <c r="J26" s="2439"/>
      <c r="K26" s="2450"/>
      <c r="L26" s="2450"/>
      <c r="M26" s="2449"/>
      <c r="N26" s="2449"/>
      <c r="O26" s="2449"/>
      <c r="P26" s="2449"/>
      <c r="Q26" s="2449"/>
      <c r="R26" s="2449"/>
      <c r="S26" s="2449"/>
      <c r="T26" s="2449"/>
      <c r="U26" s="2449"/>
      <c r="V26" s="2449"/>
      <c r="W26" s="2449"/>
      <c r="X26" s="2449"/>
      <c r="Y26" s="2449"/>
      <c r="Z26" s="2449"/>
      <c r="AA26" s="2449"/>
      <c r="AB26" s="2449"/>
      <c r="AC26" s="2449"/>
      <c r="AD26" s="2449"/>
      <c r="AE26" s="2449"/>
      <c r="AF26" s="2449"/>
      <c r="AG26" s="2449"/>
      <c r="AH26" s="2449"/>
      <c r="AI26" s="2449"/>
      <c r="AJ26" s="2449"/>
      <c r="AK26" s="2449"/>
      <c r="AL26" s="2449"/>
      <c r="AM26" s="2449"/>
      <c r="AN26" s="2449"/>
      <c r="AO26" s="2449"/>
      <c r="AP26" s="2449"/>
      <c r="AQ26" s="2449"/>
      <c r="AR26" s="2449"/>
    </row>
    <row r="27" spans="1:44" ht="27.75">
      <c r="A27" s="1601" t="s">
        <v>1220</v>
      </c>
      <c r="B27" s="101">
        <v>143</v>
      </c>
      <c r="C27" s="2563" t="s">
        <v>2302</v>
      </c>
      <c r="D27" s="2455"/>
      <c r="E27" s="2440"/>
      <c r="F27" s="2440"/>
      <c r="G27" s="2439"/>
      <c r="H27" s="2439"/>
      <c r="I27" s="2439"/>
      <c r="J27" s="2439"/>
      <c r="K27" s="2450"/>
      <c r="L27" s="2450"/>
      <c r="M27" s="2449"/>
      <c r="N27" s="2449"/>
      <c r="O27" s="2449"/>
      <c r="P27" s="2449"/>
      <c r="Q27" s="2449"/>
      <c r="R27" s="2449"/>
      <c r="S27" s="2449"/>
      <c r="T27" s="2449"/>
      <c r="U27" s="2449"/>
      <c r="V27" s="2449"/>
      <c r="W27" s="2449"/>
      <c r="X27" s="2449"/>
      <c r="Y27" s="2449"/>
      <c r="Z27" s="2449"/>
      <c r="AA27" s="2449"/>
      <c r="AB27" s="2449"/>
      <c r="AC27" s="2449"/>
      <c r="AD27" s="2449"/>
      <c r="AE27" s="2449"/>
      <c r="AF27" s="2449"/>
      <c r="AG27" s="2449"/>
      <c r="AH27" s="2449"/>
      <c r="AI27" s="2449"/>
      <c r="AJ27" s="2449"/>
      <c r="AK27" s="2449"/>
      <c r="AL27" s="2449"/>
      <c r="AM27" s="2449"/>
      <c r="AN27" s="2449"/>
      <c r="AO27" s="2449"/>
      <c r="AP27" s="2449"/>
      <c r="AQ27" s="2449"/>
      <c r="AR27" s="2449"/>
    </row>
    <row r="28" spans="1:44" ht="27.75">
      <c r="A28" s="1602" t="s">
        <v>1221</v>
      </c>
      <c r="B28" s="103"/>
      <c r="C28" s="2456"/>
      <c r="D28" s="2455"/>
      <c r="E28" s="2440"/>
      <c r="F28" s="2440"/>
      <c r="G28" s="2439"/>
      <c r="H28" s="2439"/>
      <c r="I28" s="2439"/>
      <c r="J28" s="2439"/>
      <c r="K28" s="2450"/>
      <c r="L28" s="2450"/>
      <c r="M28" s="2449"/>
      <c r="N28" s="2449"/>
      <c r="O28" s="2449"/>
      <c r="P28" s="2449"/>
      <c r="Q28" s="2449"/>
      <c r="R28" s="2449"/>
      <c r="S28" s="2449"/>
      <c r="T28" s="2449"/>
      <c r="U28" s="2449"/>
      <c r="V28" s="2449"/>
      <c r="W28" s="2449"/>
      <c r="X28" s="2449"/>
      <c r="Y28" s="2449"/>
      <c r="Z28" s="2449"/>
      <c r="AA28" s="2449"/>
      <c r="AB28" s="2449"/>
      <c r="AC28" s="2449"/>
      <c r="AD28" s="2449"/>
      <c r="AE28" s="2449"/>
      <c r="AF28" s="2449"/>
      <c r="AG28" s="2449"/>
      <c r="AH28" s="2449"/>
      <c r="AI28" s="2449"/>
      <c r="AJ28" s="2449"/>
      <c r="AK28" s="2449"/>
      <c r="AL28" s="2449"/>
      <c r="AM28" s="2449"/>
      <c r="AN28" s="2449"/>
      <c r="AO28" s="2449"/>
      <c r="AP28" s="2449"/>
      <c r="AQ28" s="2449"/>
      <c r="AR28" s="2449"/>
    </row>
    <row r="29" spans="1:44" ht="28.5" thickBot="1">
      <c r="A29" s="1603" t="s">
        <v>1222</v>
      </c>
      <c r="B29" s="105">
        <f ca="1">'成本法 (元)-地上'!C8</f>
        <v>27752</v>
      </c>
      <c r="C29" s="2564" t="s">
        <v>2292</v>
      </c>
      <c r="D29" s="2455"/>
      <c r="E29" s="2440"/>
      <c r="F29" s="2440"/>
      <c r="G29" s="2439"/>
      <c r="H29" s="2439"/>
      <c r="I29" s="2439"/>
      <c r="J29" s="2439"/>
      <c r="K29" s="2450"/>
      <c r="L29" s="2450"/>
      <c r="M29" s="2449"/>
      <c r="N29" s="2449"/>
      <c r="O29" s="2449"/>
      <c r="P29" s="2449"/>
      <c r="Q29" s="2449"/>
      <c r="R29" s="2449"/>
      <c r="S29" s="2449"/>
      <c r="T29" s="2449"/>
      <c r="U29" s="2449"/>
      <c r="V29" s="2449"/>
      <c r="W29" s="2449"/>
      <c r="X29" s="2449"/>
      <c r="Y29" s="2449"/>
      <c r="Z29" s="2449"/>
      <c r="AA29" s="2449"/>
      <c r="AB29" s="2449"/>
      <c r="AC29" s="2449"/>
      <c r="AD29" s="2449"/>
      <c r="AE29" s="2449"/>
      <c r="AF29" s="2449"/>
      <c r="AG29" s="2449"/>
      <c r="AH29" s="2449"/>
      <c r="AI29" s="2449"/>
      <c r="AJ29" s="2449"/>
      <c r="AK29" s="2449"/>
      <c r="AL29" s="2449"/>
      <c r="AM29" s="2449"/>
      <c r="AN29" s="2449"/>
      <c r="AO29" s="2449"/>
      <c r="AP29" s="2449"/>
      <c r="AQ29" s="2449"/>
      <c r="AR29" s="2449"/>
    </row>
    <row r="30" spans="1:44" ht="27">
      <c r="A30" s="1604" t="s">
        <v>1223</v>
      </c>
      <c r="B30" s="638">
        <v>280</v>
      </c>
      <c r="C30" s="2456"/>
      <c r="D30" s="2455"/>
      <c r="E30" s="2440"/>
      <c r="F30" s="2440"/>
      <c r="G30" s="2439"/>
      <c r="H30" s="2439"/>
      <c r="I30" s="2439"/>
      <c r="J30" s="2439"/>
      <c r="K30" s="2450"/>
      <c r="L30" s="2450"/>
      <c r="M30" s="2449"/>
      <c r="N30" s="2449"/>
      <c r="O30" s="2449"/>
      <c r="P30" s="2449"/>
      <c r="Q30" s="2449"/>
      <c r="R30" s="2449"/>
      <c r="S30" s="2449"/>
      <c r="T30" s="2449"/>
      <c r="U30" s="2449"/>
      <c r="V30" s="2449"/>
      <c r="W30" s="2449"/>
      <c r="X30" s="2449"/>
      <c r="Y30" s="2449"/>
      <c r="Z30" s="2449"/>
      <c r="AA30" s="2449"/>
      <c r="AB30" s="2449"/>
      <c r="AC30" s="2449"/>
      <c r="AD30" s="2449"/>
      <c r="AE30" s="2449"/>
      <c r="AF30" s="2449"/>
      <c r="AG30" s="2449"/>
      <c r="AH30" s="2449"/>
      <c r="AI30" s="2449"/>
      <c r="AJ30" s="2449"/>
      <c r="AK30" s="2449"/>
      <c r="AL30" s="2449"/>
      <c r="AM30" s="2449"/>
      <c r="AN30" s="2449"/>
      <c r="AO30" s="2449"/>
      <c r="AP30" s="2449"/>
      <c r="AQ30" s="2449"/>
      <c r="AR30" s="2449"/>
    </row>
    <row r="31" spans="1:44" ht="27">
      <c r="A31" s="1602" t="s">
        <v>1224</v>
      </c>
      <c r="B31" s="104">
        <f>B30-B32</f>
        <v>280</v>
      </c>
      <c r="C31" s="2454"/>
      <c r="D31" s="2455"/>
      <c r="E31" s="2440"/>
      <c r="F31" s="2440"/>
      <c r="G31" s="2439"/>
      <c r="H31" s="2439"/>
      <c r="I31" s="2439"/>
      <c r="J31" s="2439"/>
      <c r="K31" s="2450"/>
      <c r="L31" s="2450"/>
      <c r="M31" s="2449"/>
      <c r="N31" s="2449"/>
      <c r="O31" s="2449"/>
      <c r="P31" s="2449"/>
      <c r="Q31" s="2449"/>
      <c r="R31" s="2449"/>
      <c r="S31" s="2449"/>
      <c r="T31" s="2449"/>
      <c r="U31" s="2449"/>
      <c r="V31" s="2449"/>
      <c r="W31" s="2449"/>
      <c r="X31" s="2449"/>
      <c r="Y31" s="2449"/>
      <c r="Z31" s="2449"/>
      <c r="AA31" s="2449"/>
      <c r="AB31" s="2449"/>
      <c r="AC31" s="2449"/>
      <c r="AD31" s="2449"/>
      <c r="AE31" s="2449"/>
      <c r="AF31" s="2449"/>
      <c r="AG31" s="2449"/>
      <c r="AH31" s="2449"/>
      <c r="AI31" s="2449"/>
      <c r="AJ31" s="2449"/>
      <c r="AK31" s="2449"/>
      <c r="AL31" s="2449"/>
      <c r="AM31" s="2449"/>
      <c r="AN31" s="2449"/>
      <c r="AO31" s="2449"/>
      <c r="AP31" s="2449"/>
      <c r="AQ31" s="2449"/>
      <c r="AR31" s="2449"/>
    </row>
    <row r="32" spans="1:44" ht="27.75" thickBot="1">
      <c r="A32" s="1605" t="s">
        <v>1225</v>
      </c>
      <c r="B32" s="639">
        <v>0</v>
      </c>
      <c r="C32" s="2456"/>
      <c r="D32" s="2452"/>
      <c r="E32" s="2439"/>
      <c r="F32" s="2439"/>
      <c r="G32" s="2439"/>
      <c r="H32" s="2439"/>
      <c r="I32" s="2439"/>
      <c r="J32" s="2439"/>
      <c r="K32" s="2450"/>
      <c r="L32" s="2450"/>
      <c r="M32" s="2449"/>
      <c r="N32" s="2449"/>
      <c r="O32" s="2449"/>
      <c r="P32" s="2449"/>
      <c r="Q32" s="2449"/>
      <c r="R32" s="2449"/>
      <c r="S32" s="2449"/>
      <c r="T32" s="2449"/>
      <c r="U32" s="2449"/>
      <c r="V32" s="2449"/>
      <c r="W32" s="2449"/>
      <c r="X32" s="2449"/>
      <c r="Y32" s="2449"/>
      <c r="Z32" s="2449"/>
      <c r="AA32" s="2449"/>
      <c r="AB32" s="2449"/>
      <c r="AC32" s="2449"/>
      <c r="AD32" s="2449"/>
      <c r="AE32" s="2449"/>
      <c r="AF32" s="2449"/>
      <c r="AG32" s="2449"/>
      <c r="AH32" s="2449"/>
      <c r="AI32" s="2449"/>
      <c r="AJ32" s="2449"/>
      <c r="AK32" s="2449"/>
      <c r="AL32" s="2449"/>
      <c r="AM32" s="2449"/>
      <c r="AN32" s="2449"/>
      <c r="AO32" s="2449"/>
      <c r="AP32" s="2449"/>
      <c r="AQ32" s="2449"/>
      <c r="AR32" s="2449"/>
    </row>
    <row r="33" spans="1:44" ht="14.25">
      <c r="A33" s="1601" t="s">
        <v>1226</v>
      </c>
      <c r="B33" s="640">
        <v>0.05</v>
      </c>
      <c r="C33" s="2565" t="s">
        <v>3381</v>
      </c>
      <c r="D33" s="2452"/>
      <c r="E33" s="2439"/>
      <c r="F33" s="2439"/>
      <c r="G33" s="2439"/>
      <c r="H33" s="2439"/>
      <c r="I33" s="2439"/>
      <c r="J33" s="2439"/>
      <c r="K33" s="2450"/>
      <c r="L33" s="2450"/>
      <c r="M33" s="2449"/>
      <c r="N33" s="2449"/>
      <c r="O33" s="2449"/>
      <c r="P33" s="2449"/>
      <c r="Q33" s="2449"/>
      <c r="R33" s="2449"/>
      <c r="S33" s="2449"/>
      <c r="T33" s="2449"/>
      <c r="U33" s="2449"/>
      <c r="V33" s="2449"/>
      <c r="W33" s="2449"/>
      <c r="X33" s="2449"/>
      <c r="Y33" s="2449"/>
      <c r="Z33" s="2449"/>
      <c r="AA33" s="2449"/>
      <c r="AB33" s="2449"/>
      <c r="AC33" s="2449"/>
      <c r="AD33" s="2449"/>
      <c r="AE33" s="2449"/>
      <c r="AF33" s="2449"/>
      <c r="AG33" s="2449"/>
      <c r="AH33" s="2449"/>
      <c r="AI33" s="2449"/>
      <c r="AJ33" s="2449"/>
      <c r="AK33" s="2449"/>
      <c r="AL33" s="2449"/>
      <c r="AM33" s="2449"/>
      <c r="AN33" s="2449"/>
      <c r="AO33" s="2449"/>
      <c r="AP33" s="2449"/>
      <c r="AQ33" s="2449"/>
      <c r="AR33" s="2449"/>
    </row>
    <row r="34" spans="1:44" ht="14.25">
      <c r="A34" s="1602" t="s">
        <v>1227</v>
      </c>
      <c r="B34" s="106">
        <v>0.05</v>
      </c>
      <c r="C34" s="2565" t="s">
        <v>2293</v>
      </c>
      <c r="D34" s="2460" t="s">
        <v>2299</v>
      </c>
      <c r="E34" s="2458"/>
      <c r="F34" s="2439"/>
      <c r="G34" s="2439"/>
      <c r="H34" s="2439"/>
      <c r="I34" s="2439"/>
      <c r="J34" s="2439"/>
      <c r="K34" s="2450"/>
      <c r="L34" s="2450"/>
      <c r="M34" s="2449"/>
      <c r="N34" s="2449"/>
      <c r="O34" s="2449"/>
      <c r="P34" s="2449"/>
      <c r="Q34" s="2449"/>
      <c r="R34" s="2449"/>
      <c r="S34" s="2449"/>
      <c r="T34" s="2449"/>
      <c r="U34" s="2449"/>
      <c r="V34" s="2449"/>
      <c r="W34" s="2449"/>
      <c r="X34" s="2449"/>
      <c r="Y34" s="2449"/>
      <c r="Z34" s="2449"/>
      <c r="AA34" s="2449"/>
      <c r="AB34" s="2449"/>
      <c r="AC34" s="2449"/>
      <c r="AD34" s="2449"/>
      <c r="AE34" s="2449"/>
      <c r="AF34" s="2449"/>
      <c r="AG34" s="2449"/>
      <c r="AH34" s="2449"/>
      <c r="AI34" s="2449"/>
      <c r="AJ34" s="2449"/>
      <c r="AK34" s="2449"/>
      <c r="AL34" s="2449"/>
      <c r="AM34" s="2449"/>
      <c r="AN34" s="2449"/>
      <c r="AO34" s="2449"/>
      <c r="AP34" s="2449"/>
      <c r="AQ34" s="2449"/>
      <c r="AR34" s="2449"/>
    </row>
    <row r="35" spans="1:44" ht="14.25">
      <c r="A35" s="1602" t="s">
        <v>1228</v>
      </c>
      <c r="B35" s="103">
        <v>200</v>
      </c>
      <c r="C35" s="2565" t="s">
        <v>2294</v>
      </c>
      <c r="D35" s="2455"/>
      <c r="E35" s="2440"/>
      <c r="F35" s="2440"/>
      <c r="G35" s="2439"/>
      <c r="H35" s="2439"/>
      <c r="I35" s="2439"/>
      <c r="J35" s="2439"/>
      <c r="K35" s="2450"/>
      <c r="L35" s="2450"/>
      <c r="M35" s="2449"/>
      <c r="N35" s="2449"/>
      <c r="O35" s="2449"/>
      <c r="P35" s="2449"/>
      <c r="Q35" s="2449"/>
      <c r="R35" s="2449"/>
      <c r="S35" s="2449"/>
      <c r="T35" s="2449"/>
      <c r="U35" s="2449"/>
      <c r="V35" s="2449"/>
      <c r="W35" s="2449"/>
      <c r="X35" s="2449"/>
      <c r="Y35" s="2449"/>
      <c r="Z35" s="2449"/>
      <c r="AA35" s="2449"/>
      <c r="AB35" s="2449"/>
      <c r="AC35" s="2449"/>
      <c r="AD35" s="2449"/>
      <c r="AE35" s="2449"/>
      <c r="AF35" s="2449"/>
      <c r="AG35" s="2449"/>
      <c r="AH35" s="2449"/>
      <c r="AI35" s="2449"/>
      <c r="AJ35" s="2449"/>
      <c r="AK35" s="2449"/>
      <c r="AL35" s="2449"/>
      <c r="AM35" s="2449"/>
      <c r="AN35" s="2449"/>
      <c r="AO35" s="2449"/>
      <c r="AP35" s="2449"/>
      <c r="AQ35" s="2449"/>
      <c r="AR35" s="2449"/>
    </row>
    <row r="36" spans="1:44" ht="15" thickBot="1">
      <c r="A36" s="1603" t="s">
        <v>1229</v>
      </c>
      <c r="B36" s="107">
        <v>0.02</v>
      </c>
      <c r="C36" s="2565" t="s">
        <v>3399</v>
      </c>
      <c r="D36" s="2452"/>
      <c r="E36" s="2439"/>
      <c r="F36" s="2439"/>
      <c r="G36" s="2439"/>
      <c r="H36" s="2439"/>
      <c r="I36" s="2439"/>
      <c r="J36" s="2439"/>
      <c r="K36" s="2450"/>
      <c r="L36" s="2450"/>
      <c r="M36" s="2449"/>
      <c r="N36" s="2449"/>
      <c r="O36" s="2449"/>
      <c r="P36" s="2449"/>
      <c r="Q36" s="2449"/>
      <c r="R36" s="2449"/>
      <c r="S36" s="2449"/>
      <c r="T36" s="2449"/>
      <c r="U36" s="2449"/>
      <c r="V36" s="2449"/>
      <c r="W36" s="2449"/>
      <c r="X36" s="2449"/>
      <c r="Y36" s="2449"/>
      <c r="Z36" s="2449"/>
      <c r="AA36" s="2449"/>
      <c r="AB36" s="2449"/>
      <c r="AC36" s="2449"/>
      <c r="AD36" s="2449"/>
      <c r="AE36" s="2449"/>
      <c r="AF36" s="2449"/>
      <c r="AG36" s="2449"/>
      <c r="AH36" s="2449"/>
      <c r="AI36" s="2449"/>
      <c r="AJ36" s="2449"/>
      <c r="AK36" s="2449"/>
      <c r="AL36" s="2449"/>
      <c r="AM36" s="2449"/>
      <c r="AN36" s="2449"/>
      <c r="AO36" s="2449"/>
      <c r="AP36" s="2449"/>
      <c r="AQ36" s="2449"/>
      <c r="AR36" s="2449"/>
    </row>
    <row r="37" spans="1:44" ht="14.25">
      <c r="A37" s="1604" t="s">
        <v>1230</v>
      </c>
      <c r="B37" s="108">
        <v>0.01</v>
      </c>
      <c r="C37" s="2565" t="s">
        <v>3382</v>
      </c>
      <c r="D37" s="2452"/>
      <c r="E37" s="2439"/>
      <c r="F37" s="2439"/>
      <c r="G37" s="2439"/>
      <c r="H37" s="2439"/>
      <c r="I37" s="2439"/>
      <c r="J37" s="2439"/>
      <c r="K37" s="2450"/>
      <c r="L37" s="2450"/>
      <c r="M37" s="2449"/>
      <c r="N37" s="2449"/>
      <c r="O37" s="2449"/>
      <c r="P37" s="2449"/>
      <c r="Q37" s="2449"/>
      <c r="R37" s="2449"/>
      <c r="S37" s="2449"/>
      <c r="T37" s="2449"/>
      <c r="U37" s="2449"/>
      <c r="V37" s="2449"/>
      <c r="W37" s="2449"/>
      <c r="X37" s="2449"/>
      <c r="Y37" s="2449"/>
      <c r="Z37" s="2449"/>
      <c r="AA37" s="2449"/>
      <c r="AB37" s="2449"/>
      <c r="AC37" s="2449"/>
      <c r="AD37" s="2449"/>
      <c r="AE37" s="2449"/>
      <c r="AF37" s="2449"/>
      <c r="AG37" s="2449"/>
      <c r="AH37" s="2449"/>
      <c r="AI37" s="2449"/>
      <c r="AJ37" s="2449"/>
      <c r="AK37" s="2449"/>
      <c r="AL37" s="2449"/>
      <c r="AM37" s="2449"/>
      <c r="AN37" s="2449"/>
      <c r="AO37" s="2449"/>
      <c r="AP37" s="2449"/>
      <c r="AQ37" s="2449"/>
      <c r="AR37" s="2449"/>
    </row>
    <row r="38" spans="1:44" ht="14.25">
      <c r="A38" s="1602" t="s">
        <v>1231</v>
      </c>
      <c r="B38" s="3735">
        <v>2.8000000000000001E-2</v>
      </c>
      <c r="C38" s="2565" t="s">
        <v>3383</v>
      </c>
      <c r="D38" s="2452"/>
      <c r="E38" s="2439"/>
      <c r="F38" s="2439"/>
      <c r="G38" s="2439"/>
      <c r="H38" s="2439"/>
      <c r="I38" s="2439"/>
      <c r="J38" s="2439"/>
      <c r="K38" s="2450"/>
      <c r="L38" s="2450"/>
      <c r="M38" s="2449"/>
      <c r="N38" s="2449"/>
      <c r="O38" s="2449"/>
      <c r="P38" s="2449"/>
      <c r="Q38" s="2449"/>
      <c r="R38" s="2449"/>
      <c r="S38" s="2449"/>
      <c r="T38" s="2449"/>
      <c r="U38" s="2449"/>
      <c r="V38" s="2449"/>
      <c r="W38" s="2449"/>
      <c r="X38" s="2449"/>
      <c r="Y38" s="2449"/>
      <c r="Z38" s="2449"/>
      <c r="AA38" s="2449"/>
      <c r="AB38" s="2449"/>
      <c r="AC38" s="2449"/>
      <c r="AD38" s="2449"/>
      <c r="AE38" s="2449"/>
      <c r="AF38" s="2449"/>
      <c r="AG38" s="2449"/>
      <c r="AH38" s="2449"/>
      <c r="AI38" s="2449"/>
      <c r="AJ38" s="2449"/>
      <c r="AK38" s="2449"/>
      <c r="AL38" s="2449"/>
      <c r="AM38" s="2449"/>
      <c r="AN38" s="2449"/>
      <c r="AO38" s="2449"/>
      <c r="AP38" s="2449"/>
      <c r="AQ38" s="2449"/>
      <c r="AR38" s="2449"/>
    </row>
    <row r="39" spans="1:44" ht="14.25">
      <c r="A39" s="1605" t="s">
        <v>1232</v>
      </c>
      <c r="B39" s="309">
        <f ca="1">存贷款利率!I1</f>
        <v>1.4999999999999999E-2</v>
      </c>
      <c r="C39" s="2457"/>
      <c r="D39" s="2452"/>
      <c r="E39" s="2439"/>
      <c r="F39" s="2439"/>
      <c r="G39" s="2439"/>
      <c r="H39" s="2439"/>
      <c r="I39" s="2439"/>
      <c r="J39" s="2439"/>
      <c r="K39" s="2450"/>
      <c r="L39" s="2450"/>
      <c r="M39" s="2449"/>
      <c r="N39" s="2449"/>
      <c r="O39" s="2449"/>
      <c r="P39" s="2449"/>
      <c r="Q39" s="2449"/>
      <c r="R39" s="2449"/>
      <c r="S39" s="2449"/>
      <c r="T39" s="2449"/>
      <c r="U39" s="2449"/>
      <c r="V39" s="2449"/>
      <c r="W39" s="2449"/>
      <c r="X39" s="2449"/>
      <c r="Y39" s="2449"/>
      <c r="Z39" s="2449"/>
      <c r="AA39" s="2449"/>
      <c r="AB39" s="2449"/>
      <c r="AC39" s="2449"/>
      <c r="AD39" s="2449"/>
      <c r="AE39" s="2449"/>
      <c r="AF39" s="2449"/>
      <c r="AG39" s="2449"/>
      <c r="AH39" s="2449"/>
      <c r="AI39" s="2449"/>
      <c r="AJ39" s="2449"/>
      <c r="AK39" s="2449"/>
      <c r="AL39" s="2449"/>
      <c r="AM39" s="2449"/>
      <c r="AN39" s="2449"/>
      <c r="AO39" s="2449"/>
      <c r="AP39" s="2449"/>
      <c r="AQ39" s="2449"/>
      <c r="AR39" s="2449"/>
    </row>
    <row r="40" spans="1:44" ht="15" thickBot="1">
      <c r="A40" s="2574" t="s">
        <v>2308</v>
      </c>
      <c r="B40" s="1015">
        <f ca="1">IF(A40="利息：取LPR",存贷款利率!G1,存贷款利率!G1+C40)</f>
        <v>0.03</v>
      </c>
      <c r="C40" s="2573">
        <v>5.0000000000000001E-3</v>
      </c>
      <c r="D40" s="2449"/>
      <c r="E40" s="2452"/>
      <c r="F40" s="2439"/>
      <c r="G40" s="2439"/>
      <c r="H40" s="2439"/>
      <c r="I40" s="2439"/>
      <c r="J40" s="2439"/>
      <c r="K40" s="2450"/>
      <c r="L40" s="2450"/>
      <c r="M40" s="2449"/>
      <c r="N40" s="2449"/>
      <c r="O40" s="2449"/>
      <c r="P40" s="2449"/>
      <c r="Q40" s="2449"/>
      <c r="R40" s="2449"/>
      <c r="S40" s="2449"/>
      <c r="T40" s="2449"/>
      <c r="U40" s="2449"/>
      <c r="V40" s="2449"/>
      <c r="W40" s="2449"/>
      <c r="X40" s="2449"/>
      <c r="Y40" s="2449"/>
      <c r="Z40" s="2449"/>
      <c r="AA40" s="2449"/>
      <c r="AB40" s="2449"/>
      <c r="AC40" s="2449"/>
      <c r="AD40" s="2449"/>
      <c r="AE40" s="2449"/>
      <c r="AF40" s="2449"/>
      <c r="AG40" s="2449"/>
      <c r="AH40" s="2449"/>
      <c r="AI40" s="2449"/>
      <c r="AJ40" s="2449"/>
      <c r="AK40" s="2449"/>
      <c r="AL40" s="2449"/>
      <c r="AM40" s="2449"/>
      <c r="AN40" s="2449"/>
      <c r="AO40" s="2449"/>
      <c r="AP40" s="2449"/>
      <c r="AQ40" s="2449"/>
      <c r="AR40" s="2449"/>
    </row>
    <row r="41" spans="1:44" ht="14.25">
      <c r="A41" s="1601" t="s">
        <v>1233</v>
      </c>
      <c r="B41" s="109">
        <f>B42+B43</f>
        <v>5.6000000000000001E-2</v>
      </c>
      <c r="C41" s="2454"/>
      <c r="D41" s="2449"/>
      <c r="E41" s="2452"/>
      <c r="F41" s="2439"/>
      <c r="G41" s="2439"/>
      <c r="H41" s="2439"/>
      <c r="I41" s="2439"/>
      <c r="J41" s="2439"/>
      <c r="K41" s="2450"/>
      <c r="L41" s="2450"/>
      <c r="M41" s="2449"/>
      <c r="N41" s="2449"/>
      <c r="O41" s="2449"/>
      <c r="P41" s="2449"/>
      <c r="Q41" s="2449"/>
      <c r="R41" s="2449"/>
      <c r="S41" s="2449"/>
      <c r="T41" s="2449"/>
      <c r="U41" s="2449"/>
      <c r="V41" s="2449"/>
      <c r="W41" s="2449"/>
      <c r="X41" s="2449"/>
      <c r="Y41" s="2449"/>
      <c r="Z41" s="2449"/>
      <c r="AA41" s="2449"/>
      <c r="AB41" s="2449"/>
      <c r="AC41" s="2449"/>
      <c r="AD41" s="2449"/>
      <c r="AE41" s="2449"/>
      <c r="AF41" s="2449"/>
      <c r="AG41" s="2449"/>
      <c r="AH41" s="2449"/>
      <c r="AI41" s="2449"/>
      <c r="AJ41" s="2449"/>
      <c r="AK41" s="2449"/>
      <c r="AL41" s="2449"/>
      <c r="AM41" s="2449"/>
      <c r="AN41" s="2449"/>
      <c r="AO41" s="2449"/>
      <c r="AP41" s="2449"/>
      <c r="AQ41" s="2449"/>
      <c r="AR41" s="2449"/>
    </row>
    <row r="42" spans="1:44" ht="14.25">
      <c r="A42" s="1606" t="s">
        <v>1234</v>
      </c>
      <c r="B42" s="110">
        <v>0.05</v>
      </c>
      <c r="C42" s="2459">
        <f>IF(B2&lt;DATE(2016,5,1),0,B42)</f>
        <v>0.05</v>
      </c>
      <c r="D42" s="2452"/>
      <c r="E42" s="2439"/>
      <c r="F42" s="2439"/>
      <c r="G42" s="2439"/>
      <c r="H42" s="2439"/>
      <c r="I42" s="2439"/>
      <c r="J42" s="2439"/>
      <c r="K42" s="2450"/>
      <c r="L42" s="2450"/>
      <c r="M42" s="2449"/>
      <c r="N42" s="2449"/>
      <c r="O42" s="2449"/>
      <c r="P42" s="2449"/>
      <c r="Q42" s="2449"/>
      <c r="R42" s="2449"/>
      <c r="S42" s="2449"/>
      <c r="T42" s="2449"/>
      <c r="U42" s="2449"/>
      <c r="V42" s="2449"/>
      <c r="W42" s="2449"/>
      <c r="X42" s="2449"/>
      <c r="Y42" s="2449"/>
      <c r="Z42" s="2449"/>
      <c r="AA42" s="2449"/>
      <c r="AB42" s="2449"/>
      <c r="AC42" s="2449"/>
      <c r="AD42" s="2449"/>
      <c r="AE42" s="2449"/>
      <c r="AF42" s="2449"/>
      <c r="AG42" s="2449"/>
      <c r="AH42" s="2449"/>
      <c r="AI42" s="2449"/>
      <c r="AJ42" s="2449"/>
      <c r="AK42" s="2449"/>
      <c r="AL42" s="2449"/>
      <c r="AM42" s="2449"/>
      <c r="AN42" s="2449"/>
      <c r="AO42" s="2449"/>
      <c r="AP42" s="2449"/>
      <c r="AQ42" s="2449"/>
      <c r="AR42" s="2449"/>
    </row>
    <row r="43" spans="1:44" ht="14.25">
      <c r="A43" s="1606" t="s">
        <v>1235</v>
      </c>
      <c r="B43" s="111">
        <f>B42*(B44+B45+B46)+B47</f>
        <v>6.000000000000001E-3</v>
      </c>
      <c r="C43" s="2454"/>
      <c r="D43" s="2452"/>
      <c r="E43" s="2439"/>
      <c r="F43" s="2439"/>
      <c r="G43" s="2439"/>
      <c r="H43" s="2439"/>
      <c r="I43" s="2439"/>
      <c r="J43" s="2439"/>
      <c r="K43" s="2450"/>
      <c r="L43" s="2450"/>
      <c r="M43" s="2449"/>
      <c r="N43" s="2449"/>
      <c r="O43" s="2449"/>
      <c r="P43" s="2449"/>
      <c r="Q43" s="2449"/>
      <c r="R43" s="2449"/>
      <c r="S43" s="2449"/>
      <c r="T43" s="2449"/>
      <c r="U43" s="2449"/>
      <c r="V43" s="2449"/>
      <c r="W43" s="2449"/>
      <c r="X43" s="2449"/>
      <c r="Y43" s="2449"/>
      <c r="Z43" s="2449"/>
      <c r="AA43" s="2449"/>
      <c r="AB43" s="2449"/>
      <c r="AC43" s="2449"/>
      <c r="AD43" s="2449"/>
      <c r="AE43" s="2449"/>
      <c r="AF43" s="2449"/>
      <c r="AG43" s="2449"/>
      <c r="AH43" s="2449"/>
      <c r="AI43" s="2449"/>
      <c r="AJ43" s="2449"/>
      <c r="AK43" s="2449"/>
      <c r="AL43" s="2449"/>
      <c r="AM43" s="2449"/>
      <c r="AN43" s="2449"/>
      <c r="AO43" s="2449"/>
      <c r="AP43" s="2449"/>
      <c r="AQ43" s="2449"/>
      <c r="AR43" s="2449"/>
    </row>
    <row r="44" spans="1:44" ht="14.25">
      <c r="A44" s="3267" t="s">
        <v>3713</v>
      </c>
      <c r="B44" s="112">
        <v>7.0000000000000007E-2</v>
      </c>
      <c r="C44" s="2565" t="s">
        <v>3384</v>
      </c>
      <c r="D44" s="2452"/>
      <c r="E44" s="2439"/>
      <c r="F44" s="2439"/>
      <c r="G44" s="2439"/>
      <c r="H44" s="2439"/>
      <c r="I44" s="2439"/>
      <c r="J44" s="2439"/>
      <c r="K44" s="2450"/>
      <c r="L44" s="2450"/>
      <c r="M44" s="2449"/>
      <c r="N44" s="2449"/>
      <c r="O44" s="2449"/>
      <c r="P44" s="2449"/>
      <c r="Q44" s="2449"/>
      <c r="R44" s="2449"/>
      <c r="S44" s="2449"/>
      <c r="T44" s="2449"/>
      <c r="U44" s="2449"/>
      <c r="V44" s="2449"/>
      <c r="W44" s="2449"/>
      <c r="X44" s="2449"/>
      <c r="Y44" s="2449"/>
      <c r="Z44" s="2449"/>
      <c r="AA44" s="2449"/>
      <c r="AB44" s="2449"/>
      <c r="AC44" s="2449"/>
      <c r="AD44" s="2449"/>
      <c r="AE44" s="2449"/>
      <c r="AF44" s="2449"/>
      <c r="AG44" s="2449"/>
      <c r="AH44" s="2449"/>
      <c r="AI44" s="2449"/>
      <c r="AJ44" s="2449"/>
      <c r="AK44" s="2449"/>
      <c r="AL44" s="2449"/>
      <c r="AM44" s="2449"/>
      <c r="AN44" s="2449"/>
      <c r="AO44" s="2449"/>
      <c r="AP44" s="2449"/>
      <c r="AQ44" s="2449"/>
      <c r="AR44" s="2449"/>
    </row>
    <row r="45" spans="1:44" ht="14.25">
      <c r="A45" s="3267" t="s">
        <v>3716</v>
      </c>
      <c r="B45" s="110">
        <v>0.03</v>
      </c>
      <c r="C45" s="2564" t="s">
        <v>2295</v>
      </c>
      <c r="D45" s="2452"/>
      <c r="E45" s="2439"/>
      <c r="F45" s="2439"/>
      <c r="G45" s="2439"/>
      <c r="H45" s="2439"/>
      <c r="I45" s="2439"/>
      <c r="J45" s="2439"/>
      <c r="K45" s="2450"/>
      <c r="L45" s="2450"/>
      <c r="M45" s="2449"/>
      <c r="N45" s="2449"/>
      <c r="O45" s="2449"/>
      <c r="P45" s="2449"/>
      <c r="Q45" s="2449"/>
      <c r="R45" s="2449"/>
      <c r="S45" s="2449"/>
      <c r="T45" s="2449"/>
      <c r="U45" s="2449"/>
      <c r="V45" s="2449"/>
      <c r="W45" s="2449"/>
      <c r="X45" s="2449"/>
      <c r="Y45" s="2449"/>
      <c r="Z45" s="2449"/>
      <c r="AA45" s="2449"/>
      <c r="AB45" s="2449"/>
      <c r="AC45" s="2449"/>
      <c r="AD45" s="2449"/>
      <c r="AE45" s="2449"/>
      <c r="AF45" s="2449"/>
      <c r="AG45" s="2449"/>
      <c r="AH45" s="2449"/>
      <c r="AI45" s="2449"/>
      <c r="AJ45" s="2449"/>
      <c r="AK45" s="2449"/>
      <c r="AL45" s="2449"/>
      <c r="AM45" s="2449"/>
      <c r="AN45" s="2449"/>
      <c r="AO45" s="2449"/>
      <c r="AP45" s="2449"/>
      <c r="AQ45" s="2449"/>
      <c r="AR45" s="2449"/>
    </row>
    <row r="46" spans="1:44" ht="14.25">
      <c r="A46" s="1607" t="s">
        <v>1236</v>
      </c>
      <c r="B46" s="110">
        <v>0.02</v>
      </c>
      <c r="C46" s="2564" t="s">
        <v>2296</v>
      </c>
      <c r="D46" s="2452"/>
      <c r="E46" s="2439"/>
      <c r="F46" s="2439"/>
      <c r="G46" s="2439"/>
      <c r="H46" s="2439"/>
      <c r="I46" s="2439"/>
      <c r="J46" s="2439"/>
      <c r="K46" s="2450"/>
      <c r="L46" s="2450"/>
      <c r="M46" s="2449"/>
      <c r="N46" s="2449"/>
      <c r="O46" s="2449"/>
      <c r="P46" s="2449"/>
      <c r="Q46" s="2449"/>
      <c r="R46" s="2449"/>
      <c r="S46" s="2449"/>
      <c r="T46" s="2449"/>
      <c r="U46" s="2449"/>
      <c r="V46" s="2449"/>
      <c r="W46" s="2449"/>
      <c r="X46" s="2449"/>
      <c r="Y46" s="2449"/>
      <c r="Z46" s="2449"/>
      <c r="AA46" s="2449"/>
      <c r="AB46" s="2449"/>
      <c r="AC46" s="2449"/>
      <c r="AD46" s="2449"/>
      <c r="AE46" s="2449"/>
      <c r="AF46" s="2449"/>
      <c r="AG46" s="2449"/>
      <c r="AH46" s="2449"/>
      <c r="AI46" s="2449"/>
      <c r="AJ46" s="2449"/>
      <c r="AK46" s="2449"/>
      <c r="AL46" s="2449"/>
      <c r="AM46" s="2449"/>
      <c r="AN46" s="2449"/>
      <c r="AO46" s="2449"/>
      <c r="AP46" s="2449"/>
      <c r="AQ46" s="2449"/>
      <c r="AR46" s="2449"/>
    </row>
    <row r="47" spans="1:44" ht="15" thickBot="1">
      <c r="A47" s="1608" t="s">
        <v>1237</v>
      </c>
      <c r="B47" s="113"/>
      <c r="C47" s="2567" t="s">
        <v>2303</v>
      </c>
      <c r="D47" s="2452"/>
      <c r="E47" s="2439"/>
      <c r="F47" s="2439"/>
      <c r="G47" s="2439"/>
      <c r="H47" s="2439"/>
      <c r="I47" s="2439"/>
      <c r="J47" s="2439"/>
      <c r="K47" s="2450"/>
      <c r="L47" s="2450"/>
      <c r="M47" s="2449"/>
      <c r="N47" s="2449"/>
      <c r="O47" s="2449"/>
      <c r="P47" s="2449"/>
      <c r="Q47" s="2449"/>
      <c r="R47" s="2449"/>
      <c r="S47" s="2449"/>
      <c r="T47" s="2449"/>
      <c r="U47" s="2449"/>
      <c r="V47" s="2449"/>
      <c r="W47" s="2449"/>
      <c r="X47" s="2449"/>
      <c r="Y47" s="2449"/>
      <c r="Z47" s="2449"/>
      <c r="AA47" s="2449"/>
      <c r="AB47" s="2449"/>
      <c r="AC47" s="2449"/>
      <c r="AD47" s="2449"/>
      <c r="AE47" s="2449"/>
      <c r="AF47" s="2449"/>
      <c r="AG47" s="2449"/>
      <c r="AH47" s="2449"/>
      <c r="AI47" s="2449"/>
      <c r="AJ47" s="2449"/>
      <c r="AK47" s="2449"/>
      <c r="AL47" s="2449"/>
      <c r="AM47" s="2449"/>
      <c r="AN47" s="2449"/>
      <c r="AO47" s="2449"/>
      <c r="AP47" s="2449"/>
      <c r="AQ47" s="2449"/>
      <c r="AR47" s="2449"/>
    </row>
    <row r="48" spans="1:44" ht="14.25">
      <c r="A48" s="1609" t="s">
        <v>1238</v>
      </c>
      <c r="B48" s="114">
        <v>0.03</v>
      </c>
      <c r="C48" s="2564" t="s">
        <v>2295</v>
      </c>
      <c r="D48" s="2452"/>
      <c r="E48" s="2439"/>
      <c r="F48" s="2439"/>
      <c r="G48" s="2439"/>
      <c r="H48" s="2439"/>
      <c r="I48" s="2439"/>
      <c r="J48" s="2439"/>
      <c r="K48" s="2450"/>
      <c r="L48" s="2450"/>
      <c r="M48" s="2449"/>
      <c r="N48" s="2449"/>
      <c r="O48" s="2449"/>
      <c r="P48" s="2449"/>
      <c r="Q48" s="2449"/>
      <c r="R48" s="2449"/>
      <c r="S48" s="2449"/>
      <c r="T48" s="2449"/>
      <c r="U48" s="2449"/>
      <c r="V48" s="2449"/>
      <c r="W48" s="2449"/>
      <c r="X48" s="2449"/>
      <c r="Y48" s="2449"/>
      <c r="Z48" s="2449"/>
      <c r="AA48" s="2449"/>
      <c r="AB48" s="2449"/>
      <c r="AC48" s="2449"/>
      <c r="AD48" s="2449"/>
      <c r="AE48" s="2449"/>
      <c r="AF48" s="2449"/>
      <c r="AG48" s="2449"/>
      <c r="AH48" s="2449"/>
      <c r="AI48" s="2449"/>
      <c r="AJ48" s="2449"/>
      <c r="AK48" s="2449"/>
      <c r="AL48" s="2449"/>
      <c r="AM48" s="2449"/>
      <c r="AN48" s="2449"/>
      <c r="AO48" s="2449"/>
      <c r="AP48" s="2449"/>
      <c r="AQ48" s="2449"/>
      <c r="AR48" s="2449"/>
    </row>
    <row r="49" spans="1:44" ht="15" thickBot="1">
      <c r="A49" s="1605" t="s">
        <v>1239</v>
      </c>
      <c r="B49" s="110">
        <v>5.0000000000000001E-4</v>
      </c>
      <c r="C49" s="2564" t="s">
        <v>2297</v>
      </c>
      <c r="D49" s="2452"/>
      <c r="E49" s="2439"/>
      <c r="F49" s="2439"/>
      <c r="G49" s="2439"/>
      <c r="H49" s="2439"/>
      <c r="I49" s="2439"/>
      <c r="J49" s="2439"/>
      <c r="K49" s="2450"/>
      <c r="L49" s="2450"/>
      <c r="M49" s="2449"/>
      <c r="N49" s="2449"/>
      <c r="O49" s="2449"/>
      <c r="P49" s="2449"/>
      <c r="Q49" s="2449"/>
      <c r="R49" s="2449"/>
      <c r="S49" s="2449"/>
      <c r="T49" s="2449"/>
      <c r="U49" s="2449"/>
      <c r="V49" s="2449"/>
      <c r="W49" s="2449"/>
      <c r="X49" s="2449"/>
      <c r="Y49" s="2449"/>
      <c r="Z49" s="2449"/>
      <c r="AA49" s="2449"/>
      <c r="AB49" s="2449"/>
      <c r="AC49" s="2449"/>
      <c r="AD49" s="2449"/>
      <c r="AE49" s="2449"/>
      <c r="AF49" s="2449"/>
      <c r="AG49" s="2449"/>
      <c r="AH49" s="2449"/>
      <c r="AI49" s="2449"/>
      <c r="AJ49" s="2449"/>
      <c r="AK49" s="2449"/>
      <c r="AL49" s="2449"/>
      <c r="AM49" s="2449"/>
      <c r="AN49" s="2449"/>
      <c r="AO49" s="2449"/>
      <c r="AP49" s="2449"/>
      <c r="AQ49" s="2449"/>
      <c r="AR49" s="2449"/>
    </row>
    <row r="50" spans="1:44" ht="14.25">
      <c r="A50" s="1610" t="s">
        <v>1240</v>
      </c>
      <c r="B50" s="115">
        <v>1.2E-2</v>
      </c>
      <c r="C50" s="2440"/>
      <c r="D50" s="2452"/>
      <c r="E50" s="2439"/>
      <c r="F50" s="2439"/>
      <c r="G50" s="2439"/>
      <c r="H50" s="2439"/>
      <c r="I50" s="2439"/>
      <c r="J50" s="2439"/>
      <c r="K50" s="2450"/>
      <c r="L50" s="2450"/>
      <c r="M50" s="2449"/>
      <c r="N50" s="2449"/>
      <c r="O50" s="2449"/>
      <c r="P50" s="2449"/>
      <c r="Q50" s="2449"/>
      <c r="R50" s="2449"/>
      <c r="S50" s="2449"/>
      <c r="T50" s="2449"/>
      <c r="U50" s="2449"/>
      <c r="V50" s="2449"/>
      <c r="W50" s="2449"/>
      <c r="X50" s="2449"/>
      <c r="Y50" s="2449"/>
      <c r="Z50" s="2449"/>
      <c r="AA50" s="2449"/>
      <c r="AB50" s="2449"/>
      <c r="AC50" s="2449"/>
      <c r="AD50" s="2449"/>
      <c r="AE50" s="2449"/>
      <c r="AF50" s="2449"/>
      <c r="AG50" s="2449"/>
      <c r="AH50" s="2449"/>
      <c r="AI50" s="2449"/>
      <c r="AJ50" s="2449"/>
      <c r="AK50" s="2449"/>
      <c r="AL50" s="2449"/>
      <c r="AM50" s="2449"/>
      <c r="AN50" s="2449"/>
      <c r="AO50" s="2449"/>
      <c r="AP50" s="2449"/>
      <c r="AQ50" s="2449"/>
      <c r="AR50" s="2449"/>
    </row>
    <row r="51" spans="1:44" ht="15" thickBot="1">
      <c r="A51" s="1603" t="s">
        <v>1241</v>
      </c>
      <c r="B51" s="116">
        <v>0.12</v>
      </c>
      <c r="C51" s="2440"/>
      <c r="D51" s="2452"/>
      <c r="E51" s="2439"/>
      <c r="F51" s="2439"/>
      <c r="G51" s="2439"/>
      <c r="H51" s="2439"/>
      <c r="I51" s="2439"/>
      <c r="J51" s="2439"/>
      <c r="K51" s="2450"/>
      <c r="L51" s="2450"/>
      <c r="M51" s="2449"/>
      <c r="N51" s="2449"/>
      <c r="O51" s="2449"/>
      <c r="P51" s="2449"/>
      <c r="Q51" s="2449"/>
      <c r="R51" s="2449"/>
      <c r="S51" s="2449"/>
      <c r="T51" s="2449"/>
      <c r="U51" s="2449"/>
      <c r="V51" s="2449"/>
      <c r="W51" s="2449"/>
      <c r="X51" s="2449"/>
      <c r="Y51" s="2449"/>
      <c r="Z51" s="2449"/>
      <c r="AA51" s="2449"/>
      <c r="AB51" s="2449"/>
      <c r="AC51" s="2449"/>
      <c r="AD51" s="2449"/>
      <c r="AE51" s="2449"/>
      <c r="AF51" s="2449"/>
      <c r="AG51" s="2449"/>
      <c r="AH51" s="2449"/>
      <c r="AI51" s="2449"/>
      <c r="AJ51" s="2449"/>
      <c r="AK51" s="2449"/>
      <c r="AL51" s="2449"/>
      <c r="AM51" s="2449"/>
      <c r="AN51" s="2449"/>
      <c r="AO51" s="2449"/>
      <c r="AP51" s="2449"/>
      <c r="AQ51" s="2449"/>
      <c r="AR51" s="2449"/>
    </row>
    <row r="52" spans="1:44" ht="14.25">
      <c r="A52" s="1610" t="s">
        <v>1242</v>
      </c>
      <c r="B52" s="117">
        <f>SUMIF(A54:A63,B53,B54:B63)</f>
        <v>4</v>
      </c>
      <c r="C52" s="2440"/>
      <c r="D52" s="2452"/>
      <c r="E52" s="2439"/>
      <c r="F52" s="2439"/>
      <c r="G52" s="2439"/>
      <c r="H52" s="2439"/>
      <c r="I52" s="2439"/>
      <c r="J52" s="2439"/>
      <c r="K52" s="2450"/>
      <c r="L52" s="2450"/>
      <c r="M52" s="2449"/>
      <c r="N52" s="2449"/>
      <c r="O52" s="2449"/>
      <c r="P52" s="2449"/>
      <c r="Q52" s="2449"/>
      <c r="R52" s="2449"/>
      <c r="S52" s="2449"/>
      <c r="T52" s="2449"/>
      <c r="U52" s="2449"/>
      <c r="V52" s="2449"/>
      <c r="W52" s="2449"/>
      <c r="X52" s="2449"/>
      <c r="Y52" s="2449"/>
      <c r="Z52" s="2449"/>
      <c r="AA52" s="2449"/>
      <c r="AB52" s="2449"/>
      <c r="AC52" s="2449"/>
      <c r="AD52" s="2449"/>
      <c r="AE52" s="2449"/>
      <c r="AF52" s="2449"/>
      <c r="AG52" s="2449"/>
      <c r="AH52" s="2449"/>
      <c r="AI52" s="2449"/>
      <c r="AJ52" s="2449"/>
      <c r="AK52" s="2449"/>
      <c r="AL52" s="2449"/>
      <c r="AM52" s="2449"/>
      <c r="AN52" s="2449"/>
      <c r="AO52" s="2449"/>
      <c r="AP52" s="2449"/>
      <c r="AQ52" s="2449"/>
      <c r="AR52" s="2449"/>
    </row>
    <row r="53" spans="1:44" ht="27">
      <c r="A53" s="1602" t="s">
        <v>1243</v>
      </c>
      <c r="B53" s="1611" t="s">
        <v>144</v>
      </c>
      <c r="C53" s="2440" t="s">
        <v>1244</v>
      </c>
      <c r="D53" s="2566" t="s">
        <v>2301</v>
      </c>
      <c r="E53" s="2439"/>
      <c r="F53" s="2439"/>
      <c r="G53" s="2439"/>
      <c r="H53" s="2439"/>
      <c r="I53" s="2439"/>
      <c r="J53" s="2439"/>
      <c r="K53" s="2450"/>
      <c r="L53" s="2450"/>
      <c r="M53" s="2449"/>
      <c r="N53" s="2449"/>
      <c r="O53" s="2449"/>
      <c r="P53" s="2449"/>
      <c r="Q53" s="2449"/>
      <c r="R53" s="2449"/>
      <c r="S53" s="2449"/>
      <c r="T53" s="2449"/>
      <c r="U53" s="2449"/>
      <c r="V53" s="2449"/>
      <c r="W53" s="2449"/>
      <c r="X53" s="2449"/>
      <c r="Y53" s="2449"/>
      <c r="Z53" s="2449"/>
      <c r="AA53" s="2449"/>
      <c r="AB53" s="2449"/>
      <c r="AC53" s="2449"/>
      <c r="AD53" s="2449"/>
      <c r="AE53" s="2449"/>
      <c r="AF53" s="2449"/>
      <c r="AG53" s="2449"/>
      <c r="AH53" s="2449"/>
      <c r="AI53" s="2449"/>
      <c r="AJ53" s="2449"/>
      <c r="AK53" s="2449"/>
      <c r="AL53" s="2449"/>
      <c r="AM53" s="2449"/>
      <c r="AN53" s="2449"/>
      <c r="AO53" s="2449"/>
      <c r="AP53" s="2449"/>
      <c r="AQ53" s="2449"/>
      <c r="AR53" s="2449"/>
    </row>
    <row r="54" spans="1:44" ht="14.25">
      <c r="A54" s="1612" t="s">
        <v>1245</v>
      </c>
      <c r="B54" s="72">
        <v>4</v>
      </c>
      <c r="C54" s="2440">
        <v>30</v>
      </c>
      <c r="D54" s="2452"/>
      <c r="E54" s="2439"/>
      <c r="F54" s="2439"/>
      <c r="G54" s="2439"/>
      <c r="H54" s="2439"/>
      <c r="I54" s="2439"/>
      <c r="J54" s="2439"/>
      <c r="K54" s="2450"/>
      <c r="L54" s="2450"/>
      <c r="M54" s="2449"/>
      <c r="N54" s="2449"/>
      <c r="O54" s="2449"/>
      <c r="P54" s="2449"/>
      <c r="Q54" s="2449"/>
      <c r="R54" s="2449"/>
      <c r="S54" s="2449"/>
      <c r="T54" s="2449"/>
      <c r="U54" s="2449"/>
      <c r="V54" s="2449"/>
      <c r="W54" s="2449"/>
      <c r="X54" s="2449"/>
      <c r="Y54" s="2449"/>
      <c r="Z54" s="2449"/>
      <c r="AA54" s="2449"/>
      <c r="AB54" s="2449"/>
      <c r="AC54" s="2449"/>
      <c r="AD54" s="2449"/>
      <c r="AE54" s="2449"/>
      <c r="AF54" s="2449"/>
      <c r="AG54" s="2449"/>
      <c r="AH54" s="2449"/>
      <c r="AI54" s="2449"/>
      <c r="AJ54" s="2449"/>
      <c r="AK54" s="2449"/>
      <c r="AL54" s="2449"/>
      <c r="AM54" s="2449"/>
      <c r="AN54" s="2449"/>
      <c r="AO54" s="2449"/>
      <c r="AP54" s="2449"/>
      <c r="AQ54" s="2449"/>
      <c r="AR54" s="2449"/>
    </row>
    <row r="55" spans="1:44" ht="14.25">
      <c r="A55" s="1612" t="s">
        <v>1246</v>
      </c>
      <c r="B55" s="72"/>
      <c r="C55" s="2440">
        <v>24</v>
      </c>
      <c r="D55" s="2452"/>
      <c r="E55" s="2439"/>
      <c r="F55" s="2439"/>
      <c r="G55" s="2439"/>
      <c r="H55" s="2439"/>
      <c r="I55" s="2439"/>
      <c r="J55" s="2439"/>
      <c r="K55" s="2450"/>
      <c r="L55" s="2450"/>
      <c r="M55" s="2449"/>
      <c r="N55" s="2449"/>
      <c r="O55" s="2449"/>
      <c r="P55" s="2449"/>
      <c r="Q55" s="2449"/>
      <c r="R55" s="2449"/>
      <c r="S55" s="2449"/>
      <c r="T55" s="2449"/>
      <c r="U55" s="2449"/>
      <c r="V55" s="2449"/>
      <c r="W55" s="2449"/>
      <c r="X55" s="2449"/>
      <c r="Y55" s="2449"/>
      <c r="Z55" s="2449"/>
      <c r="AA55" s="2449"/>
      <c r="AB55" s="2449"/>
      <c r="AC55" s="2449"/>
      <c r="AD55" s="2449"/>
      <c r="AE55" s="2449"/>
      <c r="AF55" s="2449"/>
      <c r="AG55" s="2449"/>
      <c r="AH55" s="2449"/>
      <c r="AI55" s="2449"/>
      <c r="AJ55" s="2449"/>
      <c r="AK55" s="2449"/>
      <c r="AL55" s="2449"/>
      <c r="AM55" s="2449"/>
      <c r="AN55" s="2449"/>
      <c r="AO55" s="2449"/>
      <c r="AP55" s="2449"/>
      <c r="AQ55" s="2449"/>
      <c r="AR55" s="2449"/>
    </row>
    <row r="56" spans="1:44" ht="14.25">
      <c r="A56" s="1612" t="s">
        <v>1247</v>
      </c>
      <c r="B56" s="72"/>
      <c r="C56" s="2440">
        <v>18</v>
      </c>
      <c r="D56" s="2452"/>
      <c r="E56" s="2439"/>
      <c r="F56" s="2439"/>
      <c r="G56" s="2439"/>
      <c r="H56" s="2439"/>
      <c r="I56" s="2439"/>
      <c r="J56" s="2439"/>
      <c r="K56" s="2450"/>
      <c r="L56" s="2450"/>
      <c r="M56" s="2449"/>
      <c r="N56" s="2449"/>
      <c r="O56" s="2449"/>
      <c r="P56" s="2449"/>
      <c r="Q56" s="2449"/>
      <c r="R56" s="2449"/>
      <c r="S56" s="2449"/>
      <c r="T56" s="2449"/>
      <c r="U56" s="2449"/>
      <c r="V56" s="2449"/>
      <c r="W56" s="2449"/>
      <c r="X56" s="2449"/>
      <c r="Y56" s="2449"/>
      <c r="Z56" s="2449"/>
      <c r="AA56" s="2449"/>
      <c r="AB56" s="2449"/>
      <c r="AC56" s="2449"/>
      <c r="AD56" s="2449"/>
      <c r="AE56" s="2449"/>
      <c r="AF56" s="2449"/>
      <c r="AG56" s="2449"/>
      <c r="AH56" s="2449"/>
      <c r="AI56" s="2449"/>
      <c r="AJ56" s="2449"/>
      <c r="AK56" s="2449"/>
      <c r="AL56" s="2449"/>
      <c r="AM56" s="2449"/>
      <c r="AN56" s="2449"/>
      <c r="AO56" s="2449"/>
      <c r="AP56" s="2449"/>
      <c r="AQ56" s="2449"/>
      <c r="AR56" s="2449"/>
    </row>
    <row r="57" spans="1:44" ht="14.25">
      <c r="A57" s="1612" t="s">
        <v>1248</v>
      </c>
      <c r="B57" s="72"/>
      <c r="C57" s="2440">
        <v>12</v>
      </c>
      <c r="D57" s="2452"/>
      <c r="E57" s="2439"/>
      <c r="F57" s="2439"/>
      <c r="G57" s="2439"/>
      <c r="H57" s="2439"/>
      <c r="I57" s="2439"/>
      <c r="J57" s="2439"/>
      <c r="K57" s="2450"/>
      <c r="L57" s="2450"/>
      <c r="M57" s="2449"/>
      <c r="N57" s="2449"/>
      <c r="O57" s="2449"/>
      <c r="P57" s="2449"/>
      <c r="Q57" s="2449"/>
      <c r="R57" s="2449"/>
      <c r="S57" s="2449"/>
      <c r="T57" s="2449"/>
      <c r="U57" s="2449"/>
      <c r="V57" s="2449"/>
      <c r="W57" s="2449"/>
      <c r="X57" s="2449"/>
      <c r="Y57" s="2449"/>
      <c r="Z57" s="2449"/>
      <c r="AA57" s="2449"/>
      <c r="AB57" s="2449"/>
      <c r="AC57" s="2449"/>
      <c r="AD57" s="2449"/>
      <c r="AE57" s="2449"/>
      <c r="AF57" s="2449"/>
      <c r="AG57" s="2449"/>
      <c r="AH57" s="2449"/>
      <c r="AI57" s="2449"/>
      <c r="AJ57" s="2449"/>
      <c r="AK57" s="2449"/>
      <c r="AL57" s="2449"/>
      <c r="AM57" s="2449"/>
      <c r="AN57" s="2449"/>
      <c r="AO57" s="2449"/>
      <c r="AP57" s="2449"/>
      <c r="AQ57" s="2449"/>
      <c r="AR57" s="2449"/>
    </row>
    <row r="58" spans="1:44" ht="14.25">
      <c r="A58" s="1612" t="s">
        <v>1249</v>
      </c>
      <c r="B58" s="72"/>
      <c r="C58" s="2440">
        <v>3</v>
      </c>
      <c r="D58" s="2452"/>
      <c r="E58" s="2439"/>
      <c r="F58" s="2439"/>
      <c r="G58" s="2439"/>
      <c r="H58" s="2439"/>
      <c r="I58" s="2439"/>
      <c r="J58" s="2439"/>
      <c r="K58" s="2450"/>
      <c r="L58" s="2450"/>
      <c r="M58" s="2449"/>
      <c r="N58" s="2449"/>
      <c r="O58" s="2449"/>
      <c r="P58" s="2449"/>
      <c r="Q58" s="2449"/>
      <c r="R58" s="2449"/>
      <c r="S58" s="2449"/>
      <c r="T58" s="2449"/>
      <c r="U58" s="2449"/>
      <c r="V58" s="2449"/>
      <c r="W58" s="2449"/>
      <c r="X58" s="2449"/>
      <c r="Y58" s="2449"/>
      <c r="Z58" s="2449"/>
      <c r="AA58" s="2449"/>
      <c r="AB58" s="2449"/>
      <c r="AC58" s="2449"/>
      <c r="AD58" s="2449"/>
      <c r="AE58" s="2449"/>
      <c r="AF58" s="2449"/>
      <c r="AG58" s="2449"/>
      <c r="AH58" s="2449"/>
      <c r="AI58" s="2449"/>
      <c r="AJ58" s="2449"/>
      <c r="AK58" s="2449"/>
      <c r="AL58" s="2449"/>
      <c r="AM58" s="2449"/>
      <c r="AN58" s="2449"/>
      <c r="AO58" s="2449"/>
      <c r="AP58" s="2449"/>
      <c r="AQ58" s="2449"/>
      <c r="AR58" s="2449"/>
    </row>
    <row r="59" spans="1:44" ht="14.25">
      <c r="A59" s="1612" t="s">
        <v>1250</v>
      </c>
      <c r="B59" s="72"/>
      <c r="C59" s="2440">
        <v>1.5</v>
      </c>
      <c r="D59" s="2452"/>
      <c r="E59" s="2439"/>
      <c r="F59" s="2439"/>
      <c r="G59" s="2439"/>
      <c r="H59" s="2439"/>
      <c r="I59" s="2439"/>
      <c r="J59" s="2439"/>
      <c r="K59" s="2450"/>
      <c r="L59" s="2450"/>
      <c r="M59" s="2449"/>
      <c r="N59" s="2449"/>
      <c r="O59" s="2449"/>
      <c r="P59" s="2449"/>
      <c r="Q59" s="2449"/>
      <c r="R59" s="2449"/>
      <c r="S59" s="2449"/>
      <c r="T59" s="2449"/>
      <c r="U59" s="2449"/>
      <c r="V59" s="2449"/>
      <c r="W59" s="2449"/>
      <c r="X59" s="2449"/>
      <c r="Y59" s="2449"/>
      <c r="Z59" s="2449"/>
      <c r="AA59" s="2449"/>
      <c r="AB59" s="2449"/>
      <c r="AC59" s="2449"/>
      <c r="AD59" s="2449"/>
      <c r="AE59" s="2449"/>
      <c r="AF59" s="2449"/>
      <c r="AG59" s="2449"/>
      <c r="AH59" s="2449"/>
      <c r="AI59" s="2449"/>
      <c r="AJ59" s="2449"/>
      <c r="AK59" s="2449"/>
      <c r="AL59" s="2449"/>
      <c r="AM59" s="2449"/>
      <c r="AN59" s="2449"/>
      <c r="AO59" s="2449"/>
      <c r="AP59" s="2449"/>
      <c r="AQ59" s="2449"/>
      <c r="AR59" s="2449"/>
    </row>
    <row r="60" spans="1:44" ht="14.25">
      <c r="A60" s="1612" t="s">
        <v>1251</v>
      </c>
      <c r="B60" s="72"/>
      <c r="C60" s="2439"/>
      <c r="D60" s="2452"/>
      <c r="E60" s="2439"/>
      <c r="F60" s="2439"/>
      <c r="G60" s="2439"/>
      <c r="H60" s="2439"/>
      <c r="I60" s="2439"/>
      <c r="J60" s="2439"/>
      <c r="K60" s="2450"/>
      <c r="L60" s="2450"/>
      <c r="M60" s="2449"/>
      <c r="N60" s="2449"/>
      <c r="O60" s="2449"/>
      <c r="P60" s="2449"/>
      <c r="Q60" s="2449"/>
      <c r="R60" s="2449"/>
      <c r="S60" s="2449"/>
      <c r="T60" s="2449"/>
      <c r="U60" s="2449"/>
      <c r="V60" s="2449"/>
      <c r="W60" s="2449"/>
      <c r="X60" s="2449"/>
      <c r="Y60" s="2449"/>
      <c r="Z60" s="2449"/>
      <c r="AA60" s="2449"/>
      <c r="AB60" s="2449"/>
      <c r="AC60" s="2449"/>
      <c r="AD60" s="2449"/>
      <c r="AE60" s="2449"/>
      <c r="AF60" s="2449"/>
      <c r="AG60" s="2449"/>
      <c r="AH60" s="2449"/>
      <c r="AI60" s="2449"/>
      <c r="AJ60" s="2449"/>
      <c r="AK60" s="2449"/>
      <c r="AL60" s="2449"/>
      <c r="AM60" s="2449"/>
      <c r="AN60" s="2449"/>
      <c r="AO60" s="2449"/>
      <c r="AP60" s="2449"/>
      <c r="AQ60" s="2449"/>
      <c r="AR60" s="2449"/>
    </row>
    <row r="61" spans="1:44" ht="14.25">
      <c r="A61" s="1612" t="s">
        <v>1252</v>
      </c>
      <c r="B61" s="72"/>
      <c r="C61" s="2439"/>
      <c r="D61" s="2452"/>
      <c r="E61" s="2439"/>
      <c r="F61" s="2439"/>
      <c r="G61" s="2439"/>
      <c r="H61" s="2439"/>
      <c r="I61" s="2439"/>
      <c r="J61" s="2439"/>
      <c r="K61" s="2450"/>
      <c r="L61" s="2450"/>
      <c r="M61" s="2449"/>
      <c r="N61" s="2449"/>
      <c r="O61" s="2449"/>
      <c r="P61" s="2449"/>
      <c r="Q61" s="2449"/>
      <c r="R61" s="2449"/>
      <c r="S61" s="2449"/>
      <c r="T61" s="2449"/>
      <c r="U61" s="2449"/>
      <c r="V61" s="2449"/>
      <c r="W61" s="2449"/>
      <c r="X61" s="2449"/>
      <c r="Y61" s="2449"/>
      <c r="Z61" s="2449"/>
      <c r="AA61" s="2449"/>
      <c r="AB61" s="2449"/>
      <c r="AC61" s="2449"/>
      <c r="AD61" s="2449"/>
      <c r="AE61" s="2449"/>
      <c r="AF61" s="2449"/>
      <c r="AG61" s="2449"/>
      <c r="AH61" s="2449"/>
      <c r="AI61" s="2449"/>
      <c r="AJ61" s="2449"/>
      <c r="AK61" s="2449"/>
      <c r="AL61" s="2449"/>
      <c r="AM61" s="2449"/>
      <c r="AN61" s="2449"/>
      <c r="AO61" s="2449"/>
      <c r="AP61" s="2449"/>
      <c r="AQ61" s="2449"/>
      <c r="AR61" s="2449"/>
    </row>
    <row r="62" spans="1:44" ht="14.25">
      <c r="A62" s="1612" t="s">
        <v>1253</v>
      </c>
      <c r="B62" s="72"/>
      <c r="C62" s="2439"/>
      <c r="D62" s="2452"/>
      <c r="E62" s="2439"/>
      <c r="F62" s="2439"/>
      <c r="G62" s="2439"/>
      <c r="H62" s="2439"/>
      <c r="I62" s="2439"/>
      <c r="J62" s="2439"/>
      <c r="K62" s="2450"/>
      <c r="L62" s="2450"/>
      <c r="M62" s="2449"/>
      <c r="N62" s="2449"/>
      <c r="O62" s="2449"/>
      <c r="P62" s="2449"/>
      <c r="Q62" s="2449"/>
      <c r="R62" s="2449"/>
      <c r="S62" s="2449"/>
      <c r="T62" s="2449"/>
      <c r="U62" s="2449"/>
      <c r="V62" s="2449"/>
      <c r="W62" s="2449"/>
      <c r="X62" s="2449"/>
      <c r="Y62" s="2449"/>
      <c r="Z62" s="2449"/>
      <c r="AA62" s="2449"/>
      <c r="AB62" s="2449"/>
      <c r="AC62" s="2449"/>
      <c r="AD62" s="2449"/>
      <c r="AE62" s="2449"/>
      <c r="AF62" s="2449"/>
      <c r="AG62" s="2449"/>
      <c r="AH62" s="2449"/>
      <c r="AI62" s="2449"/>
      <c r="AJ62" s="2449"/>
      <c r="AK62" s="2449"/>
      <c r="AL62" s="2449"/>
      <c r="AM62" s="2449"/>
      <c r="AN62" s="2449"/>
      <c r="AO62" s="2449"/>
      <c r="AP62" s="2449"/>
      <c r="AQ62" s="2449"/>
      <c r="AR62" s="2449"/>
    </row>
    <row r="63" spans="1:44" ht="15" thickBot="1">
      <c r="A63" s="1613" t="s">
        <v>1254</v>
      </c>
      <c r="B63" s="118"/>
      <c r="C63" s="2439"/>
      <c r="D63" s="2452"/>
      <c r="E63" s="2439"/>
      <c r="F63" s="2439"/>
      <c r="G63" s="2439"/>
      <c r="H63" s="2439"/>
      <c r="I63" s="2439"/>
      <c r="J63" s="2439"/>
      <c r="K63" s="2450"/>
      <c r="L63" s="2450"/>
      <c r="M63" s="2449"/>
      <c r="N63" s="2449"/>
      <c r="O63" s="2449"/>
      <c r="P63" s="2449"/>
      <c r="Q63" s="2449"/>
      <c r="R63" s="2449"/>
      <c r="S63" s="2449"/>
      <c r="T63" s="2449"/>
      <c r="U63" s="2449"/>
      <c r="V63" s="2449"/>
      <c r="W63" s="2449"/>
      <c r="X63" s="2449"/>
      <c r="Y63" s="2449"/>
      <c r="Z63" s="2449"/>
      <c r="AA63" s="2449"/>
      <c r="AB63" s="2449"/>
      <c r="AC63" s="2449"/>
      <c r="AD63" s="2449"/>
      <c r="AE63" s="2449"/>
      <c r="AF63" s="2449"/>
      <c r="AG63" s="2449"/>
      <c r="AH63" s="2449"/>
      <c r="AI63" s="2449"/>
      <c r="AJ63" s="2449"/>
      <c r="AK63" s="2449"/>
      <c r="AL63" s="2449"/>
      <c r="AM63" s="2449"/>
      <c r="AN63" s="2449"/>
      <c r="AO63" s="2449"/>
      <c r="AP63" s="2449"/>
      <c r="AQ63" s="2449"/>
      <c r="AR63" s="2449"/>
    </row>
    <row r="64" spans="1:44" s="684" customFormat="1">
      <c r="A64" s="2442"/>
      <c r="B64" s="2449"/>
      <c r="C64" s="2449"/>
      <c r="D64" s="2451"/>
      <c r="E64" s="2449"/>
      <c r="F64" s="2449"/>
      <c r="G64" s="2449"/>
      <c r="H64" s="2449"/>
      <c r="I64" s="2449"/>
      <c r="J64" s="2449"/>
      <c r="K64" s="2450"/>
      <c r="L64" s="2450"/>
      <c r="M64" s="2449"/>
      <c r="N64" s="2449"/>
      <c r="O64" s="2449"/>
      <c r="P64" s="2449"/>
      <c r="Q64" s="2449"/>
      <c r="R64" s="2449"/>
      <c r="S64" s="2449"/>
      <c r="T64" s="2449"/>
      <c r="U64" s="2449"/>
      <c r="V64" s="2449"/>
      <c r="W64" s="2449"/>
      <c r="X64" s="2449"/>
      <c r="Y64" s="2449"/>
      <c r="Z64" s="2449"/>
      <c r="AA64" s="2449"/>
      <c r="AB64" s="2449"/>
      <c r="AC64" s="2449"/>
      <c r="AD64" s="2449"/>
      <c r="AE64" s="2449"/>
      <c r="AF64" s="2449"/>
      <c r="AG64" s="2449"/>
      <c r="AH64" s="2449"/>
      <c r="AI64" s="2449"/>
      <c r="AJ64" s="2449"/>
      <c r="AK64" s="2449"/>
      <c r="AL64" s="2449"/>
      <c r="AM64" s="2449"/>
      <c r="AN64" s="2449"/>
      <c r="AO64" s="2449"/>
      <c r="AP64" s="2449"/>
      <c r="AQ64" s="2449"/>
      <c r="AR64" s="2449"/>
    </row>
    <row r="65" spans="1:44" s="684" customFormat="1">
      <c r="A65" s="2442"/>
      <c r="B65" s="2449"/>
      <c r="C65" s="2449"/>
      <c r="D65" s="2451"/>
      <c r="E65" s="2449"/>
      <c r="F65" s="2449"/>
      <c r="G65" s="2449"/>
      <c r="H65" s="2449"/>
      <c r="I65" s="2449"/>
      <c r="J65" s="2449"/>
      <c r="K65" s="2450"/>
      <c r="L65" s="2450"/>
      <c r="M65" s="2449"/>
      <c r="N65" s="2449"/>
      <c r="O65" s="2449"/>
      <c r="P65" s="2449"/>
      <c r="Q65" s="2449"/>
      <c r="R65" s="2449"/>
      <c r="S65" s="2449"/>
      <c r="T65" s="2449"/>
      <c r="U65" s="2449"/>
      <c r="V65" s="2449"/>
      <c r="W65" s="2449"/>
      <c r="X65" s="2449"/>
      <c r="Y65" s="2449"/>
      <c r="Z65" s="2449"/>
      <c r="AA65" s="2449"/>
      <c r="AB65" s="2449"/>
      <c r="AC65" s="2449"/>
      <c r="AD65" s="2449"/>
      <c r="AE65" s="2449"/>
      <c r="AF65" s="2449"/>
      <c r="AG65" s="2449"/>
      <c r="AH65" s="2449"/>
      <c r="AI65" s="2449"/>
      <c r="AJ65" s="2449"/>
      <c r="AK65" s="2449"/>
      <c r="AL65" s="2449"/>
      <c r="AM65" s="2449"/>
      <c r="AN65" s="2449"/>
      <c r="AO65" s="2449"/>
      <c r="AP65" s="2449"/>
      <c r="AQ65" s="2449"/>
      <c r="AR65" s="2449"/>
    </row>
    <row r="66" spans="1:44" s="684" customFormat="1">
      <c r="A66" s="2442"/>
      <c r="B66" s="2449"/>
      <c r="C66" s="2449"/>
      <c r="D66" s="2451"/>
      <c r="E66" s="2449"/>
      <c r="F66" s="2449"/>
      <c r="G66" s="2449"/>
      <c r="H66" s="2449"/>
      <c r="I66" s="2449"/>
      <c r="J66" s="2449"/>
      <c r="K66" s="2450"/>
      <c r="L66" s="2450"/>
      <c r="M66" s="2449"/>
      <c r="N66" s="2449"/>
      <c r="O66" s="2449"/>
      <c r="P66" s="2449"/>
      <c r="Q66" s="2449"/>
      <c r="R66" s="2449"/>
      <c r="S66" s="2449"/>
      <c r="T66" s="2449"/>
      <c r="U66" s="2449"/>
      <c r="V66" s="2449"/>
      <c r="W66" s="2449"/>
      <c r="X66" s="2449"/>
      <c r="Y66" s="2449"/>
      <c r="Z66" s="2449"/>
      <c r="AA66" s="2449"/>
      <c r="AB66" s="2449"/>
      <c r="AC66" s="2449"/>
      <c r="AD66" s="2449"/>
      <c r="AE66" s="2449"/>
      <c r="AF66" s="2449"/>
      <c r="AG66" s="2449"/>
      <c r="AH66" s="2449"/>
      <c r="AI66" s="2449"/>
      <c r="AJ66" s="2449"/>
      <c r="AK66" s="2449"/>
      <c r="AL66" s="2449"/>
      <c r="AM66" s="2449"/>
      <c r="AN66" s="2449"/>
      <c r="AO66" s="2449"/>
      <c r="AP66" s="2449"/>
      <c r="AQ66" s="2449"/>
      <c r="AR66" s="2449"/>
    </row>
    <row r="67" spans="1:44" s="684" customFormat="1">
      <c r="A67" s="2442"/>
      <c r="B67" s="2449"/>
      <c r="C67" s="2449"/>
      <c r="D67" s="2451"/>
      <c r="E67" s="2449"/>
      <c r="F67" s="2449"/>
      <c r="G67" s="2449"/>
      <c r="H67" s="2449"/>
      <c r="I67" s="2449"/>
      <c r="J67" s="2449"/>
      <c r="K67" s="2450"/>
      <c r="L67" s="2450"/>
      <c r="M67" s="2449"/>
      <c r="N67" s="2449"/>
      <c r="O67" s="2449"/>
      <c r="P67" s="2449"/>
      <c r="Q67" s="2449"/>
      <c r="R67" s="2449"/>
      <c r="S67" s="2449"/>
      <c r="T67" s="2449"/>
      <c r="U67" s="2449"/>
      <c r="V67" s="2449"/>
      <c r="W67" s="2449"/>
      <c r="X67" s="2449"/>
      <c r="Y67" s="2449"/>
      <c r="Z67" s="2449"/>
      <c r="AA67" s="2449"/>
      <c r="AB67" s="2449"/>
      <c r="AC67" s="2449"/>
      <c r="AD67" s="2449"/>
      <c r="AE67" s="2449"/>
      <c r="AF67" s="2449"/>
      <c r="AG67" s="2449"/>
      <c r="AH67" s="2449"/>
      <c r="AI67" s="2449"/>
      <c r="AJ67" s="2449"/>
      <c r="AK67" s="2449"/>
      <c r="AL67" s="2449"/>
      <c r="AM67" s="2449"/>
      <c r="AN67" s="2449"/>
      <c r="AO67" s="2449"/>
      <c r="AP67" s="2449"/>
      <c r="AQ67" s="2449"/>
      <c r="AR67" s="2449"/>
    </row>
    <row r="68" spans="1:44" s="684" customFormat="1">
      <c r="A68" s="2442"/>
      <c r="B68" s="2449"/>
      <c r="C68" s="2449"/>
      <c r="D68" s="2451"/>
      <c r="E68" s="2449"/>
      <c r="F68" s="2449"/>
      <c r="G68" s="2449"/>
      <c r="H68" s="2449"/>
      <c r="I68" s="2449"/>
      <c r="J68" s="2449"/>
      <c r="K68" s="2450"/>
      <c r="L68" s="2450"/>
      <c r="M68" s="2449"/>
      <c r="N68" s="2449"/>
      <c r="O68" s="2449"/>
      <c r="P68" s="2449"/>
      <c r="Q68" s="2449"/>
      <c r="R68" s="2449"/>
      <c r="S68" s="2449"/>
      <c r="T68" s="2449"/>
      <c r="U68" s="2449"/>
      <c r="V68" s="2449"/>
      <c r="W68" s="2449"/>
      <c r="X68" s="2449"/>
      <c r="Y68" s="2449"/>
      <c r="Z68" s="2449"/>
      <c r="AA68" s="2449"/>
      <c r="AB68" s="2449"/>
      <c r="AC68" s="2449"/>
      <c r="AD68" s="2449"/>
      <c r="AE68" s="2449"/>
      <c r="AF68" s="2449"/>
      <c r="AG68" s="2449"/>
      <c r="AH68" s="2449"/>
      <c r="AI68" s="2449"/>
      <c r="AJ68" s="2449"/>
      <c r="AK68" s="2449"/>
      <c r="AL68" s="2449"/>
      <c r="AM68" s="2449"/>
      <c r="AN68" s="2449"/>
      <c r="AO68" s="2449"/>
      <c r="AP68" s="2449"/>
      <c r="AQ68" s="2449"/>
      <c r="AR68" s="2449"/>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5"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7" customWidth="1"/>
    <col min="9" max="9" width="16.75" style="2277" customWidth="1"/>
    <col min="10" max="10" width="2.625" style="2277" customWidth="1"/>
    <col min="11" max="11" width="11.875" style="2277" customWidth="1"/>
    <col min="12" max="12" width="16.75" style="2277" customWidth="1"/>
    <col min="13" max="13" width="2.625" style="2277" customWidth="1"/>
    <col min="14" max="14" width="11.875" style="2277" customWidth="1"/>
    <col min="15" max="15" width="16.75" style="2277" customWidth="1"/>
    <col min="16" max="16" width="2.625" style="2277" customWidth="1"/>
    <col min="17" max="17" width="11.875" style="2277" customWidth="1"/>
    <col min="18" max="18" width="16.75" style="751" customWidth="1"/>
    <col min="19" max="29" width="9" style="751"/>
    <col min="30" max="16384" width="9" style="1522"/>
  </cols>
  <sheetData>
    <row r="1" spans="1:29" s="2259" customFormat="1" ht="18.75" thickBot="1">
      <c r="A1" s="3471" t="s">
        <v>2284</v>
      </c>
      <c r="B1" s="3472"/>
      <c r="C1" s="3472"/>
      <c r="D1" s="3472"/>
      <c r="E1" s="3472"/>
      <c r="F1" s="3472"/>
      <c r="G1" s="3472"/>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5" thickBot="1">
      <c r="A2" s="2260"/>
      <c r="B2" s="2261"/>
      <c r="C2" s="2262" t="s">
        <v>2279</v>
      </c>
      <c r="D2" s="1595"/>
      <c r="E2" s="2260"/>
      <c r="F2" s="2263"/>
      <c r="G2" s="2262" t="s">
        <v>2280</v>
      </c>
      <c r="H2" s="751"/>
      <c r="I2" s="751"/>
      <c r="J2" s="751"/>
      <c r="K2" s="751"/>
      <c r="L2" s="751"/>
      <c r="M2" s="751"/>
      <c r="N2" s="751"/>
      <c r="O2" s="751"/>
      <c r="P2" s="751"/>
      <c r="Q2" s="751"/>
    </row>
    <row r="3" spans="1:29" ht="48">
      <c r="A3" s="2247" t="s">
        <v>2281</v>
      </c>
      <c r="B3" s="2264" t="s">
        <v>2250</v>
      </c>
      <c r="C3" s="2265" t="s">
        <v>2282</v>
      </c>
      <c r="D3" s="2266"/>
      <c r="E3" s="2248" t="s">
        <v>2281</v>
      </c>
      <c r="F3" s="2267" t="s">
        <v>2251</v>
      </c>
      <c r="G3" s="2268" t="s">
        <v>2283</v>
      </c>
      <c r="H3" s="751"/>
      <c r="I3" s="751"/>
      <c r="J3" s="751"/>
      <c r="K3" s="751"/>
      <c r="L3" s="751"/>
      <c r="M3" s="751"/>
      <c r="N3" s="751"/>
      <c r="O3" s="751"/>
      <c r="P3" s="751"/>
      <c r="Q3" s="751"/>
    </row>
    <row r="4" spans="1:29" ht="36.75">
      <c r="A4" s="2248"/>
      <c r="B4" s="315" t="s">
        <v>2252</v>
      </c>
      <c r="C4" s="2269" t="s">
        <v>2253</v>
      </c>
      <c r="D4" s="2266"/>
      <c r="E4" s="2270"/>
      <c r="F4" s="1281" t="s">
        <v>2254</v>
      </c>
      <c r="G4" s="2271" t="s">
        <v>2255</v>
      </c>
      <c r="H4" s="751"/>
      <c r="I4" s="751"/>
      <c r="J4" s="751"/>
      <c r="K4" s="751"/>
      <c r="L4" s="751"/>
      <c r="M4" s="751"/>
      <c r="N4" s="751"/>
      <c r="O4" s="751"/>
      <c r="P4" s="751"/>
      <c r="Q4" s="751"/>
    </row>
    <row r="5" spans="1:29" ht="36.75">
      <c r="A5" s="2248"/>
      <c r="B5" s="315" t="s">
        <v>2256</v>
      </c>
      <c r="C5" s="2269" t="s">
        <v>2257</v>
      </c>
      <c r="D5" s="2266"/>
      <c r="E5" s="2270"/>
      <c r="F5" s="315" t="s">
        <v>2258</v>
      </c>
      <c r="G5" s="2271" t="s">
        <v>2259</v>
      </c>
      <c r="H5" s="751"/>
      <c r="I5" s="751"/>
      <c r="J5" s="751"/>
      <c r="K5" s="751"/>
      <c r="L5" s="751"/>
      <c r="M5" s="751"/>
      <c r="N5" s="751"/>
      <c r="O5" s="751"/>
      <c r="P5" s="751"/>
      <c r="Q5" s="751"/>
    </row>
    <row r="6" spans="1:29" ht="36">
      <c r="A6" s="2248"/>
      <c r="B6" s="315" t="s">
        <v>2260</v>
      </c>
      <c r="C6" s="2271" t="s">
        <v>2255</v>
      </c>
      <c r="D6" s="2266"/>
      <c r="E6" s="2270"/>
      <c r="F6" s="315" t="s">
        <v>2261</v>
      </c>
      <c r="G6" s="2271" t="s">
        <v>2262</v>
      </c>
      <c r="H6" s="751"/>
      <c r="I6" s="751"/>
      <c r="J6" s="751"/>
      <c r="K6" s="751"/>
      <c r="L6" s="751"/>
      <c r="M6" s="751"/>
      <c r="N6" s="751"/>
      <c r="O6" s="751"/>
      <c r="P6" s="751"/>
      <c r="Q6" s="751"/>
    </row>
    <row r="7" spans="1:29" ht="24.75" thickBot="1">
      <c r="A7" s="2248"/>
      <c r="B7" s="315" t="s">
        <v>2258</v>
      </c>
      <c r="C7" s="2271" t="s">
        <v>2259</v>
      </c>
      <c r="D7" s="2245"/>
      <c r="E7" s="2272"/>
      <c r="F7" s="2273" t="s">
        <v>2263</v>
      </c>
      <c r="G7" s="2274" t="s">
        <v>2264</v>
      </c>
      <c r="H7" s="751"/>
      <c r="I7" s="751"/>
      <c r="J7" s="751"/>
      <c r="K7" s="751"/>
      <c r="L7" s="751"/>
      <c r="M7" s="751"/>
      <c r="N7" s="751"/>
      <c r="O7" s="751"/>
      <c r="P7" s="751"/>
      <c r="Q7" s="751"/>
    </row>
    <row r="8" spans="1:29">
      <c r="A8" s="2248"/>
      <c r="B8" s="315" t="s">
        <v>2261</v>
      </c>
      <c r="C8" s="2271" t="s">
        <v>2262</v>
      </c>
      <c r="D8" s="2245"/>
      <c r="E8" s="2245"/>
      <c r="F8" s="121"/>
      <c r="G8" s="121"/>
      <c r="H8" s="751"/>
      <c r="I8" s="751"/>
      <c r="J8" s="751"/>
      <c r="K8" s="751"/>
      <c r="L8" s="751"/>
      <c r="M8" s="751"/>
      <c r="N8" s="751"/>
      <c r="O8" s="751"/>
      <c r="P8" s="751"/>
      <c r="Q8" s="751"/>
    </row>
    <row r="9" spans="1:29" ht="24">
      <c r="A9" s="2248"/>
      <c r="B9" s="315" t="s">
        <v>2265</v>
      </c>
      <c r="C9" s="2269" t="s">
        <v>2266</v>
      </c>
      <c r="D9" s="2266"/>
      <c r="E9" s="2245"/>
      <c r="F9" s="121"/>
      <c r="G9" s="121"/>
      <c r="H9" s="751"/>
      <c r="I9" s="751"/>
      <c r="J9" s="751"/>
      <c r="K9" s="751"/>
      <c r="L9" s="751"/>
      <c r="M9" s="751"/>
      <c r="N9" s="751"/>
      <c r="O9" s="751"/>
      <c r="P9" s="751"/>
      <c r="Q9" s="751"/>
    </row>
    <row r="10" spans="1:29" ht="15" thickBot="1">
      <c r="A10" s="2249"/>
      <c r="B10" s="2275" t="s">
        <v>2267</v>
      </c>
      <c r="C10" s="2276"/>
      <c r="D10" s="2266"/>
      <c r="E10" s="2266"/>
      <c r="F10" s="121"/>
      <c r="G10" s="121"/>
      <c r="J10" s="2278"/>
      <c r="M10" s="2278"/>
      <c r="P10" s="2278"/>
      <c r="R10" s="2277"/>
    </row>
    <row r="11" spans="1:29">
      <c r="A11" s="2279"/>
      <c r="B11" s="2245"/>
      <c r="C11" s="2266"/>
      <c r="D11" s="2266"/>
      <c r="E11" s="2266"/>
      <c r="F11" s="2245"/>
      <c r="G11" s="2245"/>
      <c r="J11" s="2278"/>
      <c r="M11" s="2278"/>
      <c r="P11" s="2278"/>
      <c r="R11" s="2277"/>
    </row>
    <row r="12" spans="1:29" s="2259" customFormat="1" ht="18">
      <c r="A12" s="2279"/>
      <c r="B12" s="2245"/>
      <c r="C12" s="2266"/>
      <c r="D12" s="2280"/>
      <c r="E12" s="2266"/>
      <c r="F12" s="2245"/>
      <c r="G12" s="2245"/>
      <c r="H12" s="2281"/>
      <c r="I12" s="2281"/>
      <c r="J12" s="2281"/>
      <c r="K12" s="2281"/>
      <c r="L12" s="2282"/>
      <c r="M12" s="2281"/>
      <c r="N12" s="2283"/>
      <c r="O12" s="2283"/>
      <c r="P12" s="2283"/>
      <c r="Q12" s="2283"/>
      <c r="R12" s="2258"/>
      <c r="S12" s="2258"/>
      <c r="T12" s="2258"/>
      <c r="U12" s="2258"/>
      <c r="V12" s="2258"/>
      <c r="W12" s="2258"/>
      <c r="X12" s="2258"/>
      <c r="Y12" s="2258"/>
      <c r="Z12" s="2258"/>
      <c r="AA12" s="2258"/>
      <c r="AB12" s="2258"/>
      <c r="AC12" s="2258"/>
    </row>
    <row r="13" spans="1:29" ht="15.75" thickBot="1">
      <c r="A13" s="2284" t="s">
        <v>2285</v>
      </c>
      <c r="B13" s="2280"/>
      <c r="C13" s="2280"/>
      <c r="D13" s="2279"/>
      <c r="E13" s="2280"/>
      <c r="F13" s="2280"/>
      <c r="G13" s="2280"/>
    </row>
    <row r="14" spans="1:29" ht="15" thickBot="1">
      <c r="A14" s="2285"/>
      <c r="B14" s="2285"/>
      <c r="C14" s="2286" t="s">
        <v>2268</v>
      </c>
      <c r="D14" s="2266"/>
      <c r="E14" s="2287"/>
      <c r="F14" s="2287"/>
      <c r="G14" s="2262" t="s">
        <v>2269</v>
      </c>
    </row>
    <row r="15" spans="1:29" ht="51">
      <c r="A15" s="2250" t="s">
        <v>2270</v>
      </c>
      <c r="B15" s="2288" t="s">
        <v>2250</v>
      </c>
      <c r="C15" s="2289" t="str">
        <f>C3</f>
        <v>估价对象周边居住用地比例、居住小区规模和社区发展完善程度，综合评价居住社区成熟度一般</v>
      </c>
      <c r="D15" s="2266"/>
      <c r="E15" s="2251" t="s">
        <v>2271</v>
      </c>
      <c r="F15" s="2288" t="s">
        <v>2272</v>
      </c>
      <c r="G15" s="2290" t="str">
        <f>G3</f>
        <v>估价对象位于XX开发区，园区建设成熟度XX，产业集聚程度XX</v>
      </c>
    </row>
    <row r="16" spans="1:29" ht="38.25">
      <c r="A16" s="2252"/>
      <c r="B16" s="2291" t="s">
        <v>2252</v>
      </c>
      <c r="C16" s="2292" t="str">
        <f>C4</f>
        <v>估价对象位于XX商圈，周边商业氛围成熟，人流量大，商业繁华度好</v>
      </c>
      <c r="D16" s="2266"/>
      <c r="E16" s="2253"/>
      <c r="F16" s="2293" t="s">
        <v>2254</v>
      </c>
      <c r="G16" s="2294" t="str">
        <f>G4</f>
        <v>估价对象周边道路状况、公共交通通达情况、停车便捷程度，综合评价交通便捷度较好</v>
      </c>
    </row>
    <row r="17" spans="1:17" ht="38.25">
      <c r="A17" s="2252"/>
      <c r="B17" s="2291" t="s">
        <v>2256</v>
      </c>
      <c r="C17" s="2292" t="str">
        <f>C5</f>
        <v>估价对象位于XX商圈，周边办公楼项目较多，入驻率高，办公集聚程度较好</v>
      </c>
      <c r="D17" s="2245"/>
      <c r="E17" s="2253"/>
      <c r="F17" s="2293" t="s">
        <v>2273</v>
      </c>
      <c r="G17" s="2295"/>
    </row>
    <row r="18" spans="1:17" ht="38.25">
      <c r="A18" s="2252"/>
      <c r="B18" s="2293" t="s">
        <v>2260</v>
      </c>
      <c r="C18" s="2294" t="str">
        <f>C6</f>
        <v>估价对象周边道路状况、公共交通通达情况、停车便捷程度，综合评价交通便捷度较好</v>
      </c>
      <c r="D18" s="2245"/>
      <c r="E18" s="2253"/>
      <c r="F18" s="2293" t="s">
        <v>2263</v>
      </c>
      <c r="G18" s="2294" t="str">
        <f>G7</f>
        <v>该园区内是否有污染型企业，绿化情况，卫生条件，整体环境状况判断</v>
      </c>
    </row>
    <row r="19" spans="1:17" ht="25.5">
      <c r="A19" s="2252"/>
      <c r="B19" s="2293" t="s">
        <v>2274</v>
      </c>
      <c r="C19" s="2295"/>
      <c r="D19" s="2266"/>
      <c r="E19" s="2253"/>
      <c r="F19" s="315" t="s">
        <v>2258</v>
      </c>
      <c r="G19" s="2294" t="str">
        <f>G5</f>
        <v>估价对象所在区域公共配套设施齐备情况</v>
      </c>
    </row>
    <row r="20" spans="1:17" ht="25.5">
      <c r="A20" s="2252"/>
      <c r="B20" s="2293" t="s">
        <v>2275</v>
      </c>
      <c r="C20" s="2292" t="str">
        <f>C9</f>
        <v>区域自然环境：；人文环境；综合评价环境状况一般</v>
      </c>
      <c r="D20" s="2245"/>
      <c r="E20" s="2253"/>
      <c r="F20" s="315" t="s">
        <v>2261</v>
      </c>
      <c r="G20" s="2294" t="str">
        <f>G6</f>
        <v>估价对象所在区域基础设施水平</v>
      </c>
    </row>
    <row r="21" spans="1:17" ht="25.5">
      <c r="A21" s="2252"/>
      <c r="B21" s="315" t="s">
        <v>2258</v>
      </c>
      <c r="C21" s="2294" t="str">
        <f>C7</f>
        <v>估价对象所在区域公共配套设施齐备情况</v>
      </c>
      <c r="D21" s="2266"/>
      <c r="E21" s="2253"/>
      <c r="F21" s="2293" t="s">
        <v>2276</v>
      </c>
      <c r="G21" s="2296"/>
    </row>
    <row r="22" spans="1:17" ht="13.5" customHeight="1">
      <c r="A22" s="2252"/>
      <c r="B22" s="315" t="s">
        <v>2261</v>
      </c>
      <c r="C22" s="2294" t="str">
        <f>C8</f>
        <v>估价对象所在区域基础设施水平</v>
      </c>
      <c r="D22" s="2266"/>
      <c r="E22" s="2253"/>
      <c r="F22" s="2293" t="s">
        <v>2267</v>
      </c>
      <c r="G22" s="2295"/>
    </row>
    <row r="23" spans="1:17" s="751" customFormat="1" ht="15" thickBot="1">
      <c r="A23" s="2252"/>
      <c r="B23" s="2293" t="s">
        <v>2276</v>
      </c>
      <c r="C23" s="2296"/>
      <c r="D23" s="1614"/>
      <c r="E23" s="2254"/>
      <c r="F23" s="2297" t="s">
        <v>2277</v>
      </c>
      <c r="G23" s="2298"/>
      <c r="H23" s="2277"/>
      <c r="I23" s="2277"/>
      <c r="J23" s="2277"/>
      <c r="K23" s="2277"/>
      <c r="L23" s="2277"/>
      <c r="M23" s="2277"/>
      <c r="N23" s="2277"/>
      <c r="O23" s="2277"/>
      <c r="P23" s="2277"/>
      <c r="Q23" s="2277"/>
    </row>
    <row r="24" spans="1:17" s="751" customFormat="1" ht="15" thickBot="1">
      <c r="A24" s="2255"/>
      <c r="B24" s="2297" t="s">
        <v>2278</v>
      </c>
      <c r="C24" s="2299">
        <f>C10</f>
        <v>0</v>
      </c>
      <c r="D24" s="1614"/>
      <c r="E24" s="2245"/>
      <c r="F24" s="2245"/>
      <c r="G24" s="2245"/>
      <c r="H24" s="2277"/>
      <c r="I24" s="2277"/>
      <c r="J24" s="2277"/>
      <c r="K24" s="2277"/>
      <c r="L24" s="2277"/>
      <c r="M24" s="2277"/>
      <c r="N24" s="2277"/>
      <c r="O24" s="2277"/>
      <c r="P24" s="2277"/>
      <c r="Q24" s="2277"/>
    </row>
    <row r="25" spans="1:17" s="751" customFormat="1">
      <c r="B25" s="2277"/>
      <c r="C25" s="2277"/>
      <c r="D25" s="2277"/>
      <c r="H25" s="2277"/>
      <c r="I25" s="2277"/>
      <c r="J25" s="2277"/>
      <c r="K25" s="2277"/>
      <c r="L25" s="2277"/>
      <c r="M25" s="2277"/>
      <c r="N25" s="2277"/>
      <c r="O25" s="2277"/>
      <c r="P25" s="2277"/>
      <c r="Q25" s="2277"/>
    </row>
    <row r="26" spans="1:17" s="751" customFormat="1">
      <c r="B26" s="2277"/>
      <c r="C26" s="2277"/>
      <c r="D26" s="2277"/>
      <c r="H26" s="2277"/>
      <c r="I26" s="2277"/>
      <c r="J26" s="2277"/>
      <c r="K26" s="2277"/>
      <c r="L26" s="2277"/>
      <c r="M26" s="2277"/>
      <c r="N26" s="2277"/>
      <c r="O26" s="2277"/>
      <c r="P26" s="2277"/>
      <c r="Q26" s="2277"/>
    </row>
    <row r="27" spans="1:17" s="751" customFormat="1">
      <c r="B27" s="2277"/>
      <c r="C27" s="2277"/>
      <c r="D27" s="2277"/>
      <c r="H27" s="2277"/>
      <c r="I27" s="2277"/>
      <c r="J27" s="2277"/>
      <c r="K27" s="2277"/>
      <c r="L27" s="2277"/>
      <c r="M27" s="2277"/>
      <c r="N27" s="2277"/>
      <c r="O27" s="2277"/>
      <c r="P27" s="2277"/>
      <c r="Q27" s="2277"/>
    </row>
    <row r="28" spans="1:17" s="751" customFormat="1">
      <c r="B28" s="2277"/>
      <c r="C28" s="2277"/>
      <c r="D28" s="2277"/>
      <c r="H28" s="2277"/>
      <c r="I28" s="2277"/>
      <c r="J28" s="2277"/>
      <c r="K28" s="2277"/>
      <c r="L28" s="2277"/>
      <c r="M28" s="2277"/>
      <c r="N28" s="2277"/>
      <c r="O28" s="2277"/>
      <c r="P28" s="2277"/>
      <c r="Q28" s="2277"/>
    </row>
    <row r="29" spans="1:17" s="751" customFormat="1">
      <c r="B29" s="2277"/>
      <c r="C29" s="2277"/>
      <c r="D29" s="2277"/>
      <c r="H29" s="2277"/>
      <c r="I29" s="2277"/>
      <c r="J29" s="2277"/>
      <c r="K29" s="2277"/>
      <c r="L29" s="2277"/>
      <c r="M29" s="2277"/>
      <c r="N29" s="2277"/>
      <c r="O29" s="2277"/>
      <c r="P29" s="2277"/>
      <c r="Q29" s="2277"/>
    </row>
    <row r="30" spans="1:17" s="751" customFormat="1">
      <c r="B30" s="2277"/>
      <c r="C30" s="2277"/>
      <c r="D30" s="2277"/>
      <c r="H30" s="2277"/>
      <c r="I30" s="2277"/>
      <c r="J30" s="2277"/>
      <c r="K30" s="2277"/>
      <c r="L30" s="2277"/>
      <c r="M30" s="2277"/>
      <c r="N30" s="2277"/>
      <c r="O30" s="2277"/>
      <c r="P30" s="2277"/>
      <c r="Q30" s="2277"/>
    </row>
    <row r="31" spans="1:17" s="751" customFormat="1">
      <c r="B31" s="2277"/>
      <c r="C31" s="2277"/>
      <c r="D31" s="2277"/>
      <c r="H31" s="2277"/>
      <c r="I31" s="2277"/>
      <c r="J31" s="2277"/>
      <c r="K31" s="2277"/>
      <c r="L31" s="2277"/>
      <c r="M31" s="2277"/>
      <c r="N31" s="2277"/>
      <c r="O31" s="2277"/>
      <c r="P31" s="2277"/>
      <c r="Q31" s="2277"/>
    </row>
    <row r="32" spans="1:17" s="751" customFormat="1">
      <c r="B32" s="2277"/>
      <c r="C32" s="2277"/>
      <c r="D32" s="2277"/>
      <c r="H32" s="2277"/>
      <c r="I32" s="2277"/>
      <c r="J32" s="2277"/>
      <c r="K32" s="2277"/>
      <c r="L32" s="2277"/>
      <c r="M32" s="2277"/>
      <c r="N32" s="2277"/>
      <c r="O32" s="2277"/>
      <c r="P32" s="2277"/>
      <c r="Q32" s="2277"/>
    </row>
    <row r="33" spans="2:17" s="751" customFormat="1">
      <c r="B33" s="2277"/>
      <c r="C33" s="2277"/>
      <c r="D33" s="2277"/>
      <c r="H33" s="2277"/>
      <c r="I33" s="2277"/>
      <c r="J33" s="2277"/>
      <c r="K33" s="2277"/>
      <c r="L33" s="2277"/>
      <c r="M33" s="2277"/>
      <c r="N33" s="2277"/>
      <c r="O33" s="2277"/>
      <c r="P33" s="2277"/>
      <c r="Q33" s="2277"/>
    </row>
    <row r="34" spans="2:17" s="751" customFormat="1">
      <c r="B34" s="2277"/>
      <c r="C34" s="2277"/>
      <c r="D34" s="2277"/>
      <c r="H34" s="2277"/>
      <c r="I34" s="2277"/>
      <c r="J34" s="2277"/>
      <c r="K34" s="2277"/>
      <c r="L34" s="2277"/>
      <c r="M34" s="2277"/>
      <c r="N34" s="2277"/>
      <c r="O34" s="2277"/>
      <c r="P34" s="2277"/>
      <c r="Q34" s="2277"/>
    </row>
    <row r="35" spans="2:17" s="751" customFormat="1">
      <c r="B35" s="2277"/>
      <c r="C35" s="2277"/>
      <c r="D35" s="2277"/>
      <c r="H35" s="2277"/>
      <c r="I35" s="2277"/>
      <c r="J35" s="2277"/>
      <c r="K35" s="2277"/>
      <c r="L35" s="2277"/>
      <c r="M35" s="2277"/>
      <c r="N35" s="2277"/>
      <c r="O35" s="2277"/>
      <c r="P35" s="2277"/>
      <c r="Q35" s="2277"/>
    </row>
    <row r="36" spans="2:17" s="751" customFormat="1">
      <c r="B36" s="2277"/>
      <c r="C36" s="2277"/>
      <c r="D36" s="2277"/>
      <c r="H36" s="2277"/>
      <c r="I36" s="2277"/>
      <c r="J36" s="2277"/>
      <c r="K36" s="2277"/>
      <c r="L36" s="2277"/>
      <c r="M36" s="2277"/>
      <c r="N36" s="2277"/>
      <c r="O36" s="2277"/>
      <c r="P36" s="2277"/>
      <c r="Q36" s="2277"/>
    </row>
    <row r="37" spans="2:17" s="751" customFormat="1">
      <c r="B37" s="2277"/>
      <c r="C37" s="2277"/>
      <c r="D37" s="2277"/>
      <c r="H37" s="2277"/>
      <c r="I37" s="2277"/>
      <c r="J37" s="2277"/>
      <c r="K37" s="2277"/>
      <c r="L37" s="2277"/>
      <c r="M37" s="2277"/>
      <c r="N37" s="2277"/>
      <c r="O37" s="2277"/>
      <c r="P37" s="2277"/>
      <c r="Q37" s="2277"/>
    </row>
    <row r="38" spans="2:17" s="751" customFormat="1">
      <c r="B38" s="2277"/>
      <c r="C38" s="2277"/>
      <c r="D38" s="2277"/>
      <c r="E38" s="2277"/>
      <c r="F38" s="2277"/>
      <c r="G38" s="2277"/>
      <c r="H38" s="2277"/>
      <c r="I38" s="2277"/>
      <c r="J38" s="2277"/>
      <c r="K38" s="2277"/>
      <c r="L38" s="2277"/>
      <c r="M38" s="2277"/>
      <c r="N38" s="2277"/>
      <c r="O38" s="2277"/>
      <c r="P38" s="2277"/>
      <c r="Q38" s="2277"/>
    </row>
    <row r="39" spans="2:17" s="751" customFormat="1">
      <c r="B39" s="2277"/>
      <c r="C39" s="2277"/>
      <c r="D39" s="2277"/>
      <c r="E39" s="2277"/>
      <c r="F39" s="2277"/>
      <c r="G39" s="2277"/>
      <c r="H39" s="2277"/>
      <c r="I39" s="2277"/>
      <c r="J39" s="2277"/>
      <c r="K39" s="2277"/>
      <c r="L39" s="2277"/>
      <c r="M39" s="2277"/>
      <c r="N39" s="2277"/>
      <c r="O39" s="2277"/>
      <c r="P39" s="2277"/>
      <c r="Q39" s="2277"/>
    </row>
    <row r="40" spans="2:17" s="751" customFormat="1">
      <c r="B40" s="2277"/>
      <c r="C40" s="2277"/>
      <c r="D40" s="2277"/>
      <c r="E40" s="2277"/>
      <c r="F40" s="2277"/>
      <c r="G40" s="2277"/>
      <c r="H40" s="2277"/>
      <c r="I40" s="2277"/>
      <c r="J40" s="2277"/>
      <c r="K40" s="2277"/>
      <c r="L40" s="2277"/>
      <c r="M40" s="2277"/>
      <c r="N40" s="2277"/>
      <c r="O40" s="2277"/>
      <c r="P40" s="2277"/>
      <c r="Q40" s="2277"/>
    </row>
    <row r="41" spans="2:17" s="751" customFormat="1">
      <c r="B41" s="2277"/>
      <c r="C41" s="2277"/>
      <c r="D41" s="2277"/>
      <c r="E41" s="2277"/>
      <c r="F41" s="2277"/>
      <c r="G41" s="2277"/>
      <c r="H41" s="2277"/>
      <c r="I41" s="2277"/>
      <c r="J41" s="2277"/>
      <c r="K41" s="2277"/>
      <c r="L41" s="2277"/>
      <c r="M41" s="2277"/>
      <c r="N41" s="2277"/>
      <c r="O41" s="2277"/>
      <c r="P41" s="2277"/>
      <c r="Q41" s="2277"/>
    </row>
    <row r="42" spans="2:17" s="751" customFormat="1">
      <c r="B42" s="2277"/>
      <c r="C42" s="2277"/>
      <c r="D42" s="2277"/>
      <c r="E42" s="2277"/>
      <c r="F42" s="2277"/>
      <c r="G42" s="2277"/>
      <c r="H42" s="2277"/>
      <c r="I42" s="2277"/>
      <c r="J42" s="2277"/>
      <c r="K42" s="2277"/>
      <c r="L42" s="2277"/>
      <c r="M42" s="2277"/>
      <c r="N42" s="2277"/>
      <c r="O42" s="2277"/>
      <c r="P42" s="2277"/>
      <c r="Q42" s="2277"/>
    </row>
    <row r="43" spans="2:17" s="751" customFormat="1">
      <c r="B43" s="2277"/>
      <c r="C43" s="2277"/>
      <c r="D43" s="2277"/>
      <c r="E43" s="2277"/>
      <c r="F43" s="2277"/>
      <c r="G43" s="2277"/>
      <c r="H43" s="2277"/>
      <c r="I43" s="2277"/>
      <c r="J43" s="2277"/>
      <c r="K43" s="2277"/>
      <c r="L43" s="2277"/>
      <c r="M43" s="2277"/>
      <c r="N43" s="2277"/>
      <c r="O43" s="2277"/>
      <c r="P43" s="2277"/>
      <c r="Q43" s="2277"/>
    </row>
    <row r="44" spans="2:17" s="751" customFormat="1">
      <c r="B44" s="2277"/>
      <c r="C44" s="2277"/>
      <c r="D44" s="2277"/>
      <c r="E44" s="2277"/>
      <c r="F44" s="2277"/>
      <c r="G44" s="2277"/>
      <c r="H44" s="2277"/>
      <c r="I44" s="2277"/>
      <c r="J44" s="2277"/>
      <c r="K44" s="2277"/>
      <c r="L44" s="2277"/>
      <c r="M44" s="2277"/>
      <c r="N44" s="2277"/>
      <c r="O44" s="2277"/>
      <c r="P44" s="2277"/>
      <c r="Q44" s="2277"/>
    </row>
    <row r="45" spans="2:17" s="751" customFormat="1">
      <c r="B45" s="2277"/>
      <c r="C45" s="2277"/>
      <c r="D45" s="2277"/>
      <c r="E45" s="2277"/>
      <c r="F45" s="2277"/>
      <c r="G45" s="2277"/>
      <c r="H45" s="2277"/>
      <c r="I45" s="2277"/>
      <c r="J45" s="2277"/>
      <c r="K45" s="2277"/>
      <c r="L45" s="2277"/>
      <c r="M45" s="2277"/>
      <c r="N45" s="2277"/>
      <c r="O45" s="2277"/>
      <c r="P45" s="2277"/>
      <c r="Q45" s="2277"/>
    </row>
    <row r="46" spans="2:17" s="751" customFormat="1">
      <c r="B46" s="2277"/>
      <c r="C46" s="2277"/>
      <c r="D46" s="2277"/>
      <c r="E46" s="2277"/>
      <c r="F46" s="2277"/>
      <c r="G46" s="2277"/>
      <c r="H46" s="2277"/>
      <c r="I46" s="2277"/>
      <c r="J46" s="2277"/>
      <c r="K46" s="2277"/>
      <c r="L46" s="2277"/>
      <c r="M46" s="2277"/>
      <c r="N46" s="2277"/>
      <c r="O46" s="2277"/>
      <c r="P46" s="2277"/>
      <c r="Q46" s="2277"/>
    </row>
    <row r="47" spans="2:17" s="751" customFormat="1">
      <c r="B47" s="2277"/>
      <c r="C47" s="2277"/>
      <c r="D47" s="2277"/>
      <c r="E47" s="2277"/>
      <c r="F47" s="2277"/>
      <c r="G47" s="2277"/>
      <c r="H47" s="2277"/>
      <c r="I47" s="2277"/>
      <c r="J47" s="2277"/>
      <c r="K47" s="2277"/>
      <c r="L47" s="2277"/>
      <c r="M47" s="2277"/>
      <c r="N47" s="2277"/>
      <c r="O47" s="2277"/>
      <c r="P47" s="2277"/>
      <c r="Q47" s="2277"/>
    </row>
    <row r="48" spans="2:17" s="751" customFormat="1">
      <c r="B48" s="2277"/>
      <c r="C48" s="2277"/>
      <c r="D48" s="2277"/>
      <c r="E48" s="2277"/>
      <c r="F48" s="2277"/>
      <c r="G48" s="2277"/>
      <c r="H48" s="2277"/>
      <c r="I48" s="2277"/>
      <c r="J48" s="2277"/>
      <c r="K48" s="2277"/>
      <c r="L48" s="2277"/>
      <c r="M48" s="2277"/>
      <c r="N48" s="2277"/>
      <c r="O48" s="2277"/>
      <c r="P48" s="2277"/>
      <c r="Q48" s="2277"/>
    </row>
    <row r="49" spans="2:17" s="751" customFormat="1">
      <c r="B49" s="2277"/>
      <c r="C49" s="2277"/>
      <c r="D49" s="2277"/>
      <c r="E49" s="2277"/>
      <c r="F49" s="2277"/>
      <c r="G49" s="2277"/>
      <c r="H49" s="2277"/>
      <c r="I49" s="2277"/>
      <c r="J49" s="2277"/>
      <c r="K49" s="2277"/>
      <c r="L49" s="2277"/>
      <c r="M49" s="2277"/>
      <c r="N49" s="2277"/>
      <c r="O49" s="2277"/>
      <c r="P49" s="2277"/>
      <c r="Q49" s="2277"/>
    </row>
    <row r="50" spans="2:17" s="751" customFormat="1">
      <c r="B50" s="2277"/>
      <c r="C50" s="2277"/>
      <c r="D50" s="2277"/>
      <c r="E50" s="2277"/>
      <c r="F50" s="2277"/>
      <c r="G50" s="2277"/>
      <c r="H50" s="2277"/>
      <c r="I50" s="2277"/>
      <c r="J50" s="2277"/>
      <c r="K50" s="2277"/>
      <c r="L50" s="2277"/>
      <c r="M50" s="2277"/>
      <c r="N50" s="2277"/>
      <c r="O50" s="2277"/>
      <c r="P50" s="2277"/>
      <c r="Q50" s="2277"/>
    </row>
    <row r="51" spans="2:17" s="751" customFormat="1">
      <c r="B51" s="2277"/>
      <c r="C51" s="2277"/>
      <c r="D51" s="2277"/>
      <c r="E51" s="2277"/>
      <c r="F51" s="2277"/>
      <c r="G51" s="2277"/>
      <c r="H51" s="2277"/>
      <c r="I51" s="2277"/>
      <c r="J51" s="2277"/>
      <c r="K51" s="2277"/>
      <c r="L51" s="2277"/>
      <c r="M51" s="2277"/>
      <c r="N51" s="2277"/>
      <c r="O51" s="2277"/>
      <c r="P51" s="2277"/>
      <c r="Q51" s="2277"/>
    </row>
    <row r="52" spans="2:17" s="751" customFormat="1">
      <c r="B52" s="2277"/>
      <c r="C52" s="2277"/>
      <c r="D52" s="2277"/>
      <c r="E52" s="2277"/>
      <c r="F52" s="2277"/>
      <c r="G52" s="2277"/>
      <c r="H52" s="2277"/>
      <c r="I52" s="2277"/>
      <c r="J52" s="2277"/>
      <c r="K52" s="2277"/>
      <c r="L52" s="2277"/>
      <c r="M52" s="2277"/>
      <c r="N52" s="2277"/>
      <c r="O52" s="2277"/>
      <c r="P52" s="2277"/>
      <c r="Q52" s="2277"/>
    </row>
    <row r="53" spans="2:17" s="751" customFormat="1">
      <c r="B53" s="2277"/>
      <c r="C53" s="2277"/>
      <c r="D53" s="2277"/>
      <c r="E53" s="2277"/>
      <c r="F53" s="2277"/>
      <c r="G53" s="2277"/>
      <c r="H53" s="2277"/>
      <c r="I53" s="2277"/>
      <c r="J53" s="2277"/>
      <c r="K53" s="2277"/>
      <c r="L53" s="2277"/>
      <c r="M53" s="2277"/>
      <c r="N53" s="2277"/>
      <c r="O53" s="2277"/>
      <c r="P53" s="2277"/>
      <c r="Q53" s="2277"/>
    </row>
    <row r="54" spans="2:17" s="751" customFormat="1">
      <c r="B54" s="2277"/>
      <c r="C54" s="2277"/>
      <c r="D54" s="2277"/>
      <c r="E54" s="2277"/>
      <c r="F54" s="2277"/>
      <c r="G54" s="2277"/>
      <c r="H54" s="2277"/>
      <c r="I54" s="2277"/>
      <c r="J54" s="2277"/>
      <c r="K54" s="2277"/>
      <c r="L54" s="2277"/>
      <c r="M54" s="2277"/>
      <c r="N54" s="2277"/>
      <c r="O54" s="2277"/>
      <c r="P54" s="2277"/>
      <c r="Q54" s="2277"/>
    </row>
    <row r="55" spans="2:17" s="751" customFormat="1">
      <c r="B55" s="2277"/>
      <c r="C55" s="2277"/>
      <c r="D55" s="2277"/>
      <c r="E55" s="2277"/>
      <c r="F55" s="2277"/>
      <c r="G55" s="2277"/>
      <c r="H55" s="2277"/>
      <c r="I55" s="2277"/>
      <c r="J55" s="2277"/>
      <c r="K55" s="2277"/>
      <c r="L55" s="2277"/>
      <c r="M55" s="2277"/>
      <c r="N55" s="2277"/>
      <c r="O55" s="2277"/>
      <c r="P55" s="2277"/>
      <c r="Q55" s="2277"/>
    </row>
    <row r="56" spans="2:17" s="751" customFormat="1">
      <c r="B56" s="2277"/>
      <c r="C56" s="2277"/>
      <c r="D56" s="2277"/>
      <c r="E56" s="2277"/>
      <c r="F56" s="2277"/>
      <c r="G56" s="2277"/>
      <c r="H56" s="2277"/>
      <c r="I56" s="2277"/>
      <c r="J56" s="2277"/>
      <c r="K56" s="2277"/>
      <c r="L56" s="2277"/>
      <c r="M56" s="2277"/>
      <c r="N56" s="2277"/>
      <c r="O56" s="2277"/>
      <c r="P56" s="2277"/>
      <c r="Q56" s="2277"/>
    </row>
    <row r="57" spans="2:17" s="751" customFormat="1">
      <c r="B57" s="2277"/>
      <c r="C57" s="2277"/>
      <c r="D57" s="2277"/>
      <c r="E57" s="2277"/>
      <c r="F57" s="2277"/>
      <c r="G57" s="2277"/>
      <c r="H57" s="2277"/>
      <c r="I57" s="2277"/>
      <c r="J57" s="2277"/>
      <c r="K57" s="2277"/>
      <c r="L57" s="2277"/>
      <c r="M57" s="2277"/>
      <c r="N57" s="2277"/>
      <c r="O57" s="2277"/>
      <c r="P57" s="2277"/>
      <c r="Q57" s="2277"/>
    </row>
    <row r="58" spans="2:17" s="751" customFormat="1">
      <c r="B58" s="2277"/>
      <c r="C58" s="2277"/>
      <c r="D58" s="2277"/>
      <c r="E58" s="2277"/>
      <c r="F58" s="2277"/>
      <c r="G58" s="2277"/>
      <c r="H58" s="2277"/>
      <c r="I58" s="2277"/>
      <c r="J58" s="2277"/>
      <c r="K58" s="2277"/>
      <c r="L58" s="2277"/>
      <c r="M58" s="2277"/>
      <c r="N58" s="2277"/>
      <c r="O58" s="2277"/>
      <c r="P58" s="2277"/>
      <c r="Q58" s="2277"/>
    </row>
    <row r="59" spans="2:17" s="751" customFormat="1">
      <c r="B59" s="2277"/>
      <c r="C59" s="2277"/>
      <c r="D59" s="2277"/>
      <c r="E59" s="2277"/>
      <c r="F59" s="2277"/>
      <c r="G59" s="2277"/>
      <c r="H59" s="2277"/>
      <c r="I59" s="2277"/>
      <c r="J59" s="2277"/>
      <c r="K59" s="2277"/>
      <c r="L59" s="2277"/>
      <c r="M59" s="2277"/>
      <c r="N59" s="2277"/>
      <c r="O59" s="2277"/>
      <c r="P59" s="2277"/>
      <c r="Q59" s="2277"/>
    </row>
    <row r="60" spans="2:17" s="751" customFormat="1">
      <c r="B60" s="2277"/>
      <c r="C60" s="2277"/>
      <c r="D60" s="2277"/>
      <c r="E60" s="2277"/>
      <c r="F60" s="2277"/>
      <c r="G60" s="2277"/>
      <c r="H60" s="2277"/>
      <c r="I60" s="2277"/>
      <c r="J60" s="2277"/>
      <c r="K60" s="2277"/>
      <c r="L60" s="2277"/>
      <c r="M60" s="2277"/>
      <c r="N60" s="2277"/>
      <c r="O60" s="2277"/>
      <c r="P60" s="2277"/>
      <c r="Q60" s="2277"/>
    </row>
    <row r="61" spans="2:17" s="751" customFormat="1">
      <c r="B61" s="2277"/>
      <c r="C61" s="2277"/>
      <c r="D61" s="2277"/>
      <c r="E61" s="2277"/>
      <c r="F61" s="2277"/>
      <c r="G61" s="2277"/>
      <c r="H61" s="2277"/>
      <c r="I61" s="2277"/>
      <c r="J61" s="2277"/>
      <c r="K61" s="2277"/>
      <c r="L61" s="2277"/>
      <c r="M61" s="2277"/>
      <c r="N61" s="2277"/>
      <c r="O61" s="2277"/>
      <c r="P61" s="2277"/>
      <c r="Q61" s="2277"/>
    </row>
    <row r="62" spans="2:17" s="751" customFormat="1">
      <c r="B62" s="2277"/>
      <c r="C62" s="2277"/>
      <c r="D62" s="2277"/>
      <c r="E62" s="2277"/>
      <c r="F62" s="2277"/>
      <c r="G62" s="2277"/>
      <c r="H62" s="2277"/>
      <c r="I62" s="2277"/>
      <c r="J62" s="2277"/>
      <c r="K62" s="2277"/>
      <c r="L62" s="2277"/>
      <c r="M62" s="2277"/>
      <c r="N62" s="2277"/>
      <c r="O62" s="2277"/>
      <c r="P62" s="2277"/>
      <c r="Q62" s="2277"/>
    </row>
    <row r="63" spans="2:17" s="751" customFormat="1">
      <c r="B63" s="2277"/>
      <c r="C63" s="2277"/>
      <c r="D63" s="2277"/>
      <c r="E63" s="2277"/>
      <c r="F63" s="2277"/>
      <c r="G63" s="2277"/>
      <c r="H63" s="2277"/>
      <c r="I63" s="2277"/>
      <c r="J63" s="2277"/>
      <c r="K63" s="2277"/>
      <c r="L63" s="2277"/>
      <c r="M63" s="2277"/>
      <c r="N63" s="2277"/>
      <c r="O63" s="2277"/>
      <c r="P63" s="2277"/>
      <c r="Q63" s="2277"/>
    </row>
    <row r="64" spans="2:17" s="751" customFormat="1">
      <c r="B64" s="2277"/>
      <c r="C64" s="2277"/>
      <c r="D64" s="2277"/>
      <c r="E64" s="2277"/>
      <c r="F64" s="2277"/>
      <c r="G64" s="2277"/>
      <c r="H64" s="2277"/>
      <c r="I64" s="2277"/>
      <c r="J64" s="2277"/>
      <c r="K64" s="2277"/>
      <c r="L64" s="2277"/>
      <c r="M64" s="2277"/>
      <c r="N64" s="2277"/>
      <c r="O64" s="2277"/>
      <c r="P64" s="2277"/>
      <c r="Q64" s="2277"/>
    </row>
    <row r="65" spans="2:17" s="751" customFormat="1">
      <c r="B65" s="2277"/>
      <c r="C65" s="2277"/>
      <c r="D65" s="2277"/>
      <c r="E65" s="2277"/>
      <c r="F65" s="2277"/>
      <c r="G65" s="2277"/>
      <c r="H65" s="2277"/>
      <c r="I65" s="2277"/>
      <c r="J65" s="2277"/>
      <c r="K65" s="2277"/>
      <c r="L65" s="2277"/>
      <c r="M65" s="2277"/>
      <c r="N65" s="2277"/>
      <c r="O65" s="2277"/>
      <c r="P65" s="2277"/>
      <c r="Q65" s="2277"/>
    </row>
    <row r="66" spans="2:17" s="751" customFormat="1">
      <c r="B66" s="2277"/>
      <c r="C66" s="2277"/>
      <c r="D66" s="2277"/>
      <c r="E66" s="2277"/>
      <c r="F66" s="2277"/>
      <c r="G66" s="2277"/>
      <c r="H66" s="2277"/>
      <c r="I66" s="2277"/>
      <c r="J66" s="2277"/>
      <c r="K66" s="2277"/>
      <c r="L66" s="2277"/>
      <c r="M66" s="2277"/>
      <c r="N66" s="2277"/>
      <c r="O66" s="2277"/>
      <c r="P66" s="2277"/>
      <c r="Q66" s="2277"/>
    </row>
    <row r="67" spans="2:17" s="751" customFormat="1">
      <c r="B67" s="2277"/>
      <c r="C67" s="2277"/>
      <c r="D67" s="2277"/>
      <c r="E67" s="2277"/>
      <c r="F67" s="2277"/>
      <c r="G67" s="2277"/>
      <c r="H67" s="2277"/>
      <c r="I67" s="2277"/>
      <c r="J67" s="2277"/>
      <c r="K67" s="2277"/>
      <c r="L67" s="2277"/>
      <c r="M67" s="2277"/>
      <c r="N67" s="2277"/>
      <c r="O67" s="2277"/>
      <c r="P67" s="2277"/>
      <c r="Q67" s="2277"/>
    </row>
    <row r="68" spans="2:17" s="751" customFormat="1">
      <c r="B68" s="2277"/>
      <c r="C68" s="2277"/>
      <c r="D68" s="2277"/>
      <c r="E68" s="2277"/>
      <c r="F68" s="2277"/>
      <c r="G68" s="2277"/>
      <c r="H68" s="2277"/>
      <c r="I68" s="2277"/>
      <c r="J68" s="2277"/>
      <c r="K68" s="2277"/>
      <c r="L68" s="2277"/>
      <c r="M68" s="2277"/>
      <c r="N68" s="2277"/>
      <c r="O68" s="2277"/>
      <c r="P68" s="2277"/>
      <c r="Q68" s="2277"/>
    </row>
    <row r="69" spans="2:17" s="751" customFormat="1">
      <c r="B69" s="2277"/>
      <c r="C69" s="2277"/>
      <c r="D69" s="2277"/>
      <c r="E69" s="2277"/>
      <c r="F69" s="2277"/>
      <c r="G69" s="2277"/>
      <c r="H69" s="2277"/>
      <c r="I69" s="2277"/>
      <c r="J69" s="2277"/>
      <c r="K69" s="2277"/>
      <c r="L69" s="2277"/>
      <c r="M69" s="2277"/>
      <c r="N69" s="2277"/>
      <c r="O69" s="2277"/>
      <c r="P69" s="2277"/>
      <c r="Q69" s="2277"/>
    </row>
    <row r="70" spans="2:17" s="751" customFormat="1">
      <c r="B70" s="2277"/>
      <c r="C70" s="2277"/>
      <c r="D70" s="2277"/>
      <c r="E70" s="2277"/>
      <c r="F70" s="2277"/>
      <c r="G70" s="2277"/>
      <c r="H70" s="2277"/>
      <c r="I70" s="2277"/>
      <c r="J70" s="2277"/>
      <c r="K70" s="2277"/>
      <c r="L70" s="2277"/>
      <c r="M70" s="2277"/>
      <c r="N70" s="2277"/>
      <c r="O70" s="2277"/>
      <c r="P70" s="2277"/>
      <c r="Q70" s="2277"/>
    </row>
    <row r="71" spans="2:17" s="751" customFormat="1">
      <c r="B71" s="2277"/>
      <c r="C71" s="2277"/>
      <c r="D71" s="2277"/>
      <c r="E71" s="2277"/>
      <c r="F71" s="2277"/>
      <c r="G71" s="2277"/>
      <c r="H71" s="2277"/>
      <c r="I71" s="2277"/>
      <c r="J71" s="2277"/>
      <c r="K71" s="2277"/>
      <c r="L71" s="2277"/>
      <c r="M71" s="2277"/>
      <c r="N71" s="2277"/>
      <c r="O71" s="2277"/>
      <c r="P71" s="2277"/>
      <c r="Q71" s="2277"/>
    </row>
    <row r="72" spans="2:17" s="751" customFormat="1">
      <c r="B72" s="2277"/>
      <c r="C72" s="2277"/>
      <c r="D72" s="2277"/>
      <c r="E72" s="2277"/>
      <c r="F72" s="2277"/>
      <c r="G72" s="2277"/>
      <c r="H72" s="2277"/>
      <c r="I72" s="2277"/>
      <c r="J72" s="2277"/>
      <c r="K72" s="2277"/>
      <c r="L72" s="2277"/>
      <c r="M72" s="2277"/>
      <c r="N72" s="2277"/>
      <c r="O72" s="2277"/>
      <c r="P72" s="2277"/>
      <c r="Q72" s="2277"/>
    </row>
    <row r="73" spans="2:17" s="751" customFormat="1">
      <c r="B73" s="2277"/>
      <c r="C73" s="2277"/>
      <c r="D73" s="2277"/>
      <c r="E73" s="2277"/>
      <c r="F73" s="2277"/>
      <c r="G73" s="2277"/>
      <c r="H73" s="2277"/>
      <c r="I73" s="2277"/>
      <c r="J73" s="2277"/>
      <c r="K73" s="2277"/>
      <c r="L73" s="2277"/>
      <c r="M73" s="2277"/>
      <c r="N73" s="2277"/>
      <c r="O73" s="2277"/>
      <c r="P73" s="2277"/>
      <c r="Q73" s="2277"/>
    </row>
    <row r="74" spans="2:17" s="751" customFormat="1">
      <c r="B74" s="2277"/>
      <c r="C74" s="2277"/>
      <c r="D74" s="2277"/>
      <c r="E74" s="2277"/>
      <c r="F74" s="2277"/>
      <c r="G74" s="2277"/>
      <c r="H74" s="2277"/>
      <c r="I74" s="2277"/>
      <c r="J74" s="2277"/>
      <c r="K74" s="2277"/>
      <c r="L74" s="2277"/>
      <c r="M74" s="2277"/>
      <c r="N74" s="2277"/>
      <c r="O74" s="2277"/>
      <c r="P74" s="2277"/>
      <c r="Q74" s="2277"/>
    </row>
    <row r="75" spans="2:17" s="751" customFormat="1">
      <c r="B75" s="2277"/>
      <c r="C75" s="2277"/>
      <c r="D75" s="2277"/>
      <c r="E75" s="2277"/>
      <c r="F75" s="2277"/>
      <c r="G75" s="2277"/>
      <c r="H75" s="2277"/>
      <c r="I75" s="2277"/>
      <c r="J75" s="2277"/>
      <c r="K75" s="2277"/>
      <c r="L75" s="2277"/>
      <c r="M75" s="2277"/>
      <c r="N75" s="2277"/>
      <c r="O75" s="2277"/>
      <c r="P75" s="2277"/>
      <c r="Q75" s="2277"/>
    </row>
    <row r="76" spans="2:17" s="751" customFormat="1">
      <c r="B76" s="2277"/>
      <c r="C76" s="2277"/>
      <c r="D76" s="2277"/>
      <c r="E76" s="2277"/>
      <c r="F76" s="2277"/>
      <c r="G76" s="2277"/>
      <c r="H76" s="2277"/>
      <c r="I76" s="2277"/>
      <c r="J76" s="2277"/>
      <c r="K76" s="2277"/>
      <c r="L76" s="2277"/>
      <c r="M76" s="2277"/>
      <c r="N76" s="2277"/>
      <c r="O76" s="2277"/>
      <c r="P76" s="2277"/>
      <c r="Q76" s="2277"/>
    </row>
    <row r="77" spans="2:17" s="751" customFormat="1">
      <c r="B77" s="2277"/>
      <c r="C77" s="2277"/>
      <c r="D77" s="2277"/>
      <c r="E77" s="2277"/>
      <c r="F77" s="2277"/>
      <c r="G77" s="2277"/>
      <c r="H77" s="2277"/>
      <c r="I77" s="2277"/>
      <c r="J77" s="2277"/>
      <c r="K77" s="2277"/>
      <c r="L77" s="2277"/>
      <c r="M77" s="2277"/>
      <c r="N77" s="2277"/>
      <c r="O77" s="2277"/>
      <c r="P77" s="2277"/>
      <c r="Q77" s="2277"/>
    </row>
    <row r="78" spans="2:17" s="751" customFormat="1">
      <c r="B78" s="2277"/>
      <c r="C78" s="2277"/>
      <c r="D78" s="2277"/>
      <c r="E78" s="2277"/>
      <c r="F78" s="2277"/>
      <c r="G78" s="2277"/>
      <c r="H78" s="2277"/>
      <c r="I78" s="2277"/>
      <c r="J78" s="2277"/>
      <c r="K78" s="2277"/>
      <c r="L78" s="2277"/>
      <c r="M78" s="2277"/>
      <c r="N78" s="2277"/>
      <c r="O78" s="2277"/>
      <c r="P78" s="2277"/>
      <c r="Q78" s="2277"/>
    </row>
    <row r="79" spans="2:17" s="751" customFormat="1">
      <c r="B79" s="2277"/>
      <c r="C79" s="2277"/>
      <c r="D79" s="2277"/>
      <c r="E79" s="2277"/>
      <c r="F79" s="2277"/>
      <c r="G79" s="2277"/>
      <c r="H79" s="2277"/>
      <c r="I79" s="2277"/>
      <c r="J79" s="2277"/>
      <c r="K79" s="2277"/>
      <c r="L79" s="2277"/>
      <c r="M79" s="2277"/>
      <c r="N79" s="2277"/>
      <c r="O79" s="2277"/>
      <c r="P79" s="2277"/>
      <c r="Q79" s="2277"/>
    </row>
    <row r="80" spans="2:17" s="751" customFormat="1">
      <c r="B80" s="2277"/>
      <c r="C80" s="2277"/>
      <c r="D80" s="2277"/>
      <c r="E80" s="2277"/>
      <c r="F80" s="2277"/>
      <c r="G80" s="2277"/>
      <c r="H80" s="2277"/>
      <c r="I80" s="2277"/>
      <c r="J80" s="2277"/>
      <c r="K80" s="2277"/>
      <c r="L80" s="2277"/>
      <c r="M80" s="2277"/>
      <c r="N80" s="2277"/>
      <c r="O80" s="2277"/>
      <c r="P80" s="2277"/>
      <c r="Q80" s="2277"/>
    </row>
    <row r="81" spans="2:17" s="751" customFormat="1">
      <c r="B81" s="2277"/>
      <c r="C81" s="2277"/>
      <c r="D81" s="2277"/>
      <c r="E81" s="2277"/>
      <c r="F81" s="2277"/>
      <c r="G81" s="2277"/>
      <c r="H81" s="2277"/>
      <c r="I81" s="2277"/>
      <c r="J81" s="2277"/>
      <c r="K81" s="2277"/>
      <c r="L81" s="2277"/>
      <c r="M81" s="2277"/>
      <c r="N81" s="2277"/>
      <c r="O81" s="2277"/>
      <c r="P81" s="2277"/>
      <c r="Q81" s="2277"/>
    </row>
    <row r="82" spans="2:17" s="751" customFormat="1">
      <c r="B82" s="2277"/>
      <c r="C82" s="2277"/>
      <c r="D82" s="2277"/>
      <c r="E82" s="2277"/>
      <c r="F82" s="2277"/>
      <c r="G82" s="2277"/>
      <c r="H82" s="2277"/>
      <c r="I82" s="2277"/>
      <c r="J82" s="2277"/>
      <c r="K82" s="2277"/>
      <c r="L82" s="2277"/>
      <c r="M82" s="2277"/>
      <c r="N82" s="2277"/>
      <c r="O82" s="2277"/>
      <c r="P82" s="2277"/>
      <c r="Q82" s="2277"/>
    </row>
    <row r="83" spans="2:17" s="751" customFormat="1">
      <c r="B83" s="2277"/>
      <c r="C83" s="2277"/>
      <c r="D83" s="2277"/>
      <c r="E83" s="2277"/>
      <c r="F83" s="2277"/>
      <c r="G83" s="2277"/>
      <c r="H83" s="2277"/>
      <c r="I83" s="2277"/>
      <c r="J83" s="2277"/>
      <c r="K83" s="2277"/>
      <c r="L83" s="2277"/>
      <c r="M83" s="2277"/>
      <c r="N83" s="2277"/>
      <c r="O83" s="2277"/>
      <c r="P83" s="2277"/>
      <c r="Q83" s="2277"/>
    </row>
    <row r="84" spans="2:17" s="751" customFormat="1">
      <c r="B84" s="2277"/>
      <c r="C84" s="2277"/>
      <c r="D84" s="2277"/>
      <c r="E84" s="2277"/>
      <c r="F84" s="2277"/>
      <c r="G84" s="2277"/>
      <c r="H84" s="2277"/>
      <c r="I84" s="2277"/>
      <c r="J84" s="2277"/>
      <c r="K84" s="2277"/>
      <c r="L84" s="2277"/>
      <c r="M84" s="2277"/>
      <c r="N84" s="2277"/>
      <c r="O84" s="2277"/>
      <c r="P84" s="2277"/>
      <c r="Q84" s="2277"/>
    </row>
    <row r="85" spans="2:17" s="751" customFormat="1">
      <c r="B85" s="2277"/>
      <c r="C85" s="2277"/>
      <c r="D85" s="2277"/>
      <c r="E85" s="2277"/>
      <c r="F85" s="2277"/>
      <c r="G85" s="2277"/>
      <c r="H85" s="2277"/>
      <c r="I85" s="2277"/>
      <c r="J85" s="2277"/>
      <c r="K85" s="2277"/>
      <c r="L85" s="2277"/>
      <c r="M85" s="2277"/>
      <c r="N85" s="2277"/>
      <c r="O85" s="2277"/>
      <c r="P85" s="2277"/>
      <c r="Q85" s="2277"/>
    </row>
    <row r="86" spans="2:17" s="751" customFormat="1">
      <c r="B86" s="2277"/>
      <c r="C86" s="2277"/>
      <c r="D86" s="2277"/>
      <c r="E86" s="2277"/>
      <c r="F86" s="2277"/>
      <c r="G86" s="2277"/>
      <c r="H86" s="2277"/>
      <c r="I86" s="2277"/>
      <c r="J86" s="2277"/>
      <c r="K86" s="2277"/>
      <c r="L86" s="2277"/>
      <c r="M86" s="2277"/>
      <c r="N86" s="2277"/>
      <c r="O86" s="2277"/>
      <c r="P86" s="2277"/>
      <c r="Q86" s="2277"/>
    </row>
    <row r="87" spans="2:17" s="751" customFormat="1">
      <c r="B87" s="2277"/>
      <c r="C87" s="2277"/>
      <c r="D87" s="2277"/>
      <c r="E87" s="2277"/>
      <c r="F87" s="2277"/>
      <c r="G87" s="2277"/>
      <c r="H87" s="2277"/>
      <c r="I87" s="2277"/>
      <c r="J87" s="2277"/>
      <c r="K87" s="2277"/>
      <c r="L87" s="2277"/>
      <c r="M87" s="2277"/>
      <c r="N87" s="2277"/>
      <c r="O87" s="2277"/>
      <c r="P87" s="2277"/>
      <c r="Q87" s="2277"/>
    </row>
    <row r="88" spans="2:17" s="751" customFormat="1">
      <c r="B88" s="2277"/>
      <c r="C88" s="2277"/>
      <c r="D88" s="2277"/>
      <c r="E88" s="2277"/>
      <c r="F88" s="2277"/>
      <c r="G88" s="2277"/>
      <c r="H88" s="2277"/>
      <c r="I88" s="2277"/>
      <c r="J88" s="2277"/>
      <c r="K88" s="2277"/>
      <c r="L88" s="2277"/>
      <c r="M88" s="2277"/>
      <c r="N88" s="2277"/>
      <c r="O88" s="2277"/>
      <c r="P88" s="2277"/>
      <c r="Q88" s="2277"/>
    </row>
    <row r="89" spans="2:17" s="751" customFormat="1">
      <c r="B89" s="2277"/>
      <c r="C89" s="2277"/>
      <c r="D89" s="2277"/>
      <c r="E89" s="2277"/>
      <c r="F89" s="2277"/>
      <c r="G89" s="2277"/>
      <c r="H89" s="2277"/>
      <c r="I89" s="2277"/>
      <c r="J89" s="2277"/>
      <c r="K89" s="2277"/>
      <c r="L89" s="2277"/>
      <c r="M89" s="2277"/>
      <c r="N89" s="2277"/>
      <c r="O89" s="2277"/>
      <c r="P89" s="2277"/>
      <c r="Q89" s="2277"/>
    </row>
    <row r="90" spans="2:17" s="751" customFormat="1">
      <c r="B90" s="2277"/>
      <c r="C90" s="2277"/>
      <c r="D90" s="2277"/>
      <c r="E90" s="2277"/>
      <c r="F90" s="2277"/>
      <c r="G90" s="2277"/>
      <c r="H90" s="2277"/>
      <c r="I90" s="2277"/>
      <c r="J90" s="2277"/>
      <c r="K90" s="2277"/>
      <c r="L90" s="2277"/>
      <c r="M90" s="2277"/>
      <c r="N90" s="2277"/>
      <c r="O90" s="2277"/>
      <c r="P90" s="2277"/>
      <c r="Q90" s="2277"/>
    </row>
    <row r="91" spans="2:17" s="751" customFormat="1">
      <c r="B91" s="2277"/>
      <c r="C91" s="2277"/>
      <c r="D91" s="2277"/>
      <c r="E91" s="2277"/>
      <c r="F91" s="2277"/>
      <c r="G91" s="2277"/>
      <c r="H91" s="2277"/>
      <c r="I91" s="2277"/>
      <c r="J91" s="2277"/>
      <c r="K91" s="2277"/>
      <c r="L91" s="2277"/>
      <c r="M91" s="2277"/>
      <c r="N91" s="2277"/>
      <c r="O91" s="2277"/>
      <c r="P91" s="2277"/>
      <c r="Q91" s="2277"/>
    </row>
    <row r="92" spans="2:17" s="751" customFormat="1">
      <c r="B92" s="2277"/>
      <c r="C92" s="2277"/>
      <c r="D92" s="2277"/>
      <c r="E92" s="2277"/>
      <c r="F92" s="2277"/>
      <c r="G92" s="2277"/>
      <c r="H92" s="2277"/>
      <c r="I92" s="2277"/>
      <c r="J92" s="2277"/>
      <c r="K92" s="2277"/>
      <c r="L92" s="2277"/>
      <c r="M92" s="2277"/>
      <c r="N92" s="2277"/>
      <c r="O92" s="2277"/>
      <c r="P92" s="2277"/>
      <c r="Q92" s="2277"/>
    </row>
    <row r="93" spans="2:17" s="751" customFormat="1">
      <c r="B93" s="2277"/>
      <c r="C93" s="2277"/>
      <c r="D93" s="2277"/>
      <c r="E93" s="2277"/>
      <c r="F93" s="2277"/>
      <c r="G93" s="2277"/>
      <c r="H93" s="2277"/>
      <c r="I93" s="2277"/>
      <c r="J93" s="2277"/>
      <c r="K93" s="2277"/>
      <c r="L93" s="2277"/>
      <c r="M93" s="2277"/>
      <c r="N93" s="2277"/>
      <c r="O93" s="2277"/>
      <c r="P93" s="2277"/>
      <c r="Q93" s="2277"/>
    </row>
    <row r="94" spans="2:17" s="751" customFormat="1">
      <c r="B94" s="2277"/>
      <c r="C94" s="2277"/>
      <c r="D94" s="2277"/>
      <c r="E94" s="2277"/>
      <c r="F94" s="2277"/>
      <c r="G94" s="2277"/>
      <c r="H94" s="2277"/>
      <c r="I94" s="2277"/>
      <c r="J94" s="2277"/>
      <c r="K94" s="2277"/>
      <c r="L94" s="2277"/>
      <c r="M94" s="2277"/>
      <c r="N94" s="2277"/>
      <c r="O94" s="2277"/>
      <c r="P94" s="2277"/>
      <c r="Q94" s="2277"/>
    </row>
    <row r="95" spans="2:17" s="751" customFormat="1">
      <c r="B95" s="2277"/>
      <c r="C95" s="2277"/>
      <c r="D95" s="2277"/>
      <c r="E95" s="2277"/>
      <c r="F95" s="2277"/>
      <c r="G95" s="2277"/>
      <c r="H95" s="2277"/>
      <c r="I95" s="2277"/>
      <c r="J95" s="2277"/>
      <c r="K95" s="2277"/>
      <c r="L95" s="2277"/>
      <c r="M95" s="2277"/>
      <c r="N95" s="2277"/>
      <c r="O95" s="2277"/>
      <c r="P95" s="2277"/>
      <c r="Q95" s="2277"/>
    </row>
    <row r="96" spans="2:17" s="751" customFormat="1">
      <c r="B96" s="2277"/>
      <c r="C96" s="2277"/>
      <c r="D96" s="2277"/>
      <c r="E96" s="2277"/>
      <c r="F96" s="2277"/>
      <c r="G96" s="2277"/>
      <c r="H96" s="2277"/>
      <c r="I96" s="2277"/>
      <c r="J96" s="2277"/>
      <c r="K96" s="2277"/>
      <c r="L96" s="2277"/>
      <c r="M96" s="2277"/>
      <c r="N96" s="2277"/>
      <c r="O96" s="2277"/>
      <c r="P96" s="2277"/>
      <c r="Q96" s="2277"/>
    </row>
    <row r="97" spans="2:17" s="751" customFormat="1">
      <c r="B97" s="2277"/>
      <c r="C97" s="2277"/>
      <c r="D97" s="2277"/>
      <c r="E97" s="2277"/>
      <c r="F97" s="2277"/>
      <c r="G97" s="2277"/>
      <c r="H97" s="2277"/>
      <c r="I97" s="2277"/>
      <c r="J97" s="2277"/>
      <c r="K97" s="2277"/>
      <c r="L97" s="2277"/>
      <c r="M97" s="2277"/>
      <c r="N97" s="2277"/>
      <c r="O97" s="2277"/>
      <c r="P97" s="2277"/>
      <c r="Q97" s="2277"/>
    </row>
    <row r="98" spans="2:17" s="751" customFormat="1">
      <c r="B98" s="2277"/>
      <c r="C98" s="2277"/>
      <c r="D98" s="2277"/>
      <c r="E98" s="2277"/>
      <c r="F98" s="2277"/>
      <c r="G98" s="2277"/>
      <c r="H98" s="2277"/>
      <c r="I98" s="2277"/>
      <c r="J98" s="2277"/>
      <c r="K98" s="2277"/>
      <c r="L98" s="2277"/>
      <c r="M98" s="2277"/>
      <c r="N98" s="2277"/>
      <c r="O98" s="2277"/>
      <c r="P98" s="2277"/>
      <c r="Q98" s="2277"/>
    </row>
    <row r="99" spans="2:17" s="751" customFormat="1">
      <c r="B99" s="2277"/>
      <c r="C99" s="2277"/>
      <c r="D99" s="2277"/>
      <c r="E99" s="2277"/>
      <c r="F99" s="2277"/>
      <c r="G99" s="2277"/>
      <c r="H99" s="2277"/>
      <c r="I99" s="2277"/>
      <c r="J99" s="2277"/>
      <c r="K99" s="2277"/>
      <c r="L99" s="2277"/>
      <c r="M99" s="2277"/>
      <c r="N99" s="2277"/>
      <c r="O99" s="2277"/>
      <c r="P99" s="2277"/>
      <c r="Q99" s="2277"/>
    </row>
    <row r="100" spans="2:17" s="751" customFormat="1">
      <c r="B100" s="2277"/>
      <c r="C100" s="2277"/>
      <c r="D100" s="2277"/>
      <c r="E100" s="2277"/>
      <c r="F100" s="2277"/>
      <c r="G100" s="2277"/>
      <c r="H100" s="2277"/>
      <c r="I100" s="2277"/>
      <c r="J100" s="2277"/>
      <c r="K100" s="2277"/>
      <c r="L100" s="2277"/>
      <c r="M100" s="2277"/>
      <c r="N100" s="2277"/>
      <c r="O100" s="2277"/>
      <c r="P100" s="2277"/>
      <c r="Q100" s="2277"/>
    </row>
    <row r="101" spans="2:17" s="751" customFormat="1">
      <c r="B101" s="2277"/>
      <c r="C101" s="2277"/>
      <c r="D101" s="2277"/>
      <c r="E101" s="2277"/>
      <c r="F101" s="2277"/>
      <c r="G101" s="2277"/>
      <c r="H101" s="2277"/>
      <c r="I101" s="2277"/>
      <c r="J101" s="2277"/>
      <c r="K101" s="2277"/>
      <c r="L101" s="2277"/>
      <c r="M101" s="2277"/>
      <c r="N101" s="2277"/>
      <c r="O101" s="2277"/>
      <c r="P101" s="2277"/>
      <c r="Q101" s="2277"/>
    </row>
    <row r="102" spans="2:17" s="751" customFormat="1">
      <c r="B102" s="2277"/>
      <c r="C102" s="2277"/>
      <c r="D102" s="2277"/>
      <c r="E102" s="2277"/>
      <c r="F102" s="2277"/>
      <c r="G102" s="2277"/>
      <c r="H102" s="2277"/>
      <c r="I102" s="2277"/>
      <c r="J102" s="2277"/>
      <c r="K102" s="2277"/>
      <c r="L102" s="2277"/>
      <c r="M102" s="2277"/>
      <c r="N102" s="2277"/>
      <c r="O102" s="2277"/>
      <c r="P102" s="2277"/>
      <c r="Q102" s="2277"/>
    </row>
    <row r="103" spans="2:17" s="751" customFormat="1">
      <c r="B103" s="2277"/>
      <c r="C103" s="2277"/>
      <c r="D103" s="2277"/>
      <c r="E103" s="2277"/>
      <c r="F103" s="2277"/>
      <c r="G103" s="2277"/>
      <c r="H103" s="2277"/>
      <c r="I103" s="2277"/>
      <c r="J103" s="2277"/>
      <c r="K103" s="2277"/>
      <c r="L103" s="2277"/>
      <c r="M103" s="2277"/>
      <c r="N103" s="2277"/>
      <c r="O103" s="2277"/>
      <c r="P103" s="2277"/>
      <c r="Q103" s="2277"/>
    </row>
    <row r="104" spans="2:17" s="751" customFormat="1">
      <c r="B104" s="2277"/>
      <c r="C104" s="2277"/>
      <c r="D104" s="2277"/>
      <c r="E104" s="2277"/>
      <c r="F104" s="2277"/>
      <c r="G104" s="2277"/>
      <c r="H104" s="2277"/>
      <c r="I104" s="2277"/>
      <c r="J104" s="2277"/>
      <c r="K104" s="2277"/>
      <c r="L104" s="2277"/>
      <c r="M104" s="2277"/>
      <c r="N104" s="2277"/>
      <c r="O104" s="2277"/>
      <c r="P104" s="2277"/>
      <c r="Q104" s="2277"/>
    </row>
    <row r="105" spans="2:17" s="751" customFormat="1">
      <c r="B105" s="2277"/>
      <c r="C105" s="2277"/>
      <c r="D105" s="2277"/>
      <c r="E105" s="2277"/>
      <c r="F105" s="2277"/>
      <c r="G105" s="2277"/>
      <c r="H105" s="2277"/>
      <c r="I105" s="2277"/>
      <c r="J105" s="2277"/>
      <c r="K105" s="2277"/>
      <c r="L105" s="2277"/>
      <c r="M105" s="2277"/>
      <c r="N105" s="2277"/>
      <c r="O105" s="2277"/>
      <c r="P105" s="2277"/>
      <c r="Q105" s="2277"/>
    </row>
    <row r="106" spans="2:17" s="751" customFormat="1">
      <c r="B106" s="2277"/>
      <c r="C106" s="2277"/>
      <c r="D106" s="2277"/>
      <c r="E106" s="2277"/>
      <c r="F106" s="2277"/>
      <c r="G106" s="2277"/>
      <c r="H106" s="2277"/>
      <c r="I106" s="2277"/>
      <c r="J106" s="2277"/>
      <c r="K106" s="2277"/>
      <c r="L106" s="2277"/>
      <c r="M106" s="2277"/>
      <c r="N106" s="2277"/>
      <c r="O106" s="2277"/>
      <c r="P106" s="2277"/>
      <c r="Q106" s="2277"/>
    </row>
    <row r="107" spans="2:17" s="751" customFormat="1">
      <c r="B107" s="2277"/>
      <c r="C107" s="2277"/>
      <c r="D107" s="2277"/>
      <c r="E107" s="2277"/>
      <c r="F107" s="2277"/>
      <c r="G107" s="2277"/>
      <c r="H107" s="2277"/>
      <c r="I107" s="2277"/>
      <c r="J107" s="2277"/>
      <c r="K107" s="2277"/>
      <c r="L107" s="2277"/>
      <c r="M107" s="2277"/>
      <c r="N107" s="2277"/>
      <c r="O107" s="2277"/>
      <c r="P107" s="2277"/>
      <c r="Q107" s="2277"/>
    </row>
    <row r="108" spans="2:17" s="751" customFormat="1">
      <c r="B108" s="2277"/>
      <c r="C108" s="2277"/>
      <c r="D108" s="2277"/>
      <c r="E108" s="2277"/>
      <c r="F108" s="2277"/>
      <c r="G108" s="2277"/>
      <c r="H108" s="2277"/>
      <c r="I108" s="2277"/>
      <c r="J108" s="2277"/>
      <c r="K108" s="2277"/>
      <c r="L108" s="2277"/>
      <c r="M108" s="2277"/>
      <c r="N108" s="2277"/>
      <c r="O108" s="2277"/>
      <c r="P108" s="2277"/>
      <c r="Q108" s="2277"/>
    </row>
    <row r="109" spans="2:17" s="751" customFormat="1">
      <c r="B109" s="2277"/>
      <c r="C109" s="2277"/>
      <c r="D109" s="2277"/>
      <c r="E109" s="2277"/>
      <c r="F109" s="2277"/>
      <c r="G109" s="2277"/>
      <c r="H109" s="2277"/>
      <c r="I109" s="2277"/>
      <c r="J109" s="2277"/>
      <c r="K109" s="2277"/>
      <c r="L109" s="2277"/>
      <c r="M109" s="2277"/>
      <c r="N109" s="2277"/>
      <c r="O109" s="2277"/>
      <c r="P109" s="2277"/>
      <c r="Q109" s="2277"/>
    </row>
    <row r="110" spans="2:17" s="751" customFormat="1">
      <c r="B110" s="2277"/>
      <c r="C110" s="2277"/>
      <c r="D110" s="2277"/>
      <c r="E110" s="2277"/>
      <c r="F110" s="2277"/>
      <c r="G110" s="2277"/>
      <c r="H110" s="2277"/>
      <c r="I110" s="2277"/>
      <c r="J110" s="2277"/>
      <c r="K110" s="2277"/>
      <c r="L110" s="2277"/>
      <c r="M110" s="2277"/>
      <c r="N110" s="2277"/>
      <c r="O110" s="2277"/>
      <c r="P110" s="2277"/>
      <c r="Q110" s="2277"/>
    </row>
    <row r="111" spans="2:17" s="751" customFormat="1">
      <c r="B111" s="2277"/>
      <c r="C111" s="2277"/>
      <c r="D111" s="2277"/>
      <c r="E111" s="2277"/>
      <c r="F111" s="2277"/>
      <c r="G111" s="2277"/>
      <c r="H111" s="2277"/>
      <c r="I111" s="2277"/>
      <c r="J111" s="2277"/>
      <c r="K111" s="2277"/>
      <c r="L111" s="2277"/>
      <c r="M111" s="2277"/>
      <c r="N111" s="2277"/>
      <c r="O111" s="2277"/>
      <c r="P111" s="2277"/>
      <c r="Q111" s="2277"/>
    </row>
    <row r="112" spans="2:17" s="751" customFormat="1">
      <c r="B112" s="2277"/>
      <c r="C112" s="2277"/>
      <c r="D112" s="2277"/>
      <c r="E112" s="2277"/>
      <c r="F112" s="2277"/>
      <c r="G112" s="2277"/>
      <c r="H112" s="2277"/>
      <c r="I112" s="2277"/>
      <c r="J112" s="2277"/>
      <c r="K112" s="2277"/>
      <c r="L112" s="2277"/>
      <c r="M112" s="2277"/>
      <c r="N112" s="2277"/>
      <c r="O112" s="2277"/>
      <c r="P112" s="2277"/>
      <c r="Q112" s="2277"/>
    </row>
    <row r="113" spans="2:17" s="751" customFormat="1">
      <c r="B113" s="2277"/>
      <c r="C113" s="2277"/>
      <c r="D113" s="2277"/>
      <c r="E113" s="2277"/>
      <c r="F113" s="2277"/>
      <c r="G113" s="2277"/>
      <c r="H113" s="2277"/>
      <c r="I113" s="2277"/>
      <c r="J113" s="2277"/>
      <c r="K113" s="2277"/>
      <c r="L113" s="2277"/>
      <c r="M113" s="2277"/>
      <c r="N113" s="2277"/>
      <c r="O113" s="2277"/>
      <c r="P113" s="2277"/>
      <c r="Q113" s="2277"/>
    </row>
    <row r="114" spans="2:17" s="751" customFormat="1">
      <c r="B114" s="2277"/>
      <c r="C114" s="2277"/>
      <c r="D114" s="2277"/>
      <c r="E114" s="2277"/>
      <c r="F114" s="2277"/>
      <c r="G114" s="2277"/>
      <c r="H114" s="2277"/>
      <c r="I114" s="2277"/>
      <c r="J114" s="2277"/>
      <c r="K114" s="2277"/>
      <c r="L114" s="2277"/>
      <c r="M114" s="2277"/>
      <c r="N114" s="2277"/>
      <c r="O114" s="2277"/>
      <c r="P114" s="2277"/>
      <c r="Q114" s="2277"/>
    </row>
    <row r="115" spans="2:17" s="751" customFormat="1">
      <c r="B115" s="2277"/>
      <c r="C115" s="2277"/>
      <c r="D115" s="2277"/>
      <c r="E115" s="2277"/>
      <c r="F115" s="2277"/>
      <c r="G115" s="2277"/>
      <c r="H115" s="2277"/>
      <c r="I115" s="2277"/>
      <c r="J115" s="2277"/>
      <c r="K115" s="2277"/>
      <c r="L115" s="2277"/>
      <c r="M115" s="2277"/>
      <c r="N115" s="2277"/>
      <c r="O115" s="2277"/>
      <c r="P115" s="2277"/>
      <c r="Q115" s="2277"/>
    </row>
    <row r="116" spans="2:17" s="751" customFormat="1">
      <c r="B116" s="2277"/>
      <c r="C116" s="2277"/>
      <c r="D116" s="2277"/>
      <c r="E116" s="2277"/>
      <c r="F116" s="2277"/>
      <c r="G116" s="2277"/>
      <c r="H116" s="2277"/>
      <c r="I116" s="2277"/>
      <c r="J116" s="2277"/>
      <c r="K116" s="2277"/>
      <c r="L116" s="2277"/>
      <c r="M116" s="2277"/>
      <c r="N116" s="2277"/>
      <c r="O116" s="2277"/>
      <c r="P116" s="2277"/>
      <c r="Q116" s="2277"/>
    </row>
    <row r="117" spans="2:17" s="751" customFormat="1">
      <c r="B117" s="2277"/>
      <c r="C117" s="2277"/>
      <c r="D117" s="2277"/>
      <c r="E117" s="2277"/>
      <c r="F117" s="2277"/>
      <c r="G117" s="2277"/>
      <c r="H117" s="2277"/>
      <c r="I117" s="2277"/>
      <c r="J117" s="2277"/>
      <c r="K117" s="2277"/>
      <c r="L117" s="2277"/>
      <c r="M117" s="2277"/>
      <c r="N117" s="2277"/>
      <c r="O117" s="2277"/>
      <c r="P117" s="2277"/>
      <c r="Q117" s="2277"/>
    </row>
    <row r="118" spans="2:17" s="751" customFormat="1">
      <c r="B118" s="2277"/>
      <c r="C118" s="2277"/>
      <c r="D118" s="2277"/>
      <c r="E118" s="2277"/>
      <c r="F118" s="2277"/>
      <c r="G118" s="2277"/>
      <c r="H118" s="2277"/>
      <c r="I118" s="2277"/>
      <c r="J118" s="2277"/>
      <c r="K118" s="2277"/>
      <c r="L118" s="2277"/>
      <c r="M118" s="2277"/>
      <c r="N118" s="2277"/>
      <c r="O118" s="2277"/>
      <c r="P118" s="2277"/>
      <c r="Q118" s="2277"/>
    </row>
    <row r="119" spans="2:17" s="751" customFormat="1">
      <c r="B119" s="2277"/>
      <c r="C119" s="2277"/>
      <c r="D119" s="2277"/>
      <c r="E119" s="2277"/>
      <c r="F119" s="2277"/>
      <c r="G119" s="2277"/>
      <c r="H119" s="2277"/>
      <c r="I119" s="2277"/>
      <c r="J119" s="2277"/>
      <c r="K119" s="2277"/>
      <c r="L119" s="2277"/>
      <c r="M119" s="2277"/>
      <c r="N119" s="2277"/>
      <c r="O119" s="2277"/>
      <c r="P119" s="2277"/>
      <c r="Q119" s="2277"/>
    </row>
    <row r="120" spans="2:17" s="751" customFormat="1">
      <c r="B120" s="2277"/>
      <c r="C120" s="2277"/>
      <c r="D120" s="2277"/>
      <c r="E120" s="2277"/>
      <c r="F120" s="2277"/>
      <c r="G120" s="2277"/>
      <c r="H120" s="2277"/>
      <c r="I120" s="2277"/>
      <c r="J120" s="2277"/>
      <c r="K120" s="2277"/>
      <c r="L120" s="2277"/>
      <c r="M120" s="2277"/>
      <c r="N120" s="2277"/>
      <c r="O120" s="2277"/>
      <c r="P120" s="2277"/>
      <c r="Q120" s="2277"/>
    </row>
    <row r="121" spans="2:17" s="751" customFormat="1">
      <c r="B121" s="2277"/>
      <c r="C121" s="2277"/>
      <c r="D121" s="2277"/>
      <c r="E121" s="2277"/>
      <c r="F121" s="2277"/>
      <c r="G121" s="2277"/>
      <c r="H121" s="2277"/>
      <c r="I121" s="2277"/>
      <c r="J121" s="2277"/>
      <c r="K121" s="2277"/>
      <c r="L121" s="2277"/>
      <c r="M121" s="2277"/>
      <c r="N121" s="2277"/>
      <c r="O121" s="2277"/>
      <c r="P121" s="2277"/>
      <c r="Q121" s="2277"/>
    </row>
    <row r="122" spans="2:17" s="751" customFormat="1">
      <c r="B122" s="2277"/>
      <c r="C122" s="2277"/>
      <c r="D122" s="2277"/>
      <c r="E122" s="2277"/>
      <c r="F122" s="2277"/>
      <c r="G122" s="2277"/>
      <c r="H122" s="2277"/>
      <c r="I122" s="2277"/>
      <c r="J122" s="2277"/>
      <c r="K122" s="2277"/>
      <c r="L122" s="2277"/>
      <c r="M122" s="2277"/>
      <c r="N122" s="2277"/>
      <c r="O122" s="2277"/>
      <c r="P122" s="2277"/>
      <c r="Q122" s="2277"/>
    </row>
    <row r="123" spans="2:17" s="751" customFormat="1">
      <c r="B123" s="2277"/>
      <c r="C123" s="2277"/>
      <c r="D123" s="2277"/>
      <c r="E123" s="2277"/>
      <c r="F123" s="2277"/>
      <c r="G123" s="2277"/>
      <c r="H123" s="2277"/>
      <c r="I123" s="2277"/>
      <c r="J123" s="2277"/>
      <c r="K123" s="2277"/>
      <c r="L123" s="2277"/>
      <c r="M123" s="2277"/>
      <c r="N123" s="2277"/>
      <c r="O123" s="2277"/>
      <c r="P123" s="2277"/>
      <c r="Q123" s="2277"/>
    </row>
    <row r="124" spans="2:17" s="751" customFormat="1">
      <c r="B124" s="2277"/>
      <c r="C124" s="2277"/>
      <c r="D124" s="2277"/>
      <c r="E124" s="2277"/>
      <c r="F124" s="2277"/>
      <c r="G124" s="2277"/>
      <c r="H124" s="2277"/>
      <c r="I124" s="2277"/>
      <c r="J124" s="2277"/>
      <c r="K124" s="2277"/>
      <c r="L124" s="2277"/>
      <c r="M124" s="2277"/>
      <c r="N124" s="2277"/>
      <c r="O124" s="2277"/>
      <c r="P124" s="2277"/>
      <c r="Q124" s="2277"/>
    </row>
    <row r="125" spans="2:17" s="751" customFormat="1">
      <c r="B125" s="2277"/>
      <c r="C125" s="2277"/>
      <c r="D125" s="2277"/>
      <c r="E125" s="2277"/>
      <c r="F125" s="2277"/>
      <c r="G125" s="2277"/>
      <c r="H125" s="2277"/>
      <c r="I125" s="2277"/>
      <c r="J125" s="2277"/>
      <c r="K125" s="2277"/>
      <c r="L125" s="2277"/>
      <c r="M125" s="2277"/>
      <c r="N125" s="2277"/>
      <c r="O125" s="2277"/>
      <c r="P125" s="2277"/>
      <c r="Q125" s="2277"/>
    </row>
    <row r="126" spans="2:17" s="751" customFormat="1">
      <c r="B126" s="2277"/>
      <c r="C126" s="2277"/>
      <c r="D126" s="2277"/>
      <c r="E126" s="2277"/>
      <c r="F126" s="2277"/>
      <c r="G126" s="2277"/>
      <c r="H126" s="2277"/>
      <c r="I126" s="2277"/>
      <c r="J126" s="2277"/>
      <c r="K126" s="2277"/>
      <c r="L126" s="2277"/>
      <c r="M126" s="2277"/>
      <c r="N126" s="2277"/>
      <c r="O126" s="2277"/>
      <c r="P126" s="2277"/>
      <c r="Q126" s="2277"/>
    </row>
    <row r="127" spans="2:17" s="751" customFormat="1">
      <c r="B127" s="2277"/>
      <c r="C127" s="2277"/>
      <c r="D127" s="2277"/>
      <c r="E127" s="2277"/>
      <c r="F127" s="2277"/>
      <c r="G127" s="2277"/>
      <c r="H127" s="2277"/>
      <c r="I127" s="2277"/>
      <c r="J127" s="2277"/>
      <c r="K127" s="2277"/>
      <c r="L127" s="2277"/>
      <c r="M127" s="2277"/>
      <c r="N127" s="2277"/>
      <c r="O127" s="2277"/>
      <c r="P127" s="2277"/>
      <c r="Q127" s="2277"/>
    </row>
    <row r="128" spans="2:17" s="751" customFormat="1">
      <c r="B128" s="2277"/>
      <c r="C128" s="2277"/>
      <c r="D128" s="2277"/>
      <c r="E128" s="2277"/>
      <c r="F128" s="2277"/>
      <c r="G128" s="2277"/>
      <c r="H128" s="2277"/>
      <c r="I128" s="2277"/>
      <c r="J128" s="2277"/>
      <c r="K128" s="2277"/>
      <c r="L128" s="2277"/>
      <c r="M128" s="2277"/>
      <c r="N128" s="2277"/>
      <c r="O128" s="2277"/>
      <c r="P128" s="2277"/>
      <c r="Q128" s="2277"/>
    </row>
    <row r="129" spans="2:17" s="751" customFormat="1">
      <c r="B129" s="2277"/>
      <c r="C129" s="2277"/>
      <c r="D129" s="2277"/>
      <c r="E129" s="2277"/>
      <c r="F129" s="2277"/>
      <c r="G129" s="2277"/>
      <c r="H129" s="2277"/>
      <c r="I129" s="2277"/>
      <c r="J129" s="2277"/>
      <c r="K129" s="2277"/>
      <c r="L129" s="2277"/>
      <c r="M129" s="2277"/>
      <c r="N129" s="2277"/>
      <c r="O129" s="2277"/>
      <c r="P129" s="2277"/>
      <c r="Q129" s="2277"/>
    </row>
    <row r="130" spans="2:17" s="751" customFormat="1">
      <c r="B130" s="2277"/>
      <c r="C130" s="2277"/>
      <c r="D130" s="2277"/>
      <c r="E130" s="2277"/>
      <c r="F130" s="2277"/>
      <c r="G130" s="2277"/>
      <c r="H130" s="2277"/>
      <c r="I130" s="2277"/>
      <c r="J130" s="2277"/>
      <c r="K130" s="2277"/>
      <c r="L130" s="2277"/>
      <c r="M130" s="2277"/>
      <c r="N130" s="2277"/>
      <c r="O130" s="2277"/>
      <c r="P130" s="2277"/>
      <c r="Q130" s="2277"/>
    </row>
    <row r="131" spans="2:17" s="751" customFormat="1">
      <c r="B131" s="2277"/>
      <c r="C131" s="2277"/>
      <c r="D131" s="2277"/>
      <c r="E131" s="2277"/>
      <c r="F131" s="2277"/>
      <c r="G131" s="2277"/>
      <c r="H131" s="2277"/>
      <c r="I131" s="2277"/>
      <c r="J131" s="2277"/>
      <c r="K131" s="2277"/>
      <c r="L131" s="2277"/>
      <c r="M131" s="2277"/>
      <c r="N131" s="2277"/>
      <c r="O131" s="2277"/>
      <c r="P131" s="2277"/>
      <c r="Q131" s="2277"/>
    </row>
    <row r="132" spans="2:17" s="751" customFormat="1">
      <c r="B132" s="2277"/>
      <c r="C132" s="2277"/>
      <c r="D132" s="2277"/>
      <c r="E132" s="2277"/>
      <c r="F132" s="2277"/>
      <c r="G132" s="2277"/>
      <c r="H132" s="2277"/>
      <c r="I132" s="2277"/>
      <c r="J132" s="2277"/>
      <c r="K132" s="2277"/>
      <c r="L132" s="2277"/>
      <c r="M132" s="2277"/>
      <c r="N132" s="2277"/>
      <c r="O132" s="2277"/>
      <c r="P132" s="2277"/>
      <c r="Q132" s="2277"/>
    </row>
    <row r="133" spans="2:17" s="751" customFormat="1">
      <c r="B133" s="2277"/>
      <c r="C133" s="2277"/>
      <c r="D133" s="2277"/>
      <c r="E133" s="2277"/>
      <c r="F133" s="2277"/>
      <c r="G133" s="2277"/>
      <c r="H133" s="2277"/>
      <c r="I133" s="2277"/>
      <c r="J133" s="2277"/>
      <c r="K133" s="2277"/>
      <c r="L133" s="2277"/>
      <c r="M133" s="2277"/>
      <c r="N133" s="2277"/>
      <c r="O133" s="2277"/>
      <c r="P133" s="2277"/>
      <c r="Q133" s="2277"/>
    </row>
    <row r="134" spans="2:17" s="751" customFormat="1">
      <c r="B134" s="2277"/>
      <c r="C134" s="2277"/>
      <c r="D134" s="2277"/>
      <c r="E134" s="2277"/>
      <c r="F134" s="2277"/>
      <c r="G134" s="2277"/>
      <c r="H134" s="2277"/>
      <c r="I134" s="2277"/>
      <c r="J134" s="2277"/>
      <c r="K134" s="2277"/>
      <c r="L134" s="2277"/>
      <c r="M134" s="2277"/>
      <c r="N134" s="2277"/>
      <c r="O134" s="2277"/>
      <c r="P134" s="2277"/>
      <c r="Q134" s="2277"/>
    </row>
    <row r="135" spans="2:17" s="751" customFormat="1">
      <c r="B135" s="2277"/>
      <c r="C135" s="2277"/>
      <c r="D135" s="2277"/>
      <c r="E135" s="2277"/>
      <c r="F135" s="2277"/>
      <c r="G135" s="2277"/>
      <c r="H135" s="2277"/>
      <c r="I135" s="2277"/>
      <c r="J135" s="2277"/>
      <c r="K135" s="2277"/>
      <c r="L135" s="2277"/>
      <c r="M135" s="2277"/>
      <c r="N135" s="2277"/>
      <c r="O135" s="2277"/>
      <c r="P135" s="2277"/>
      <c r="Q135" s="2277"/>
    </row>
    <row r="136" spans="2:17" s="751" customFormat="1">
      <c r="B136" s="2277"/>
      <c r="C136" s="2277"/>
      <c r="D136" s="2277"/>
      <c r="E136" s="2277"/>
      <c r="F136" s="2277"/>
      <c r="G136" s="2277"/>
      <c r="H136" s="2277"/>
      <c r="I136" s="2277"/>
      <c r="J136" s="2277"/>
      <c r="K136" s="2277"/>
      <c r="L136" s="2277"/>
      <c r="M136" s="2277"/>
      <c r="N136" s="2277"/>
      <c r="O136" s="2277"/>
      <c r="P136" s="2277"/>
      <c r="Q136" s="2277"/>
    </row>
    <row r="137" spans="2:17" s="751" customFormat="1">
      <c r="B137" s="2277"/>
      <c r="C137" s="2277"/>
      <c r="D137" s="2277"/>
      <c r="E137" s="2277"/>
      <c r="F137" s="2277"/>
      <c r="G137" s="2277"/>
      <c r="H137" s="2277"/>
      <c r="I137" s="2277"/>
      <c r="J137" s="2277"/>
      <c r="K137" s="2277"/>
      <c r="L137" s="2277"/>
      <c r="M137" s="2277"/>
      <c r="N137" s="2277"/>
      <c r="O137" s="2277"/>
      <c r="P137" s="2277"/>
      <c r="Q137" s="2277"/>
    </row>
    <row r="138" spans="2:17" s="751" customFormat="1">
      <c r="B138" s="2277"/>
      <c r="C138" s="2277"/>
      <c r="D138" s="2277"/>
      <c r="E138" s="2277"/>
      <c r="F138" s="2277"/>
      <c r="G138" s="2277"/>
      <c r="H138" s="2277"/>
      <c r="I138" s="2277"/>
      <c r="J138" s="2277"/>
      <c r="K138" s="2277"/>
      <c r="L138" s="2277"/>
      <c r="M138" s="2277"/>
      <c r="N138" s="2277"/>
      <c r="O138" s="2277"/>
      <c r="P138" s="2277"/>
      <c r="Q138" s="2277"/>
    </row>
    <row r="139" spans="2:17" s="751" customFormat="1">
      <c r="B139" s="2277"/>
      <c r="C139" s="2277"/>
      <c r="D139" s="2277"/>
      <c r="E139" s="2277"/>
      <c r="F139" s="2277"/>
      <c r="G139" s="2277"/>
      <c r="H139" s="2277"/>
      <c r="I139" s="2277"/>
      <c r="J139" s="2277"/>
      <c r="K139" s="2277"/>
      <c r="L139" s="2277"/>
      <c r="M139" s="2277"/>
      <c r="N139" s="2277"/>
      <c r="O139" s="2277"/>
      <c r="P139" s="2277"/>
      <c r="Q139" s="2277"/>
    </row>
    <row r="140" spans="2:17" s="751" customFormat="1">
      <c r="B140" s="2277"/>
      <c r="C140" s="2277"/>
      <c r="D140" s="2277"/>
      <c r="E140" s="2277"/>
      <c r="F140" s="2277"/>
      <c r="G140" s="2277"/>
      <c r="H140" s="2277"/>
      <c r="I140" s="2277"/>
      <c r="J140" s="2277"/>
      <c r="K140" s="2277"/>
      <c r="L140" s="2277"/>
      <c r="M140" s="2277"/>
      <c r="N140" s="2277"/>
      <c r="O140" s="2277"/>
      <c r="P140" s="2277"/>
      <c r="Q140" s="2277"/>
    </row>
    <row r="141" spans="2:17" s="751" customFormat="1">
      <c r="B141" s="2277"/>
      <c r="C141" s="2277"/>
      <c r="D141" s="2277"/>
      <c r="E141" s="2277"/>
      <c r="F141" s="2277"/>
      <c r="G141" s="2277"/>
      <c r="H141" s="2277"/>
      <c r="I141" s="2277"/>
      <c r="J141" s="2277"/>
      <c r="K141" s="2277"/>
      <c r="L141" s="2277"/>
      <c r="M141" s="2277"/>
      <c r="N141" s="2277"/>
      <c r="O141" s="2277"/>
      <c r="P141" s="2277"/>
      <c r="Q141" s="2277"/>
    </row>
    <row r="142" spans="2:17" s="751" customFormat="1">
      <c r="B142" s="2277"/>
      <c r="C142" s="2277"/>
      <c r="D142" s="2277"/>
      <c r="E142" s="2277"/>
      <c r="F142" s="2277"/>
      <c r="G142" s="2277"/>
      <c r="H142" s="2277"/>
      <c r="I142" s="2277"/>
      <c r="J142" s="2277"/>
      <c r="K142" s="2277"/>
      <c r="L142" s="2277"/>
      <c r="M142" s="2277"/>
      <c r="N142" s="2277"/>
      <c r="O142" s="2277"/>
      <c r="P142" s="2277"/>
      <c r="Q142" s="2277"/>
    </row>
    <row r="143" spans="2:17" s="751" customFormat="1">
      <c r="B143" s="2277"/>
      <c r="C143" s="2277"/>
      <c r="D143" s="2277"/>
      <c r="E143" s="2277"/>
      <c r="F143" s="2277"/>
      <c r="G143" s="2277"/>
      <c r="H143" s="2277"/>
      <c r="I143" s="2277"/>
      <c r="J143" s="2277"/>
      <c r="K143" s="2277"/>
      <c r="L143" s="2277"/>
      <c r="M143" s="2277"/>
      <c r="N143" s="2277"/>
      <c r="O143" s="2277"/>
      <c r="P143" s="2277"/>
      <c r="Q143" s="2277"/>
    </row>
    <row r="144" spans="2:17" s="751" customFormat="1">
      <c r="B144" s="2277"/>
      <c r="C144" s="2277"/>
      <c r="D144" s="2277"/>
      <c r="E144" s="2277"/>
      <c r="F144" s="2277"/>
      <c r="G144" s="2277"/>
      <c r="H144" s="2277"/>
      <c r="I144" s="2277"/>
      <c r="J144" s="2277"/>
      <c r="K144" s="2277"/>
      <c r="L144" s="2277"/>
      <c r="M144" s="2277"/>
      <c r="N144" s="2277"/>
      <c r="O144" s="2277"/>
      <c r="P144" s="2277"/>
      <c r="Q144" s="2277"/>
    </row>
    <row r="145" spans="2:17" s="751" customFormat="1">
      <c r="B145" s="2277"/>
      <c r="C145" s="2277"/>
      <c r="D145" s="2277"/>
      <c r="E145" s="2277"/>
      <c r="F145" s="2277"/>
      <c r="G145" s="2277"/>
      <c r="H145" s="2277"/>
      <c r="I145" s="2277"/>
      <c r="J145" s="2277"/>
      <c r="K145" s="2277"/>
      <c r="L145" s="2277"/>
      <c r="M145" s="2277"/>
      <c r="N145" s="2277"/>
      <c r="O145" s="2277"/>
      <c r="P145" s="2277"/>
      <c r="Q145" s="2277"/>
    </row>
    <row r="146" spans="2:17" s="751" customFormat="1">
      <c r="B146" s="2277"/>
      <c r="C146" s="2277"/>
      <c r="D146" s="2277"/>
      <c r="E146" s="2277"/>
      <c r="F146" s="2277"/>
      <c r="G146" s="2277"/>
      <c r="H146" s="2277"/>
      <c r="I146" s="2277"/>
      <c r="J146" s="2277"/>
      <c r="K146" s="2277"/>
      <c r="L146" s="2277"/>
      <c r="M146" s="2277"/>
      <c r="N146" s="2277"/>
      <c r="O146" s="2277"/>
      <c r="P146" s="2277"/>
      <c r="Q146" s="2277"/>
    </row>
    <row r="147" spans="2:17" s="751" customFormat="1">
      <c r="B147" s="2277"/>
      <c r="C147" s="2277"/>
      <c r="D147" s="2277"/>
      <c r="E147" s="2277"/>
      <c r="F147" s="2277"/>
      <c r="G147" s="2277"/>
      <c r="H147" s="2277"/>
      <c r="I147" s="2277"/>
      <c r="J147" s="2277"/>
      <c r="K147" s="2277"/>
      <c r="L147" s="2277"/>
      <c r="M147" s="2277"/>
      <c r="N147" s="2277"/>
      <c r="O147" s="2277"/>
      <c r="P147" s="2277"/>
      <c r="Q147" s="2277"/>
    </row>
    <row r="148" spans="2:17" s="751" customFormat="1">
      <c r="B148" s="2277"/>
      <c r="C148" s="2277"/>
      <c r="D148" s="2277"/>
      <c r="E148" s="2277"/>
      <c r="F148" s="2277"/>
      <c r="G148" s="2277"/>
      <c r="H148" s="2277"/>
      <c r="I148" s="2277"/>
      <c r="J148" s="2277"/>
      <c r="K148" s="2277"/>
      <c r="L148" s="2277"/>
      <c r="M148" s="2277"/>
      <c r="N148" s="2277"/>
      <c r="O148" s="2277"/>
      <c r="P148" s="2277"/>
      <c r="Q148" s="2277"/>
    </row>
    <row r="149" spans="2:17" s="751" customFormat="1">
      <c r="B149" s="2277"/>
      <c r="C149" s="2277"/>
      <c r="D149" s="2277"/>
      <c r="E149" s="2277"/>
      <c r="F149" s="2277"/>
      <c r="G149" s="2277"/>
      <c r="H149" s="2277"/>
      <c r="I149" s="2277"/>
      <c r="J149" s="2277"/>
      <c r="K149" s="2277"/>
      <c r="L149" s="2277"/>
      <c r="M149" s="2277"/>
      <c r="N149" s="2277"/>
      <c r="O149" s="2277"/>
      <c r="P149" s="2277"/>
      <c r="Q149" s="2277"/>
    </row>
    <row r="150" spans="2:17" s="751" customFormat="1">
      <c r="B150" s="2277"/>
      <c r="C150" s="2277"/>
      <c r="D150" s="2277"/>
      <c r="E150" s="2277"/>
      <c r="F150" s="2277"/>
      <c r="G150" s="2277"/>
      <c r="H150" s="2277"/>
      <c r="I150" s="2277"/>
      <c r="J150" s="2277"/>
      <c r="K150" s="2277"/>
      <c r="L150" s="2277"/>
      <c r="M150" s="2277"/>
      <c r="N150" s="2277"/>
      <c r="O150" s="2277"/>
      <c r="P150" s="2277"/>
      <c r="Q150" s="2277"/>
    </row>
    <row r="151" spans="2:17" s="751" customFormat="1">
      <c r="B151" s="2277"/>
      <c r="C151" s="2277"/>
      <c r="D151" s="2277"/>
      <c r="E151" s="2277"/>
      <c r="F151" s="2277"/>
      <c r="G151" s="2277"/>
      <c r="H151" s="2277"/>
      <c r="I151" s="2277"/>
      <c r="J151" s="2277"/>
      <c r="K151" s="2277"/>
      <c r="L151" s="2277"/>
      <c r="M151" s="2277"/>
      <c r="N151" s="2277"/>
      <c r="O151" s="2277"/>
      <c r="P151" s="2277"/>
      <c r="Q151" s="2277"/>
    </row>
    <row r="152" spans="2:17" s="751" customFormat="1">
      <c r="B152" s="2277"/>
      <c r="C152" s="2277"/>
      <c r="D152" s="2277"/>
      <c r="E152" s="2277"/>
      <c r="F152" s="2277"/>
      <c r="G152" s="2277"/>
      <c r="H152" s="2277"/>
      <c r="I152" s="2277"/>
      <c r="J152" s="2277"/>
      <c r="K152" s="2277"/>
      <c r="L152" s="2277"/>
      <c r="M152" s="2277"/>
      <c r="N152" s="2277"/>
      <c r="O152" s="2277"/>
      <c r="P152" s="2277"/>
      <c r="Q152" s="2277"/>
    </row>
    <row r="153" spans="2:17" s="751" customFormat="1">
      <c r="B153" s="2277"/>
      <c r="C153" s="2277"/>
      <c r="D153" s="2277"/>
      <c r="E153" s="2277"/>
      <c r="F153" s="2277"/>
      <c r="G153" s="2277"/>
      <c r="H153" s="2277"/>
      <c r="I153" s="2277"/>
      <c r="J153" s="2277"/>
      <c r="K153" s="2277"/>
      <c r="L153" s="2277"/>
      <c r="M153" s="2277"/>
      <c r="N153" s="2277"/>
      <c r="O153" s="2277"/>
      <c r="P153" s="2277"/>
      <c r="Q153" s="2277"/>
    </row>
    <row r="154" spans="2:17" s="751" customFormat="1">
      <c r="B154" s="2277"/>
      <c r="C154" s="2277"/>
      <c r="D154" s="2277"/>
      <c r="E154" s="2277"/>
      <c r="F154" s="2277"/>
      <c r="G154" s="2277"/>
      <c r="H154" s="2277"/>
      <c r="I154" s="2277"/>
      <c r="J154" s="2277"/>
      <c r="K154" s="2277"/>
      <c r="L154" s="2277"/>
      <c r="M154" s="2277"/>
      <c r="N154" s="2277"/>
      <c r="O154" s="2277"/>
      <c r="P154" s="2277"/>
      <c r="Q154" s="2277"/>
    </row>
    <row r="155" spans="2:17" s="751" customFormat="1">
      <c r="B155" s="2277"/>
      <c r="C155" s="2277"/>
      <c r="D155" s="2277"/>
      <c r="E155" s="2277"/>
      <c r="F155" s="2277"/>
      <c r="G155" s="2277"/>
      <c r="H155" s="2277"/>
      <c r="I155" s="2277"/>
      <c r="J155" s="2277"/>
      <c r="K155" s="2277"/>
      <c r="L155" s="2277"/>
      <c r="M155" s="2277"/>
      <c r="N155" s="2277"/>
      <c r="O155" s="2277"/>
      <c r="P155" s="2277"/>
      <c r="Q155" s="2277"/>
    </row>
    <row r="156" spans="2:17" s="751" customFormat="1">
      <c r="B156" s="2277"/>
      <c r="C156" s="2277"/>
      <c r="D156" s="2277"/>
      <c r="E156" s="2277"/>
      <c r="F156" s="2277"/>
      <c r="G156" s="2277"/>
      <c r="H156" s="2277"/>
      <c r="I156" s="2277"/>
      <c r="J156" s="2277"/>
      <c r="K156" s="2277"/>
      <c r="L156" s="2277"/>
      <c r="M156" s="2277"/>
      <c r="N156" s="2277"/>
      <c r="O156" s="2277"/>
      <c r="P156" s="2277"/>
      <c r="Q156" s="2277"/>
    </row>
    <row r="157" spans="2:17" s="751" customFormat="1">
      <c r="B157" s="2277"/>
      <c r="C157" s="2277"/>
      <c r="D157" s="2277"/>
      <c r="E157" s="2277"/>
      <c r="F157" s="2277"/>
      <c r="G157" s="2277"/>
      <c r="H157" s="2277"/>
      <c r="I157" s="2277"/>
      <c r="J157" s="2277"/>
      <c r="K157" s="2277"/>
      <c r="L157" s="2277"/>
      <c r="M157" s="2277"/>
      <c r="N157" s="2277"/>
      <c r="O157" s="2277"/>
      <c r="P157" s="2277"/>
      <c r="Q157" s="2277"/>
    </row>
    <row r="158" spans="2:17" s="751" customFormat="1">
      <c r="B158" s="2277"/>
      <c r="C158" s="2277"/>
      <c r="D158" s="2277"/>
      <c r="E158" s="2277"/>
      <c r="F158" s="2277"/>
      <c r="G158" s="2277"/>
      <c r="H158" s="2277"/>
      <c r="I158" s="2277"/>
      <c r="J158" s="2277"/>
      <c r="K158" s="2277"/>
      <c r="L158" s="2277"/>
      <c r="M158" s="2277"/>
      <c r="N158" s="2277"/>
      <c r="O158" s="2277"/>
      <c r="P158" s="2277"/>
      <c r="Q158" s="2277"/>
    </row>
    <row r="159" spans="2:17" s="751" customFormat="1">
      <c r="B159" s="2277"/>
      <c r="C159" s="2277"/>
      <c r="D159" s="2277"/>
      <c r="E159" s="2277"/>
      <c r="F159" s="2277"/>
      <c r="G159" s="2277"/>
      <c r="H159" s="2277"/>
      <c r="I159" s="2277"/>
      <c r="J159" s="2277"/>
      <c r="K159" s="2277"/>
      <c r="L159" s="2277"/>
      <c r="M159" s="2277"/>
      <c r="N159" s="2277"/>
      <c r="O159" s="2277"/>
      <c r="P159" s="2277"/>
      <c r="Q159" s="2277"/>
    </row>
    <row r="160" spans="2:17" s="751" customFormat="1">
      <c r="B160" s="2277"/>
      <c r="C160" s="2277"/>
      <c r="D160" s="2277"/>
      <c r="E160" s="2277"/>
      <c r="F160" s="2277"/>
      <c r="G160" s="2277"/>
      <c r="H160" s="2277"/>
      <c r="I160" s="2277"/>
      <c r="J160" s="2277"/>
      <c r="K160" s="2277"/>
      <c r="L160" s="2277"/>
      <c r="M160" s="2277"/>
      <c r="N160" s="2277"/>
      <c r="O160" s="2277"/>
      <c r="P160" s="2277"/>
      <c r="Q160" s="2277"/>
    </row>
    <row r="161" spans="2:17" s="751" customFormat="1">
      <c r="B161" s="2277"/>
      <c r="C161" s="2277"/>
      <c r="D161" s="2277"/>
      <c r="E161" s="2277"/>
      <c r="F161" s="2277"/>
      <c r="G161" s="2277"/>
      <c r="H161" s="2277"/>
      <c r="I161" s="2277"/>
      <c r="J161" s="2277"/>
      <c r="K161" s="2277"/>
      <c r="L161" s="2277"/>
      <c r="M161" s="2277"/>
      <c r="N161" s="2277"/>
      <c r="O161" s="2277"/>
      <c r="P161" s="2277"/>
      <c r="Q161" s="2277"/>
    </row>
    <row r="162" spans="2:17" s="751" customFormat="1">
      <c r="B162" s="2277"/>
      <c r="C162" s="2277"/>
      <c r="D162" s="2277"/>
      <c r="E162" s="2277"/>
      <c r="F162" s="2277"/>
      <c r="G162" s="2277"/>
      <c r="H162" s="2277"/>
      <c r="I162" s="2277"/>
      <c r="J162" s="2277"/>
      <c r="K162" s="2277"/>
      <c r="L162" s="2277"/>
      <c r="M162" s="2277"/>
      <c r="N162" s="2277"/>
      <c r="O162" s="2277"/>
      <c r="P162" s="2277"/>
      <c r="Q162" s="2277"/>
    </row>
    <row r="163" spans="2:17" s="751" customFormat="1">
      <c r="B163" s="2277"/>
      <c r="C163" s="2277"/>
      <c r="D163" s="2277"/>
      <c r="E163" s="2277"/>
      <c r="F163" s="2277"/>
      <c r="G163" s="2277"/>
      <c r="H163" s="2277"/>
      <c r="I163" s="2277"/>
      <c r="J163" s="2277"/>
      <c r="K163" s="2277"/>
      <c r="L163" s="2277"/>
      <c r="M163" s="2277"/>
      <c r="N163" s="2277"/>
      <c r="O163" s="2277"/>
      <c r="P163" s="2277"/>
      <c r="Q163" s="2277"/>
    </row>
    <row r="164" spans="2:17" s="751" customFormat="1">
      <c r="B164" s="2277"/>
      <c r="C164" s="2277"/>
      <c r="D164" s="2277"/>
      <c r="E164" s="2277"/>
      <c r="F164" s="2277"/>
      <c r="G164" s="2277"/>
      <c r="H164" s="2277"/>
      <c r="I164" s="2277"/>
      <c r="J164" s="2277"/>
      <c r="K164" s="2277"/>
      <c r="L164" s="2277"/>
      <c r="M164" s="2277"/>
      <c r="N164" s="2277"/>
      <c r="O164" s="2277"/>
      <c r="P164" s="2277"/>
      <c r="Q164" s="2277"/>
    </row>
    <row r="165" spans="2:17" s="751" customFormat="1">
      <c r="B165" s="2277"/>
      <c r="C165" s="2277"/>
      <c r="D165" s="2277"/>
      <c r="E165" s="2277"/>
      <c r="F165" s="2277"/>
      <c r="G165" s="2277"/>
      <c r="H165" s="2277"/>
      <c r="I165" s="2277"/>
      <c r="J165" s="2277"/>
      <c r="K165" s="2277"/>
      <c r="L165" s="2277"/>
      <c r="M165" s="2277"/>
      <c r="N165" s="2277"/>
      <c r="O165" s="2277"/>
      <c r="P165" s="2277"/>
      <c r="Q165" s="2277"/>
    </row>
    <row r="166" spans="2:17" s="751" customFormat="1">
      <c r="B166" s="2277"/>
      <c r="C166" s="2277"/>
      <c r="D166" s="2277"/>
      <c r="E166" s="2277"/>
      <c r="F166" s="2277"/>
      <c r="G166" s="2277"/>
      <c r="H166" s="2277"/>
      <c r="I166" s="2277"/>
      <c r="J166" s="2277"/>
      <c r="K166" s="2277"/>
      <c r="L166" s="2277"/>
      <c r="M166" s="2277"/>
      <c r="N166" s="2277"/>
      <c r="O166" s="2277"/>
      <c r="P166" s="2277"/>
      <c r="Q166" s="2277"/>
    </row>
    <row r="167" spans="2:17" s="751" customFormat="1">
      <c r="B167" s="2277"/>
      <c r="C167" s="2277"/>
      <c r="D167" s="2277"/>
      <c r="E167" s="2277"/>
      <c r="F167" s="2277"/>
      <c r="G167" s="2277"/>
      <c r="H167" s="2277"/>
      <c r="I167" s="2277"/>
      <c r="J167" s="2277"/>
      <c r="K167" s="2277"/>
      <c r="L167" s="2277"/>
      <c r="M167" s="2277"/>
      <c r="N167" s="2277"/>
      <c r="O167" s="2277"/>
      <c r="P167" s="2277"/>
      <c r="Q167" s="2277"/>
    </row>
    <row r="168" spans="2:17" s="751" customFormat="1">
      <c r="B168" s="2277"/>
      <c r="C168" s="2277"/>
      <c r="D168" s="2277"/>
      <c r="E168" s="2277"/>
      <c r="F168" s="2277"/>
      <c r="G168" s="2277"/>
      <c r="H168" s="2277"/>
      <c r="I168" s="2277"/>
      <c r="J168" s="2277"/>
      <c r="K168" s="2277"/>
      <c r="L168" s="2277"/>
      <c r="M168" s="2277"/>
      <c r="N168" s="2277"/>
      <c r="O168" s="2277"/>
      <c r="P168" s="2277"/>
      <c r="Q168" s="2277"/>
    </row>
    <row r="169" spans="2:17" s="751" customFormat="1">
      <c r="B169" s="2277"/>
      <c r="C169" s="2277"/>
      <c r="D169" s="2277"/>
      <c r="E169" s="2277"/>
      <c r="F169" s="2277"/>
      <c r="G169" s="2277"/>
      <c r="H169" s="2277"/>
      <c r="I169" s="2277"/>
      <c r="J169" s="2277"/>
      <c r="K169" s="2277"/>
      <c r="L169" s="2277"/>
      <c r="M169" s="2277"/>
      <c r="N169" s="2277"/>
      <c r="O169" s="2277"/>
      <c r="P169" s="2277"/>
      <c r="Q169" s="2277"/>
    </row>
    <row r="170" spans="2:17" s="751" customFormat="1">
      <c r="B170" s="2277"/>
      <c r="C170" s="2277"/>
      <c r="D170" s="2277"/>
      <c r="E170" s="2277"/>
      <c r="F170" s="2277"/>
      <c r="G170" s="2277"/>
      <c r="H170" s="2277"/>
      <c r="I170" s="2277"/>
      <c r="J170" s="2277"/>
      <c r="K170" s="2277"/>
      <c r="L170" s="2277"/>
      <c r="M170" s="2277"/>
      <c r="N170" s="2277"/>
      <c r="O170" s="2277"/>
      <c r="P170" s="2277"/>
      <c r="Q170" s="2277"/>
    </row>
    <row r="171" spans="2:17" s="751" customFormat="1">
      <c r="B171" s="2277"/>
      <c r="C171" s="2277"/>
      <c r="D171" s="2277"/>
      <c r="E171" s="2277"/>
      <c r="F171" s="2277"/>
      <c r="G171" s="2277"/>
      <c r="H171" s="2277"/>
      <c r="I171" s="2277"/>
      <c r="J171" s="2277"/>
      <c r="K171" s="2277"/>
      <c r="L171" s="2277"/>
      <c r="M171" s="2277"/>
      <c r="N171" s="2277"/>
      <c r="O171" s="2277"/>
      <c r="P171" s="2277"/>
      <c r="Q171" s="2277"/>
    </row>
    <row r="172" spans="2:17" s="751" customFormat="1">
      <c r="B172" s="2277"/>
      <c r="C172" s="2277"/>
      <c r="D172" s="2277"/>
      <c r="E172" s="2277"/>
      <c r="F172" s="2277"/>
      <c r="G172" s="2277"/>
      <c r="H172" s="2277"/>
      <c r="I172" s="2277"/>
      <c r="J172" s="2277"/>
      <c r="K172" s="2277"/>
      <c r="L172" s="2277"/>
      <c r="M172" s="2277"/>
      <c r="N172" s="2277"/>
      <c r="O172" s="2277"/>
      <c r="P172" s="2277"/>
      <c r="Q172" s="2277"/>
    </row>
    <row r="173" spans="2:17" s="751" customFormat="1">
      <c r="B173" s="2277"/>
      <c r="C173" s="2277"/>
      <c r="D173" s="2277"/>
      <c r="E173" s="2277"/>
      <c r="F173" s="2277"/>
      <c r="G173" s="2277"/>
      <c r="H173" s="2277"/>
      <c r="I173" s="2277"/>
      <c r="J173" s="2277"/>
      <c r="K173" s="2277"/>
      <c r="L173" s="2277"/>
      <c r="M173" s="2277"/>
      <c r="N173" s="2277"/>
      <c r="O173" s="2277"/>
      <c r="P173" s="2277"/>
      <c r="Q173" s="2277"/>
    </row>
    <row r="174" spans="2:17" s="751" customFormat="1">
      <c r="B174" s="2277"/>
      <c r="C174" s="2277"/>
      <c r="D174" s="2277"/>
      <c r="E174" s="2277"/>
      <c r="F174" s="2277"/>
      <c r="G174" s="2277"/>
      <c r="H174" s="2277"/>
      <c r="I174" s="2277"/>
      <c r="J174" s="2277"/>
      <c r="K174" s="2277"/>
      <c r="L174" s="2277"/>
      <c r="M174" s="2277"/>
      <c r="N174" s="2277"/>
      <c r="O174" s="2277"/>
      <c r="P174" s="2277"/>
      <c r="Q174" s="2277"/>
    </row>
    <row r="175" spans="2:17" s="751" customFormat="1">
      <c r="B175" s="2277"/>
      <c r="C175" s="2277"/>
      <c r="D175" s="2277"/>
      <c r="E175" s="2277"/>
      <c r="F175" s="2277"/>
      <c r="G175" s="2277"/>
      <c r="H175" s="2277"/>
      <c r="I175" s="2277"/>
      <c r="J175" s="2277"/>
      <c r="K175" s="2277"/>
      <c r="L175" s="2277"/>
      <c r="M175" s="2277"/>
      <c r="N175" s="2277"/>
      <c r="O175" s="2277"/>
      <c r="P175" s="2277"/>
      <c r="Q175" s="2277"/>
    </row>
    <row r="176" spans="2:17" s="751" customFormat="1">
      <c r="B176" s="2277"/>
      <c r="C176" s="2277"/>
      <c r="D176" s="2277"/>
      <c r="E176" s="2277"/>
      <c r="F176" s="2277"/>
      <c r="G176" s="2277"/>
      <c r="H176" s="2277"/>
      <c r="I176" s="2277"/>
      <c r="J176" s="2277"/>
      <c r="K176" s="2277"/>
      <c r="L176" s="2277"/>
      <c r="M176" s="2277"/>
      <c r="N176" s="2277"/>
      <c r="O176" s="2277"/>
      <c r="P176" s="2277"/>
      <c r="Q176" s="2277"/>
    </row>
    <row r="177" spans="1:17" s="751" customFormat="1">
      <c r="B177" s="2277"/>
      <c r="C177" s="2277"/>
      <c r="D177" s="2277"/>
      <c r="E177" s="2277"/>
      <c r="F177" s="2277"/>
      <c r="G177" s="2277"/>
      <c r="H177" s="2277"/>
      <c r="I177" s="2277"/>
      <c r="J177" s="2277"/>
      <c r="K177" s="2277"/>
      <c r="L177" s="2277"/>
      <c r="M177" s="2277"/>
      <c r="N177" s="2277"/>
      <c r="O177" s="2277"/>
      <c r="P177" s="2277"/>
      <c r="Q177" s="2277"/>
    </row>
    <row r="178" spans="1:17" s="751" customFormat="1">
      <c r="B178" s="2277"/>
      <c r="C178" s="2277"/>
      <c r="D178" s="2277"/>
      <c r="E178" s="2277"/>
      <c r="F178" s="2277"/>
      <c r="G178" s="2277"/>
      <c r="H178" s="2277"/>
      <c r="I178" s="2277"/>
      <c r="J178" s="2277"/>
      <c r="K178" s="2277"/>
      <c r="L178" s="2277"/>
      <c r="M178" s="2277"/>
      <c r="N178" s="2277"/>
      <c r="O178" s="2277"/>
      <c r="P178" s="2277"/>
      <c r="Q178" s="2277"/>
    </row>
    <row r="179" spans="1:17" s="751" customFormat="1">
      <c r="B179" s="2277"/>
      <c r="C179" s="2277"/>
      <c r="D179" s="2277"/>
      <c r="E179" s="2277"/>
      <c r="F179" s="2277"/>
      <c r="G179" s="2277"/>
      <c r="H179" s="2277"/>
      <c r="I179" s="2277"/>
      <c r="J179" s="2277"/>
      <c r="K179" s="2277"/>
      <c r="L179" s="2277"/>
      <c r="M179" s="2277"/>
      <c r="N179" s="2277"/>
      <c r="O179" s="2277"/>
      <c r="P179" s="2277"/>
      <c r="Q179" s="2277"/>
    </row>
    <row r="180" spans="1:17" s="751" customFormat="1">
      <c r="B180" s="2277"/>
      <c r="C180" s="2277"/>
      <c r="D180" s="2277"/>
      <c r="E180" s="2277"/>
      <c r="F180" s="2277"/>
      <c r="G180" s="2277"/>
      <c r="H180" s="2277"/>
      <c r="I180" s="2277"/>
      <c r="J180" s="2277"/>
      <c r="K180" s="2277"/>
      <c r="L180" s="2277"/>
      <c r="M180" s="2277"/>
      <c r="N180" s="2277"/>
      <c r="O180" s="2277"/>
      <c r="P180" s="2277"/>
      <c r="Q180" s="2277"/>
    </row>
    <row r="181" spans="1:17" s="751" customFormat="1">
      <c r="B181" s="2277"/>
      <c r="C181" s="2277"/>
      <c r="D181" s="2277"/>
      <c r="E181" s="2277"/>
      <c r="F181" s="2277"/>
      <c r="G181" s="2277"/>
      <c r="H181" s="2277"/>
      <c r="I181" s="2277"/>
      <c r="J181" s="2277"/>
      <c r="K181" s="2277"/>
      <c r="L181" s="2277"/>
      <c r="M181" s="2277"/>
      <c r="N181" s="2277"/>
      <c r="O181" s="2277"/>
      <c r="P181" s="2277"/>
      <c r="Q181" s="2277"/>
    </row>
    <row r="182" spans="1:17" s="751" customFormat="1">
      <c r="B182" s="2277"/>
      <c r="C182" s="2277"/>
      <c r="D182" s="2277"/>
      <c r="E182" s="2277"/>
      <c r="F182" s="2277"/>
      <c r="G182" s="2277"/>
      <c r="H182" s="2277"/>
      <c r="I182" s="2277"/>
      <c r="J182" s="2277"/>
      <c r="K182" s="2277"/>
      <c r="L182" s="2277"/>
      <c r="M182" s="2277"/>
      <c r="N182" s="2277"/>
      <c r="O182" s="2277"/>
      <c r="P182" s="2277"/>
      <c r="Q182" s="2277"/>
    </row>
    <row r="183" spans="1:17" s="751" customFormat="1">
      <c r="B183" s="2277"/>
      <c r="C183" s="2277"/>
      <c r="D183" s="2277"/>
      <c r="E183" s="2277"/>
      <c r="F183" s="2277"/>
      <c r="G183" s="2277"/>
      <c r="H183" s="2277"/>
      <c r="I183" s="2277"/>
      <c r="J183" s="2277"/>
      <c r="K183" s="2277"/>
      <c r="L183" s="2277"/>
      <c r="M183" s="2277"/>
      <c r="N183" s="2277"/>
      <c r="O183" s="2277"/>
      <c r="P183" s="2277"/>
      <c r="Q183" s="2277"/>
    </row>
    <row r="184" spans="1:17" s="751" customFormat="1">
      <c r="B184" s="2277"/>
      <c r="C184" s="2277"/>
      <c r="D184" s="2277"/>
      <c r="E184" s="2277"/>
      <c r="F184" s="2277"/>
      <c r="G184" s="2277"/>
      <c r="H184" s="2277"/>
      <c r="I184" s="2277"/>
      <c r="J184" s="2277"/>
      <c r="K184" s="2277"/>
      <c r="L184" s="2277"/>
      <c r="M184" s="2277"/>
      <c r="N184" s="2277"/>
      <c r="O184" s="2277"/>
      <c r="P184" s="2277"/>
      <c r="Q184" s="2277"/>
    </row>
    <row r="185" spans="1:17" s="751" customFormat="1">
      <c r="B185" s="2277"/>
      <c r="C185" s="2277"/>
      <c r="D185" s="2277"/>
      <c r="E185" s="2277"/>
      <c r="F185" s="2277"/>
      <c r="G185" s="2277"/>
      <c r="H185" s="2277"/>
      <c r="I185" s="2277"/>
      <c r="J185" s="2277"/>
      <c r="K185" s="2277"/>
      <c r="L185" s="2277"/>
      <c r="M185" s="2277"/>
      <c r="N185" s="2277"/>
      <c r="O185" s="2277"/>
      <c r="P185" s="2277"/>
      <c r="Q185" s="2277"/>
    </row>
    <row r="186" spans="1:17">
      <c r="A186" s="751"/>
      <c r="B186" s="2277"/>
      <c r="C186" s="2277"/>
      <c r="E186" s="2277"/>
      <c r="F186" s="2277"/>
      <c r="G186" s="2277"/>
    </row>
    <row r="187" spans="1:17">
      <c r="A187" s="751"/>
      <c r="B187" s="2277"/>
      <c r="C187" s="2277"/>
      <c r="E187" s="2277"/>
      <c r="F187" s="2277"/>
      <c r="G187" s="2277"/>
    </row>
  </sheetData>
  <sheetProtection password="CEE9" sheet="1" objects="1" scenarios="1" formatCells="0" formatColumns="0" formatRows="0"/>
  <mergeCells count="1">
    <mergeCell ref="A1:G1"/>
  </mergeCells>
  <phoneticPr fontId="26"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I44" sqref="I43:I44"/>
    </sheetView>
  </sheetViews>
  <sheetFormatPr defaultColWidth="9" defaultRowHeight="13.5"/>
  <cols>
    <col min="1" max="1" width="25" style="2301" customWidth="1"/>
    <col min="2" max="9" width="15.75" style="2301" customWidth="1"/>
    <col min="10" max="16384" width="9" style="2301"/>
  </cols>
  <sheetData>
    <row r="1" spans="1:11" ht="16.5">
      <c r="A1" s="2300" t="s">
        <v>665</v>
      </c>
      <c r="B1" s="2300">
        <f>SUM(B14:B23)</f>
        <v>447.47</v>
      </c>
      <c r="C1" s="2462"/>
      <c r="D1" s="2462"/>
      <c r="E1" s="2462"/>
      <c r="F1" s="2462"/>
      <c r="G1" s="2463"/>
      <c r="H1" s="2463"/>
      <c r="I1" s="2463"/>
      <c r="J1" s="2463"/>
      <c r="K1" s="2463"/>
    </row>
    <row r="2" spans="1:11" ht="16.5">
      <c r="A2" s="2300" t="s">
        <v>653</v>
      </c>
      <c r="B2" s="2300">
        <f>SUM(C14:C23)</f>
        <v>0</v>
      </c>
      <c r="C2" s="2462"/>
      <c r="D2" s="2462"/>
      <c r="E2" s="2462"/>
      <c r="F2" s="2462"/>
      <c r="G2" s="2463"/>
      <c r="H2" s="2463"/>
      <c r="I2" s="2463"/>
      <c r="J2" s="2463"/>
      <c r="K2" s="2463"/>
    </row>
    <row r="3" spans="1:11" ht="16.5">
      <c r="A3" s="2300" t="s">
        <v>662</v>
      </c>
      <c r="B3" s="2302">
        <f>项目基本情况!D3</f>
        <v>45839</v>
      </c>
      <c r="C3" s="2462"/>
      <c r="D3" s="2462"/>
      <c r="E3" s="2462"/>
      <c r="F3" s="2462"/>
      <c r="G3" s="2463"/>
      <c r="H3" s="2463"/>
      <c r="I3" s="2463"/>
      <c r="J3" s="2463"/>
      <c r="K3" s="2463"/>
    </row>
    <row r="4" spans="1:11" ht="33">
      <c r="A4" s="2300" t="s">
        <v>661</v>
      </c>
      <c r="B4" s="2300" t="s">
        <v>660</v>
      </c>
      <c r="C4" s="2300" t="s">
        <v>659</v>
      </c>
      <c r="D4" s="2300" t="s">
        <v>658</v>
      </c>
      <c r="E4" s="2462"/>
      <c r="F4" s="2463"/>
      <c r="G4" s="2463"/>
      <c r="H4" s="2463"/>
      <c r="I4" s="2463"/>
      <c r="J4" s="2463"/>
      <c r="K4" s="2463"/>
    </row>
    <row r="5" spans="1:11" ht="16.5">
      <c r="A5" s="2300" t="s">
        <v>657</v>
      </c>
      <c r="B5" s="2300">
        <f>SUM(D14:D23)</f>
        <v>1470.7482</v>
      </c>
      <c r="C5" s="2300">
        <f ca="1">IF(B5=D14,结果表!H102,ROUND(B5*10000/$B$1,0))</f>
        <v>0</v>
      </c>
      <c r="D5" s="2300" t="e">
        <f>ROUND(B5*10000/$B$2,0)</f>
        <v>#DIV/0!</v>
      </c>
      <c r="E5" s="2462"/>
      <c r="F5" s="2463"/>
      <c r="G5" s="2463"/>
      <c r="H5" s="2463"/>
      <c r="I5" s="2463"/>
      <c r="J5" s="2463"/>
      <c r="K5" s="2463"/>
    </row>
    <row r="6" spans="1:11" ht="16.5">
      <c r="A6" s="2300" t="s">
        <v>656</v>
      </c>
      <c r="B6" s="2300">
        <f>SUM(G14:G23)</f>
        <v>0</v>
      </c>
      <c r="C6" s="2300">
        <f ca="1">IF(B6=G14,结果表!H108,ROUND(B6*10000/$B$1,0))</f>
        <v>0</v>
      </c>
      <c r="D6" s="2300" t="e">
        <f>ROUND(B6*10000/$B$2,0)</f>
        <v>#DIV/0!</v>
      </c>
      <c r="E6" s="2462"/>
      <c r="F6" s="2463"/>
      <c r="G6" s="2463"/>
      <c r="H6" s="2463"/>
      <c r="I6" s="2463"/>
      <c r="J6" s="2463"/>
      <c r="K6" s="2463"/>
    </row>
    <row r="7" spans="1:11" ht="16.5">
      <c r="A7" s="2300" t="s">
        <v>664</v>
      </c>
      <c r="B7" s="2300">
        <f>SUM(H14:H23)</f>
        <v>0</v>
      </c>
      <c r="C7" s="2300" t="str">
        <f>IF(B7=H14,结果表!H110,ROUND(B7*10000/$B$1,0))</f>
        <v>——</v>
      </c>
      <c r="D7" s="2300" t="e">
        <f>ROUND(B7*10000/$B$2,0)</f>
        <v>#DIV/0!</v>
      </c>
      <c r="E7" s="2462"/>
      <c r="F7" s="2463"/>
      <c r="G7" s="2463"/>
      <c r="H7" s="2463"/>
      <c r="I7" s="2463"/>
      <c r="J7" s="2463"/>
      <c r="K7" s="2463"/>
    </row>
    <row r="8" spans="1:11" ht="16.5">
      <c r="A8" s="2300" t="s">
        <v>587</v>
      </c>
      <c r="B8" s="2300">
        <f>SUM(I14:I23)</f>
        <v>0</v>
      </c>
      <c r="C8" s="2300" t="str">
        <f>IF(B8=I14,结果表!H112,ROUND(B8*10000/$B$1,0))</f>
        <v>——</v>
      </c>
      <c r="D8" s="2300" t="e">
        <f>ROUND(B8*10000/$B$2,0)</f>
        <v>#DIV/0!</v>
      </c>
      <c r="E8" s="2462"/>
      <c r="F8" s="2463"/>
      <c r="G8" s="2463"/>
      <c r="H8" s="2463"/>
      <c r="I8" s="2463"/>
      <c r="J8" s="2463"/>
      <c r="K8" s="2463"/>
    </row>
    <row r="9" spans="1:11" ht="16.5">
      <c r="A9" s="2300" t="s">
        <v>655</v>
      </c>
      <c r="B9" s="1244"/>
      <c r="C9" s="2462"/>
      <c r="D9" s="2462"/>
      <c r="E9" s="2462"/>
      <c r="F9" s="2463"/>
      <c r="G9" s="2463"/>
      <c r="H9" s="2463"/>
      <c r="I9" s="2463"/>
      <c r="J9" s="2463"/>
      <c r="K9" s="2463"/>
    </row>
    <row r="10" spans="1:11" ht="16.5">
      <c r="A10" s="2300" t="s">
        <v>654</v>
      </c>
      <c r="B10" s="2300">
        <f>IF(E10="",0,ROUND(B1*(E10*365/G10)/10000,0))</f>
        <v>0</v>
      </c>
      <c r="C10" s="2300" t="s">
        <v>3354</v>
      </c>
      <c r="D10" s="2300" t="s">
        <v>3355</v>
      </c>
      <c r="E10" s="3137"/>
      <c r="F10" s="3141" t="s">
        <v>3356</v>
      </c>
      <c r="G10" s="3138"/>
      <c r="H10" s="2463"/>
      <c r="I10" s="2463"/>
      <c r="J10" s="2463"/>
      <c r="K10" s="2463"/>
    </row>
    <row r="11" spans="1:11" ht="16.5">
      <c r="A11" s="2300" t="s">
        <v>670</v>
      </c>
      <c r="B11" s="1244"/>
      <c r="C11" s="2462"/>
      <c r="D11" s="2462"/>
      <c r="E11" s="2462"/>
      <c r="F11" s="2463"/>
      <c r="G11" s="2463"/>
      <c r="H11" s="2463"/>
      <c r="I11" s="2463"/>
      <c r="J11" s="2463"/>
      <c r="K11" s="2463"/>
    </row>
    <row r="12" spans="1:11" ht="16.5">
      <c r="A12" s="2462"/>
      <c r="B12" s="2462"/>
      <c r="C12" s="2462"/>
      <c r="D12" s="2462"/>
      <c r="E12" s="2462"/>
      <c r="F12" s="2463"/>
      <c r="G12" s="2463"/>
      <c r="H12" s="2463"/>
      <c r="I12" s="2463"/>
      <c r="J12" s="2463"/>
      <c r="K12" s="2463"/>
    </row>
    <row r="13" spans="1:11" ht="33">
      <c r="A13" s="2303" t="s">
        <v>669</v>
      </c>
      <c r="B13" s="2304" t="s">
        <v>666</v>
      </c>
      <c r="C13" s="2304" t="s">
        <v>668</v>
      </c>
      <c r="D13" s="2304" t="s">
        <v>667</v>
      </c>
      <c r="E13" s="2300" t="s">
        <v>659</v>
      </c>
      <c r="F13" s="2300" t="s">
        <v>658</v>
      </c>
      <c r="G13" s="2304" t="s">
        <v>652</v>
      </c>
      <c r="H13" s="2304" t="s">
        <v>663</v>
      </c>
      <c r="I13" s="2304" t="s">
        <v>651</v>
      </c>
      <c r="J13" s="2463"/>
      <c r="K13" s="2463"/>
    </row>
    <row r="14" spans="1:11" ht="16.5">
      <c r="A14" s="2305" t="s">
        <v>650</v>
      </c>
      <c r="B14" s="2306">
        <f>Sheet1!M2</f>
        <v>447.47</v>
      </c>
      <c r="C14" s="2306"/>
      <c r="D14" s="2306">
        <f>Sheet1!O2</f>
        <v>1470.7482</v>
      </c>
      <c r="E14" s="2306">
        <f>ROUND(D14*10000/B14,0)</f>
        <v>32868</v>
      </c>
      <c r="F14" s="2306" t="e">
        <f>ROUND(D14*10000/C14,0)</f>
        <v>#DIV/0!</v>
      </c>
      <c r="G14" s="2306"/>
      <c r="H14" s="2306"/>
      <c r="I14" s="2306"/>
      <c r="J14" s="2463"/>
      <c r="K14" s="2463"/>
    </row>
    <row r="15" spans="1:11" ht="16.5">
      <c r="A15" s="2305" t="s">
        <v>649</v>
      </c>
      <c r="B15" s="2307"/>
      <c r="C15" s="2307"/>
      <c r="D15" s="2307"/>
      <c r="E15" s="2306" t="e">
        <f t="shared" ref="E15:E23" si="0">ROUND(D15*10000/B15,0)</f>
        <v>#DIV/0!</v>
      </c>
      <c r="F15" s="2306" t="e">
        <f t="shared" ref="F15:F23" si="1">ROUND(D15*10000/C15,0)</f>
        <v>#DIV/0!</v>
      </c>
      <c r="G15" s="1244"/>
      <c r="H15" s="1244"/>
      <c r="I15" s="2307"/>
      <c r="J15" s="2463"/>
      <c r="K15" s="2463"/>
    </row>
    <row r="16" spans="1:11" ht="16.5">
      <c r="A16" s="2305" t="s">
        <v>648</v>
      </c>
      <c r="B16" s="2307"/>
      <c r="C16" s="2307"/>
      <c r="D16" s="2307"/>
      <c r="E16" s="2306" t="e">
        <f t="shared" si="0"/>
        <v>#DIV/0!</v>
      </c>
      <c r="F16" s="2306" t="e">
        <f t="shared" si="1"/>
        <v>#DIV/0!</v>
      </c>
      <c r="G16" s="1244"/>
      <c r="H16" s="1244"/>
      <c r="I16" s="2307"/>
      <c r="J16" s="2463"/>
      <c r="K16" s="2463"/>
    </row>
    <row r="17" spans="1:11" ht="16.5">
      <c r="A17" s="2305" t="s">
        <v>647</v>
      </c>
      <c r="B17" s="2307"/>
      <c r="C17" s="2307"/>
      <c r="D17" s="2307"/>
      <c r="E17" s="2306" t="e">
        <f t="shared" si="0"/>
        <v>#DIV/0!</v>
      </c>
      <c r="F17" s="2306" t="e">
        <f t="shared" si="1"/>
        <v>#DIV/0!</v>
      </c>
      <c r="G17" s="1244"/>
      <c r="H17" s="1244"/>
      <c r="I17" s="2307"/>
      <c r="J17" s="2463"/>
      <c r="K17" s="2463"/>
    </row>
    <row r="18" spans="1:11" ht="16.5">
      <c r="A18" s="2305" t="s">
        <v>646</v>
      </c>
      <c r="B18" s="2307"/>
      <c r="C18" s="2307"/>
      <c r="D18" s="2307"/>
      <c r="E18" s="2306" t="e">
        <f t="shared" si="0"/>
        <v>#DIV/0!</v>
      </c>
      <c r="F18" s="2306" t="e">
        <f t="shared" si="1"/>
        <v>#DIV/0!</v>
      </c>
      <c r="G18" s="2307"/>
      <c r="H18" s="2307"/>
      <c r="I18" s="2307"/>
      <c r="J18" s="2463"/>
      <c r="K18" s="2463"/>
    </row>
    <row r="19" spans="1:11" ht="16.5">
      <c r="A19" s="2305" t="s">
        <v>645</v>
      </c>
      <c r="B19" s="2307"/>
      <c r="C19" s="2307"/>
      <c r="D19" s="2307"/>
      <c r="E19" s="2306" t="e">
        <f t="shared" si="0"/>
        <v>#DIV/0!</v>
      </c>
      <c r="F19" s="2306" t="e">
        <f t="shared" si="1"/>
        <v>#DIV/0!</v>
      </c>
      <c r="G19" s="2307"/>
      <c r="H19" s="2307"/>
      <c r="I19" s="2307"/>
      <c r="J19" s="2463"/>
      <c r="K19" s="2463"/>
    </row>
    <row r="20" spans="1:11" ht="16.5">
      <c r="A20" s="2305" t="s">
        <v>644</v>
      </c>
      <c r="B20" s="2307"/>
      <c r="C20" s="2307"/>
      <c r="D20" s="2307"/>
      <c r="E20" s="2306" t="e">
        <f t="shared" si="0"/>
        <v>#DIV/0!</v>
      </c>
      <c r="F20" s="2306" t="e">
        <f t="shared" si="1"/>
        <v>#DIV/0!</v>
      </c>
      <c r="G20" s="2307"/>
      <c r="H20" s="2307"/>
      <c r="I20" s="2307"/>
      <c r="J20" s="2463"/>
      <c r="K20" s="2463"/>
    </row>
    <row r="21" spans="1:11" ht="16.5">
      <c r="A21" s="2305" t="s">
        <v>643</v>
      </c>
      <c r="B21" s="2307"/>
      <c r="C21" s="2307"/>
      <c r="D21" s="2307"/>
      <c r="E21" s="2306" t="e">
        <f t="shared" si="0"/>
        <v>#DIV/0!</v>
      </c>
      <c r="F21" s="2306" t="e">
        <f t="shared" si="1"/>
        <v>#DIV/0!</v>
      </c>
      <c r="G21" s="2307"/>
      <c r="H21" s="2307"/>
      <c r="I21" s="2307"/>
      <c r="J21" s="2463"/>
      <c r="K21" s="2463"/>
    </row>
    <row r="22" spans="1:11" ht="16.5">
      <c r="A22" s="2305" t="s">
        <v>642</v>
      </c>
      <c r="B22" s="2307"/>
      <c r="C22" s="2307"/>
      <c r="D22" s="2307"/>
      <c r="E22" s="2306" t="e">
        <f t="shared" si="0"/>
        <v>#DIV/0!</v>
      </c>
      <c r="F22" s="2306" t="e">
        <f t="shared" si="1"/>
        <v>#DIV/0!</v>
      </c>
      <c r="G22" s="2307"/>
      <c r="H22" s="2307"/>
      <c r="I22" s="2307"/>
      <c r="J22" s="2463"/>
      <c r="K22" s="2463"/>
    </row>
    <row r="23" spans="1:11" ht="16.5">
      <c r="A23" s="2305" t="s">
        <v>641</v>
      </c>
      <c r="B23" s="2307"/>
      <c r="C23" s="2307"/>
      <c r="D23" s="2307"/>
      <c r="E23" s="1244" t="e">
        <f t="shared" si="0"/>
        <v>#DIV/0!</v>
      </c>
      <c r="F23" s="1244" t="e">
        <f t="shared" si="1"/>
        <v>#DIV/0!</v>
      </c>
      <c r="G23" s="2307"/>
      <c r="H23" s="2307"/>
      <c r="I23" s="2307"/>
      <c r="J23" s="2463"/>
      <c r="K23" s="2463"/>
    </row>
    <row r="24" spans="1:11">
      <c r="A24" s="2463"/>
      <c r="B24" s="2463"/>
      <c r="C24" s="2463"/>
      <c r="D24" s="2463"/>
      <c r="E24" s="2463"/>
      <c r="F24" s="2463"/>
      <c r="G24" s="2463"/>
      <c r="H24" s="2463"/>
      <c r="I24" s="2463"/>
      <c r="J24" s="2463"/>
      <c r="K24" s="2463"/>
    </row>
    <row r="25" spans="1:11">
      <c r="A25" s="2463"/>
      <c r="B25" s="2463"/>
      <c r="C25" s="2463"/>
      <c r="D25" s="2463"/>
      <c r="E25" s="2463"/>
      <c r="F25" s="2463"/>
      <c r="G25" s="2463"/>
      <c r="H25" s="2463"/>
      <c r="I25" s="2463"/>
      <c r="J25" s="2463"/>
      <c r="K25" s="2463"/>
    </row>
    <row r="26" spans="1:11">
      <c r="A26" s="2463"/>
      <c r="B26" s="2463"/>
      <c r="C26" s="2463"/>
      <c r="D26" s="2463"/>
      <c r="E26" s="2463"/>
      <c r="F26" s="2463"/>
      <c r="G26" s="2463"/>
      <c r="H26" s="2463"/>
      <c r="I26" s="2463"/>
      <c r="J26" s="2463"/>
      <c r="K26" s="2463"/>
    </row>
  </sheetData>
  <sheetProtection password="CEE9" sheet="1" objects="1" scenarios="1" formatCells="0" formatColumns="0" formatRows="0"/>
  <phoneticPr fontId="136"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79" zoomScale="70" zoomScaleNormal="100" zoomScaleSheetLayoutView="70" zoomScalePageLayoutView="80" workbookViewId="0">
      <selection activeCell="H108" sqref="H108"/>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1260</v>
      </c>
      <c r="B1" s="646"/>
      <c r="C1" s="1620"/>
      <c r="D1" s="646"/>
      <c r="E1" s="646"/>
      <c r="F1" s="1621" t="s">
        <v>1261</v>
      </c>
      <c r="G1" s="1453"/>
      <c r="H1" s="1621" t="str">
        <f>IF(G1="现房","——","估价对象范围")</f>
        <v>估价对象范围</v>
      </c>
      <c r="I1" s="1622"/>
    </row>
    <row r="2" spans="1:12" ht="21.75" customHeight="1" thickBot="1">
      <c r="A2" s="3540" t="str">
        <f>项目基本情况!S2</f>
        <v>房地产</v>
      </c>
      <c r="B2" s="3541"/>
      <c r="C2" s="3541"/>
      <c r="D2" s="3541"/>
      <c r="E2" s="3541"/>
      <c r="F2" s="3541"/>
      <c r="G2" s="3541"/>
      <c r="H2" s="3541"/>
      <c r="I2" s="3542"/>
    </row>
    <row r="3" spans="1:12" ht="12.75">
      <c r="A3" s="3544" t="s">
        <v>1262</v>
      </c>
      <c r="B3" s="3545"/>
      <c r="C3" s="3545"/>
      <c r="D3" s="3545"/>
      <c r="E3" s="3545"/>
      <c r="F3" s="3545"/>
      <c r="G3" s="3545"/>
      <c r="H3" s="3545"/>
      <c r="I3" s="3545"/>
    </row>
    <row r="4" spans="1:12" ht="14.25">
      <c r="A4" s="1624" t="s">
        <v>1263</v>
      </c>
      <c r="B4" s="1625" t="s">
        <v>1264</v>
      </c>
      <c r="C4" s="1626"/>
      <c r="D4" s="1626"/>
      <c r="E4" s="3549" t="s">
        <v>1265</v>
      </c>
      <c r="F4" s="3550"/>
      <c r="G4" s="3550"/>
      <c r="H4" s="3550"/>
      <c r="I4" s="3551"/>
      <c r="K4" s="138" t="str">
        <f>IF(ISNUMBER(FIND("比较法",结果表!C4)),"比较法",IF(ISNUMBER(FIND("成本法",结果表!C4)),"成本法",IF(ISNUMBER(FIND("假设开发法",结果表!C4)),"假设开发法",IF(ISNUMBER(FIND("收益法",结果表!C4)),"收益法","基准地价系数修正法"))))</f>
        <v>基准地价系数修正法</v>
      </c>
      <c r="L4" s="138"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488" t="s">
        <v>1266</v>
      </c>
      <c r="B5" s="3543">
        <v>25</v>
      </c>
      <c r="C5" s="3546"/>
      <c r="D5" s="3534"/>
      <c r="E5" s="123" t="s">
        <v>1267</v>
      </c>
      <c r="F5" s="1627"/>
      <c r="G5" s="1627"/>
      <c r="H5" s="1627"/>
      <c r="I5" s="1281"/>
    </row>
    <row r="6" spans="1:12" ht="12.75">
      <c r="A6" s="3488"/>
      <c r="B6" s="3543"/>
      <c r="C6" s="3548"/>
      <c r="D6" s="3534"/>
      <c r="E6" s="123" t="s">
        <v>1268</v>
      </c>
      <c r="F6" s="1627"/>
      <c r="G6" s="1627"/>
      <c r="H6" s="1627"/>
      <c r="I6" s="1281"/>
    </row>
    <row r="7" spans="1:12" ht="12.75">
      <c r="A7" s="3488"/>
      <c r="B7" s="3543"/>
      <c r="C7" s="3547"/>
      <c r="D7" s="3534"/>
      <c r="E7" s="123" t="s">
        <v>1269</v>
      </c>
      <c r="F7" s="1627"/>
      <c r="G7" s="1627"/>
      <c r="H7" s="1627"/>
      <c r="I7" s="1281"/>
    </row>
    <row r="8" spans="1:12" ht="12.75">
      <c r="A8" s="3488" t="s">
        <v>1270</v>
      </c>
      <c r="B8" s="3543">
        <v>15</v>
      </c>
      <c r="C8" s="3546"/>
      <c r="D8" s="3534"/>
      <c r="E8" s="123" t="s">
        <v>1271</v>
      </c>
      <c r="F8" s="1627"/>
      <c r="G8" s="1627"/>
      <c r="H8" s="1627"/>
      <c r="I8" s="1281"/>
    </row>
    <row r="9" spans="1:12" ht="12.75">
      <c r="A9" s="3488"/>
      <c r="B9" s="3543"/>
      <c r="C9" s="3547"/>
      <c r="D9" s="3534"/>
      <c r="E9" s="123" t="s">
        <v>1272</v>
      </c>
      <c r="F9" s="1627"/>
      <c r="G9" s="1627"/>
      <c r="H9" s="1627"/>
      <c r="I9" s="1281"/>
    </row>
    <row r="10" spans="1:12" ht="12.75">
      <c r="A10" s="3488" t="s">
        <v>1273</v>
      </c>
      <c r="B10" s="3543">
        <v>15</v>
      </c>
      <c r="C10" s="3546"/>
      <c r="D10" s="3534"/>
      <c r="E10" s="123" t="s">
        <v>1274</v>
      </c>
      <c r="F10" s="1627"/>
      <c r="G10" s="1627"/>
      <c r="H10" s="1627"/>
      <c r="I10" s="1281"/>
    </row>
    <row r="11" spans="1:12" ht="12.75">
      <c r="A11" s="3488"/>
      <c r="B11" s="3543"/>
      <c r="C11" s="3547"/>
      <c r="D11" s="3534"/>
      <c r="E11" s="123" t="s">
        <v>1275</v>
      </c>
      <c r="F11" s="1627"/>
      <c r="G11" s="1627"/>
      <c r="H11" s="1627"/>
      <c r="I11" s="1281"/>
    </row>
    <row r="12" spans="1:12" ht="12.75">
      <c r="A12" s="3488" t="s">
        <v>1276</v>
      </c>
      <c r="B12" s="3543">
        <v>15</v>
      </c>
      <c r="C12" s="3546"/>
      <c r="D12" s="3534"/>
      <c r="E12" s="123" t="s">
        <v>1277</v>
      </c>
      <c r="F12" s="1627"/>
      <c r="G12" s="1627"/>
      <c r="H12" s="1627"/>
      <c r="I12" s="1281"/>
    </row>
    <row r="13" spans="1:12" ht="12.75">
      <c r="A13" s="3488"/>
      <c r="B13" s="3543"/>
      <c r="C13" s="3547"/>
      <c r="D13" s="3534"/>
      <c r="E13" s="123" t="s">
        <v>1278</v>
      </c>
      <c r="F13" s="1627"/>
      <c r="G13" s="1627"/>
      <c r="H13" s="1627"/>
      <c r="I13" s="1281"/>
    </row>
    <row r="14" spans="1:12" ht="12.75">
      <c r="A14" s="3488" t="s">
        <v>1279</v>
      </c>
      <c r="B14" s="3543">
        <v>30</v>
      </c>
      <c r="C14" s="3546"/>
      <c r="D14" s="3534"/>
      <c r="E14" s="123" t="s">
        <v>1280</v>
      </c>
      <c r="F14" s="1627"/>
      <c r="G14" s="1627"/>
      <c r="H14" s="1627"/>
      <c r="I14" s="1281"/>
    </row>
    <row r="15" spans="1:12" ht="12.75">
      <c r="A15" s="3488"/>
      <c r="B15" s="3543"/>
      <c r="C15" s="3548"/>
      <c r="D15" s="3534"/>
      <c r="E15" s="123" t="s">
        <v>1281</v>
      </c>
      <c r="F15" s="1627"/>
      <c r="G15" s="1627"/>
      <c r="H15" s="1627"/>
      <c r="I15" s="1281"/>
    </row>
    <row r="16" spans="1:12" ht="12.75">
      <c r="A16" s="3488"/>
      <c r="B16" s="3543"/>
      <c r="C16" s="3547"/>
      <c r="D16" s="3534"/>
      <c r="E16" s="123" t="s">
        <v>1282</v>
      </c>
      <c r="F16" s="1627"/>
      <c r="G16" s="1627"/>
      <c r="H16" s="1627"/>
      <c r="I16" s="1281"/>
    </row>
    <row r="17" spans="1:36" ht="15">
      <c r="A17" s="1628" t="s">
        <v>1283</v>
      </c>
      <c r="B17" s="54"/>
      <c r="C17" s="124">
        <f>SUM(C5:C16)</f>
        <v>0</v>
      </c>
      <c r="D17" s="124">
        <f>SUM(D5:D16)</f>
        <v>0</v>
      </c>
      <c r="E17" s="121"/>
      <c r="F17" s="121"/>
      <c r="G17" s="121"/>
      <c r="H17" s="121"/>
      <c r="I17" s="121"/>
      <c r="K17" s="294"/>
      <c r="L17" s="294" t="s">
        <v>1284</v>
      </c>
      <c r="M17" s="294" t="s">
        <v>1285</v>
      </c>
    </row>
    <row r="18" spans="1:36" ht="31.9" customHeight="1" thickBot="1">
      <c r="A18" s="1629" t="s">
        <v>1286</v>
      </c>
      <c r="B18" s="1542"/>
      <c r="C18" s="125" t="e">
        <f>ROUND(C17/SUM(C17:D17),2)</f>
        <v>#DIV/0!</v>
      </c>
      <c r="D18" s="125" t="e">
        <f>1-C18</f>
        <v>#DIV/0!</v>
      </c>
      <c r="E18" s="3565" t="s">
        <v>2129</v>
      </c>
      <c r="F18" s="3566"/>
      <c r="G18" s="3566"/>
      <c r="H18" s="3566"/>
      <c r="I18" s="3566"/>
      <c r="K18" s="294" t="s">
        <v>1287</v>
      </c>
      <c r="L18" s="294">
        <f>IF(C1="",'数据-汇总表'!E3,SUMIF(项目类型,C1,'数据-汇总表'!E17:E26)+SUMIF(项目类型,C1,'数据-汇总表'!I17:I26))</f>
        <v>449.18</v>
      </c>
      <c r="M18" s="294">
        <f>IF(C1="",'数据-汇总表'!E3,SUMIF(项目类型,C1,'数据-汇总表'!E17:E26))</f>
        <v>449.18</v>
      </c>
    </row>
    <row r="19" spans="1:36" ht="15">
      <c r="A19" s="1630" t="s">
        <v>1288</v>
      </c>
      <c r="B19" s="1631" t="s">
        <v>1289</v>
      </c>
      <c r="C19" s="126" t="e">
        <f ca="1">SUMIF(INDIRECT("'"&amp;C4&amp;"'"&amp;"!A:A"),结果表!B19,INDIRECT("'"&amp;C4&amp;"'"&amp;"!B:B"))</f>
        <v>#REF!</v>
      </c>
      <c r="D19" s="127" t="e">
        <f ca="1">SUMIF(INDIRECT("'"&amp;D4&amp;"'"&amp;"!A:A"),结果表!B19,INDIRECT("'"&amp;D4&amp;"'"&amp;"!B:B"))</f>
        <v>#REF!</v>
      </c>
      <c r="E19" s="1630" t="s">
        <v>1290</v>
      </c>
      <c r="F19" s="1631" t="s">
        <v>1289</v>
      </c>
      <c r="G19" s="128" t="e">
        <f ca="1">ROUND(C19*$C$18+D19*$D$18,0)</f>
        <v>#REF!</v>
      </c>
      <c r="H19" s="1632" t="s">
        <v>1291</v>
      </c>
      <c r="I19" s="121"/>
      <c r="K19" s="294" t="s">
        <v>1292</v>
      </c>
      <c r="L19" s="294">
        <f>IF(C1="",'数据-汇总表'!D3,SUMIF(项目类型,C1,'数据-汇总表'!D17:D26)+SUMIF(项目类型,C1,'数据-汇总表'!H17:H27))</f>
        <v>109.97</v>
      </c>
      <c r="M19" s="294">
        <f>IF(C1="",'数据-汇总表'!D3,SUMIF(项目类型,C1,'数据-汇总表'!D17:D26))</f>
        <v>109.97</v>
      </c>
    </row>
    <row r="20" spans="1:36" ht="15">
      <c r="A20" s="1633"/>
      <c r="B20" s="43" t="s">
        <v>1293</v>
      </c>
      <c r="C20" s="129" t="e">
        <f ca="1">SUMIF(INDIRECT("'"&amp;C4&amp;"'"&amp;"!A:A"),结果表!B20,INDIRECT("'"&amp;C4&amp;"'"&amp;"!B:B"))</f>
        <v>#REF!</v>
      </c>
      <c r="D20" s="130" t="e">
        <f ca="1">SUMIF(INDIRECT("'"&amp;D4&amp;"'"&amp;"!A:A"),结果表!B20,INDIRECT("'"&amp;D4&amp;"'"&amp;"!B:B"))</f>
        <v>#REF!</v>
      </c>
      <c r="E20" s="1633"/>
      <c r="F20" s="43" t="s">
        <v>1293</v>
      </c>
      <c r="G20" s="131" t="e">
        <f ca="1">ROUND(C20*$C$18+D20*$D$18,0)</f>
        <v>#REF!</v>
      </c>
      <c r="H20" s="760" t="s">
        <v>1294</v>
      </c>
      <c r="I20" s="121"/>
    </row>
    <row r="21" spans="1:36" ht="15" customHeight="1" thickBot="1">
      <c r="A21" s="449"/>
      <c r="B21" s="93" t="s">
        <v>1295</v>
      </c>
      <c r="C21" s="678" t="e">
        <f ca="1">ROUND(C19*10000/L19,0)</f>
        <v>#REF!</v>
      </c>
      <c r="D21" s="679" t="e">
        <f ca="1">ROUND(D19*10000/L19,0)</f>
        <v>#REF!</v>
      </c>
      <c r="E21" s="449"/>
      <c r="F21" s="93" t="s">
        <v>1295</v>
      </c>
      <c r="G21" s="132" t="e">
        <f ca="1">ROUND(G19*10000/L19,0)</f>
        <v>#REF!</v>
      </c>
      <c r="H21" s="1634" t="s">
        <v>1294</v>
      </c>
      <c r="I21" s="121"/>
    </row>
    <row r="22" spans="1:36" ht="15" thickBot="1">
      <c r="A22" s="1564" t="s">
        <v>1296</v>
      </c>
      <c r="B22" s="1635"/>
      <c r="C22" s="1636"/>
      <c r="D22" s="680" t="e">
        <f ca="1">IF(C19&lt;D19,D19/C19-1,C19/D19-1)</f>
        <v>#REF!</v>
      </c>
      <c r="E22" s="121"/>
      <c r="F22" s="121"/>
      <c r="G22" s="121"/>
      <c r="H22" s="121"/>
      <c r="I22" s="121"/>
    </row>
    <row r="23" spans="1:36" ht="13.5" thickBot="1">
      <c r="A23" s="646"/>
      <c r="B23" s="646"/>
      <c r="C23" s="646"/>
      <c r="D23" s="646"/>
      <c r="E23" s="121"/>
      <c r="F23" s="121"/>
      <c r="G23" s="121"/>
      <c r="H23" s="121"/>
      <c r="I23" s="121"/>
    </row>
    <row r="24" spans="1:36" ht="14.25">
      <c r="A24" s="3558" t="s">
        <v>1297</v>
      </c>
      <c r="B24" s="1631" t="s">
        <v>1289</v>
      </c>
      <c r="C24" s="128">
        <f>IF(B30=0,0,D30)</f>
        <v>0</v>
      </c>
      <c r="D24" s="1637"/>
      <c r="E24" s="121"/>
      <c r="F24" s="121"/>
      <c r="G24" s="121"/>
      <c r="H24" s="121"/>
      <c r="I24" s="121"/>
    </row>
    <row r="25" spans="1:36" ht="14.25">
      <c r="A25" s="3559"/>
      <c r="B25" s="43" t="s">
        <v>1293</v>
      </c>
      <c r="C25" s="133">
        <f>IF(B30=0,0,C30)</f>
        <v>0</v>
      </c>
      <c r="D25" s="1638"/>
      <c r="E25" s="121"/>
      <c r="F25" s="121"/>
      <c r="G25" s="121"/>
      <c r="H25" s="121"/>
      <c r="I25" s="121"/>
    </row>
    <row r="26" spans="1:36" ht="13.5" customHeight="1">
      <c r="A26" s="1639" t="s">
        <v>1298</v>
      </c>
      <c r="B26" s="134" t="s">
        <v>1299</v>
      </c>
      <c r="C26" s="134" t="s">
        <v>1300</v>
      </c>
      <c r="D26" s="135" t="s">
        <v>1301</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1302</v>
      </c>
      <c r="B30" s="134"/>
      <c r="C30" s="134"/>
      <c r="D30" s="134"/>
      <c r="E30" s="2127" t="s">
        <v>2130</v>
      </c>
      <c r="F30" s="121"/>
      <c r="G30" s="121"/>
      <c r="H30" s="121"/>
      <c r="I30" s="121"/>
    </row>
    <row r="31" spans="1:36" s="2133" customFormat="1" ht="26.45" customHeight="1" thickTop="1" thickBot="1">
      <c r="A31" s="2128"/>
      <c r="B31" s="2129"/>
      <c r="C31" s="2129"/>
      <c r="D31" s="2129"/>
      <c r="E31" s="2129"/>
      <c r="F31" s="2129"/>
      <c r="G31" s="2129"/>
      <c r="H31" s="2129"/>
      <c r="I31" s="2130" t="s">
        <v>2131</v>
      </c>
      <c r="J31" s="2464"/>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6.5" thickTop="1" thickBot="1">
      <c r="A32" s="1640" t="s">
        <v>1303</v>
      </c>
      <c r="B32" s="1535"/>
      <c r="C32" s="136" t="e">
        <f ca="1">IF(D32="总价",G19-C24,G20-C25)</f>
        <v>#REF!</v>
      </c>
      <c r="D32" s="1641"/>
      <c r="E32" s="121"/>
      <c r="F32" s="121"/>
      <c r="G32" s="121"/>
      <c r="H32" s="121"/>
      <c r="I32" s="121"/>
    </row>
    <row r="33" spans="1:15" ht="15">
      <c r="A33" s="740" t="s">
        <v>1304</v>
      </c>
      <c r="B33" s="123"/>
      <c r="C33" s="1642"/>
      <c r="D33" s="1643"/>
      <c r="E33" s="1644" t="s">
        <v>1305</v>
      </c>
      <c r="F33" s="1645" t="str">
        <f>IF(D32="楼面单价","取值（单价）","取值（总价）")</f>
        <v>取值（总价）</v>
      </c>
      <c r="G33" s="121"/>
      <c r="H33" s="121"/>
      <c r="I33" s="121"/>
    </row>
    <row r="34" spans="1:15" ht="15">
      <c r="A34" s="1646"/>
      <c r="B34" s="1647" t="s">
        <v>1306</v>
      </c>
      <c r="C34" s="140" t="e">
        <f ca="1">IF(C33="自定义",F34,C32-C35)</f>
        <v>#REF!</v>
      </c>
      <c r="D34" s="808" t="e">
        <f ca="1">IF(C33="自定义",ROUND(C34/C32,3),IF(C33="收益比率",SUMIF(INDIRECT("'"&amp;D33&amp;"'"&amp;"!b:b"),"土地收益比率",INDIRECT("'"&amp;D33&amp;"'"&amp;"!c:c")),SUMIF(INDIRECT("'"&amp;D33&amp;"'"&amp;"!b:b"),"土地成本比率",INDIRECT("'"&amp;D33&amp;"'"&amp;"!c:c"))))</f>
        <v>#REF!</v>
      </c>
      <c r="E34" s="1648" t="s">
        <v>1307</v>
      </c>
      <c r="F34" s="1243"/>
      <c r="G34" s="121"/>
      <c r="H34" s="121"/>
      <c r="I34" s="121"/>
    </row>
    <row r="35" spans="1:15" ht="15.75" thickBot="1">
      <c r="A35" s="1649"/>
      <c r="B35" s="1650" t="s">
        <v>1308</v>
      </c>
      <c r="C35" s="1090" t="e">
        <f ca="1">IF(C33="自定义",F35,ROUND(C32*D35,0))</f>
        <v>#REF!</v>
      </c>
      <c r="D35" s="1091" t="e">
        <f ca="1">IF(C33="自定义",ROUND(C35/C32,3),IF(C33="收益比率",SUMIF(INDIRECT("'"&amp;D33&amp;"'"&amp;"!b:b"),"建筑物收益比率",INDIRECT("'"&amp;D33&amp;"'"&amp;"!c:c")),SUMIF(INDIRECT("'"&amp;D33&amp;"'"&amp;"!b:b"),"建筑物成本比率",INDIRECT("'"&amp;D33&amp;"'"&amp;"!c:c"))))</f>
        <v>#REF!</v>
      </c>
      <c r="E35" s="1651" t="s">
        <v>1309</v>
      </c>
      <c r="F35" s="146"/>
      <c r="G35" s="121"/>
      <c r="H35" s="121"/>
      <c r="I35" s="121"/>
    </row>
    <row r="36" spans="1:15" ht="15.75" thickBot="1">
      <c r="A36" s="3535" t="s">
        <v>1310</v>
      </c>
      <c r="B36" s="1652" t="s">
        <v>1311</v>
      </c>
      <c r="C36" s="137"/>
      <c r="D36" s="1653"/>
      <c r="E36" s="1567"/>
      <c r="F36" s="1654"/>
      <c r="G36" s="121"/>
      <c r="H36" s="121"/>
      <c r="I36" s="121"/>
    </row>
    <row r="37" spans="1:15" ht="15.75" thickBot="1">
      <c r="A37" s="3536"/>
      <c r="B37" s="1555" t="s">
        <v>1312</v>
      </c>
      <c r="C37" s="139"/>
      <c r="D37" s="1071"/>
      <c r="E37" s="1071"/>
      <c r="F37" s="1654"/>
      <c r="G37" s="121"/>
      <c r="H37" s="121"/>
      <c r="I37" s="121"/>
    </row>
    <row r="38" spans="1:15" ht="15.75" thickBot="1">
      <c r="A38" s="3537"/>
      <c r="B38" s="1655" t="s">
        <v>1313</v>
      </c>
      <c r="C38" s="641"/>
      <c r="D38" s="1656" t="s">
        <v>1314</v>
      </c>
      <c r="E38" s="1071"/>
      <c r="F38" s="1654"/>
      <c r="G38" s="121"/>
      <c r="H38" s="121"/>
      <c r="I38" s="121"/>
    </row>
    <row r="39" spans="1:15" ht="15">
      <c r="A39" s="1633" t="s">
        <v>1315</v>
      </c>
      <c r="B39" s="1657" t="s">
        <v>1316</v>
      </c>
      <c r="C39" s="1658" t="s">
        <v>1317</v>
      </c>
      <c r="D39" s="1658" t="s">
        <v>1318</v>
      </c>
      <c r="E39" s="1659" t="s">
        <v>1319</v>
      </c>
      <c r="F39" s="1654"/>
      <c r="G39" s="121"/>
      <c r="H39" s="121"/>
      <c r="I39" s="121"/>
    </row>
    <row r="40" spans="1:15" ht="14.25">
      <c r="A40" s="1660" t="s">
        <v>1320</v>
      </c>
      <c r="B40" s="141"/>
      <c r="C40" s="142"/>
      <c r="D40" s="142"/>
      <c r="E40" s="143"/>
      <c r="F40" s="1654"/>
      <c r="G40" s="121"/>
      <c r="H40" s="121"/>
      <c r="I40" s="121"/>
    </row>
    <row r="41" spans="1:15" ht="14.25">
      <c r="A41" s="1660" t="s">
        <v>1321</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1322</v>
      </c>
      <c r="B44" s="1664"/>
      <c r="C44" s="1664"/>
      <c r="D44" s="1665"/>
      <c r="E44" s="1665"/>
      <c r="F44" s="1666"/>
      <c r="G44" s="1666"/>
      <c r="H44" s="1666"/>
      <c r="I44" s="1666"/>
      <c r="J44" s="1667" t="s">
        <v>1323</v>
      </c>
      <c r="K44" s="4"/>
      <c r="L44" s="4"/>
      <c r="M44" s="4"/>
      <c r="N44" s="4"/>
      <c r="O44" s="4"/>
    </row>
    <row r="45" spans="1:15" ht="14.25" customHeight="1" thickBot="1">
      <c r="A45" s="3555" t="s">
        <v>1324</v>
      </c>
      <c r="B45" s="3556"/>
      <c r="C45" s="3557"/>
      <c r="D45" s="147" t="e">
        <f ca="1">ROUND(H101*F45,0)</f>
        <v>#REF!</v>
      </c>
      <c r="E45" s="148" t="s">
        <v>1325</v>
      </c>
      <c r="F45" s="149">
        <v>1</v>
      </c>
      <c r="G45" s="150" t="s">
        <v>1326</v>
      </c>
      <c r="H45" s="121"/>
      <c r="I45" s="121"/>
      <c r="J45" s="3475" t="s">
        <v>1327</v>
      </c>
      <c r="K45" s="3475"/>
      <c r="L45" s="3475"/>
      <c r="M45" s="3475"/>
      <c r="N45" s="3475"/>
      <c r="O45" s="3475"/>
    </row>
    <row r="46" spans="1:15" ht="14.25" customHeight="1">
      <c r="A46" s="3552" t="s">
        <v>1328</v>
      </c>
      <c r="B46" s="3553"/>
      <c r="C46" s="3553"/>
      <c r="D46" s="3553"/>
      <c r="E46" s="3553"/>
      <c r="F46" s="3553"/>
      <c r="G46" s="3554"/>
      <c r="H46" s="1668"/>
      <c r="I46" s="151"/>
      <c r="J46" s="2310">
        <v>1</v>
      </c>
      <c r="K46" s="3476" t="s">
        <v>1329</v>
      </c>
      <c r="L46" s="3476"/>
      <c r="M46" s="3477"/>
      <c r="N46" s="3477"/>
      <c r="O46" s="3477"/>
    </row>
    <row r="47" spans="1:15" ht="12" customHeight="1">
      <c r="A47" s="152" t="s">
        <v>1330</v>
      </c>
      <c r="B47" s="153"/>
      <c r="C47" s="154"/>
      <c r="D47" s="1024" t="s">
        <v>1331</v>
      </c>
      <c r="E47" s="294" t="s">
        <v>1332</v>
      </c>
      <c r="F47" s="155" t="s">
        <v>1333</v>
      </c>
      <c r="G47" s="2333" t="s">
        <v>1334</v>
      </c>
      <c r="H47" s="2334"/>
      <c r="I47" s="151"/>
      <c r="J47" s="2310">
        <v>2</v>
      </c>
      <c r="K47" s="3476" t="s">
        <v>1335</v>
      </c>
      <c r="L47" s="3476"/>
      <c r="M47" s="3478">
        <f>'数据-取费表'!B2</f>
        <v>45839</v>
      </c>
      <c r="N47" s="3478"/>
      <c r="O47" s="3478"/>
    </row>
    <row r="48" spans="1:15" ht="25.5">
      <c r="A48" s="3538" t="s">
        <v>1336</v>
      </c>
      <c r="B48" s="3539"/>
      <c r="C48" s="3539"/>
      <c r="D48" s="12" t="b">
        <f>IF(H48="情况1",0,IF(H48="情况2",D52,IF(H48="情况3",D53,IF(H48="情况4",D54))))</f>
        <v>0</v>
      </c>
      <c r="E48" s="1256" t="str">
        <f>IF(H48="情况4","(销售额-原购置价)×税（费）率","销售额×税（费）率")</f>
        <v>销售额×税（费）率</v>
      </c>
      <c r="F48" s="2335">
        <f>IF(H48="情况1","免征",'数据-取费表'!B41)</f>
        <v>5.6000000000000001E-2</v>
      </c>
      <c r="G48" s="2336" t="s">
        <v>1337</v>
      </c>
      <c r="H48" s="2337"/>
      <c r="I48" s="1668"/>
      <c r="J48" s="2310">
        <v>3</v>
      </c>
      <c r="K48" s="3476" t="s">
        <v>1338</v>
      </c>
      <c r="L48" s="3476"/>
      <c r="M48" s="3479" t="e">
        <f ca="1">H101</f>
        <v>#REF!</v>
      </c>
      <c r="N48" s="3479"/>
      <c r="O48" s="3479"/>
    </row>
    <row r="49" spans="1:35" ht="25.5" customHeight="1">
      <c r="A49" s="2152" t="s">
        <v>1339</v>
      </c>
      <c r="B49" s="3524" t="s">
        <v>1340</v>
      </c>
      <c r="C49" s="3524"/>
      <c r="D49" s="1478">
        <v>0</v>
      </c>
      <c r="E49" s="316" t="s">
        <v>1341</v>
      </c>
      <c r="F49" s="2233" t="s">
        <v>28</v>
      </c>
      <c r="G49" s="3507"/>
      <c r="H49" s="2134" t="s">
        <v>2132</v>
      </c>
      <c r="I49" s="2135"/>
      <c r="J49" s="2310">
        <v>4</v>
      </c>
      <c r="K49" s="3476" t="str">
        <f>IF(项目基本情况!E8="房地产抵押价值","房地产抵押价值","抵押担保权已注销时的房地产抵押价值")</f>
        <v>抵押担保权已注销时的房地产抵押价值</v>
      </c>
      <c r="L49" s="3476"/>
      <c r="M49" s="3479" t="str">
        <f>IF(项目基本情况!E8="房地产抵押价值",H107,H109)</f>
        <v>——</v>
      </c>
      <c r="N49" s="3479"/>
      <c r="O49" s="3479"/>
    </row>
    <row r="50" spans="1:35" ht="25.5" customHeight="1">
      <c r="A50" s="2338"/>
      <c r="B50" s="3524" t="s">
        <v>1342</v>
      </c>
      <c r="C50" s="3524"/>
      <c r="D50" s="2189"/>
      <c r="E50" s="323"/>
      <c r="F50" s="2233"/>
      <c r="G50" s="3508"/>
      <c r="H50" s="2136" t="s">
        <v>2133</v>
      </c>
      <c r="I50" s="2135"/>
      <c r="J50" s="3475" t="s">
        <v>1343</v>
      </c>
      <c r="K50" s="3475"/>
      <c r="L50" s="3475"/>
      <c r="M50" s="3475"/>
      <c r="N50" s="3475"/>
      <c r="O50" s="3475"/>
    </row>
    <row r="51" spans="1:35" ht="20.45" customHeight="1">
      <c r="A51" s="2339"/>
      <c r="B51" s="3524" t="s">
        <v>1344</v>
      </c>
      <c r="C51" s="3524"/>
      <c r="D51" s="1024"/>
      <c r="E51" s="319"/>
      <c r="F51" s="2233"/>
      <c r="G51" s="3509"/>
      <c r="H51" s="2136" t="s">
        <v>2134</v>
      </c>
      <c r="I51" s="2135"/>
      <c r="J51" s="2311" t="s">
        <v>1345</v>
      </c>
      <c r="K51" s="3476" t="s">
        <v>1346</v>
      </c>
      <c r="L51" s="3476"/>
      <c r="M51" s="2311" t="s">
        <v>1347</v>
      </c>
      <c r="N51" s="2311" t="s">
        <v>1348</v>
      </c>
      <c r="O51" s="2311" t="s">
        <v>1349</v>
      </c>
    </row>
    <row r="52" spans="1:35" ht="24" customHeight="1">
      <c r="A52" s="2153" t="s">
        <v>1350</v>
      </c>
      <c r="B52" s="3524" t="s">
        <v>1351</v>
      </c>
      <c r="C52" s="3524"/>
      <c r="D52" s="1024" t="e">
        <f ca="1">ROUND(D45*'数据-取费表'!B41/(1+'数据-取费表'!C42),0)</f>
        <v>#REF!</v>
      </c>
      <c r="E52" s="1256" t="s">
        <v>1352</v>
      </c>
      <c r="F52" s="2340">
        <f>'数据-取费表'!B41</f>
        <v>5.6000000000000001E-2</v>
      </c>
      <c r="G52" s="2341"/>
      <c r="H52" s="2331"/>
      <c r="I52" s="1669"/>
      <c r="J52" s="2310">
        <v>1</v>
      </c>
      <c r="K52" s="3501" t="s">
        <v>1353</v>
      </c>
      <c r="L52" s="3501"/>
      <c r="M52" s="2312" t="b">
        <f>D48</f>
        <v>0</v>
      </c>
      <c r="N52" s="2310" t="str">
        <f>E48</f>
        <v>销售额×税（费）率</v>
      </c>
      <c r="O52" s="2313">
        <f>F48</f>
        <v>5.6000000000000001E-2</v>
      </c>
    </row>
    <row r="53" spans="1:35" ht="12" customHeight="1">
      <c r="A53" s="2153" t="s">
        <v>1354</v>
      </c>
      <c r="B53" s="3525" t="s">
        <v>2289</v>
      </c>
      <c r="C53" s="3526"/>
      <c r="D53" s="1024" t="e">
        <f ca="1">ROUND(D45*'数据-取费表'!B41/(1+'数据-取费表'!C42),0)</f>
        <v>#REF!</v>
      </c>
      <c r="E53" s="1256" t="s">
        <v>1352</v>
      </c>
      <c r="F53" s="2340">
        <f>'数据-取费表'!B41</f>
        <v>5.6000000000000001E-2</v>
      </c>
      <c r="G53" s="2341"/>
      <c r="H53" s="2331"/>
      <c r="I53" s="1669"/>
      <c r="J53" s="2310">
        <v>2</v>
      </c>
      <c r="K53" s="3501" t="s">
        <v>1355</v>
      </c>
      <c r="L53" s="3501"/>
      <c r="M53" s="2312" t="e">
        <f t="shared" ref="M53:O54" ca="1" si="0">D55</f>
        <v>#REF!</v>
      </c>
      <c r="N53" s="2310" t="str">
        <f t="shared" si="0"/>
        <v>销售额×税（费）率</v>
      </c>
      <c r="O53" s="2313" t="str">
        <f t="shared" si="0"/>
        <v>免征</v>
      </c>
    </row>
    <row r="54" spans="1:35" ht="12" customHeight="1">
      <c r="A54" s="2153" t="s">
        <v>1356</v>
      </c>
      <c r="B54" s="3525" t="s">
        <v>2290</v>
      </c>
      <c r="C54" s="3526"/>
      <c r="D54" s="1024" t="e">
        <f ca="1">C68</f>
        <v>#REF!</v>
      </c>
      <c r="E54" s="319" t="s">
        <v>1357</v>
      </c>
      <c r="F54" s="2340">
        <f>'数据-取费表'!B41</f>
        <v>5.6000000000000001E-2</v>
      </c>
      <c r="G54" s="2341"/>
      <c r="H54" s="2342"/>
      <c r="I54" s="1669"/>
      <c r="J54" s="2310">
        <v>3</v>
      </c>
      <c r="K54" s="3501" t="s">
        <v>1358</v>
      </c>
      <c r="L54" s="3501"/>
      <c r="M54" s="2312" t="e">
        <f t="shared" ca="1" si="0"/>
        <v>#REF!</v>
      </c>
      <c r="N54" s="2310" t="str">
        <f t="shared" si="0"/>
        <v>增值额×税（费）率</v>
      </c>
      <c r="O54" s="2314" t="str">
        <f t="shared" si="0"/>
        <v>免征</v>
      </c>
    </row>
    <row r="55" spans="1:35" ht="24" customHeight="1">
      <c r="A55" s="3561" t="s">
        <v>1359</v>
      </c>
      <c r="B55" s="3539"/>
      <c r="C55" s="3539"/>
      <c r="D55" s="12" t="e">
        <f ca="1">IF(H55="个人住宅",0,ROUND(D45*I55,0))</f>
        <v>#REF!</v>
      </c>
      <c r="E55" s="1256" t="s">
        <v>1360</v>
      </c>
      <c r="F55" s="2340" t="str">
        <f>IF(H55="正常",I55,"免征")</f>
        <v>免征</v>
      </c>
      <c r="G55" s="2341"/>
      <c r="H55" s="2337"/>
      <c r="I55" s="157">
        <f>'数据-取费表'!B49</f>
        <v>5.0000000000000001E-4</v>
      </c>
      <c r="J55" s="2310">
        <f>IF(H59="非个人房产","",4)</f>
        <v>4</v>
      </c>
      <c r="K55" s="3501" t="str">
        <f>IF(H59="非个人房产","——","个人所得税")</f>
        <v>个人所得税</v>
      </c>
      <c r="L55" s="3501"/>
      <c r="M55" s="2315" t="e">
        <f ca="1">D59</f>
        <v>#REF!</v>
      </c>
      <c r="N55" s="1883" t="str">
        <f>E59</f>
        <v>差额计税</v>
      </c>
      <c r="O55" s="2316">
        <f>F59</f>
        <v>0.01</v>
      </c>
    </row>
    <row r="56" spans="1:35" ht="24.75">
      <c r="A56" s="3561" t="s">
        <v>1361</v>
      </c>
      <c r="B56" s="3539"/>
      <c r="C56" s="3539"/>
      <c r="D56" s="12" t="e">
        <f ca="1">IF(H56="个人住宅",D57,D58)</f>
        <v>#REF!</v>
      </c>
      <c r="E56" s="1256" t="s">
        <v>1362</v>
      </c>
      <c r="F56" s="2340" t="str">
        <f>IF(H56="正常",F58,"免征")</f>
        <v>免征</v>
      </c>
      <c r="G56" s="2343" t="s">
        <v>1363</v>
      </c>
      <c r="H56" s="2344"/>
      <c r="I56" s="1670"/>
      <c r="J56" s="2310" t="str">
        <f>IF(项目基本情况!K6="上海银行",IF(J55="",4,J55+1),"")</f>
        <v/>
      </c>
      <c r="K56" s="3482" t="str">
        <f>IF(项目基本情况!K6="上海银行","其他处置费用","")</f>
        <v/>
      </c>
      <c r="L56" s="3483"/>
      <c r="M56" s="2312" t="str">
        <f>IF(项目基本情况!K6="上海银行",M69,"")</f>
        <v/>
      </c>
      <c r="N56" s="3482" t="str">
        <f>IF(项目基本情况!K6="上海银行","包含处置中涉及的律师、诉讼、拍卖、评估等费用","")</f>
        <v/>
      </c>
      <c r="O56" s="3485"/>
    </row>
    <row r="57" spans="1:35" ht="12.75">
      <c r="A57" s="2153" t="s">
        <v>1339</v>
      </c>
      <c r="B57" s="3525" t="s">
        <v>1364</v>
      </c>
      <c r="C57" s="3526"/>
      <c r="D57" s="1478">
        <v>0</v>
      </c>
      <c r="E57" s="316" t="s">
        <v>1341</v>
      </c>
      <c r="F57" s="294"/>
      <c r="G57" s="2341"/>
      <c r="H57" s="2345"/>
      <c r="I57" s="1670"/>
      <c r="J57" s="3501">
        <f>IF(AND(J55="",J56=""),4,IF(项目基本情况!K6="上海银行",结果表!J56+1,结果表!J55+1))</f>
        <v>5</v>
      </c>
      <c r="K57" s="3501" t="s">
        <v>1365</v>
      </c>
      <c r="L57" s="2317" t="s">
        <v>1366</v>
      </c>
      <c r="M57" s="2318"/>
      <c r="N57" s="2319">
        <f ca="1">SUMIF(M52:M56,"&lt;9e307")</f>
        <v>0</v>
      </c>
      <c r="O57" s="2320"/>
      <c r="P57" s="2465" t="e">
        <f ca="1">N57/M49</f>
        <v>#VALUE!</v>
      </c>
    </row>
    <row r="58" spans="1:35" ht="24.75">
      <c r="A58" s="2153" t="s">
        <v>1350</v>
      </c>
      <c r="B58" s="3525" t="s">
        <v>1367</v>
      </c>
      <c r="C58" s="3524"/>
      <c r="D58" s="12" t="e">
        <f ca="1">IF(H58="转让取得",C81,C97)</f>
        <v>#REF!</v>
      </c>
      <c r="E58" s="1256" t="s">
        <v>1362</v>
      </c>
      <c r="F58" s="294" t="s">
        <v>28</v>
      </c>
      <c r="G58" s="2341"/>
      <c r="H58" s="2344"/>
      <c r="I58" s="1670"/>
      <c r="J58" s="3501"/>
      <c r="K58" s="3501"/>
      <c r="L58" s="2317" t="s">
        <v>1368</v>
      </c>
      <c r="M58" s="2321"/>
      <c r="N58" s="2322" t="str">
        <f ca="1">NUMBERSTRING(INT(N57*10000),2)&amp;"元整"</f>
        <v>零元整</v>
      </c>
      <c r="O58" s="2323"/>
    </row>
    <row r="59" spans="1:35" ht="24.75" thickBot="1">
      <c r="A59" s="3505" t="s">
        <v>1369</v>
      </c>
      <c r="B59" s="3506"/>
      <c r="C59" s="3506"/>
      <c r="D59" s="2346" t="e">
        <f ca="1">IF(H59="非个人房产","——",IF(H59="个人住宅（满五唯一有凭证）",0,IF(H59="个人其他（无凭证）",ROUND(D45*F59,0),ROUND(C67*F59,0))))</f>
        <v>#REF!</v>
      </c>
      <c r="E59" s="2347" t="str">
        <f>IF(H59="非个人房产","——",IF(H59="个人其他（无凭证）","销售额×税（费）率",IF(H59="个人住宅（满五唯一有凭证）","免征","差额计税")))</f>
        <v>差额计税</v>
      </c>
      <c r="F59" s="2348">
        <f>IF(OR(H59="非个人房产",H59="个人住宅（满五唯一有凭证）"),"——",IF(H59="个人其他（有凭证）",20%,1%))</f>
        <v>0.01</v>
      </c>
      <c r="G59" s="2349" t="s">
        <v>1363</v>
      </c>
      <c r="H59" s="2138"/>
      <c r="I59" s="2137" t="s">
        <v>2135</v>
      </c>
      <c r="J59" s="3503">
        <f>J57+1</f>
        <v>6</v>
      </c>
      <c r="K59" s="3501" t="s">
        <v>1370</v>
      </c>
      <c r="L59" s="2310" t="s">
        <v>1366</v>
      </c>
      <c r="M59" s="2324"/>
      <c r="N59" s="2325" t="e">
        <f ca="1">M49-N57</f>
        <v>#VALUE!</v>
      </c>
      <c r="O59" s="2326"/>
    </row>
    <row r="60" spans="1:35" ht="12" customHeight="1">
      <c r="A60" s="1671"/>
      <c r="B60" s="646"/>
      <c r="C60" s="646"/>
      <c r="D60" s="646"/>
      <c r="E60" s="1466"/>
      <c r="F60" s="1670"/>
      <c r="G60" s="1670"/>
      <c r="H60" s="151"/>
      <c r="I60" s="121"/>
      <c r="J60" s="3504"/>
      <c r="K60" s="3501"/>
      <c r="L60" s="2317" t="s">
        <v>1368</v>
      </c>
      <c r="M60" s="2321"/>
      <c r="N60" s="2322" t="e">
        <f ca="1">NUMBERSTRING(INT(N59*10000),2)&amp;"元整"</f>
        <v>#VALUE!</v>
      </c>
      <c r="O60" s="2323"/>
    </row>
    <row r="61" spans="1:35" ht="13.5" thickBot="1">
      <c r="A61" s="3560" t="s">
        <v>1371</v>
      </c>
      <c r="B61" s="3560"/>
      <c r="C61" s="3560"/>
      <c r="D61" s="3560"/>
      <c r="E61" s="3560"/>
      <c r="F61" s="1670"/>
      <c r="G61" s="1670"/>
      <c r="H61" s="151"/>
      <c r="I61" s="121"/>
      <c r="J61" s="2310">
        <f>J59+1</f>
        <v>7</v>
      </c>
      <c r="K61" s="3501" t="s">
        <v>1372</v>
      </c>
      <c r="L61" s="3501"/>
      <c r="M61" s="2327"/>
      <c r="N61" s="2328" t="e">
        <f ca="1">ROUND(N59*10000/'数据-汇总表'!E3,0)</f>
        <v>#VALUE!</v>
      </c>
      <c r="O61" s="2329"/>
    </row>
    <row r="62" spans="1:35" ht="12.75">
      <c r="A62" s="3520" t="s">
        <v>1373</v>
      </c>
      <c r="B62" s="3521"/>
      <c r="C62" s="1865"/>
      <c r="D62" s="1865" t="s">
        <v>1374</v>
      </c>
      <c r="E62" s="158" t="s">
        <v>1375</v>
      </c>
      <c r="F62" s="1670"/>
      <c r="G62" s="1670"/>
      <c r="H62" s="151"/>
      <c r="I62" s="121"/>
    </row>
    <row r="63" spans="1:35" ht="12.75">
      <c r="A63" s="165" t="s">
        <v>330</v>
      </c>
      <c r="B63" s="159" t="s">
        <v>1376</v>
      </c>
      <c r="C63" s="2350" t="e">
        <f ca="1">ROUND((C64+C65)/(1+'数据-取费表'!C42),0)</f>
        <v>#REF!</v>
      </c>
      <c r="D63" s="159"/>
      <c r="E63" s="160"/>
      <c r="F63" s="1670"/>
      <c r="G63" s="1670"/>
      <c r="H63" s="151"/>
      <c r="I63" s="121"/>
      <c r="J63" s="3484" t="s">
        <v>1377</v>
      </c>
      <c r="K63" s="1245" t="s">
        <v>1378</v>
      </c>
      <c r="L63" s="1245" t="e">
        <f>IF(M49&gt;10000,M49*0.5%,IF(AND(M49&gt;1000,M49&lt;=10000),M49*1%,IF(AND(M49&gt;100,M49&lt;=1000),M49*3%,IF(AND(M49&gt;10,M49&lt;=100),M49*5%,M49*8%))))</f>
        <v>#VALUE!</v>
      </c>
      <c r="M63" s="294" t="e">
        <f>ROUND(L63,1)</f>
        <v>#VALUE!</v>
      </c>
      <c r="N63" s="2330"/>
      <c r="Z63" s="1623"/>
      <c r="AI63" s="1561"/>
    </row>
    <row r="64" spans="1:35" ht="14.25" customHeight="1">
      <c r="A64" s="161" t="s">
        <v>325</v>
      </c>
      <c r="B64" s="162" t="s">
        <v>1379</v>
      </c>
      <c r="C64" s="2351" t="e">
        <f ca="1">D45</f>
        <v>#REF!</v>
      </c>
      <c r="D64" s="162" t="s">
        <v>26</v>
      </c>
      <c r="E64" s="164"/>
      <c r="F64" s="1670"/>
      <c r="G64" s="1670"/>
      <c r="H64" s="151"/>
      <c r="I64" s="121"/>
      <c r="J64" s="3484"/>
      <c r="K64" s="1245" t="s">
        <v>1380</v>
      </c>
      <c r="L64" s="1245" t="e">
        <f>IF(M49&gt;2000,M49*0.5%,IF(AND(M49&gt;1000,M49&lt;=2000),M49*0.6%,IF(AND(M49&gt;500,M49&lt;=1000),M49*0.7%,IF(AND(M49&gt;200,M49&lt;=500),M49*0.8%,IF(AND(M49&gt;100,M49&lt;=200),M49*0.9%,IF(AND(M49&gt;50,M49&lt;=100),M49*1%,IF(AND(M49&gt;20,M49&lt;=50),M49*1.5%,IF(AND(M49&gt;10,M49&lt;=20),M49*2%,IF(AND(M49&gt;1,M49&lt;=10),M49*2.5%)))))))))</f>
        <v>#VALUE!</v>
      </c>
      <c r="M64" s="294" t="e">
        <f t="shared" ref="M64:M65" si="1">ROUND(L64,1)</f>
        <v>#VALUE!</v>
      </c>
      <c r="N64" s="2331" t="s">
        <v>1381</v>
      </c>
      <c r="Z64" s="1623"/>
      <c r="AI64" s="1561"/>
    </row>
    <row r="65" spans="1:35" ht="14.25" customHeight="1">
      <c r="A65" s="161" t="s">
        <v>326</v>
      </c>
      <c r="B65" s="162" t="s">
        <v>1382</v>
      </c>
      <c r="C65" s="2352"/>
      <c r="D65" s="162"/>
      <c r="E65" s="164"/>
      <c r="F65" s="1670"/>
      <c r="G65" s="1670"/>
      <c r="H65" s="151"/>
      <c r="I65" s="121"/>
      <c r="J65" s="3484"/>
      <c r="K65" s="1245" t="s">
        <v>1383</v>
      </c>
      <c r="L65" s="1245" t="e">
        <f>IF(M49&gt;1000,M49*0.1%,IF(AND(M49&gt;500,M49&lt;=1000),M49*0.5%,IF(AND(M49&gt;50,M49&lt;=500),M49*1%,IF(AND(M49&gt;1,M49&lt;=50),M49*1.5%))))</f>
        <v>#VALUE!</v>
      </c>
      <c r="M65" s="294" t="e">
        <f t="shared" si="1"/>
        <v>#VALUE!</v>
      </c>
      <c r="N65" s="2331" t="s">
        <v>1381</v>
      </c>
      <c r="Z65" s="1623"/>
      <c r="AI65" s="1561"/>
    </row>
    <row r="66" spans="1:35" ht="14.25" customHeight="1">
      <c r="A66" s="165" t="s">
        <v>327</v>
      </c>
      <c r="B66" s="166" t="s">
        <v>1384</v>
      </c>
      <c r="C66" s="2353"/>
      <c r="D66" s="166" t="s">
        <v>26</v>
      </c>
      <c r="E66" s="1251" t="s">
        <v>671</v>
      </c>
      <c r="F66" s="1670"/>
      <c r="G66" s="1670"/>
      <c r="H66" s="151"/>
      <c r="I66" s="121"/>
      <c r="J66" s="3484"/>
      <c r="K66" s="1245" t="s">
        <v>1385</v>
      </c>
      <c r="L66" s="1245" t="e">
        <f>M49*0.5%</f>
        <v>#VALUE!</v>
      </c>
      <c r="M66" s="294" t="e">
        <f>IF(L66&gt;0.5,0.5,ROUND(L66,0))</f>
        <v>#VALUE!</v>
      </c>
      <c r="N66" s="2331" t="s">
        <v>1386</v>
      </c>
      <c r="Z66" s="1623"/>
      <c r="AI66" s="1561"/>
    </row>
    <row r="67" spans="1:35" ht="14.25" customHeight="1">
      <c r="A67" s="165" t="s">
        <v>328</v>
      </c>
      <c r="B67" s="166" t="s">
        <v>1387</v>
      </c>
      <c r="C67" s="2354" t="e">
        <f ca="1">C63-C66</f>
        <v>#REF!</v>
      </c>
      <c r="D67" s="162" t="s">
        <v>26</v>
      </c>
      <c r="E67" s="164"/>
      <c r="F67" s="1670"/>
      <c r="G67" s="1670"/>
      <c r="H67" s="151"/>
      <c r="I67" s="121"/>
      <c r="J67" s="3484"/>
      <c r="K67" s="1245" t="s">
        <v>1388</v>
      </c>
      <c r="L67" s="1245"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330"/>
      <c r="Z67" s="1623"/>
      <c r="AI67" s="1561"/>
    </row>
    <row r="68" spans="1:35" ht="14.25" customHeight="1" thickBot="1">
      <c r="A68" s="168" t="s">
        <v>329</v>
      </c>
      <c r="B68" s="169" t="s">
        <v>1389</v>
      </c>
      <c r="C68" s="2355" t="e">
        <f ca="1">IF(C67&lt;=0,0,ROUND(C67*D68,0))</f>
        <v>#REF!</v>
      </c>
      <c r="D68" s="2356">
        <f>'数据-取费表'!B41</f>
        <v>5.6000000000000001E-2</v>
      </c>
      <c r="E68" s="170"/>
      <c r="F68" s="1670"/>
      <c r="G68" s="1670"/>
      <c r="H68" s="151"/>
      <c r="I68" s="121"/>
      <c r="J68" s="3484"/>
      <c r="K68" s="1245" t="s">
        <v>1390</v>
      </c>
      <c r="L68" s="1245" t="e">
        <f>IF(M49&gt;10000,M49*0.5%,IF(AND(M49&gt;5000,M49&lt;=10000),M49*1%,IF(AND(M49&gt;1000,M49&lt;=5000),M49*2%,IF(AND(M49&gt;200,M49&lt;=1000),M49*3%,M49*5%))))</f>
        <v>#VALUE!</v>
      </c>
      <c r="M68" s="294" t="e">
        <f>ROUND(L68,1)</f>
        <v>#VALUE!</v>
      </c>
      <c r="N68" s="2330"/>
      <c r="Z68" s="1623"/>
      <c r="AI68" s="1561"/>
    </row>
    <row r="69" spans="1:35" ht="16.5" customHeight="1">
      <c r="A69" s="1672"/>
      <c r="B69" s="1673"/>
      <c r="C69" s="1674"/>
      <c r="D69" s="1675"/>
      <c r="E69" s="1676"/>
      <c r="F69" s="1466"/>
      <c r="G69" s="1466"/>
      <c r="H69" s="1467"/>
      <c r="I69" s="646"/>
      <c r="J69" s="3484"/>
      <c r="K69" s="1245" t="s">
        <v>1391</v>
      </c>
      <c r="L69" s="1245"/>
      <c r="M69" s="294" t="e">
        <f>ROUND(SUM(M63:M68),0)</f>
        <v>#VALUE!</v>
      </c>
      <c r="N69" s="2332" t="e">
        <f>M69/M49</f>
        <v>#VALUE!</v>
      </c>
      <c r="Z69" s="1623"/>
      <c r="AI69" s="1561"/>
    </row>
    <row r="70" spans="1:35" s="642" customFormat="1" ht="15" thickBot="1">
      <c r="A70" s="3528" t="s">
        <v>1392</v>
      </c>
      <c r="B70" s="3529"/>
      <c r="C70" s="3529"/>
      <c r="D70" s="3529"/>
      <c r="E70" s="3529"/>
      <c r="F70" s="3529"/>
      <c r="G70" s="3529"/>
      <c r="H70" s="3529"/>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520" t="s">
        <v>1373</v>
      </c>
      <c r="B71" s="3521"/>
      <c r="C71" s="1865"/>
      <c r="D71" s="1865" t="s">
        <v>1374</v>
      </c>
      <c r="E71" s="171" t="s">
        <v>1375</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1393</v>
      </c>
      <c r="C72" s="2354" t="e">
        <f ca="1">ROUND(D45/(1+'数据-取费表'!C42),0)</f>
        <v>#REF!</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1394</v>
      </c>
      <c r="C73" s="2354" t="e">
        <f ca="1">C74+C78</f>
        <v>#REF!</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1395</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1396</v>
      </c>
      <c r="C75" s="2357"/>
      <c r="D75" s="162" t="s">
        <v>26</v>
      </c>
      <c r="E75" s="176" t="s">
        <v>1397</v>
      </c>
      <c r="F75" s="2358"/>
      <c r="G75" s="176" t="s">
        <v>1398</v>
      </c>
      <c r="H75" s="2359"/>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1399</v>
      </c>
      <c r="C76" s="162">
        <f>IF(F75="购房发票",ROUND(C75*H75*D76,0),0)</f>
        <v>0</v>
      </c>
      <c r="D76" s="2360">
        <v>0.05</v>
      </c>
      <c r="E76" s="3525" t="s">
        <v>1400</v>
      </c>
      <c r="F76" s="3524"/>
      <c r="G76" s="3524"/>
      <c r="H76" s="3527"/>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1401</v>
      </c>
      <c r="C77" s="162">
        <f>ROUND(IF(G77="个人住宅",0,IF(G77="2016年5月1日前购买",C75*D77,C75*D77/(1+'数据-取费表'!C42))),0)</f>
        <v>0</v>
      </c>
      <c r="D77" s="2361">
        <f>'数据-取费表'!B48+'数据-取费表'!B49</f>
        <v>3.0499999999999999E-2</v>
      </c>
      <c r="E77" s="12" t="s">
        <v>1402</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1403</v>
      </c>
      <c r="C78" s="2362" t="e">
        <f ca="1">ROUND(D45*D78/(1+'数据-取费表'!C42),0)</f>
        <v>#REF!</v>
      </c>
      <c r="D78" s="2363">
        <f>'数据-取费表'!B43</f>
        <v>6.000000000000001E-3</v>
      </c>
      <c r="E78" s="3517" t="s">
        <v>1404</v>
      </c>
      <c r="F78" s="3518"/>
      <c r="G78" s="3518"/>
      <c r="H78" s="3519"/>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1405</v>
      </c>
      <c r="C79" s="2354" t="e">
        <f ca="1">C72-C73</f>
        <v>#REF!</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1406</v>
      </c>
      <c r="C80" s="2364"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1407</v>
      </c>
      <c r="C81" s="2365" t="e">
        <f ca="1">ROUND(IF(C79&lt;=0,0,IF(C80&gt;=200%,C79*60%-C73*35%,IF(C80&gt;=100%,C79*50%-C73*15%,IF(C80&gt;=50%,C79*40%-C73*5%,IF(C80&lt;50%,C79*30%,0))))),0)</f>
        <v>#REF!</v>
      </c>
      <c r="D81" s="2366"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528" t="s">
        <v>1408</v>
      </c>
      <c r="B83" s="3529"/>
      <c r="C83" s="3529"/>
      <c r="D83" s="3529"/>
      <c r="E83" s="3529"/>
      <c r="F83" s="3529"/>
      <c r="G83" s="3529"/>
      <c r="H83" s="3529"/>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520" t="s">
        <v>1373</v>
      </c>
      <c r="B84" s="3521"/>
      <c r="C84" s="1865"/>
      <c r="D84" s="1865" t="s">
        <v>1374</v>
      </c>
      <c r="E84" s="171" t="s">
        <v>1375</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1393</v>
      </c>
      <c r="C85" s="2354" t="e">
        <f ca="1">ROUND(D45/(1+'数据-取费表'!C42),0)</f>
        <v>#REF!</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1394</v>
      </c>
      <c r="C86" s="2354" t="e">
        <f ca="1">IF(H88="仅含出让金",C87+C90+C91+C92+C93+C94,C87+C91+C92+C93+C94)</f>
        <v>#REF!</v>
      </c>
      <c r="D86" s="2367"/>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1409</v>
      </c>
      <c r="C87" s="2362">
        <f>C88+C89</f>
        <v>0</v>
      </c>
      <c r="D87" s="2363"/>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1410</v>
      </c>
      <c r="C88" s="2368"/>
      <c r="D88" s="2363"/>
      <c r="E88" s="185" t="s">
        <v>1411</v>
      </c>
      <c r="F88" s="2148"/>
      <c r="G88" s="186" t="s">
        <v>1412</v>
      </c>
      <c r="H88" s="1684"/>
      <c r="I88" s="1681"/>
      <c r="J88" s="2308" t="s">
        <v>2286</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1401</v>
      </c>
      <c r="C89" s="2362">
        <f>ROUND(C88*D89,0)</f>
        <v>0</v>
      </c>
      <c r="D89" s="2363">
        <f>'数据-取费表'!B48+'数据-取费表'!B49</f>
        <v>3.0499999999999999E-2</v>
      </c>
      <c r="E89" s="185" t="s">
        <v>1413</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1414</v>
      </c>
      <c r="C90" s="2368"/>
      <c r="D90" s="2363"/>
      <c r="E90" s="185" t="str">
        <f>IF(H88="-","土地取得成本中已包含该笔费用"," ")</f>
        <v xml:space="preserve"> </v>
      </c>
      <c r="F90" s="2148"/>
      <c r="G90" s="3486" t="s">
        <v>2127</v>
      </c>
      <c r="H90" s="3487"/>
      <c r="I90" s="1681"/>
      <c r="J90" s="2308" t="s">
        <v>2287</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1415</v>
      </c>
      <c r="B91" s="162" t="s">
        <v>1416</v>
      </c>
      <c r="C91" s="2362">
        <f>IF(H91="——",成本法!C33,I91)</f>
        <v>0</v>
      </c>
      <c r="D91" s="2363"/>
      <c r="E91" s="3517" t="s">
        <v>1417</v>
      </c>
      <c r="F91" s="3518"/>
      <c r="G91" s="3518"/>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1418</v>
      </c>
      <c r="B92" s="162" t="s">
        <v>1419</v>
      </c>
      <c r="C92" s="2362">
        <f>ROUND((C87+C90+C91)*D92,0)</f>
        <v>0</v>
      </c>
      <c r="D92" s="2369"/>
      <c r="E92" s="3517" t="s">
        <v>1420</v>
      </c>
      <c r="F92" s="3518"/>
      <c r="G92" s="3518"/>
      <c r="H92" s="3519"/>
      <c r="I92" s="1681"/>
      <c r="J92" s="2309" t="s">
        <v>2288</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1421</v>
      </c>
      <c r="B93" s="162" t="s">
        <v>1403</v>
      </c>
      <c r="C93" s="2362" t="e">
        <f ca="1">ROUND(D45*D93/(1+'数据-取费表'!C42),0)</f>
        <v>#REF!</v>
      </c>
      <c r="D93" s="2363">
        <f>'数据-取费表'!B43</f>
        <v>6.000000000000001E-3</v>
      </c>
      <c r="E93" s="3517" t="s">
        <v>1404</v>
      </c>
      <c r="F93" s="3518"/>
      <c r="G93" s="3518"/>
      <c r="H93" s="3519"/>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1422</v>
      </c>
      <c r="B94" s="162" t="s">
        <v>1423</v>
      </c>
      <c r="C94" s="2368">
        <f>ROUND((C87+C90+C91)*D94,0)</f>
        <v>0</v>
      </c>
      <c r="D94" s="2363">
        <v>0.2</v>
      </c>
      <c r="E94" s="3562" t="s">
        <v>1424</v>
      </c>
      <c r="F94" s="3563"/>
      <c r="G94" s="3563"/>
      <c r="H94" s="3564"/>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1405</v>
      </c>
      <c r="C95" s="2354" t="e">
        <f ca="1">ROUND(C85-C86,0)</f>
        <v>#REF!</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1406</v>
      </c>
      <c r="C96" s="2364"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1407</v>
      </c>
      <c r="C97" s="2365" t="e">
        <f ca="1">ROUND(IF(C95&lt;=0,0,IF(C96&gt;=200%,C95*60%-C86*35%,IF(C96&gt;=100%,C95*50%-C86*15%,IF(C96&gt;=50%,C95*40%-C86*5%,IF(C96&lt;50%,C95*30%,0))))),0)</f>
        <v>#REF!</v>
      </c>
      <c r="D97" s="2366"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1425</v>
      </c>
      <c r="B99" s="646"/>
      <c r="C99" s="646"/>
      <c r="D99" s="646"/>
      <c r="E99" s="1466"/>
      <c r="F99" s="1466"/>
      <c r="G99" s="1466"/>
      <c r="H99" s="1467"/>
      <c r="I99" s="121"/>
    </row>
    <row r="100" spans="1:35" ht="18.75" customHeight="1">
      <c r="A100" s="3467" t="s">
        <v>1426</v>
      </c>
      <c r="B100" s="3468"/>
      <c r="C100" s="3468"/>
      <c r="D100" s="3502"/>
      <c r="E100" s="3468" t="s">
        <v>1427</v>
      </c>
      <c r="F100" s="3468"/>
      <c r="G100" s="3468"/>
      <c r="H100" s="3502"/>
      <c r="I100" s="121"/>
    </row>
    <row r="101" spans="1:35" ht="18.75" customHeight="1">
      <c r="A101" s="3510" t="s">
        <v>1428</v>
      </c>
      <c r="B101" s="3511"/>
      <c r="C101" s="2371">
        <f>C4</f>
        <v>0</v>
      </c>
      <c r="D101" s="2372">
        <f>D4</f>
        <v>0</v>
      </c>
      <c r="E101" s="3480" t="s">
        <v>1429</v>
      </c>
      <c r="F101" s="3481"/>
      <c r="G101" s="1687" t="s">
        <v>1430</v>
      </c>
      <c r="H101" s="2381" t="e">
        <f ca="1">H118</f>
        <v>#REF!</v>
      </c>
      <c r="I101" s="121"/>
    </row>
    <row r="102" spans="1:35" ht="18.75" customHeight="1">
      <c r="A102" s="3512" t="s">
        <v>1431</v>
      </c>
      <c r="B102" s="2370" t="s">
        <v>1430</v>
      </c>
      <c r="C102" s="2371" t="e">
        <f ca="1">IF(D32="楼面单价",ROUND(C19,0),C19)</f>
        <v>#REF!</v>
      </c>
      <c r="D102" s="2372" t="e">
        <f ca="1">IF(D32="楼面单价",ROUND(D19,0),D19)</f>
        <v>#REF!</v>
      </c>
      <c r="E102" s="3480"/>
      <c r="F102" s="3481"/>
      <c r="G102" s="1687" t="s">
        <v>1432</v>
      </c>
      <c r="H102" s="2341" t="e">
        <f ca="1">I118</f>
        <v>#REF!</v>
      </c>
      <c r="I102" s="121"/>
    </row>
    <row r="103" spans="1:35" ht="42.75" customHeight="1">
      <c r="A103" s="3512"/>
      <c r="B103" s="2370" t="s">
        <v>1432</v>
      </c>
      <c r="C103" s="2373" t="e">
        <f ca="1">C20</f>
        <v>#REF!</v>
      </c>
      <c r="D103" s="2374" t="e">
        <f ca="1">D20</f>
        <v>#REF!</v>
      </c>
      <c r="E103" s="3473" t="s">
        <v>1433</v>
      </c>
      <c r="F103" s="3474"/>
      <c r="G103" s="1688" t="s">
        <v>1434</v>
      </c>
      <c r="H103" s="2381">
        <f>IF(D36="正常操作",H104+H105+H106,H105+H106)</f>
        <v>0</v>
      </c>
      <c r="I103" s="121"/>
    </row>
    <row r="104" spans="1:35" ht="18.75" customHeight="1">
      <c r="A104" s="3512" t="s">
        <v>1435</v>
      </c>
      <c r="B104" s="2375" t="s">
        <v>1430</v>
      </c>
      <c r="C104" s="2376" t="e">
        <f ca="1">H118</f>
        <v>#REF!</v>
      </c>
      <c r="D104" s="2377"/>
      <c r="E104" s="1555" t="s">
        <v>1436</v>
      </c>
      <c r="F104" s="1548"/>
      <c r="G104" s="1688" t="s">
        <v>1434</v>
      </c>
      <c r="H104" s="2382">
        <f>IF(D36="同一抵押权人同一抵押物续贷",C36&amp;"（续贷，未扣减，详见特别提示）",C36)</f>
        <v>0</v>
      </c>
      <c r="I104" s="121"/>
    </row>
    <row r="105" spans="1:35" ht="18.75" customHeight="1" thickBot="1">
      <c r="A105" s="3522"/>
      <c r="B105" s="2378" t="s">
        <v>1432</v>
      </c>
      <c r="C105" s="2379" t="e">
        <f ca="1">I118</f>
        <v>#REF!</v>
      </c>
      <c r="D105" s="2380"/>
      <c r="E105" s="1555" t="s">
        <v>1437</v>
      </c>
      <c r="F105" s="1548"/>
      <c r="G105" s="1688" t="s">
        <v>1434</v>
      </c>
      <c r="H105" s="2383">
        <f>C37</f>
        <v>0</v>
      </c>
      <c r="I105" s="121"/>
    </row>
    <row r="106" spans="1:35" ht="18.75" customHeight="1">
      <c r="A106" s="646" t="s">
        <v>1438</v>
      </c>
      <c r="B106" s="646"/>
      <c r="C106" s="646"/>
      <c r="D106" s="646"/>
      <c r="E106" s="1689" t="s">
        <v>1439</v>
      </c>
      <c r="F106" s="1548"/>
      <c r="G106" s="1688" t="s">
        <v>1434</v>
      </c>
      <c r="H106" s="2383">
        <f>C38</f>
        <v>0</v>
      </c>
      <c r="I106" s="121"/>
    </row>
    <row r="107" spans="1:35" ht="18.75" customHeight="1">
      <c r="A107" s="121"/>
      <c r="B107" s="121"/>
      <c r="C107" s="121"/>
      <c r="D107" s="121"/>
      <c r="E107" s="3513" t="str">
        <f>IF(项目基本情况!E8="已注销","——","3.房地产抵押价值")</f>
        <v>3.房地产抵押价值</v>
      </c>
      <c r="F107" s="3481"/>
      <c r="G107" s="1687" t="s">
        <v>1430</v>
      </c>
      <c r="H107" s="2381" t="e">
        <f ca="1">IF(E107="——","——",H101-H103)</f>
        <v>#REF!</v>
      </c>
      <c r="I107" s="121"/>
    </row>
    <row r="108" spans="1:35" ht="18.75" customHeight="1">
      <c r="A108" s="121"/>
      <c r="B108" s="121"/>
      <c r="C108" s="121"/>
      <c r="D108" s="121"/>
      <c r="E108" s="3513"/>
      <c r="F108" s="3481"/>
      <c r="G108" s="1687" t="s">
        <v>1432</v>
      </c>
      <c r="H108" s="2341">
        <f ca="1">IF(H107=H101,H102,ROUND(H107*10000/'数据-汇总表'!E3,0))</f>
        <v>0</v>
      </c>
      <c r="I108" s="121"/>
    </row>
    <row r="109" spans="1:35" ht="18.75" customHeight="1">
      <c r="A109" s="121"/>
      <c r="B109" s="121"/>
      <c r="C109" s="121"/>
      <c r="D109" s="121"/>
      <c r="E109" s="3513" t="str">
        <f>IF(项目基本情况!E8="已注销及未注销","4.抵押担保权已注销时的房地产抵押价值",IF(项目基本情况!E8="已注销","3.抵押担保权已注销时的房地产抵押价值","——"))</f>
        <v>——</v>
      </c>
      <c r="F109" s="3481"/>
      <c r="G109" s="1687" t="s">
        <v>1430</v>
      </c>
      <c r="H109" s="2384" t="str">
        <f>IF(E109="——","——",H101-H105-H106)</f>
        <v>——</v>
      </c>
      <c r="I109" s="121"/>
    </row>
    <row r="110" spans="1:35" ht="18.75" customHeight="1">
      <c r="A110" s="121"/>
      <c r="B110" s="121"/>
      <c r="C110" s="121"/>
      <c r="D110" s="121"/>
      <c r="E110" s="3513"/>
      <c r="F110" s="3481"/>
      <c r="G110" s="1687" t="s">
        <v>1432</v>
      </c>
      <c r="H110" s="2341" t="str">
        <f>IF(H109="——","——",ROUND(H109*10000/'数据-汇总表'!E3,0))</f>
        <v>——</v>
      </c>
      <c r="I110" s="121"/>
    </row>
    <row r="111" spans="1:35" ht="18.75" customHeight="1">
      <c r="A111" s="121"/>
      <c r="B111" s="121"/>
      <c r="C111" s="121"/>
      <c r="D111" s="121"/>
      <c r="E111" s="3514" t="str">
        <f>IF(项目基本情况!E9="抵押净值",IF(OR(项目基本情况!E8="已注销",项目基本情况!E8="房地产抵押价值"),"4.抵押净值","5.抵押净值"),"——")</f>
        <v>——</v>
      </c>
      <c r="F111" s="3500"/>
      <c r="G111" s="1687" t="s">
        <v>1430</v>
      </c>
      <c r="H111" s="2381" t="str">
        <f>IF(E111="——","——",N59)</f>
        <v>——</v>
      </c>
      <c r="I111" s="121"/>
    </row>
    <row r="112" spans="1:35" ht="18.75" customHeight="1" thickBot="1">
      <c r="A112" s="121"/>
      <c r="B112" s="121"/>
      <c r="C112" s="121"/>
      <c r="D112" s="121"/>
      <c r="E112" s="3515"/>
      <c r="F112" s="3516"/>
      <c r="G112" s="1690" t="s">
        <v>1432</v>
      </c>
      <c r="H112" s="2385" t="str">
        <f>IF(E111="——","——",N61)</f>
        <v>——</v>
      </c>
      <c r="I112" s="121"/>
    </row>
    <row r="113" spans="1:27" ht="18.75" customHeight="1">
      <c r="A113" s="121"/>
      <c r="B113" s="121"/>
      <c r="C113" s="121"/>
      <c r="D113" s="121"/>
      <c r="E113" s="3523" t="s">
        <v>1438</v>
      </c>
      <c r="F113" s="3523"/>
      <c r="G113" s="3523"/>
      <c r="H113" s="3523"/>
      <c r="I113" s="121"/>
    </row>
    <row r="114" spans="1:27" ht="3.75" customHeight="1">
      <c r="A114" s="646"/>
      <c r="B114" s="646"/>
      <c r="C114" s="646"/>
      <c r="D114" s="646"/>
      <c r="E114" s="1671"/>
      <c r="F114" s="1671"/>
      <c r="G114" s="1671"/>
      <c r="H114" s="1671"/>
      <c r="I114" s="646"/>
    </row>
    <row r="115" spans="1:27" ht="18.75" customHeight="1">
      <c r="A115" s="3531" t="s">
        <v>1440</v>
      </c>
      <c r="B115" s="3532"/>
      <c r="C115" s="3532"/>
      <c r="D115" s="3532"/>
      <c r="E115" s="3532"/>
      <c r="F115" s="3532"/>
      <c r="G115" s="3532"/>
      <c r="H115" s="3532"/>
      <c r="I115" s="3533"/>
    </row>
    <row r="116" spans="1:27" ht="27" customHeight="1">
      <c r="A116" s="3488" t="s">
        <v>1441</v>
      </c>
      <c r="B116" s="3492" t="s">
        <v>1442</v>
      </c>
      <c r="C116" s="3492" t="s">
        <v>1443</v>
      </c>
      <c r="D116" s="3498" t="s">
        <v>1444</v>
      </c>
      <c r="E116" s="3499"/>
      <c r="F116" s="3530" t="s">
        <v>1445</v>
      </c>
      <c r="G116" s="3530"/>
      <c r="H116" s="3488" t="s">
        <v>1446</v>
      </c>
      <c r="I116" s="3488"/>
    </row>
    <row r="117" spans="1:27" ht="18.75" customHeight="1">
      <c r="A117" s="3488"/>
      <c r="B117" s="3493"/>
      <c r="C117" s="3493"/>
      <c r="D117" s="2150" t="s">
        <v>1447</v>
      </c>
      <c r="E117" s="2150" t="s">
        <v>1448</v>
      </c>
      <c r="F117" s="2150" t="s">
        <v>1447</v>
      </c>
      <c r="G117" s="2150" t="s">
        <v>1449</v>
      </c>
      <c r="H117" s="2150" t="s">
        <v>1447</v>
      </c>
      <c r="I117" s="2150" t="s">
        <v>1449</v>
      </c>
    </row>
    <row r="118" spans="1:27" ht="24.75" customHeight="1">
      <c r="A118" s="2386" t="str">
        <f>项目基本情况!S2</f>
        <v>房地产</v>
      </c>
      <c r="B118" s="2150">
        <f>M18</f>
        <v>449.18</v>
      </c>
      <c r="C118" s="2150">
        <f>M19</f>
        <v>109.97</v>
      </c>
      <c r="D118" s="2150" t="e">
        <f ca="1">ROUND(IF(D32="总价",C34,E118*B118/10000),0)</f>
        <v>#REF!</v>
      </c>
      <c r="E118" s="2150" t="e">
        <f ca="1">ROUND(IF(C33="自定义",IF(D32="楼面单价",C34,D118*10000/B118),I118-G118),0)</f>
        <v>#REF!</v>
      </c>
      <c r="F118" s="2150" t="e">
        <f ca="1">ROUND(IF(D32="总价",C35,G118*B118/10000),0)</f>
        <v>#REF!</v>
      </c>
      <c r="G118" s="2150" t="e">
        <f ca="1">ROUND(IF(D32="楼面单价",C35,F118*10000/B118),0)</f>
        <v>#REF!</v>
      </c>
      <c r="H118" s="2150" t="e">
        <f ca="1">ROUND(IF(D32="总价",C32,I118*B118/10000),0)</f>
        <v>#REF!</v>
      </c>
      <c r="I118" s="2150" t="e">
        <f ca="1">ROUND(IF(D32="楼面单价",C32,H118*10000/B118),0)</f>
        <v>#REF!</v>
      </c>
    </row>
    <row r="119" spans="1:27" ht="18.75" customHeight="1">
      <c r="A119" s="3488" t="s">
        <v>1450</v>
      </c>
      <c r="B119" s="3488"/>
      <c r="C119" s="3488"/>
      <c r="D119" s="3494" t="e">
        <f ca="1">NUMBERSTRING(INT(D118*10000),2)&amp;"元整"</f>
        <v>#REF!</v>
      </c>
      <c r="E119" s="3495"/>
      <c r="F119" s="3494" t="e">
        <f ca="1">NUMBERSTRING(INT(F118*10000),2)&amp;"元整"</f>
        <v>#REF!</v>
      </c>
      <c r="G119" s="3495"/>
      <c r="H119" s="3494" t="e">
        <f ca="1">NUMBERSTRING(INT(H118*10000),2)&amp;"元整"</f>
        <v>#REF!</v>
      </c>
      <c r="I119" s="3495"/>
    </row>
    <row r="120" spans="1:27" ht="18.75" customHeight="1">
      <c r="A120" s="3489" t="str">
        <f>IF(项目基本情况!B9="房地产市场价值","",MID(E103,3,LEN(E103)-2))</f>
        <v/>
      </c>
      <c r="B120" s="3490"/>
      <c r="C120" s="3491"/>
      <c r="D120" s="3489">
        <f>H103</f>
        <v>0</v>
      </c>
      <c r="E120" s="3490"/>
      <c r="F120" s="3490"/>
      <c r="G120" s="3490"/>
      <c r="H120" s="3490"/>
      <c r="I120" s="3491"/>
      <c r="J120" s="1623"/>
      <c r="K120" s="1623" t="str">
        <f>IF(D120=0,"故，本次评估不存在"&amp;A120,"故，本次评估"&amp;A120&amp;"为人民币"&amp;D120&amp;"万元整。")</f>
        <v>故，本次评估不存在</v>
      </c>
      <c r="L120" s="1623"/>
      <c r="M120" s="1623"/>
      <c r="N120" s="1623"/>
      <c r="O120" s="1623"/>
      <c r="P120" s="1623"/>
      <c r="Q120" s="1623"/>
      <c r="R120" s="1623"/>
      <c r="S120" s="1623"/>
    </row>
    <row r="121" spans="1:27" ht="18.75" customHeight="1">
      <c r="A121" s="3494" t="s">
        <v>1450</v>
      </c>
      <c r="B121" s="3496"/>
      <c r="C121" s="3495"/>
      <c r="D121" s="3494" t="str">
        <f>IF(D120=0,"零元整",NUMBERSTRING(INT(D120*10000),2)&amp;"元整")</f>
        <v>零元整</v>
      </c>
      <c r="E121" s="3496"/>
      <c r="F121" s="3496"/>
      <c r="G121" s="3496"/>
      <c r="H121" s="3496"/>
      <c r="I121" s="3495"/>
      <c r="AA121" s="684"/>
    </row>
    <row r="122" spans="1:27" ht="18.75" customHeight="1">
      <c r="A122" s="3500" t="str">
        <f>IF(项目基本情况!B9="房地产市场价值","",MID(E107,3,LEN(E107)-2))</f>
        <v/>
      </c>
      <c r="B122" s="3500"/>
      <c r="C122" s="3500"/>
      <c r="D122" s="3489" t="e">
        <f ca="1">H107</f>
        <v>#REF!</v>
      </c>
      <c r="E122" s="3490"/>
      <c r="F122" s="3490"/>
      <c r="G122" s="3490"/>
      <c r="H122" s="3490"/>
      <c r="I122" s="3491"/>
      <c r="AA122" s="684"/>
    </row>
    <row r="123" spans="1:27" ht="18.75" customHeight="1">
      <c r="A123" s="3488" t="s">
        <v>1450</v>
      </c>
      <c r="B123" s="3488"/>
      <c r="C123" s="3488"/>
      <c r="D123" s="3494" t="e">
        <f ca="1">NUMBERSTRING(INT(D122*10000),2)&amp;"元整"</f>
        <v>#REF!</v>
      </c>
      <c r="E123" s="3496"/>
      <c r="F123" s="3496"/>
      <c r="G123" s="3496"/>
      <c r="H123" s="3496"/>
      <c r="I123" s="3495"/>
      <c r="AA123" s="684"/>
    </row>
    <row r="124" spans="1:27" ht="18.75" customHeight="1">
      <c r="A124" s="3500" t="str">
        <f>IF(项目基本情况!B9="房地产市场价值","",MID(E109,3,LEN(E109)-2))</f>
        <v/>
      </c>
      <c r="B124" s="3500"/>
      <c r="C124" s="3500"/>
      <c r="D124" s="3489" t="str">
        <f>H109</f>
        <v>——</v>
      </c>
      <c r="E124" s="3490"/>
      <c r="F124" s="3490"/>
      <c r="G124" s="3490"/>
      <c r="H124" s="3490"/>
      <c r="I124" s="3491"/>
      <c r="AA124" s="684"/>
    </row>
    <row r="125" spans="1:27" ht="18.75" customHeight="1">
      <c r="A125" s="3488" t="s">
        <v>1450</v>
      </c>
      <c r="B125" s="3488"/>
      <c r="C125" s="3488"/>
      <c r="D125" s="3494" t="e">
        <f>NUMBERSTRING(INT(D124*10000),2)&amp;"元整"</f>
        <v>#VALUE!</v>
      </c>
      <c r="E125" s="3496"/>
      <c r="F125" s="3496"/>
      <c r="G125" s="3496"/>
      <c r="H125" s="3496"/>
      <c r="I125" s="3495"/>
      <c r="AA125" s="684"/>
    </row>
    <row r="126" spans="1:27" ht="18.75" customHeight="1">
      <c r="A126" s="3500" t="str">
        <f>IF(项目基本情况!B9="房地产市场价值","",MID(E111,3,LEN(E111)-2))</f>
        <v/>
      </c>
      <c r="B126" s="3500"/>
      <c r="C126" s="3500"/>
      <c r="D126" s="3489" t="str">
        <f>H111</f>
        <v>——</v>
      </c>
      <c r="E126" s="3490"/>
      <c r="F126" s="3490"/>
      <c r="G126" s="3490"/>
      <c r="H126" s="3490"/>
      <c r="I126" s="3491"/>
      <c r="AA126" s="684"/>
    </row>
    <row r="127" spans="1:27" ht="18.75" customHeight="1">
      <c r="A127" s="3488" t="s">
        <v>1450</v>
      </c>
      <c r="B127" s="3488"/>
      <c r="C127" s="3488"/>
      <c r="D127" s="3494" t="e">
        <f>NUMBERSTRING(INT(D126*10000),2)&amp;"元整"</f>
        <v>#VALUE!</v>
      </c>
      <c r="E127" s="3496"/>
      <c r="F127" s="3496"/>
      <c r="G127" s="3496"/>
      <c r="H127" s="3496"/>
      <c r="I127" s="3495"/>
      <c r="AA127" s="684"/>
    </row>
    <row r="128" spans="1:27" ht="21.75" customHeight="1">
      <c r="A128" s="3497" t="s">
        <v>1451</v>
      </c>
      <c r="B128" s="3497"/>
      <c r="C128" s="3497"/>
      <c r="D128" s="3497"/>
      <c r="E128" s="3497"/>
      <c r="F128" s="3497"/>
      <c r="G128" s="3497"/>
      <c r="H128" s="3497"/>
      <c r="I128" s="3497"/>
      <c r="AA128" s="684"/>
    </row>
    <row r="129" spans="1:35" ht="21.75" customHeight="1">
      <c r="A129" s="1691" t="s">
        <v>1452</v>
      </c>
      <c r="B129" s="1692"/>
      <c r="C129" s="1693" t="s">
        <v>1453</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1454</v>
      </c>
      <c r="G135" s="1706"/>
      <c r="H135" s="1706"/>
      <c r="I135" s="1707" t="s">
        <v>1455</v>
      </c>
    </row>
    <row r="136" spans="1:35" ht="21.75" customHeight="1">
      <c r="A136" s="684"/>
      <c r="B136" s="1708" t="s">
        <v>1456</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1457</v>
      </c>
    </row>
    <row r="139" spans="1:35" ht="21.75" customHeight="1">
      <c r="A139" s="684"/>
      <c r="B139" s="1708" t="s">
        <v>1458</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1457</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10" type="noConversion"/>
  <conditionalFormatting sqref="C90">
    <cfRule type="expression" dxfId="144" priority="3" stopIfTrue="1">
      <formula>$H$88&lt;&gt;"仅含出让金"</formula>
    </cfRule>
  </conditionalFormatting>
  <conditionalFormatting sqref="C91">
    <cfRule type="expression" dxfId="143" priority="2" stopIfTrue="1">
      <formula>$H$91="由企业提供"</formula>
    </cfRule>
  </conditionalFormatting>
  <conditionalFormatting sqref="C5:D7">
    <cfRule type="cellIs" dxfId="142" priority="10" stopIfTrue="1" operator="equal">
      <formula>25</formula>
    </cfRule>
  </conditionalFormatting>
  <conditionalFormatting sqref="C8:D13">
    <cfRule type="cellIs" dxfId="141" priority="8" stopIfTrue="1" operator="equal">
      <formula>15</formula>
    </cfRule>
  </conditionalFormatting>
  <conditionalFormatting sqref="C14:D16">
    <cfRule type="cellIs" dxfId="140" priority="6" stopIfTrue="1" operator="equal">
      <formula>30</formula>
    </cfRule>
  </conditionalFormatting>
  <conditionalFormatting sqref="E36">
    <cfRule type="expression" dxfId="139"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1459</v>
      </c>
      <c r="B1" s="1374"/>
      <c r="C1" s="190"/>
      <c r="D1" s="190"/>
      <c r="E1" s="190"/>
      <c r="F1" s="190"/>
      <c r="G1" s="1062">
        <f>MATCH(B1,'数据-取费表'!A6:A16,0)+5</f>
        <v>7</v>
      </c>
    </row>
    <row r="2" spans="1:9" s="192" customFormat="1" ht="18" customHeight="1">
      <c r="A2" s="193" t="s">
        <v>1460</v>
      </c>
      <c r="B2" s="194">
        <f ca="1">IF(D2="——",C52,C52-E2)</f>
        <v>38958</v>
      </c>
      <c r="C2" s="191" t="s">
        <v>1461</v>
      </c>
      <c r="D2" s="1711" t="s">
        <v>43</v>
      </c>
      <c r="E2" s="1089" t="e">
        <f ca="1">SUMIF(INDIRECT("'"&amp;G2&amp;"'"&amp;"!A:A"),"承租人权益价值",INDIRECT("'"&amp;G2&amp;"'"&amp;"!c:c"))</f>
        <v>#REF!</v>
      </c>
      <c r="F2" s="1712" t="s">
        <v>1461</v>
      </c>
      <c r="G2" s="1713"/>
    </row>
    <row r="3" spans="1:9" s="192" customFormat="1" ht="18" customHeight="1" thickBot="1">
      <c r="A3" s="195" t="s">
        <v>1462</v>
      </c>
      <c r="B3" s="196">
        <f ca="1">ROUND(B2*10000/(IF(B1="",'数据-汇总表'!E3,INDIRECT("'数据-取费表'!k"&amp;$G$1))),0)</f>
        <v>867314</v>
      </c>
      <c r="C3" s="191" t="s">
        <v>1463</v>
      </c>
      <c r="D3" s="191"/>
      <c r="E3" s="191"/>
      <c r="F3" s="191"/>
      <c r="G3" s="191"/>
    </row>
    <row r="4" spans="1:9" s="200" customFormat="1" ht="15.75">
      <c r="A4" s="197" t="s">
        <v>1464</v>
      </c>
      <c r="B4" s="198"/>
      <c r="C4" s="198"/>
      <c r="D4" s="198"/>
      <c r="E4" s="198"/>
      <c r="F4" s="198"/>
      <c r="G4" s="199"/>
    </row>
    <row r="5" spans="1:9" s="206" customFormat="1" ht="13.5" customHeight="1">
      <c r="A5" s="247" t="s">
        <v>1465</v>
      </c>
      <c r="B5" s="202" t="s">
        <v>1466</v>
      </c>
      <c r="C5" s="203">
        <f ca="1">C6+C7+C8</f>
        <v>27752</v>
      </c>
      <c r="D5" s="203" t="s">
        <v>1467</v>
      </c>
      <c r="E5" s="204" t="s">
        <v>1468</v>
      </c>
      <c r="F5" s="204" t="s">
        <v>1469</v>
      </c>
      <c r="G5" s="205"/>
    </row>
    <row r="6" spans="1:9" s="206" customFormat="1" ht="13.5" customHeight="1">
      <c r="A6" s="732" t="s">
        <v>1470</v>
      </c>
      <c r="B6" s="207" t="s">
        <v>1471</v>
      </c>
      <c r="C6" s="208"/>
      <c r="D6" s="209"/>
      <c r="E6" s="210"/>
      <c r="F6" s="210"/>
      <c r="G6" s="211"/>
    </row>
    <row r="7" spans="1:9" s="206" customFormat="1" ht="13.5" customHeight="1">
      <c r="A7" s="732" t="s">
        <v>1472</v>
      </c>
      <c r="B7" s="207" t="s">
        <v>1473</v>
      </c>
      <c r="C7" s="212">
        <f>ROUND(C6*F7,0)</f>
        <v>0</v>
      </c>
      <c r="D7" s="212"/>
      <c r="E7" s="210"/>
      <c r="F7" s="213">
        <f>IF(项目基本情况!B8="出让",0,'数据-取费表'!B48+'数据-取费表'!B49)</f>
        <v>3.0499999999999999E-2</v>
      </c>
      <c r="G7" s="211"/>
    </row>
    <row r="8" spans="1:9" s="215" customFormat="1">
      <c r="A8" s="732" t="s">
        <v>1474</v>
      </c>
      <c r="B8" s="207" t="s">
        <v>1475</v>
      </c>
      <c r="C8" s="212">
        <f ca="1">IF(G8="已包含在土地购买价格中","0",IF(B1="",'数据-取费表'!B29,IF(G9="全部缴纳",C9+C10,H9)))</f>
        <v>27752</v>
      </c>
      <c r="D8" s="214"/>
      <c r="E8" s="212"/>
      <c r="F8" s="213"/>
      <c r="G8" s="1714"/>
    </row>
    <row r="9" spans="1:9" s="206" customFormat="1" ht="13.5" customHeight="1">
      <c r="A9" s="733" t="s">
        <v>355</v>
      </c>
      <c r="B9" s="216" t="s">
        <v>1476</v>
      </c>
      <c r="C9" s="217">
        <f ca="1">ROUND(D9*E9/10000,0)</f>
        <v>6</v>
      </c>
      <c r="D9" s="795">
        <f ca="1">IF(B1="",'数据-汇总表'!E5,IF(INDIRECT("'数据-取费表'!c"&amp;$G$1)="住宅",INDIRECT("'数据-取费表'!k"&amp;$G$1),0))</f>
        <v>449.18</v>
      </c>
      <c r="E9" s="217">
        <f>'数据-取费表'!B27</f>
        <v>143</v>
      </c>
      <c r="F9" s="213"/>
      <c r="G9" s="1715"/>
      <c r="H9" s="1070"/>
      <c r="I9" s="1716" t="s">
        <v>1477</v>
      </c>
    </row>
    <row r="10" spans="1:9" s="206" customFormat="1" ht="13.5" customHeight="1">
      <c r="A10" s="733" t="s">
        <v>356</v>
      </c>
      <c r="B10" s="216" t="s">
        <v>1478</v>
      </c>
      <c r="C10" s="217">
        <f ca="1">ROUND(D10*E10/10000,0)</f>
        <v>0</v>
      </c>
      <c r="D10" s="795">
        <f ca="1">IF(B1="",'数据-汇总表'!E6,IF(INDIRECT("'数据-取费表'!c"&amp;$G$1)="住宅",INDIRECT("'数据-取费表'!s"&amp;$G$1),INDIRECT("'数据-取费表'!k"&amp;$G$1)+INDIRECT("'数据-取费表'!s"&amp;$G$1)))</f>
        <v>0</v>
      </c>
      <c r="E10" s="217">
        <f>'数据-取费表'!B28</f>
        <v>0</v>
      </c>
      <c r="F10" s="213"/>
      <c r="G10" s="218"/>
    </row>
    <row r="11" spans="1:9" s="206" customFormat="1" ht="13.5" hidden="1" customHeight="1">
      <c r="A11" s="219" t="s">
        <v>4</v>
      </c>
      <c r="B11" s="207" t="s">
        <v>1479</v>
      </c>
      <c r="C11" s="203"/>
      <c r="D11" s="210"/>
      <c r="E11" s="210"/>
      <c r="F11" s="210"/>
      <c r="G11" s="211"/>
    </row>
    <row r="12" spans="1:9" s="206" customFormat="1" ht="13.5" hidden="1" customHeight="1">
      <c r="A12" s="219" t="s">
        <v>5</v>
      </c>
      <c r="B12" s="207" t="s">
        <v>1480</v>
      </c>
      <c r="C12" s="203">
        <v>0</v>
      </c>
      <c r="D12" s="210"/>
      <c r="E12" s="220"/>
      <c r="F12" s="213">
        <v>3.0499999999999999E-2</v>
      </c>
      <c r="G12" s="211"/>
    </row>
    <row r="13" spans="1:9" s="206" customFormat="1" ht="13.5" hidden="1" customHeight="1">
      <c r="A13" s="219" t="s">
        <v>6</v>
      </c>
      <c r="B13" s="207" t="s">
        <v>1481</v>
      </c>
      <c r="C13" s="203"/>
      <c r="D13" s="210"/>
      <c r="E13" s="210"/>
      <c r="F13" s="210"/>
      <c r="G13" s="211"/>
    </row>
    <row r="14" spans="1:9" s="206" customFormat="1" ht="13.5" hidden="1" customHeight="1">
      <c r="A14" s="219" t="s">
        <v>7</v>
      </c>
      <c r="B14" s="207" t="s">
        <v>1482</v>
      </c>
      <c r="C14" s="203"/>
      <c r="D14" s="210"/>
      <c r="E14" s="210"/>
      <c r="F14" s="210"/>
      <c r="G14" s="211" t="s">
        <v>1483</v>
      </c>
    </row>
    <row r="15" spans="1:9" s="206" customFormat="1" ht="13.5" hidden="1" customHeight="1">
      <c r="A15" s="219" t="s">
        <v>8</v>
      </c>
      <c r="B15" s="207" t="s">
        <v>1484</v>
      </c>
      <c r="C15" s="212"/>
      <c r="D15" s="210"/>
      <c r="E15" s="210"/>
      <c r="F15" s="210"/>
      <c r="G15" s="211" t="s">
        <v>1485</v>
      </c>
    </row>
    <row r="16" spans="1:9" s="206" customFormat="1" ht="13.5" hidden="1" customHeight="1">
      <c r="A16" s="219" t="s">
        <v>9</v>
      </c>
      <c r="B16" s="207" t="s">
        <v>1482</v>
      </c>
      <c r="C16" s="212"/>
      <c r="D16" s="210"/>
      <c r="E16" s="210"/>
      <c r="F16" s="210"/>
      <c r="G16" s="211"/>
    </row>
    <row r="17" spans="1:7" s="206" customFormat="1" ht="13.5" hidden="1" customHeight="1">
      <c r="A17" s="219" t="s">
        <v>10</v>
      </c>
      <c r="B17" s="207" t="s">
        <v>1486</v>
      </c>
      <c r="C17" s="221"/>
      <c r="D17" s="221"/>
      <c r="E17" s="221"/>
      <c r="F17" s="221"/>
      <c r="G17" s="211" t="s">
        <v>1485</v>
      </c>
    </row>
    <row r="18" spans="1:7" s="206" customFormat="1" ht="13.5" hidden="1" customHeight="1">
      <c r="A18" s="219" t="s">
        <v>11</v>
      </c>
      <c r="B18" s="207" t="s">
        <v>1487</v>
      </c>
      <c r="C18" s="212">
        <v>0</v>
      </c>
      <c r="D18" s="210"/>
      <c r="E18" s="210"/>
      <c r="F18" s="213">
        <v>3.0499999999999999E-2</v>
      </c>
      <c r="G18" s="211" t="s">
        <v>1488</v>
      </c>
    </row>
    <row r="19" spans="1:7" s="215" customFormat="1" ht="13.5" customHeight="1">
      <c r="A19" s="247" t="s">
        <v>1489</v>
      </c>
      <c r="B19" s="202" t="s">
        <v>1490</v>
      </c>
      <c r="C19" s="203">
        <f ca="1">IF(G19="已包含在土地取得成本中","0",ROUND(D19*E19/10000,0))</f>
        <v>13</v>
      </c>
      <c r="D19" s="204">
        <f ca="1">D9+D10</f>
        <v>449.18</v>
      </c>
      <c r="E19" s="203">
        <f>'数据-取费表'!B31</f>
        <v>280</v>
      </c>
      <c r="F19" s="223"/>
      <c r="G19" s="1714"/>
    </row>
    <row r="20" spans="1:7" s="206" customFormat="1" ht="13.5" customHeight="1">
      <c r="A20" s="247" t="s">
        <v>1491</v>
      </c>
      <c r="B20" s="202" t="s">
        <v>1492</v>
      </c>
      <c r="C20" s="224">
        <f ca="1">ROUND((C5+C19)*F20,0)</f>
        <v>278</v>
      </c>
      <c r="D20" s="224"/>
      <c r="E20" s="224"/>
      <c r="F20" s="225">
        <f>'数据-取费表'!B37</f>
        <v>0.01</v>
      </c>
      <c r="G20" s="226" t="s">
        <v>1493</v>
      </c>
    </row>
    <row r="21" spans="1:7" s="206" customFormat="1" ht="13.5" customHeight="1">
      <c r="A21" s="247" t="s">
        <v>1494</v>
      </c>
      <c r="B21" s="202" t="s">
        <v>1495</v>
      </c>
      <c r="C21" s="227">
        <f>F21</f>
        <v>2.8000000000000001E-2</v>
      </c>
      <c r="D21" s="228" t="s">
        <v>1496</v>
      </c>
      <c r="E21" s="224"/>
      <c r="F21" s="225">
        <f>'数据-取费表'!B38</f>
        <v>2.8000000000000001E-2</v>
      </c>
      <c r="G21" s="226" t="s">
        <v>1497</v>
      </c>
    </row>
    <row r="22" spans="1:7" s="206" customFormat="1" ht="13.5" customHeight="1">
      <c r="A22" s="247" t="s">
        <v>1498</v>
      </c>
      <c r="B22" s="202" t="s">
        <v>1499</v>
      </c>
      <c r="C22" s="1041">
        <f ca="1">ROUND(SUM(C23:C25),0)</f>
        <v>837</v>
      </c>
      <c r="D22" s="227">
        <f ca="1">C26</f>
        <v>4.0000000000000002E-4</v>
      </c>
      <c r="E22" s="228" t="s">
        <v>1496</v>
      </c>
      <c r="F22" s="229">
        <f ca="1">'数据-取费表'!B40</f>
        <v>0.03</v>
      </c>
      <c r="G22" s="226" t="str">
        <f>IF('数据-取费表'!B22&lt;=1,"单利计息","复利计息")</f>
        <v>单利计息</v>
      </c>
    </row>
    <row r="23" spans="1:7" s="206" customFormat="1" ht="13.5" customHeight="1">
      <c r="A23" s="734" t="s">
        <v>1500</v>
      </c>
      <c r="B23" s="207" t="s">
        <v>1501</v>
      </c>
      <c r="C23" s="1042">
        <f ca="1">ROUND(IF('数据-取费表'!B22&lt;=1,C5*F22*'数据-取费表'!B23,C5*(POWER((1+F22),'数据-取费表'!B23)-1)),0)</f>
        <v>833</v>
      </c>
      <c r="D23" s="230"/>
      <c r="E23" s="230"/>
      <c r="F23" s="231"/>
      <c r="G23" s="232" t="s">
        <v>1502</v>
      </c>
    </row>
    <row r="24" spans="1:7" s="206" customFormat="1" ht="13.5" customHeight="1">
      <c r="A24" s="734" t="s">
        <v>1503</v>
      </c>
      <c r="B24" s="207" t="s">
        <v>1504</v>
      </c>
      <c r="C24" s="1042">
        <f ca="1">ROUND(IF('数据-取费表'!B22&lt;=1,C19*F22*('数据-取费表'!B19/2+'数据-取费表'!B21),C19*(POWER((1+F22),('数据-取费表'!B19/2+'数据-取费表'!B21))-1)),0)</f>
        <v>0</v>
      </c>
      <c r="D24" s="230"/>
      <c r="E24" s="230"/>
      <c r="F24" s="231"/>
      <c r="G24" s="232" t="s">
        <v>1505</v>
      </c>
    </row>
    <row r="25" spans="1:7" s="206" customFormat="1" ht="24">
      <c r="A25" s="734" t="s">
        <v>1506</v>
      </c>
      <c r="B25" s="207" t="s">
        <v>1507</v>
      </c>
      <c r="C25" s="1042">
        <f ca="1">ROUND(IF('数据-取费表'!B22&lt;=1,C20*F22*'数据-取费表'!B23/2,C20*(POWER((1+F22),'数据-取费表'!B23/2)-1)),0)</f>
        <v>4</v>
      </c>
      <c r="D25" s="230"/>
      <c r="E25" s="233"/>
      <c r="F25" s="231"/>
      <c r="G25" s="234" t="s">
        <v>1508</v>
      </c>
    </row>
    <row r="26" spans="1:7" s="206" customFormat="1">
      <c r="A26" s="734" t="s">
        <v>350</v>
      </c>
      <c r="B26" s="207" t="s">
        <v>1509</v>
      </c>
      <c r="C26" s="230">
        <f ca="1">ROUND(IF('数据-取费表'!B22&lt;=1,F21*F22*'数据-取费表'!B23/2,F21*(POWER((1+F22),'数据-取费表'!B23/2)-1)),4)</f>
        <v>4.0000000000000002E-4</v>
      </c>
      <c r="D26" s="230"/>
      <c r="E26" s="233"/>
      <c r="F26" s="231"/>
      <c r="G26" s="235"/>
    </row>
    <row r="27" spans="1:7" s="206" customFormat="1" ht="24.75">
      <c r="A27" s="247" t="s">
        <v>1510</v>
      </c>
      <c r="B27" s="236" t="s">
        <v>1511</v>
      </c>
      <c r="C27" s="237">
        <f ca="1">C28</f>
        <v>6450</v>
      </c>
      <c r="D27" s="227">
        <f ca="1">C29</f>
        <v>6.4000000000000003E-3</v>
      </c>
      <c r="E27" s="228" t="s">
        <v>1512</v>
      </c>
      <c r="F27" s="238">
        <f ca="1">IF(B1="",'数据-取费表'!Q16,INDIRECT("'数据-取费表'!q"&amp;$G$1))</f>
        <v>0.23</v>
      </c>
      <c r="G27" s="239" t="s">
        <v>1513</v>
      </c>
    </row>
    <row r="28" spans="1:7" s="206" customFormat="1" ht="13.5" customHeight="1">
      <c r="A28" s="734" t="s">
        <v>346</v>
      </c>
      <c r="B28" s="240" t="s">
        <v>1514</v>
      </c>
      <c r="C28" s="241">
        <f ca="1">ROUND((C5+C19+C20)*F27*'数据-取费表'!B21/'数据-取费表'!B20,0)</f>
        <v>6450</v>
      </c>
      <c r="D28" s="227"/>
      <c r="E28" s="228"/>
      <c r="F28" s="238"/>
      <c r="G28" s="239"/>
    </row>
    <row r="29" spans="1:7" s="206" customFormat="1" ht="13.5" customHeight="1">
      <c r="A29" s="734" t="s">
        <v>347</v>
      </c>
      <c r="B29" s="240" t="s">
        <v>1515</v>
      </c>
      <c r="C29" s="230">
        <f ca="1">ROUND(C21*F27*'数据-取费表'!B21/'数据-取费表'!B20,4)</f>
        <v>6.4000000000000003E-3</v>
      </c>
      <c r="D29" s="227"/>
      <c r="E29" s="228"/>
      <c r="F29" s="238"/>
      <c r="G29" s="239"/>
    </row>
    <row r="30" spans="1:7" s="206" customFormat="1" ht="13.5" customHeight="1">
      <c r="A30" s="247" t="s">
        <v>1516</v>
      </c>
      <c r="B30" s="202" t="s">
        <v>1517</v>
      </c>
      <c r="C30" s="227">
        <f>ROUND(F30/(1+'数据-取费表'!C42),4)</f>
        <v>5.33E-2</v>
      </c>
      <c r="D30" s="228" t="s">
        <v>1512</v>
      </c>
      <c r="E30" s="233"/>
      <c r="F30" s="229">
        <f>'数据-取费表'!B41</f>
        <v>5.6000000000000001E-2</v>
      </c>
      <c r="G30" s="226" t="s">
        <v>1518</v>
      </c>
    </row>
    <row r="31" spans="1:7" ht="16.5" customHeight="1">
      <c r="A31" s="201">
        <v>1</v>
      </c>
      <c r="B31" s="202" t="s">
        <v>1519</v>
      </c>
      <c r="C31" s="203">
        <f ca="1">ROUND((C5+C19+C20+C22+C27)/(1-C21-D22-D27-C30),0)</f>
        <v>38743</v>
      </c>
      <c r="D31" s="222"/>
      <c r="E31" s="203"/>
      <c r="F31" s="242"/>
      <c r="G31" s="226" t="s">
        <v>1520</v>
      </c>
    </row>
    <row r="32" spans="1:7" s="200" customFormat="1" ht="15.75">
      <c r="A32" s="244" t="s">
        <v>1521</v>
      </c>
      <c r="B32" s="245"/>
      <c r="C32" s="245"/>
      <c r="D32" s="245"/>
      <c r="E32" s="245"/>
      <c r="F32" s="245"/>
      <c r="G32" s="246"/>
    </row>
    <row r="33" spans="1:7" s="206" customFormat="1" ht="13.5" customHeight="1">
      <c r="A33" s="247" t="s">
        <v>337</v>
      </c>
      <c r="B33" s="202" t="s">
        <v>1522</v>
      </c>
      <c r="C33" s="248">
        <f ca="1">SUM(C34:C38)</f>
        <v>156</v>
      </c>
      <c r="D33" s="224"/>
      <c r="E33" s="204"/>
      <c r="F33" s="233"/>
      <c r="G33" s="226"/>
    </row>
    <row r="34" spans="1:7" s="250" customFormat="1" ht="13.5" customHeight="1">
      <c r="A34" s="734" t="s">
        <v>346</v>
      </c>
      <c r="B34" s="207" t="s">
        <v>1523</v>
      </c>
      <c r="C34" s="212">
        <f ca="1">IF(B1="",IF(F34=100%,'数据-取费表'!M16,'数据-取费表'!O16),IF(F34=100%,INDIRECT("'数据-取费表'!m"&amp;$G$1)+INDIRECT("'数据-取费表'!t"&amp;$G$1),INDIRECT("'数据-取费表'!o"&amp;$G$1)+INDIRECT("'数据-取费表'!aq"&amp;$G$1)))</f>
        <v>130</v>
      </c>
      <c r="D34" s="209"/>
      <c r="E34" s="212"/>
      <c r="F34" s="249">
        <f ca="1">IF('数据-取费表'!B24=0,1,IF(B1="",'数据-取费表'!N16,INDIRECT("'数据-取费表'!n"&amp;$G$1)))</f>
        <v>1</v>
      </c>
      <c r="G34" s="211" t="s">
        <v>1524</v>
      </c>
    </row>
    <row r="35" spans="1:7" ht="13.5" customHeight="1">
      <c r="A35" s="734" t="s">
        <v>351</v>
      </c>
      <c r="B35" s="207" t="s">
        <v>1525</v>
      </c>
      <c r="C35" s="212">
        <f ca="1">ROUND(C34*F35,0)</f>
        <v>7</v>
      </c>
      <c r="D35" s="212"/>
      <c r="E35" s="212"/>
      <c r="F35" s="251">
        <f>'数据-取费表'!B33</f>
        <v>0.05</v>
      </c>
      <c r="G35" s="211" t="s">
        <v>1526</v>
      </c>
    </row>
    <row r="36" spans="1:7" ht="24">
      <c r="A36" s="734" t="s">
        <v>352</v>
      </c>
      <c r="B36" s="207" t="s">
        <v>1527</v>
      </c>
      <c r="C36" s="212">
        <f ca="1">ROUND(IF(B1="",SUMIF('数据-取费表'!C:C,"住宅",IF(F34=100%,'数据-取费表'!M:M,'数据-取费表'!O:O))*F36,IF(INDIRECT("'数据-取费表'!c"&amp;$G$1)="住宅",IF(F34=100%,INDIRECT("'数据-取费表'!m"&amp;$G$1)*F36,INDIRECT("'数据-取费表'!o"&amp;$G$1)*F36),0)),0)</f>
        <v>7</v>
      </c>
      <c r="D36" s="212"/>
      <c r="E36" s="212"/>
      <c r="F36" s="251">
        <f>'数据-取费表'!B34</f>
        <v>0.05</v>
      </c>
      <c r="G36" s="252" t="s">
        <v>1528</v>
      </c>
    </row>
    <row r="37" spans="1:7" s="250" customFormat="1" ht="13.5" customHeight="1">
      <c r="A37" s="734" t="s">
        <v>353</v>
      </c>
      <c r="B37" s="207" t="s">
        <v>1529</v>
      </c>
      <c r="C37" s="241">
        <f ca="1">ROUND(E37*D37*F34/10000,0)</f>
        <v>9</v>
      </c>
      <c r="D37" s="209">
        <f ca="1">D19</f>
        <v>449.18</v>
      </c>
      <c r="E37" s="241">
        <f>'数据-取费表'!B35</f>
        <v>200</v>
      </c>
      <c r="F37" s="251"/>
      <c r="G37" s="253" t="s">
        <v>1530</v>
      </c>
    </row>
    <row r="38" spans="1:7" ht="13.5" customHeight="1">
      <c r="A38" s="734" t="s">
        <v>354</v>
      </c>
      <c r="B38" s="207" t="s">
        <v>1531</v>
      </c>
      <c r="C38" s="212">
        <f ca="1">ROUND(C34*F38,0)</f>
        <v>3</v>
      </c>
      <c r="D38" s="212"/>
      <c r="E38" s="212"/>
      <c r="F38" s="251">
        <f>'数据-取费表'!B36</f>
        <v>0.02</v>
      </c>
      <c r="G38" s="211" t="s">
        <v>1526</v>
      </c>
    </row>
    <row r="39" spans="1:7" s="206" customFormat="1" ht="13.5" customHeight="1">
      <c r="A39" s="247" t="s">
        <v>1532</v>
      </c>
      <c r="B39" s="202" t="s">
        <v>1533</v>
      </c>
      <c r="C39" s="224">
        <f ca="1">ROUND(C33*F20,0)</f>
        <v>2</v>
      </c>
      <c r="D39" s="224"/>
      <c r="E39" s="224"/>
      <c r="F39" s="225">
        <f>F20</f>
        <v>0.01</v>
      </c>
      <c r="G39" s="226" t="s">
        <v>1534</v>
      </c>
    </row>
    <row r="40" spans="1:7" s="206" customFormat="1" ht="13.5" customHeight="1">
      <c r="A40" s="247" t="s">
        <v>1535</v>
      </c>
      <c r="B40" s="202" t="s">
        <v>1536</v>
      </c>
      <c r="C40" s="227">
        <f>F21</f>
        <v>2.8000000000000001E-2</v>
      </c>
      <c r="D40" s="228" t="s">
        <v>1537</v>
      </c>
      <c r="E40" s="224"/>
      <c r="F40" s="225">
        <f>F21</f>
        <v>2.8000000000000001E-2</v>
      </c>
      <c r="G40" s="226" t="s">
        <v>1538</v>
      </c>
    </row>
    <row r="41" spans="1:7" s="206" customFormat="1" ht="13.5" customHeight="1">
      <c r="A41" s="247" t="s">
        <v>1539</v>
      </c>
      <c r="B41" s="202" t="s">
        <v>1540</v>
      </c>
      <c r="C41" s="224">
        <f ca="1">ROUND(SUM(C42:C43),0)</f>
        <v>2</v>
      </c>
      <c r="D41" s="227">
        <f ca="1">C44</f>
        <v>4.0000000000000002E-4</v>
      </c>
      <c r="E41" s="228" t="s">
        <v>1537</v>
      </c>
      <c r="F41" s="229">
        <f ca="1">F22</f>
        <v>0.03</v>
      </c>
      <c r="G41" s="226" t="str">
        <f>IF('数据-取费表'!B22&lt;=1,"单利计息","复利计息")</f>
        <v>单利计息</v>
      </c>
    </row>
    <row r="42" spans="1:7" ht="13.5" customHeight="1">
      <c r="A42" s="734" t="s">
        <v>346</v>
      </c>
      <c r="B42" s="207" t="s">
        <v>1541</v>
      </c>
      <c r="C42" s="230">
        <f ca="1">ROUND(IF('数据-取费表'!B22&lt;=1,C33*F22*'数据-取费表'!B21/2,C33*(POWER((1+F22),'数据-取费表'!B21/2)-1)),0)</f>
        <v>2</v>
      </c>
      <c r="D42" s="230"/>
      <c r="E42" s="230"/>
      <c r="F42" s="231"/>
      <c r="G42" s="3567" t="s">
        <v>1542</v>
      </c>
    </row>
    <row r="43" spans="1:7" ht="13.5" customHeight="1">
      <c r="A43" s="734" t="s">
        <v>347</v>
      </c>
      <c r="B43" s="207" t="s">
        <v>1543</v>
      </c>
      <c r="C43" s="230">
        <f ca="1">ROUND(IF('数据-取费表'!B22&lt;=1,C39*F22*'数据-取费表'!B21/2,C39*(POWER((1+F22),'数据-取费表'!B21/2)-1)),0)</f>
        <v>0</v>
      </c>
      <c r="D43" s="230"/>
      <c r="E43" s="230"/>
      <c r="F43" s="231"/>
      <c r="G43" s="3568"/>
    </row>
    <row r="44" spans="1:7" ht="13.5" customHeight="1">
      <c r="A44" s="734" t="s">
        <v>348</v>
      </c>
      <c r="B44" s="207" t="s">
        <v>1544</v>
      </c>
      <c r="C44" s="230">
        <f ca="1">ROUND(IF('数据-取费表'!B22&lt;=1,C40*F22*'数据-取费表'!B21/2,C40*(POWER((1+F22),'数据-取费表'!B21/2)-1)),4)</f>
        <v>4.0000000000000002E-4</v>
      </c>
      <c r="D44" s="230"/>
      <c r="E44" s="230"/>
      <c r="F44" s="231"/>
      <c r="G44" s="3569"/>
    </row>
    <row r="45" spans="1:7" s="206" customFormat="1" ht="13.5" customHeight="1">
      <c r="A45" s="247" t="s">
        <v>1545</v>
      </c>
      <c r="B45" s="236" t="s">
        <v>1511</v>
      </c>
      <c r="C45" s="237">
        <f ca="1">C46</f>
        <v>36</v>
      </c>
      <c r="D45" s="227">
        <f ca="1">C47</f>
        <v>6.4000000000000003E-3</v>
      </c>
      <c r="E45" s="228" t="s">
        <v>1537</v>
      </c>
      <c r="F45" s="238">
        <f ca="1">F27</f>
        <v>0.23</v>
      </c>
      <c r="G45" s="239" t="s">
        <v>1546</v>
      </c>
    </row>
    <row r="46" spans="1:7" s="206" customFormat="1" ht="13.5" customHeight="1">
      <c r="A46" s="734" t="s">
        <v>346</v>
      </c>
      <c r="B46" s="240" t="s">
        <v>1547</v>
      </c>
      <c r="C46" s="241">
        <f ca="1">ROUND((C33+C39)*F27,0)</f>
        <v>36</v>
      </c>
      <c r="D46" s="255"/>
      <c r="E46" s="228"/>
      <c r="F46" s="238"/>
      <c r="G46" s="239"/>
    </row>
    <row r="47" spans="1:7" s="206" customFormat="1" ht="13.5" customHeight="1">
      <c r="A47" s="734" t="s">
        <v>347</v>
      </c>
      <c r="B47" s="240" t="s">
        <v>1548</v>
      </c>
      <c r="C47" s="230">
        <f ca="1">ROUND(C40*F27,4)</f>
        <v>6.4000000000000003E-3</v>
      </c>
      <c r="D47" s="255"/>
      <c r="E47" s="228"/>
      <c r="F47" s="238"/>
      <c r="G47" s="239"/>
    </row>
    <row r="48" spans="1:7" s="206" customFormat="1" ht="13.5" customHeight="1">
      <c r="A48" s="247" t="s">
        <v>1510</v>
      </c>
      <c r="B48" s="202" t="s">
        <v>1549</v>
      </c>
      <c r="C48" s="227">
        <f>ROUND(F30/(1+'数据-取费表'!C42),4)</f>
        <v>5.33E-2</v>
      </c>
      <c r="D48" s="228" t="s">
        <v>1537</v>
      </c>
      <c r="E48" s="224"/>
      <c r="F48" s="229">
        <f>F30</f>
        <v>5.6000000000000001E-2</v>
      </c>
      <c r="G48" s="226" t="s">
        <v>1550</v>
      </c>
    </row>
    <row r="49" spans="1:7" ht="16.5" customHeight="1">
      <c r="A49" s="247" t="s">
        <v>1516</v>
      </c>
      <c r="B49" s="202" t="s">
        <v>1551</v>
      </c>
      <c r="C49" s="224">
        <f ca="1">ROUND((C33+C39+C41+C45)/(1-C40-D41-D45-C48),0)</f>
        <v>215</v>
      </c>
      <c r="D49" s="224"/>
      <c r="E49" s="224"/>
      <c r="F49" s="256"/>
      <c r="G49" s="226" t="s">
        <v>1552</v>
      </c>
    </row>
    <row r="50" spans="1:7" s="250" customFormat="1" ht="24">
      <c r="A50" s="247" t="s">
        <v>1553</v>
      </c>
      <c r="B50" s="202" t="s">
        <v>1554</v>
      </c>
      <c r="C50" s="224"/>
      <c r="D50" s="224"/>
      <c r="E50" s="224"/>
      <c r="F50" s="256">
        <f>IF('数据-取费表'!B24=0,'数据-取费表'!N16,1)</f>
        <v>1</v>
      </c>
      <c r="G50" s="239" t="s">
        <v>1555</v>
      </c>
    </row>
    <row r="51" spans="1:7" ht="16.5" customHeight="1">
      <c r="A51" s="247" t="s">
        <v>1556</v>
      </c>
      <c r="B51" s="202" t="s">
        <v>1557</v>
      </c>
      <c r="C51" s="224">
        <f ca="1">ROUND(C49*F50,0)</f>
        <v>215</v>
      </c>
      <c r="D51" s="224"/>
      <c r="E51" s="224"/>
      <c r="F51" s="256"/>
      <c r="G51" s="226" t="s">
        <v>1558</v>
      </c>
    </row>
    <row r="52" spans="1:7" s="200" customFormat="1" ht="16.5" thickBot="1">
      <c r="A52" s="257" t="s">
        <v>1559</v>
      </c>
      <c r="B52" s="258"/>
      <c r="C52" s="259">
        <f ca="1">C31+C51</f>
        <v>38958</v>
      </c>
      <c r="D52" s="258"/>
      <c r="E52" s="258"/>
      <c r="F52" s="258"/>
      <c r="G52" s="260"/>
    </row>
    <row r="55" spans="1:7" ht="15">
      <c r="B55" s="262" t="s">
        <v>1560</v>
      </c>
      <c r="C55" s="263"/>
    </row>
    <row r="56" spans="1:7">
      <c r="B56" s="265" t="s">
        <v>802</v>
      </c>
      <c r="C56" s="267">
        <f ca="1">1-C57</f>
        <v>0.99399999999999999</v>
      </c>
    </row>
    <row r="57" spans="1:7">
      <c r="B57" s="265" t="s">
        <v>803</v>
      </c>
      <c r="C57" s="266">
        <f ca="1">ROUND(C51/C52,3)</f>
        <v>6.0000000000000001E-3</v>
      </c>
    </row>
  </sheetData>
  <sheetProtection password="CEE9" sheet="1" objects="1" scenarios="1" formatCells="0"/>
  <mergeCells count="1">
    <mergeCell ref="G42:G44"/>
  </mergeCells>
  <phoneticPr fontId="136"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385" t="str">
        <f>项目基本情况!B1</f>
        <v>房地产市场价值预评估</v>
      </c>
      <c r="C37" s="3385"/>
      <c r="D37" s="3385"/>
      <c r="E37" s="3385"/>
      <c r="F37" s="3385"/>
      <c r="G37" s="3385"/>
      <c r="H37" s="3385"/>
      <c r="I37" s="3385"/>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4"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1592</v>
      </c>
      <c r="B1" s="121"/>
      <c r="C1" s="1110"/>
      <c r="D1" s="1109"/>
      <c r="E1" s="2568"/>
      <c r="F1" s="2568"/>
      <c r="G1" s="2449"/>
      <c r="H1" s="2568"/>
      <c r="I1" s="2568"/>
      <c r="J1" s="2568"/>
      <c r="K1" s="2569">
        <f>MATCH(C1,'数据-取费表'!A6:A16,0)+5</f>
        <v>7</v>
      </c>
    </row>
    <row r="2" spans="1:33" ht="18" customHeight="1">
      <c r="A2" s="193" t="s">
        <v>1460</v>
      </c>
      <c r="B2" s="196">
        <f ca="1">C32</f>
        <v>33497</v>
      </c>
      <c r="C2" s="268" t="s">
        <v>1593</v>
      </c>
      <c r="D2" s="268"/>
      <c r="E2" s="2568"/>
      <c r="F2" s="2568"/>
      <c r="G2" s="2568"/>
      <c r="H2" s="2568"/>
      <c r="I2" s="2568"/>
      <c r="J2" s="2568"/>
      <c r="K2" s="2568"/>
    </row>
    <row r="3" spans="1:33" ht="18" customHeight="1" thickBot="1">
      <c r="A3" s="195" t="s">
        <v>1462</v>
      </c>
      <c r="B3" s="196">
        <f ca="1">ROUND(B2*10000/IF(C1="",'数据-汇总表'!E3,INDIRECT("'数据-取费表'!K"&amp;$K$1)),0)</f>
        <v>745737</v>
      </c>
      <c r="C3" s="268" t="s">
        <v>1594</v>
      </c>
      <c r="D3" s="268"/>
      <c r="E3" s="2568"/>
      <c r="F3" s="2568"/>
      <c r="G3" s="2568"/>
      <c r="H3" s="2568"/>
      <c r="I3" s="2568"/>
      <c r="J3" s="2568"/>
      <c r="K3" s="2568"/>
    </row>
    <row r="4" spans="1:33" s="739" customFormat="1" ht="16.5" customHeight="1">
      <c r="A4" s="736" t="s">
        <v>1595</v>
      </c>
      <c r="B4" s="737"/>
      <c r="C4" s="775">
        <f>SUM(C8:K8)</f>
        <v>0</v>
      </c>
      <c r="D4" s="737"/>
      <c r="E4" s="737"/>
      <c r="F4" s="737"/>
      <c r="G4" s="737"/>
      <c r="H4" s="737"/>
      <c r="I4" s="737"/>
      <c r="J4" s="737"/>
      <c r="K4" s="738"/>
    </row>
    <row r="5" spans="1:33" s="743" customFormat="1" ht="15">
      <c r="A5" s="740" t="s">
        <v>1596</v>
      </c>
      <c r="B5" s="741" t="s">
        <v>1597</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1598</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1599</v>
      </c>
      <c r="B7" s="123" t="s">
        <v>1600</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1601</v>
      </c>
      <c r="B8" s="156" t="s">
        <v>1602</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1603</v>
      </c>
      <c r="B9" s="737"/>
      <c r="C9" s="737"/>
      <c r="D9" s="737"/>
      <c r="E9" s="737"/>
      <c r="F9" s="737"/>
      <c r="G9" s="737"/>
      <c r="H9" s="737"/>
      <c r="I9" s="737"/>
      <c r="J9" s="737"/>
      <c r="K9" s="738"/>
    </row>
    <row r="10" spans="1:33" s="751" customFormat="1" ht="13.5" customHeight="1">
      <c r="A10" s="740" t="s">
        <v>1604</v>
      </c>
      <c r="B10" s="5" t="s">
        <v>1605</v>
      </c>
      <c r="C10" s="747" t="s">
        <v>1606</v>
      </c>
      <c r="D10" s="748" t="s">
        <v>1607</v>
      </c>
      <c r="E10" s="748" t="s">
        <v>1608</v>
      </c>
      <c r="F10" s="748" t="s">
        <v>1609</v>
      </c>
      <c r="G10" s="5"/>
      <c r="H10" s="749"/>
      <c r="I10" s="749"/>
      <c r="J10" s="749"/>
      <c r="K10" s="750"/>
    </row>
    <row r="11" spans="1:33" s="755" customFormat="1" ht="13.5" customHeight="1">
      <c r="A11" s="752" t="s">
        <v>635</v>
      </c>
      <c r="B11" s="753" t="s">
        <v>1610</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1611</v>
      </c>
      <c r="C12" s="21">
        <f ca="1">ROUND(C11*F12,0)</f>
        <v>0</v>
      </c>
      <c r="D12" s="754"/>
      <c r="E12" s="138"/>
      <c r="F12" s="764">
        <f>'数据-取费表'!B33</f>
        <v>0.05</v>
      </c>
      <c r="G12" s="5" t="s">
        <v>1612</v>
      </c>
      <c r="H12" s="749"/>
      <c r="I12" s="749"/>
      <c r="J12" s="749"/>
      <c r="K12" s="750"/>
    </row>
    <row r="13" spans="1:33" s="755" customFormat="1" ht="13.5" customHeight="1">
      <c r="A13" s="752" t="s">
        <v>637</v>
      </c>
      <c r="B13" s="753" t="s">
        <v>1613</v>
      </c>
      <c r="C13" s="21">
        <f ca="1">ROUND(IF(C1="",SUMIF('数据-取费表'!C:C,"住宅",'数据-取费表'!P:P)*F13,IF(INDIRECT("'数据-取费表'!c"&amp;$K$1)="住宅",INDIRECT("'数据-取费表'!P"&amp;$K$1)*F13,0)),0)</f>
        <v>0</v>
      </c>
      <c r="D13" s="796"/>
      <c r="E13" s="138"/>
      <c r="F13" s="764">
        <f>'数据-取费表'!B34</f>
        <v>0.05</v>
      </c>
      <c r="G13" s="5" t="s">
        <v>1614</v>
      </c>
      <c r="H13" s="749"/>
      <c r="I13" s="749"/>
      <c r="J13" s="749"/>
      <c r="K13" s="750"/>
    </row>
    <row r="14" spans="1:33" s="757" customFormat="1" ht="13.5" customHeight="1">
      <c r="A14" s="752" t="s">
        <v>638</v>
      </c>
      <c r="B14" s="753" t="s">
        <v>1615</v>
      </c>
      <c r="C14" s="21">
        <f ca="1">ROUND(D14*E14*F11/10000,0)</f>
        <v>0</v>
      </c>
      <c r="D14" s="796">
        <f ca="1">IF(C1="",'数据-汇总表'!E3,INDIRECT("'数据-取费表'!K"&amp;$K$1)+INDIRECT("'数据-取费表'!S"&amp;$K$1))</f>
        <v>449.18</v>
      </c>
      <c r="E14" s="21">
        <f>'数据-取费表'!B35</f>
        <v>200</v>
      </c>
      <c r="F14" s="756"/>
      <c r="G14" s="5" t="s">
        <v>1616</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1617</v>
      </c>
      <c r="C15" s="763">
        <f ca="1">ROUND(C11*F15,0)</f>
        <v>0</v>
      </c>
      <c r="D15" s="758"/>
      <c r="E15" s="763"/>
      <c r="F15" s="764">
        <f>'数据-取费表'!B36</f>
        <v>0.02</v>
      </c>
      <c r="G15" s="123" t="s">
        <v>1618</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1619</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1620</v>
      </c>
      <c r="C17" s="21">
        <f ca="1">ROUND(D17*E17/10000,0)</f>
        <v>0</v>
      </c>
      <c r="D17" s="796">
        <f ca="1">D14</f>
        <v>449.18</v>
      </c>
      <c r="E17" s="21">
        <f>'数据-取费表'!B32</f>
        <v>0</v>
      </c>
      <c r="F17" s="758"/>
      <c r="G17" s="123" t="s">
        <v>1621</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1622</v>
      </c>
      <c r="C18" s="21">
        <f ca="1">C19+C20-IF(C1="",'数据-取费表'!B29,IF(G18="已全部缴纳",C19+C20,H18))</f>
        <v>-27746</v>
      </c>
      <c r="D18" s="796"/>
      <c r="E18" s="21"/>
      <c r="F18" s="756"/>
      <c r="G18" s="1720"/>
      <c r="H18" s="1106"/>
      <c r="I18" s="1721" t="s">
        <v>1623</v>
      </c>
      <c r="J18" s="759"/>
      <c r="K18" s="760"/>
    </row>
    <row r="19" spans="1:33" s="755" customFormat="1" ht="13.5" customHeight="1">
      <c r="A19" s="752" t="s">
        <v>360</v>
      </c>
      <c r="B19" s="753" t="s">
        <v>1624</v>
      </c>
      <c r="C19" s="21">
        <f ca="1">ROUND(D19*E19/10000,0)</f>
        <v>6</v>
      </c>
      <c r="D19" s="796">
        <f ca="1">IF(C1="",'数据-汇总表'!E5,IF(INDIRECT("'数据-取费表'!c"&amp;$K$1)="住宅",INDIRECT("'数据-取费表'!k"&amp;$K$1),0))</f>
        <v>449.18</v>
      </c>
      <c r="E19" s="21">
        <f>'数据-取费表'!B27</f>
        <v>143</v>
      </c>
      <c r="F19" s="756"/>
      <c r="G19" s="12"/>
      <c r="H19" s="1108"/>
      <c r="I19" s="761"/>
      <c r="J19" s="761"/>
      <c r="K19" s="762"/>
    </row>
    <row r="20" spans="1:33" s="755" customFormat="1" ht="13.5" customHeight="1">
      <c r="A20" s="752" t="s">
        <v>361</v>
      </c>
      <c r="B20" s="753" t="s">
        <v>1625</v>
      </c>
      <c r="C20" s="21">
        <f ca="1">ROUND(D20*E20/10000,0)</f>
        <v>0</v>
      </c>
      <c r="D20" s="796">
        <f ca="1">IF(C1="",'数据-汇总表'!E6,IF(INDIRECT("'数据-取费表'!c"&amp;$K$1)="住宅",INDIRECT("'数据-取费表'!s"&amp;$K$1),INDIRECT("'数据-取费表'!k"&amp;$K$1)+INDIRECT("'数据-取费表'!s"&amp;$K$1)))</f>
        <v>0</v>
      </c>
      <c r="E20" s="21">
        <f>'数据-取费表'!B28</f>
        <v>0</v>
      </c>
      <c r="F20" s="756"/>
      <c r="G20" s="12"/>
      <c r="H20" s="761"/>
      <c r="I20" s="761"/>
      <c r="J20" s="761"/>
      <c r="K20" s="762"/>
    </row>
    <row r="21" spans="1:33" s="755" customFormat="1" ht="13.5" customHeight="1">
      <c r="A21" s="744" t="s">
        <v>357</v>
      </c>
      <c r="B21" s="765" t="s">
        <v>1626</v>
      </c>
      <c r="C21" s="766">
        <f ca="1">C16+C17+C18</f>
        <v>-27746</v>
      </c>
      <c r="D21" s="767"/>
      <c r="E21" s="273"/>
      <c r="F21" s="273"/>
      <c r="G21" s="123" t="s">
        <v>1627</v>
      </c>
      <c r="H21" s="759"/>
      <c r="I21" s="759"/>
      <c r="J21" s="759"/>
      <c r="K21" s="760"/>
    </row>
    <row r="22" spans="1:33" s="755" customFormat="1" ht="13.5" customHeight="1">
      <c r="A22" s="744" t="s">
        <v>1599</v>
      </c>
      <c r="B22" s="765" t="s">
        <v>1628</v>
      </c>
      <c r="C22" s="766">
        <f ca="1">ROUND(C21*F22,0)</f>
        <v>-277</v>
      </c>
      <c r="D22" s="273"/>
      <c r="E22" s="273"/>
      <c r="F22" s="768">
        <f>'数据-取费表'!B37</f>
        <v>0.01</v>
      </c>
      <c r="G22" s="5" t="s">
        <v>1629</v>
      </c>
      <c r="H22" s="749"/>
      <c r="I22" s="749"/>
      <c r="J22" s="749"/>
      <c r="K22" s="750"/>
    </row>
    <row r="23" spans="1:33" s="755" customFormat="1" ht="13.5" customHeight="1">
      <c r="A23" s="744" t="s">
        <v>1601</v>
      </c>
      <c r="B23" s="765" t="s">
        <v>1630</v>
      </c>
      <c r="C23" s="766">
        <f ca="1">ROUND(C4*F23*F11,0)</f>
        <v>0</v>
      </c>
      <c r="D23" s="273"/>
      <c r="E23" s="273"/>
      <c r="F23" s="768">
        <f>'数据-取费表'!B38</f>
        <v>2.8000000000000001E-2</v>
      </c>
      <c r="G23" s="5" t="s">
        <v>1631</v>
      </c>
      <c r="H23" s="749"/>
      <c r="I23" s="749"/>
      <c r="J23" s="749"/>
      <c r="K23" s="750"/>
    </row>
    <row r="24" spans="1:33" s="755" customFormat="1" ht="13.5" customHeight="1">
      <c r="A24" s="744" t="s">
        <v>1632</v>
      </c>
      <c r="B24" s="765" t="s">
        <v>1633</v>
      </c>
      <c r="C24" s="272">
        <f>ROUND(F24/(1+'数据-取费表'!C42),4)</f>
        <v>2.9000000000000001E-2</v>
      </c>
      <c r="D24" s="273" t="s">
        <v>12</v>
      </c>
      <c r="E24" s="273"/>
      <c r="F24" s="768">
        <f>IF(项目基本情况!B8="出让",0,'数据-取费表'!B48+'数据-取费表'!B49)</f>
        <v>3.0499999999999999E-2</v>
      </c>
      <c r="G24" s="5" t="s">
        <v>1634</v>
      </c>
      <c r="H24" s="770"/>
      <c r="I24" s="770"/>
      <c r="J24" s="770"/>
      <c r="K24" s="55"/>
    </row>
    <row r="25" spans="1:33" s="755" customFormat="1" ht="13.5" customHeight="1">
      <c r="A25" s="744" t="s">
        <v>1635</v>
      </c>
      <c r="B25" s="767" t="s">
        <v>1636</v>
      </c>
      <c r="C25" s="1043">
        <f ca="1">C27</f>
        <v>0</v>
      </c>
      <c r="D25" s="272">
        <f ca="1">C26</f>
        <v>0</v>
      </c>
      <c r="E25" s="274" t="s">
        <v>12</v>
      </c>
      <c r="F25" s="275">
        <f ca="1">'数据-取费表'!B40</f>
        <v>0.03</v>
      </c>
      <c r="G25" s="123" t="str">
        <f>IF('数据-取费表'!B22&lt;=1,"单利计息。","复利计息。")&amp;"后续开发成本、管理费用及销售费用产生的利息。"</f>
        <v>单利计息。后续开发成本、管理费用及销售费用产生的利息。</v>
      </c>
      <c r="H25" s="770"/>
      <c r="I25" s="770"/>
      <c r="J25" s="770"/>
      <c r="K25" s="55"/>
    </row>
    <row r="26" spans="1:33" s="772" customFormat="1" ht="13.5" customHeight="1">
      <c r="A26" s="752" t="s">
        <v>358</v>
      </c>
      <c r="B26" s="771" t="s">
        <v>1637</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（(1)+取得税费率/(1+5%)）×年利率×建设期</v>
      </c>
      <c r="H26" s="759"/>
      <c r="I26" s="759"/>
      <c r="J26" s="759"/>
      <c r="K26" s="760"/>
    </row>
    <row r="27" spans="1:33" s="772" customFormat="1" ht="13.5" customHeight="1">
      <c r="A27" s="752" t="s">
        <v>359</v>
      </c>
      <c r="B27" s="771" t="s">
        <v>1638</v>
      </c>
      <c r="C27" s="1045">
        <f ca="1">ROUND(IF('数据-取费表'!B22&lt;=1,(C21+C22+C23)*F25*'数据-取费表'!B24/2,(C21+C22+C23)*(POWER((1+F25),'数据-取费表'!B24/2)-1)),0)</f>
        <v>0</v>
      </c>
      <c r="D27" s="276"/>
      <c r="E27" s="277"/>
      <c r="F27" s="278"/>
      <c r="G27" s="1722" t="str">
        <f>IF('数据-取费表'!B22&lt;=1,"（1）-（3）项×年利率×建设期÷2","（1）-（3）项×((1+年利率)^(建设期÷2)-1)")</f>
        <v>（1）-（3）项×年利率×建设期÷2</v>
      </c>
      <c r="H27" s="759"/>
      <c r="I27" s="759"/>
      <c r="J27" s="759"/>
      <c r="K27" s="760"/>
    </row>
    <row r="28" spans="1:33" s="281" customFormat="1" ht="13.5" customHeight="1">
      <c r="A28" s="744" t="s">
        <v>1639</v>
      </c>
      <c r="B28" s="1723" t="s">
        <v>1640</v>
      </c>
      <c r="C28" s="279">
        <f ca="1">C30</f>
        <v>-6445</v>
      </c>
      <c r="D28" s="272">
        <f ca="1">C29</f>
        <v>0</v>
      </c>
      <c r="E28" s="274" t="s">
        <v>12</v>
      </c>
      <c r="F28" s="280">
        <f ca="1">IF(C1="",'数据-取费表'!Q16,INDIRECT("'数据-取费表'!q"&amp;$K$1))</f>
        <v>0.23</v>
      </c>
      <c r="G28" s="769"/>
      <c r="H28" s="770"/>
      <c r="I28" s="770"/>
      <c r="J28" s="770"/>
      <c r="K28" s="55"/>
    </row>
    <row r="29" spans="1:33" s="283" customFormat="1" ht="13.5" customHeight="1">
      <c r="A29" s="752" t="s">
        <v>358</v>
      </c>
      <c r="B29" s="773" t="s">
        <v>1641</v>
      </c>
      <c r="C29" s="276">
        <f ca="1">ROUND((1+C24)*F28*'数据-取费表'!B24/'数据-取费表'!B20,4)</f>
        <v>0</v>
      </c>
      <c r="D29" s="276"/>
      <c r="E29" s="277"/>
      <c r="F29" s="282"/>
      <c r="G29" s="123" t="s">
        <v>1642</v>
      </c>
      <c r="H29" s="759"/>
      <c r="I29" s="759"/>
      <c r="J29" s="759"/>
      <c r="K29" s="760"/>
    </row>
    <row r="30" spans="1:33" s="283" customFormat="1" ht="13.5" customHeight="1">
      <c r="A30" s="752" t="s">
        <v>359</v>
      </c>
      <c r="B30" s="773" t="s">
        <v>1643</v>
      </c>
      <c r="C30" s="284">
        <f ca="1">ROUND((C21+C22+C23)*F28,0)</f>
        <v>-6445</v>
      </c>
      <c r="D30" s="276"/>
      <c r="E30" s="277"/>
      <c r="F30" s="282"/>
      <c r="G30" s="123"/>
      <c r="H30" s="759"/>
      <c r="I30" s="759"/>
      <c r="J30" s="759"/>
      <c r="K30" s="760"/>
    </row>
    <row r="31" spans="1:33" s="755" customFormat="1" ht="13.5" customHeight="1" thickBot="1">
      <c r="A31" s="1724" t="s">
        <v>1644</v>
      </c>
      <c r="B31" s="783" t="s">
        <v>1645</v>
      </c>
      <c r="C31" s="784">
        <f>ROUND(C4*F31/(1+'数据-取费表'!C42),0)</f>
        <v>0</v>
      </c>
      <c r="D31" s="785"/>
      <c r="E31" s="786"/>
      <c r="F31" s="787">
        <f>'数据-取费表'!B41</f>
        <v>5.6000000000000001E-2</v>
      </c>
      <c r="G31" s="788" t="s">
        <v>1646</v>
      </c>
      <c r="H31" s="789"/>
      <c r="I31" s="789"/>
      <c r="J31" s="789"/>
      <c r="K31" s="790"/>
    </row>
    <row r="32" spans="1:33" s="751" customFormat="1" ht="13.5" customHeight="1" thickBot="1">
      <c r="A32" s="449" t="s">
        <v>1647</v>
      </c>
      <c r="B32" s="779"/>
      <c r="C32" s="780">
        <f ca="1">ROUND((C4-C21-C22-C23-C25-C28-C31)/(1+C24+D25+D28),0)</f>
        <v>33497</v>
      </c>
      <c r="D32" s="779"/>
      <c r="E32" s="779"/>
      <c r="F32" s="779"/>
      <c r="G32" s="781" t="s">
        <v>1648</v>
      </c>
      <c r="H32" s="779"/>
      <c r="I32" s="779"/>
      <c r="J32" s="779"/>
      <c r="K32" s="782"/>
    </row>
    <row r="34" ht="12.75" customHeight="1"/>
  </sheetData>
  <sheetProtection password="CEE9" sheet="1" objects="1" scenarios="1" formatCells="0" formatColumns="0" formatRows="0"/>
  <phoneticPr fontId="20" type="noConversion"/>
  <dataValidations count="2">
    <dataValidation type="list" allowBlank="1" showInputMessage="1" showErrorMessage="1" sqref="C5:K5 C1" xr:uid="{00000000-0002-0000-1300-000000000000}">
      <formula1>项目类型</formula1>
    </dataValidation>
    <dataValidation type="list" allowBlank="1" showInputMessage="1" showErrorMessage="1" sqref="G18" xr:uid="{00000000-0002-0000-13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#VALUE!</v>
      </c>
      <c r="C2" s="1289" t="s">
        <v>805</v>
      </c>
      <c r="D2" s="1289"/>
      <c r="E2" s="1295"/>
      <c r="F2" s="1296"/>
      <c r="G2" s="2479"/>
      <c r="H2" s="2469"/>
      <c r="I2" s="2469"/>
      <c r="J2" s="2469"/>
      <c r="K2" s="2470"/>
      <c r="L2" s="2469"/>
      <c r="M2" s="2469"/>
    </row>
    <row r="3" spans="1:37" ht="18" customHeight="1" thickBot="1">
      <c r="A3" s="1297" t="s">
        <v>806</v>
      </c>
      <c r="B3" s="1298">
        <f ca="1">IF(ISERROR(B2*10000/F43),0,ROUND(B2*10000/F43,0))</f>
        <v>0</v>
      </c>
      <c r="C3" s="1289" t="s">
        <v>807</v>
      </c>
      <c r="D3" s="1289"/>
      <c r="E3" s="1295"/>
      <c r="F3" s="1296"/>
      <c r="G3" s="2479"/>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572" t="s">
        <v>694</v>
      </c>
      <c r="C6" s="1011">
        <f ca="1">ROUND(F6*F8*F7*(1-F9)/10000,0)</f>
        <v>0</v>
      </c>
      <c r="D6" s="147" t="s">
        <v>2107</v>
      </c>
      <c r="E6" s="294" t="s">
        <v>696</v>
      </c>
      <c r="F6" s="295">
        <f ca="1">INDIRECT("'数据-取费表'!u"&amp;$G$1)</f>
        <v>0</v>
      </c>
      <c r="G6" s="1292"/>
      <c r="H6" s="1006" t="s">
        <v>398</v>
      </c>
      <c r="I6" s="3572" t="s">
        <v>694</v>
      </c>
      <c r="J6" s="293">
        <f ca="1">ROUND(M6*M8*M7*(1-M9)/10000,0)</f>
        <v>0</v>
      </c>
      <c r="K6" s="147" t="s">
        <v>2106</v>
      </c>
      <c r="L6" s="294" t="s">
        <v>696</v>
      </c>
      <c r="M6" s="295">
        <f ca="1">INDIRECT("'数据-取费表'!z"&amp;$G$1)</f>
        <v>0</v>
      </c>
    </row>
    <row r="7" spans="1:37" ht="18" customHeight="1">
      <c r="A7" s="1010"/>
      <c r="B7" s="3573"/>
      <c r="C7" s="1012"/>
      <c r="D7" s="299"/>
      <c r="E7" s="1013" t="s">
        <v>697</v>
      </c>
      <c r="F7" s="295">
        <f ca="1">IF(INDIRECT("'数据-取费表'!ah"&amp;$G$1)="",INDIRECT("'数据-取费表'!k"&amp;$G$1),INDIRECT("'数据-取费表'!ah"&amp;$G$1))</f>
        <v>0</v>
      </c>
      <c r="G7" s="1292"/>
      <c r="H7" s="296"/>
      <c r="I7" s="3573"/>
      <c r="J7" s="298"/>
      <c r="K7" s="299"/>
      <c r="L7" s="294" t="s">
        <v>697</v>
      </c>
      <c r="M7" s="295">
        <f ca="1">F7</f>
        <v>0</v>
      </c>
    </row>
    <row r="8" spans="1:37" ht="18" customHeight="1">
      <c r="A8" s="296"/>
      <c r="B8" s="3573"/>
      <c r="C8" s="298"/>
      <c r="D8" s="299"/>
      <c r="E8" s="294" t="s">
        <v>698</v>
      </c>
      <c r="F8" s="295">
        <f ca="1">INDIRECT("'数据-取费表'!ai"&amp;$G$1)</f>
        <v>0</v>
      </c>
      <c r="G8" s="1292"/>
      <c r="H8" s="296"/>
      <c r="I8" s="3573"/>
      <c r="J8" s="298"/>
      <c r="K8" s="299"/>
      <c r="L8" s="294" t="s">
        <v>698</v>
      </c>
      <c r="M8" s="295">
        <f ca="1">INDIRECT("'数据-取费表'!ai"&amp;$G$1)</f>
        <v>0</v>
      </c>
    </row>
    <row r="9" spans="1:37" ht="18" customHeight="1">
      <c r="A9" s="296"/>
      <c r="B9" s="3574"/>
      <c r="C9" s="298"/>
      <c r="D9" s="299"/>
      <c r="E9" s="294" t="s">
        <v>699</v>
      </c>
      <c r="F9" s="304">
        <f ca="1">INDIRECT("'数据-取费表'!w"&amp;$G$1)</f>
        <v>0</v>
      </c>
      <c r="G9" s="1292"/>
      <c r="H9" s="296"/>
      <c r="I9" s="3574"/>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2115</v>
      </c>
      <c r="E10" s="305" t="s">
        <v>701</v>
      </c>
      <c r="F10" s="1053"/>
      <c r="G10" s="1292"/>
      <c r="H10" s="1006" t="s">
        <v>402</v>
      </c>
      <c r="I10" s="1274" t="s">
        <v>700</v>
      </c>
      <c r="J10" s="293">
        <f ca="1">ROUND(IF(M10="押一",J6/12*M11,IF(M10="押二",J6/12*2*M11,IF(M10="押三",J6/12*3*M11,J11*M11))),0)</f>
        <v>0</v>
      </c>
      <c r="K10" s="150" t="s">
        <v>2114</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0.05</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200</v>
      </c>
      <c r="G17" s="1303"/>
      <c r="H17" s="928" t="s">
        <v>398</v>
      </c>
      <c r="I17" s="294" t="s">
        <v>719</v>
      </c>
      <c r="J17" s="2140">
        <f ca="1">ROUND(IF(AND(项目基本情况!B11="自然人",项目基本情况!B10="北京市"),J6*M17/(1+'数据-取费表'!C42),J18+J19+J20),2)</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3334</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0.01</v>
      </c>
      <c r="G20" s="1303"/>
      <c r="H20" s="928" t="s">
        <v>680</v>
      </c>
      <c r="I20" s="147" t="s">
        <v>730</v>
      </c>
      <c r="J20" s="22">
        <f ca="1">ROUND(M20*M21/10000,2)</f>
        <v>0</v>
      </c>
      <c r="K20" s="316" t="s">
        <v>731</v>
      </c>
      <c r="L20" s="294" t="s">
        <v>732</v>
      </c>
      <c r="M20" s="317">
        <f>'数据-取费表'!B52</f>
        <v>4</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2.8000000000000001E-2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(建造成本+管理费用)×利率×(建设周期÷2)</v>
      </c>
      <c r="E23" s="294" t="s">
        <v>741</v>
      </c>
      <c r="F23" s="317">
        <f>'数据-取费表'!B20</f>
        <v>1</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4.0000000000000002E-4</v>
      </c>
      <c r="D24" s="138" t="str">
        <f>IF(F23&lt;=1,"销售费用×利率×(建设周期÷2)","销售费用×((1+利率)^(建设周期÷2)-1)")</f>
        <v>销售费用×利率×(建设周期÷2)</v>
      </c>
      <c r="E24" s="294" t="s">
        <v>747</v>
      </c>
      <c r="F24" s="322">
        <f ca="1">'数据-取费表'!B40</f>
        <v>0.03</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t="e">
        <f ca="1">ROUND(C31+C36+C37+C38,0)</f>
        <v>#VALUE!</v>
      </c>
      <c r="D30" s="1024" t="s">
        <v>715</v>
      </c>
      <c r="E30" s="1025"/>
      <c r="F30" s="1009"/>
      <c r="G30" s="1292"/>
      <c r="H30" s="2471"/>
      <c r="I30" s="1305"/>
      <c r="J30" s="1306"/>
      <c r="K30" s="121"/>
      <c r="L30" s="2472"/>
      <c r="M30" s="2473"/>
    </row>
    <row r="31" spans="1:37" ht="18" customHeight="1">
      <c r="A31" s="928" t="s">
        <v>398</v>
      </c>
      <c r="B31" s="294" t="s">
        <v>719</v>
      </c>
      <c r="C31" s="2140" t="e">
        <f ca="1">ROUND(IF(AND(项目基本情况!B11="自然人",项目基本情况!B10="北京市"),C6*F31/(1+'数据-取费表'!C42),C32+C33+C34),2)</f>
        <v>#VALUE!</v>
      </c>
      <c r="D31" s="1257" t="s">
        <v>720</v>
      </c>
      <c r="E31" s="1256" t="s">
        <v>770</v>
      </c>
      <c r="F31" s="2139">
        <f ca="1">IF(项目基本情况!B11="企业","——",IF(M47="住宅",IF(F6*F7*F8/12/(1+'数据-取费表'!F30)&gt;100000,4%,2.5%),IF(F6*F7*F8/12/(1+'数据-取费表'!F30)&gt;100000,12%,7%)))</f>
        <v>7.0000000000000007E-2</v>
      </c>
      <c r="G31" s="1292"/>
      <c r="H31" s="2570" t="s">
        <v>2304</v>
      </c>
      <c r="I31" s="1305"/>
      <c r="J31" s="1306"/>
      <c r="K31" s="121"/>
      <c r="L31" s="2472"/>
      <c r="M31" s="2473"/>
    </row>
    <row r="32" spans="1:37" ht="18" customHeight="1">
      <c r="A32" s="928" t="s">
        <v>397</v>
      </c>
      <c r="B32" s="294" t="s">
        <v>723</v>
      </c>
      <c r="C32" s="21" t="str">
        <f>IF(项目基本情况!B11="自然人","——",ROUND(C6*F32/(1+'数据-取费表'!C42),2))</f>
        <v>——</v>
      </c>
      <c r="D32" s="1256" t="s">
        <v>724</v>
      </c>
      <c r="E32" s="294" t="s">
        <v>712</v>
      </c>
      <c r="F32" s="322">
        <f>'数据-取费表'!B41</f>
        <v>5.6000000000000001E-2</v>
      </c>
      <c r="G32" s="1292"/>
      <c r="H32" s="2471"/>
      <c r="I32" s="1305"/>
      <c r="J32" s="1306"/>
      <c r="K32" s="121"/>
      <c r="L32" s="2472"/>
      <c r="M32" s="2473"/>
    </row>
    <row r="33" spans="1:18" ht="18" customHeight="1">
      <c r="A33" s="928" t="s">
        <v>399</v>
      </c>
      <c r="B33" s="294" t="s">
        <v>727</v>
      </c>
      <c r="C33" s="21" t="str">
        <f ca="1">IF(项目基本情况!B11="自然人","——",IF(D33="按租金收入计税",ROUND(C6*F33/(1+'数据-取费表'!C42),2),IF(D33="按房产原值计税",ROUND(C29*F33*0.7,2),INDIRECT("'数据-取费表'!Aj"&amp;$G$1))))</f>
        <v>——</v>
      </c>
      <c r="D33" s="1278" t="s">
        <v>3334</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t="str">
        <f>IF(项目基本情况!B11="自然人","——",ROUND(F34*F35/10000,2))</f>
        <v>——</v>
      </c>
      <c r="D34" s="316" t="s">
        <v>731</v>
      </c>
      <c r="E34" s="294" t="s">
        <v>732</v>
      </c>
      <c r="F34" s="317">
        <f>'数据-取费表'!B52</f>
        <v>4</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f ca="1">ROUND(C29*F36,2)</f>
        <v>0</v>
      </c>
      <c r="D36" s="1256" t="s">
        <v>771</v>
      </c>
      <c r="E36" s="294" t="s">
        <v>712</v>
      </c>
      <c r="F36" s="320">
        <f ca="1">INDIRECT("'数据-取费表'!Ak"&amp;$G$1)</f>
        <v>0</v>
      </c>
      <c r="G36" s="1292"/>
      <c r="H36" s="2474"/>
      <c r="I36" s="1305"/>
      <c r="J36" s="1306"/>
      <c r="K36" s="2331"/>
      <c r="L36" s="2474"/>
      <c r="M36" s="2474"/>
    </row>
    <row r="37" spans="1:18" ht="18" customHeight="1">
      <c r="A37" s="928" t="s">
        <v>437</v>
      </c>
      <c r="B37" s="294" t="s">
        <v>742</v>
      </c>
      <c r="C37" s="21">
        <f ca="1">ROUND(C13*F37,2)</f>
        <v>0</v>
      </c>
      <c r="D37" s="1256" t="s">
        <v>743</v>
      </c>
      <c r="E37" s="294" t="s">
        <v>744</v>
      </c>
      <c r="F37" s="321">
        <f ca="1">INDIRECT("'数据-取费表'!Al"&amp;$G$1)</f>
        <v>0</v>
      </c>
      <c r="G37" s="1292"/>
      <c r="H37" s="2474"/>
      <c r="I37" s="1305"/>
      <c r="J37" s="1306"/>
      <c r="K37" s="2331"/>
      <c r="L37" s="2474"/>
      <c r="M37" s="2474"/>
    </row>
    <row r="38" spans="1:18" ht="18" customHeight="1" thickBot="1">
      <c r="A38" s="1026" t="s">
        <v>684</v>
      </c>
      <c r="B38" s="1027" t="s">
        <v>728</v>
      </c>
      <c r="C38" s="1028">
        <f ca="1">ROUND(C5*F38,2)</f>
        <v>0</v>
      </c>
      <c r="D38" s="1029" t="s">
        <v>748</v>
      </c>
      <c r="E38" s="1027" t="s">
        <v>744</v>
      </c>
      <c r="F38" s="1023">
        <f ca="1">INDIRECT("'数据-取费表'!Am"&amp;$G$1)</f>
        <v>0</v>
      </c>
      <c r="G38" s="1292"/>
      <c r="H38" s="2474"/>
      <c r="I38" s="1305"/>
      <c r="J38" s="1306"/>
      <c r="K38" s="2472"/>
      <c r="L38" s="2474"/>
      <c r="M38" s="2474"/>
    </row>
    <row r="39" spans="1:18" ht="24.6" customHeight="1" thickTop="1">
      <c r="A39" s="1016" t="s">
        <v>394</v>
      </c>
      <c r="B39" s="1031" t="s">
        <v>772</v>
      </c>
      <c r="C39" s="302" t="e">
        <f ca="1">C5-C30</f>
        <v>#VALUE!</v>
      </c>
      <c r="D39" s="1032" t="s">
        <v>773</v>
      </c>
      <c r="E39" s="1033"/>
      <c r="F39" s="1034"/>
      <c r="G39" s="1292"/>
      <c r="H39" s="2474"/>
      <c r="I39" s="1305"/>
      <c r="J39" s="1306"/>
      <c r="K39" s="2472"/>
      <c r="L39" s="2474"/>
      <c r="M39" s="2474"/>
    </row>
    <row r="40" spans="1:18" ht="18" customHeight="1">
      <c r="A40" s="291" t="s">
        <v>395</v>
      </c>
      <c r="B40" s="292" t="s">
        <v>774</v>
      </c>
      <c r="C40" s="293" t="e">
        <f ca="1">ROUND(C39*(1-((1+F42)/(1+F40))^F41)/(F40-F42),0)</f>
        <v>#VALUE!</v>
      </c>
      <c r="D40" s="316" t="s">
        <v>758</v>
      </c>
      <c r="E40" s="294" t="s">
        <v>759</v>
      </c>
      <c r="F40" s="304">
        <f ca="1">INDIRECT("'数据-取费表'!I"&amp;$G$1)</f>
        <v>0</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ROUND(C40*10000/F43,0)</f>
        <v>#VALUE!</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8" t="s">
        <v>808</v>
      </c>
      <c r="P45" s="1366"/>
      <c r="Q45" s="1366"/>
      <c r="R45" s="1366"/>
    </row>
    <row r="46" spans="1:18" s="1292" customFormat="1" ht="13.5" thickBot="1">
      <c r="A46" s="1311" t="s">
        <v>809</v>
      </c>
      <c r="C46" s="1312" t="e">
        <f ca="1">C68-C40</f>
        <v>#VALUE!</v>
      </c>
      <c r="D46" s="1313" t="str">
        <f>C2</f>
        <v>万元</v>
      </c>
      <c r="E46" s="1307"/>
      <c r="F46" s="1307"/>
      <c r="I46" s="1314" t="s">
        <v>810</v>
      </c>
      <c r="J46" s="1315"/>
      <c r="K46" s="1316"/>
      <c r="L46" s="1317" t="e">
        <f ca="1">IF(M47="住宅",0,IF(L48&gt;J51,L60,J60))</f>
        <v>#VALUE!</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c r="K47" s="1323" t="s">
        <v>816</v>
      </c>
      <c r="L47" s="1324">
        <f ca="1">INDIRECT("'数据-取费表'!d"&amp;$G$1)</f>
        <v>70</v>
      </c>
      <c r="M47" s="1288" t="str">
        <f>IF(ISNUMBER(FIND("住宅",C1)),"住宅","非住宅")</f>
        <v>非住宅</v>
      </c>
      <c r="O47" s="1325" t="s">
        <v>403</v>
      </c>
      <c r="P47" s="1326" t="s">
        <v>817</v>
      </c>
      <c r="Q47" s="1327" t="e">
        <f ca="1">C40+J29</f>
        <v>#VALUE!</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58.11</v>
      </c>
      <c r="O48" s="1325" t="s">
        <v>404</v>
      </c>
      <c r="P48" s="1326" t="s">
        <v>821</v>
      </c>
      <c r="Q48" s="1327" t="str">
        <f ca="1">J60</f>
        <v>0</v>
      </c>
      <c r="R48" s="1327" t="s">
        <v>822</v>
      </c>
    </row>
    <row r="49" spans="1:18" s="1292" customFormat="1" ht="13.5" thickBot="1">
      <c r="A49" s="921" t="s">
        <v>439</v>
      </c>
      <c r="B49" s="1279" t="s">
        <v>779</v>
      </c>
      <c r="C49" s="1051">
        <f ca="1">ROUND(F49*F51*F50*(1-F52)/10000,0)</f>
        <v>0</v>
      </c>
      <c r="D49" s="992" t="s">
        <v>2108</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#VALUE!</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t="e">
        <f ca="1">ROUND(-PV(INDIRECT("'数据-取费表'!h"&amp;$G$1),J51,(C39-C13*C76),0),0)</f>
        <v>#VALUE!</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24.75" thickBot="1">
      <c r="A53" s="1079" t="s">
        <v>440</v>
      </c>
      <c r="B53" s="1281" t="s">
        <v>700</v>
      </c>
      <c r="C53" s="308">
        <f ca="1">ROUND(IF(F53="押一",C49/12*F11,IF(F53="押二",C49/12*2*F11,IF(F53="押三",C49/12*3*F11,C54*F11))),0)</f>
        <v>0</v>
      </c>
      <c r="D53" s="150" t="s">
        <v>2114</v>
      </c>
      <c r="E53" s="305" t="s">
        <v>701</v>
      </c>
      <c r="F53" s="1053"/>
      <c r="I53" s="1344" t="s">
        <v>836</v>
      </c>
      <c r="J53" s="2006">
        <f ca="1">IF(M47="住宅",IF(D1="——",MAX(J51,L48),MAX(J51,L48-'数据-取费表'!B24)),IF(D1="——",MIN(J51,L48),MIN(J51,L48-'数据-取费表'!B24)))</f>
        <v>0</v>
      </c>
      <c r="K53" s="3570" t="s">
        <v>837</v>
      </c>
      <c r="L53" s="3571"/>
      <c r="O53" s="1325" t="s">
        <v>409</v>
      </c>
      <c r="P53" s="1326" t="s">
        <v>838</v>
      </c>
      <c r="Q53" s="1327" t="e">
        <f ca="1">Q47+Q48</f>
        <v>#VALUE!</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#VALUE!</v>
      </c>
      <c r="K55" s="1350" t="s">
        <v>841</v>
      </c>
      <c r="L55" s="1351"/>
      <c r="O55" s="1318" t="s">
        <v>811</v>
      </c>
      <c r="P55" s="1319" t="s">
        <v>812</v>
      </c>
      <c r="Q55" s="1320" t="s">
        <v>813</v>
      </c>
      <c r="R55" s="1320" t="s">
        <v>814</v>
      </c>
    </row>
    <row r="56" spans="1:18" s="1292" customFormat="1" ht="25.5" thickTop="1" thickBot="1">
      <c r="A56" s="903">
        <v>2</v>
      </c>
      <c r="B56" s="904" t="s">
        <v>704</v>
      </c>
      <c r="C56" s="224">
        <f ca="1">C13</f>
        <v>0</v>
      </c>
      <c r="D56" s="1352"/>
      <c r="E56" s="1353"/>
      <c r="F56" s="1345"/>
      <c r="I56" s="1354" t="s">
        <v>842</v>
      </c>
      <c r="J56" s="1355"/>
      <c r="K56" s="1328" t="s">
        <v>843</v>
      </c>
      <c r="L56" s="1331">
        <f ca="1">IF(L48&lt;J51,"——",L48-J53)</f>
        <v>58.11</v>
      </c>
      <c r="O56" s="1325" t="s">
        <v>403</v>
      </c>
      <c r="P56" s="1326" t="s">
        <v>817</v>
      </c>
      <c r="Q56" s="1327" t="e">
        <f ca="1">C40+J29</f>
        <v>#VALUE!</v>
      </c>
      <c r="R56" s="1327" t="s">
        <v>818</v>
      </c>
    </row>
    <row r="57" spans="1:18" s="1292" customFormat="1" ht="24.75" thickBot="1">
      <c r="A57" s="1356"/>
      <c r="B57" s="896" t="s">
        <v>767</v>
      </c>
      <c r="C57" s="230">
        <f ca="1">C29</f>
        <v>0</v>
      </c>
      <c r="D57" s="1357"/>
      <c r="E57" s="1358"/>
      <c r="F57" s="1359"/>
      <c r="I57" s="1360" t="s">
        <v>844</v>
      </c>
      <c r="J57" s="1361" t="str">
        <f ca="1">IF(OR(M47="住宅",J51&lt;L48,J56="是"),"——",J51-L48)</f>
        <v>——</v>
      </c>
      <c r="K57" s="1328" t="s">
        <v>845</v>
      </c>
      <c r="L57" s="1331" t="e">
        <f ca="1">IF(L48&lt;J51,"——",IF(L55="比较法",L49,IF(L55="基准地价",L50,L51)))</f>
        <v>#VALUE!</v>
      </c>
      <c r="O57" s="1325" t="s">
        <v>404</v>
      </c>
      <c r="P57" s="1326" t="s">
        <v>846</v>
      </c>
      <c r="Q57" s="1327" t="e">
        <f ca="1">L60</f>
        <v>#VALUE!</v>
      </c>
      <c r="R57" s="1327" t="s">
        <v>847</v>
      </c>
    </row>
    <row r="58" spans="1:18" s="1292" customFormat="1" ht="24.75" thickBot="1">
      <c r="A58" s="307" t="s">
        <v>393</v>
      </c>
      <c r="B58" s="904" t="s">
        <v>714</v>
      </c>
      <c r="C58" s="308" t="e">
        <f ca="1">ROUND(C59+C64+C65+C66,0)</f>
        <v>#VALUE!</v>
      </c>
      <c r="D58" s="906" t="s">
        <v>715</v>
      </c>
      <c r="E58" s="907"/>
      <c r="F58" s="908"/>
      <c r="I58" s="1360" t="s">
        <v>848</v>
      </c>
      <c r="J58" s="1362" t="e">
        <f ca="1">IF(J55&lt;0.4,0.4,J55)</f>
        <v>#VALUE!</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t="e">
        <f ca="1">ROUND(IF(AND(项目基本情况!B11="自然人",项目基本情况!B10="北京市"),C49*F59/(1+'数据-取费表'!C42),C60+C61+C62),0)</f>
        <v>#VALUE!</v>
      </c>
      <c r="D59" s="909" t="s">
        <v>720</v>
      </c>
      <c r="E59" s="910" t="s">
        <v>721</v>
      </c>
      <c r="F59" s="2139">
        <f ca="1">IF(项目基本情况!B11="企业","——",IF('数据-取费表'!B10="住宅",IF(F49*F50*F51/12/(1+'数据-取费表'!F30)&gt;100000,4%,2.5%),IF(F49*F50*F51/12/(1+'数据-取费表'!F30)&gt;100000,12%,7%)))</f>
        <v>7.0000000000000007E-2</v>
      </c>
      <c r="I59" s="1360" t="s">
        <v>851</v>
      </c>
      <c r="J59" s="1361" t="str">
        <f ca="1">IF(OR(M47="住宅",J51&lt;L48,J56="是"),"——",ROUND(C29*J58,0))</f>
        <v>——</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t="str">
        <f>IF(项目基本情况!B11="自然人","——",ROUND(C48*F60/(1+'数据-取费表'!C42),2))</f>
        <v>——</v>
      </c>
      <c r="D60" s="910" t="s">
        <v>724</v>
      </c>
      <c r="E60" s="896" t="s">
        <v>712</v>
      </c>
      <c r="F60" s="322">
        <f t="shared" ref="F60:F66" si="0">F32</f>
        <v>5.6000000000000001E-2</v>
      </c>
      <c r="I60" s="1363" t="s">
        <v>853</v>
      </c>
      <c r="J60" s="1364" t="str">
        <f ca="1">IF(OR(M47="住宅",J51&lt;L48,J56="是"),"0",ROUND(J59/(1+J52)^J53,0))</f>
        <v>0</v>
      </c>
      <c r="K60" s="1365" t="s">
        <v>854</v>
      </c>
      <c r="L60" s="1364" t="e">
        <f ca="1">IF(OR(M47="住宅",L48&lt;J51),0,ROUND(L57*(L58/L59-1),0))</f>
        <v>#VALUE!</v>
      </c>
      <c r="O60" s="1334" t="s">
        <v>407</v>
      </c>
      <c r="P60" s="1326" t="s">
        <v>855</v>
      </c>
      <c r="Q60" s="1327" t="e">
        <f ca="1">L58</f>
        <v>#DIV/0!</v>
      </c>
      <c r="R60" s="1327" t="s">
        <v>856</v>
      </c>
    </row>
    <row r="61" spans="1:18" s="1292" customFormat="1" ht="13.5" thickBot="1">
      <c r="A61" s="928" t="s">
        <v>781</v>
      </c>
      <c r="B61" s="896" t="s">
        <v>782</v>
      </c>
      <c r="C61" s="21" t="str">
        <f ca="1">IF(项目基本情况!B11="自然人","——",IF(D61="按租金收入计税",ROUND(C49*F61/(1+'数据-取费表'!C42),2),IF(D61="按房产原值计税",ROUND(C57*F61*0.7,2),INDIRECT("'数据-取费表'!Aj"&amp;$G$1))))</f>
        <v>——</v>
      </c>
      <c r="D61" s="1278" t="s">
        <v>3334</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t="str">
        <f>IF(项目基本情况!B11="自然人","——",ROUND(F62*F63/10000,2))</f>
        <v>——</v>
      </c>
      <c r="D62" s="911" t="s">
        <v>786</v>
      </c>
      <c r="E62" s="896" t="s">
        <v>787</v>
      </c>
      <c r="F62" s="317">
        <f t="shared" si="0"/>
        <v>4</v>
      </c>
      <c r="I62" s="1367" t="s">
        <v>858</v>
      </c>
      <c r="J62" s="610" t="s">
        <v>859</v>
      </c>
      <c r="K62" s="610" t="s">
        <v>860</v>
      </c>
      <c r="L62" s="610" t="s">
        <v>861</v>
      </c>
      <c r="M62" s="1368" t="s">
        <v>862</v>
      </c>
      <c r="O62" s="1325" t="s">
        <v>409</v>
      </c>
      <c r="P62" s="1326" t="s">
        <v>863</v>
      </c>
      <c r="Q62" s="1327" t="e">
        <f ca="1">Q56+Q57</f>
        <v>#VALUE!</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#VALUE!</v>
      </c>
      <c r="R65" s="1327" t="s">
        <v>818</v>
      </c>
    </row>
    <row r="66" spans="1:18" s="1292" customFormat="1" ht="16.5" thickBot="1">
      <c r="A66" s="928" t="s">
        <v>793</v>
      </c>
      <c r="B66" s="896" t="s">
        <v>728</v>
      </c>
      <c r="C66" s="21">
        <f ca="1">ROUND(C48*F66,2)</f>
        <v>0</v>
      </c>
      <c r="D66" s="910" t="s">
        <v>794</v>
      </c>
      <c r="E66" s="896" t="s">
        <v>712</v>
      </c>
      <c r="F66" s="304">
        <f t="shared" ca="1" si="0"/>
        <v>0</v>
      </c>
      <c r="O66" s="1325" t="s">
        <v>404</v>
      </c>
      <c r="P66" s="1326" t="s">
        <v>846</v>
      </c>
      <c r="Q66" s="1327" t="e">
        <f ca="1">L60</f>
        <v>#VALUE!</v>
      </c>
      <c r="R66" s="1327" t="s">
        <v>869</v>
      </c>
    </row>
    <row r="67" spans="1:18" s="1292" customFormat="1" ht="16.5" thickBot="1">
      <c r="A67" s="903" t="s">
        <v>394</v>
      </c>
      <c r="B67" s="913" t="s">
        <v>752</v>
      </c>
      <c r="C67" s="308" t="e">
        <f ca="1">C48-C58</f>
        <v>#VALUE!</v>
      </c>
      <c r="D67" s="909" t="s">
        <v>753</v>
      </c>
      <c r="E67" s="914"/>
      <c r="F67" s="915"/>
      <c r="O67" s="1334" t="s">
        <v>405</v>
      </c>
      <c r="P67" s="1326" t="s">
        <v>850</v>
      </c>
      <c r="Q67" s="1370" t="e">
        <f ca="1">L51</f>
        <v>#VALUE!</v>
      </c>
      <c r="R67" s="1327" t="s">
        <v>870</v>
      </c>
    </row>
    <row r="68" spans="1:18" s="1292" customFormat="1" ht="16.5" thickBot="1">
      <c r="A68" s="893" t="s">
        <v>395</v>
      </c>
      <c r="B68" s="894" t="s">
        <v>774</v>
      </c>
      <c r="C68" s="293" t="e">
        <f ca="1">ROUND(C67*(1-((1+F70)/(1+F68))^F69)/(F68-F70),0)</f>
        <v>#VALUE!</v>
      </c>
      <c r="D68" s="911" t="s">
        <v>758</v>
      </c>
      <c r="E68" s="896" t="s">
        <v>759</v>
      </c>
      <c r="F68" s="304">
        <f ca="1">F40</f>
        <v>0</v>
      </c>
      <c r="O68" s="1334" t="s">
        <v>406</v>
      </c>
      <c r="P68" s="1371" t="s">
        <v>871</v>
      </c>
      <c r="Q68" s="1327" t="e">
        <f ca="1">ROUND(Q69-Q70*Q71,0)</f>
        <v>#VALUE!</v>
      </c>
      <c r="R68" s="1327" t="s">
        <v>414</v>
      </c>
    </row>
    <row r="69" spans="1:18" s="1292" customFormat="1" ht="13.5" thickBot="1">
      <c r="A69" s="897"/>
      <c r="B69" s="898"/>
      <c r="C69" s="298"/>
      <c r="D69" s="916" t="s">
        <v>762</v>
      </c>
      <c r="E69" s="896" t="s">
        <v>763</v>
      </c>
      <c r="F69" s="324">
        <f ca="1">F41</f>
        <v>0</v>
      </c>
      <c r="O69" s="1334" t="s">
        <v>411</v>
      </c>
      <c r="P69" s="1371" t="s">
        <v>872</v>
      </c>
      <c r="Q69" s="1327" t="e">
        <f ca="1">C39</f>
        <v>#VALUE!</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ROUND(C68*10000/F71,0)</f>
        <v>#VALUE!</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#VALUE!</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#VALUE!</v>
      </c>
    </row>
    <row r="80" spans="1:18">
      <c r="B80" s="331" t="s">
        <v>800</v>
      </c>
      <c r="C80" s="266" t="e">
        <f ca="1">ROUND(C75/C39,3)</f>
        <v>#VALUE!</v>
      </c>
    </row>
    <row r="81" spans="2:3">
      <c r="B81" s="262" t="s">
        <v>801</v>
      </c>
      <c r="C81" s="230"/>
    </row>
    <row r="82" spans="2:3">
      <c r="B82" s="265" t="s">
        <v>802</v>
      </c>
      <c r="C82" s="267" t="e">
        <f ca="1">1-C83</f>
        <v>#VALUE!</v>
      </c>
    </row>
    <row r="83" spans="2:3">
      <c r="B83" s="265" t="s">
        <v>803</v>
      </c>
      <c r="C83" s="266" t="e">
        <f ca="1">ROUND(C13/C40,3)</f>
        <v>#VALUE!</v>
      </c>
    </row>
  </sheetData>
  <sheetProtection password="CEE9" sheet="1" objects="1" scenarios="1" formatCells="0" formatColumns="0" formatRows="0"/>
  <mergeCells count="3">
    <mergeCell ref="K53:L53"/>
    <mergeCell ref="B6:B9"/>
    <mergeCell ref="I6:I9"/>
  </mergeCells>
  <phoneticPr fontId="5" type="noConversion"/>
  <conditionalFormatting sqref="C11">
    <cfRule type="expression" dxfId="138" priority="3">
      <formula>$F$10="自定义"</formula>
    </cfRule>
  </conditionalFormatting>
  <conditionalFormatting sqref="C54">
    <cfRule type="expression" dxfId="137" priority="1">
      <formula>$F$53="自定义"</formula>
    </cfRule>
  </conditionalFormatting>
  <conditionalFormatting sqref="I55 I60">
    <cfRule type="expression" dxfId="136" priority="57">
      <formula>$J$51&gt;$L$48</formula>
    </cfRule>
  </conditionalFormatting>
  <conditionalFormatting sqref="J11">
    <cfRule type="expression" dxfId="135" priority="2">
      <formula>$M$10="自定义"</formula>
    </cfRule>
  </conditionalFormatting>
  <conditionalFormatting sqref="K55 K60">
    <cfRule type="expression" dxfId="134" priority="56">
      <formula>$L$48&gt;$J$51</formula>
    </cfRule>
  </conditionalFormatting>
  <dataValidations count="9">
    <dataValidation type="list" allowBlank="1" showInputMessage="1" showErrorMessage="1" sqref="K19" xr:uid="{00000000-0002-0000-1400-000000000000}">
      <formula1>"按租金收入计税,按房产原值计税"</formula1>
    </dataValidation>
    <dataValidation type="list" allowBlank="1" showInputMessage="1" showErrorMessage="1" sqref="D33 D61" xr:uid="{00000000-0002-0000-1400-000001000000}">
      <formula1>"按租金收入计税,按房产原值计税,按票据"</formula1>
    </dataValidation>
    <dataValidation type="list" allowBlank="1" showInputMessage="1" showErrorMessage="1" sqref="C1" xr:uid="{00000000-0002-0000-1400-000002000000}">
      <formula1>项目类型</formula1>
    </dataValidation>
    <dataValidation type="list" allowBlank="1" showInputMessage="1" showErrorMessage="1" sqref="J47" xr:uid="{00000000-0002-0000-1400-000003000000}">
      <formula1>"钢,钢混,砖混"</formula1>
    </dataValidation>
    <dataValidation type="list" allowBlank="1" showInputMessage="1" showErrorMessage="1" sqref="J48" xr:uid="{00000000-0002-0000-1400-000004000000}">
      <formula1>"非生产用房,生产用房,受腐蚀的生产用房"</formula1>
    </dataValidation>
    <dataValidation type="list" allowBlank="1" showInputMessage="1" showErrorMessage="1" sqref="J56" xr:uid="{00000000-0002-0000-1400-000005000000}">
      <formula1>估价范围判定</formula1>
    </dataValidation>
    <dataValidation type="list" allowBlank="1" showInputMessage="1" showErrorMessage="1" sqref="L55" xr:uid="{00000000-0002-0000-1400-000006000000}">
      <formula1>"比较法,基准地价,收益还原"</formula1>
    </dataValidation>
    <dataValidation type="list" allowBlank="1" showInputMessage="1" showErrorMessage="1" sqref="M10 F10 F53" xr:uid="{00000000-0002-0000-1400-000007000000}">
      <formula1>"押一,押二,押三,自定义"</formula1>
    </dataValidation>
    <dataValidation type="list" allowBlank="1" showInputMessage="1" showErrorMessage="1" sqref="D1" xr:uid="{00000000-0002-0000-14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4" t="e">
        <f ca="1">ROUND(D2/10000,4)</f>
        <v>#VALUE!</v>
      </c>
      <c r="C2" s="1289" t="s">
        <v>879</v>
      </c>
      <c r="D2" s="1375" t="e">
        <f ca="1">C40+J29+L46</f>
        <v>#VALUE!</v>
      </c>
      <c r="E2" s="1295" t="s">
        <v>880</v>
      </c>
      <c r="F2" s="1296"/>
      <c r="G2" s="2479"/>
      <c r="H2" s="2469"/>
      <c r="I2" s="2469"/>
      <c r="J2" s="2469"/>
      <c r="K2" s="2470"/>
      <c r="L2" s="2469"/>
      <c r="M2" s="2469"/>
    </row>
    <row r="3" spans="1:37" ht="18" customHeight="1" thickBot="1">
      <c r="A3" s="1297" t="s">
        <v>881</v>
      </c>
      <c r="B3" s="1298">
        <f ca="1">IF(ISERROR(D2/F43),0,ROUND(D2/F43,0))</f>
        <v>0</v>
      </c>
      <c r="C3" s="1289" t="s">
        <v>882</v>
      </c>
      <c r="D3" s="1289"/>
      <c r="E3" s="1295"/>
      <c r="F3" s="1296"/>
      <c r="G3" s="2479"/>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0</v>
      </c>
      <c r="D5" s="1273" t="s">
        <v>889</v>
      </c>
      <c r="E5" s="1008"/>
      <c r="F5" s="1009"/>
      <c r="G5" s="1292"/>
      <c r="H5" s="291">
        <v>1</v>
      </c>
      <c r="I5" s="292" t="s">
        <v>888</v>
      </c>
      <c r="J5" s="1007">
        <f ca="1">J6+J10+J12</f>
        <v>0</v>
      </c>
      <c r="K5" s="1273" t="s">
        <v>889</v>
      </c>
      <c r="L5" s="1008"/>
      <c r="M5" s="1009"/>
    </row>
    <row r="6" spans="1:37" ht="18" customHeight="1">
      <c r="A6" s="1006" t="s">
        <v>398</v>
      </c>
      <c r="B6" s="3572" t="s">
        <v>694</v>
      </c>
      <c r="C6" s="1011">
        <f ca="1">ROUND(F6*F8*F7*(1-F9),0)</f>
        <v>0</v>
      </c>
      <c r="D6" s="147" t="s">
        <v>2104</v>
      </c>
      <c r="E6" s="294" t="s">
        <v>696</v>
      </c>
      <c r="F6" s="295">
        <f ca="1">INDIRECT("'数据-取费表'!u"&amp;$G$1)</f>
        <v>0</v>
      </c>
      <c r="G6" s="1292"/>
      <c r="H6" s="1006" t="s">
        <v>398</v>
      </c>
      <c r="I6" s="3572" t="s">
        <v>694</v>
      </c>
      <c r="J6" s="293">
        <f ca="1">ROUND(M6*M8*M7*(1-M9),0)</f>
        <v>0</v>
      </c>
      <c r="K6" s="1284" t="s">
        <v>2105</v>
      </c>
      <c r="L6" s="294" t="s">
        <v>696</v>
      </c>
      <c r="M6" s="295">
        <f ca="1">INDIRECT("'数据-取费表'!z"&amp;$G$1)</f>
        <v>0</v>
      </c>
    </row>
    <row r="7" spans="1:37" ht="18" customHeight="1">
      <c r="A7" s="1010"/>
      <c r="B7" s="3573"/>
      <c r="C7" s="1012"/>
      <c r="D7" s="299"/>
      <c r="E7" s="1013" t="s">
        <v>697</v>
      </c>
      <c r="F7" s="295">
        <f ca="1">IF(INDIRECT("'数据-取费表'!ah"&amp;$G$1)="",INDIRECT("'数据-取费表'!k"&amp;$G$1),INDIRECT("'数据-取费表'!ah"&amp;$G$1))</f>
        <v>0</v>
      </c>
      <c r="G7" s="1292"/>
      <c r="H7" s="296"/>
      <c r="I7" s="3573"/>
      <c r="J7" s="298"/>
      <c r="K7" s="299"/>
      <c r="L7" s="294" t="s">
        <v>697</v>
      </c>
      <c r="M7" s="295">
        <f ca="1">F7</f>
        <v>0</v>
      </c>
    </row>
    <row r="8" spans="1:37" ht="18" customHeight="1">
      <c r="A8" s="296"/>
      <c r="B8" s="3573"/>
      <c r="C8" s="298"/>
      <c r="D8" s="299"/>
      <c r="E8" s="294" t="s">
        <v>698</v>
      </c>
      <c r="F8" s="295">
        <f ca="1">INDIRECT("'数据-取费表'!ai"&amp;$G$1)</f>
        <v>0</v>
      </c>
      <c r="G8" s="1292"/>
      <c r="H8" s="296"/>
      <c r="I8" s="3573"/>
      <c r="J8" s="298"/>
      <c r="K8" s="299"/>
      <c r="L8" s="294" t="s">
        <v>698</v>
      </c>
      <c r="M8" s="295">
        <f ca="1">INDIRECT("'数据-取费表'!ai"&amp;$G$1)</f>
        <v>0</v>
      </c>
    </row>
    <row r="9" spans="1:37" ht="18" customHeight="1">
      <c r="A9" s="296"/>
      <c r="B9" s="3574"/>
      <c r="C9" s="298"/>
      <c r="D9" s="299"/>
      <c r="E9" s="294" t="s">
        <v>699</v>
      </c>
      <c r="F9" s="304">
        <f ca="1">INDIRECT("'数据-取费表'!w"&amp;$G$1)</f>
        <v>0</v>
      </c>
      <c r="G9" s="1292"/>
      <c r="H9" s="296"/>
      <c r="I9" s="3574"/>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2114</v>
      </c>
      <c r="E10" s="305" t="s">
        <v>701</v>
      </c>
      <c r="F10" s="1053"/>
      <c r="G10" s="1292"/>
      <c r="H10" s="1006" t="s">
        <v>402</v>
      </c>
      <c r="I10" s="1274" t="s">
        <v>700</v>
      </c>
      <c r="J10" s="293">
        <f ca="1">ROUND(IF(M10="押一",J6/12*M11,IF(M10="押二",J6/12*2*M11,IF(M10="押三",J6/12*3*M11,J11*M11))),0)</f>
        <v>0</v>
      </c>
      <c r="K10" s="1285" t="s">
        <v>2116</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0.05</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ROUND(F17*(F43+INDIRECT("'数据-取费表'!S"&amp;$G$1)),0)</f>
        <v>0</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IF(K19="按租金收入计税",ROUND(J6*M19/(1+'数据-取费表'!C42),0),ROUND(C29*M19*0.7,0))</f>
        <v>0</v>
      </c>
      <c r="K19" s="1278" t="s">
        <v>3334</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0.01</v>
      </c>
      <c r="G20" s="1303"/>
      <c r="H20" s="928" t="s">
        <v>680</v>
      </c>
      <c r="I20" s="147" t="s">
        <v>730</v>
      </c>
      <c r="J20" s="22">
        <f ca="1">ROUND(M20*M21,0)</f>
        <v>0</v>
      </c>
      <c r="K20" s="316" t="s">
        <v>731</v>
      </c>
      <c r="L20" s="294" t="s">
        <v>732</v>
      </c>
      <c r="M20" s="317">
        <f>'数据-取费表'!B52</f>
        <v>4</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2.8000000000000001E-2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f ca="1">ROUND(J14*M22,0)</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(建造成本+管理费用)×利率×(建设周期÷2)</v>
      </c>
      <c r="E23" s="294" t="s">
        <v>741</v>
      </c>
      <c r="F23" s="317">
        <f>'数据-取费表'!B20</f>
        <v>1</v>
      </c>
      <c r="G23" s="1303"/>
      <c r="H23" s="928" t="s">
        <v>437</v>
      </c>
      <c r="I23" s="294" t="s">
        <v>742</v>
      </c>
      <c r="J23" s="21">
        <f ca="1">ROUND(J13*M23,0)</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4.0000000000000002E-4</v>
      </c>
      <c r="D24" s="138" t="str">
        <f>IF(F23&lt;=1,"销售费用×利率×(建设周期÷2)","销售费用×((1+利率)^(建设周期÷2)-1)")</f>
        <v>销售费用×利率×(建设周期÷2)</v>
      </c>
      <c r="E24" s="294" t="s">
        <v>747</v>
      </c>
      <c r="F24" s="322">
        <f ca="1">'数据-取费表'!B40</f>
        <v>0.03</v>
      </c>
      <c r="G24" s="1303"/>
      <c r="H24" s="1026" t="s">
        <v>684</v>
      </c>
      <c r="I24" s="1027" t="s">
        <v>728</v>
      </c>
      <c r="J24" s="1028">
        <f ca="1">ROUND(J5*M24,0)</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ht="18" customHeight="1">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t="e">
        <f ca="1">ROUND(C31+C36+C37+C38,0)</f>
        <v>#VALUE!</v>
      </c>
      <c r="D30" s="1024" t="s">
        <v>715</v>
      </c>
      <c r="E30" s="1025"/>
      <c r="F30" s="1009"/>
      <c r="G30" s="1292"/>
      <c r="H30" s="2471"/>
      <c r="I30" s="1305"/>
      <c r="J30" s="1306"/>
      <c r="K30" s="121"/>
      <c r="L30" s="2472"/>
      <c r="M30" s="2473"/>
    </row>
    <row r="31" spans="1:37" ht="18" customHeight="1">
      <c r="A31" s="928" t="s">
        <v>398</v>
      </c>
      <c r="B31" s="294" t="s">
        <v>719</v>
      </c>
      <c r="C31" s="2140" t="e">
        <f ca="1">ROUND(IF(AND(项目基本情况!B11="自然人",项目基本情况!B10="北京市"),C6*F31/(1+'数据-取费表'!C42),C32+C33+C34),0)</f>
        <v>#VALUE!</v>
      </c>
      <c r="D31" s="1257" t="s">
        <v>720</v>
      </c>
      <c r="E31" s="1256" t="s">
        <v>770</v>
      </c>
      <c r="F31" s="2139">
        <f ca="1">IF(项目基本情况!B11="企业","——",IF(M47="住宅",IF(F6*F7*F8/12/(1+'数据-取费表'!F30)&gt;100000,4%,2.5%),IF(F6*F7*F8/12/(1+'数据-取费表'!F30)&gt;100000,12%,7%)))</f>
        <v>7.0000000000000007E-2</v>
      </c>
      <c r="G31" s="1292"/>
      <c r="H31" s="2570" t="s">
        <v>2304</v>
      </c>
      <c r="I31" s="1305"/>
      <c r="J31" s="1306"/>
      <c r="K31" s="121"/>
      <c r="L31" s="2472"/>
      <c r="M31" s="2473"/>
    </row>
    <row r="32" spans="1:37" ht="18" customHeight="1">
      <c r="A32" s="928" t="s">
        <v>397</v>
      </c>
      <c r="B32" s="294" t="s">
        <v>723</v>
      </c>
      <c r="C32" s="21" t="str">
        <f>IF(项目基本情况!B11="自然人","——",ROUND(C6*F32/(1+'数据-取费表'!C42),0))</f>
        <v>——</v>
      </c>
      <c r="D32" s="1256" t="s">
        <v>724</v>
      </c>
      <c r="E32" s="294" t="s">
        <v>712</v>
      </c>
      <c r="F32" s="322">
        <f>'数据-取费表'!B41</f>
        <v>5.6000000000000001E-2</v>
      </c>
      <c r="G32" s="1292"/>
      <c r="H32" s="2471"/>
      <c r="I32" s="1305"/>
      <c r="J32" s="1306"/>
      <c r="K32" s="121"/>
      <c r="L32" s="2472"/>
      <c r="M32" s="2473"/>
    </row>
    <row r="33" spans="1:18" ht="18" customHeight="1">
      <c r="A33" s="928" t="s">
        <v>399</v>
      </c>
      <c r="B33" s="294" t="s">
        <v>727</v>
      </c>
      <c r="C33" s="21" t="str">
        <f ca="1">IF(项目基本情况!B11="自然人","——",IF(D33="按租金收入计税",ROUND(C6*F33/(1+'数据-取费表'!C42),0),IF(D33="按房产原值计税",ROUND(C29*F33*0.7,0),INDIRECT("'数据-取费表'!Aj"&amp;$G$1))))</f>
        <v>——</v>
      </c>
      <c r="D33" s="1278" t="s">
        <v>3334</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t="str">
        <f>IF(项目基本情况!B11="自然人","——",ROUND(F34*F35,0))</f>
        <v>——</v>
      </c>
      <c r="D34" s="316" t="s">
        <v>731</v>
      </c>
      <c r="E34" s="294" t="s">
        <v>732</v>
      </c>
      <c r="F34" s="317">
        <f>'数据-取费表'!B52</f>
        <v>4</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f ca="1">ROUND(C29*F36,0)</f>
        <v>0</v>
      </c>
      <c r="D36" s="1256" t="s">
        <v>771</v>
      </c>
      <c r="E36" s="294" t="s">
        <v>712</v>
      </c>
      <c r="F36" s="320">
        <f ca="1">INDIRECT("'数据-取费表'!Ak"&amp;$G$1)</f>
        <v>0</v>
      </c>
      <c r="G36" s="1292"/>
      <c r="H36" s="2474"/>
      <c r="I36" s="1305"/>
      <c r="J36" s="1306"/>
      <c r="K36" s="2331"/>
      <c r="L36" s="2474"/>
      <c r="M36" s="2474"/>
    </row>
    <row r="37" spans="1:18" ht="18" customHeight="1">
      <c r="A37" s="928" t="s">
        <v>437</v>
      </c>
      <c r="B37" s="294" t="s">
        <v>742</v>
      </c>
      <c r="C37" s="21">
        <f ca="1">ROUND(C13*F37,0)</f>
        <v>0</v>
      </c>
      <c r="D37" s="1256" t="s">
        <v>743</v>
      </c>
      <c r="E37" s="294" t="s">
        <v>744</v>
      </c>
      <c r="F37" s="321">
        <f ca="1">INDIRECT("'数据-取费表'!Al"&amp;$G$1)</f>
        <v>0</v>
      </c>
      <c r="G37" s="1292"/>
      <c r="H37" s="2474"/>
      <c r="I37" s="1305"/>
      <c r="J37" s="1306"/>
      <c r="K37" s="2331"/>
      <c r="L37" s="2474"/>
      <c r="M37" s="2474"/>
    </row>
    <row r="38" spans="1:18" ht="18" customHeight="1" thickBot="1">
      <c r="A38" s="1026" t="s">
        <v>684</v>
      </c>
      <c r="B38" s="1027" t="s">
        <v>728</v>
      </c>
      <c r="C38" s="1028">
        <f ca="1">ROUND(C5*F38,0)</f>
        <v>0</v>
      </c>
      <c r="D38" s="1029" t="s">
        <v>748</v>
      </c>
      <c r="E38" s="1027" t="s">
        <v>744</v>
      </c>
      <c r="F38" s="1023">
        <f ca="1">INDIRECT("'数据-取费表'!Am"&amp;$G$1)</f>
        <v>0</v>
      </c>
      <c r="G38" s="1292"/>
      <c r="H38" s="2474"/>
      <c r="I38" s="1305"/>
      <c r="J38" s="1306"/>
      <c r="K38" s="2472"/>
      <c r="L38" s="2474"/>
      <c r="M38" s="2474"/>
    </row>
    <row r="39" spans="1:18" ht="24.6" customHeight="1" thickTop="1">
      <c r="A39" s="1016" t="s">
        <v>394</v>
      </c>
      <c r="B39" s="1031" t="s">
        <v>772</v>
      </c>
      <c r="C39" s="302" t="e">
        <f ca="1">C5-C30</f>
        <v>#VALUE!</v>
      </c>
      <c r="D39" s="1032" t="s">
        <v>773</v>
      </c>
      <c r="E39" s="1033"/>
      <c r="F39" s="1034"/>
      <c r="G39" s="1292"/>
      <c r="H39" s="2474"/>
      <c r="I39" s="1305"/>
      <c r="J39" s="1306"/>
      <c r="K39" s="2472"/>
      <c r="L39" s="2474"/>
      <c r="M39" s="2474"/>
    </row>
    <row r="40" spans="1:18" ht="18" customHeight="1">
      <c r="A40" s="291" t="s">
        <v>395</v>
      </c>
      <c r="B40" s="292" t="s">
        <v>774</v>
      </c>
      <c r="C40" s="293" t="e">
        <f ca="1">ROUND(C39*(1-((1+F42)/(1+F40))^F41)/(F40-F42),0)</f>
        <v>#VALUE!</v>
      </c>
      <c r="D40" s="316" t="s">
        <v>758</v>
      </c>
      <c r="E40" s="294" t="s">
        <v>759</v>
      </c>
      <c r="F40" s="304">
        <f ca="1">INDIRECT("'数据-取费表'!I"&amp;$G$1)</f>
        <v>0</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ROUND(C40/F43,0)</f>
        <v>#VALUE!</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3130" t="s">
        <v>3350</v>
      </c>
      <c r="B45" s="1307"/>
      <c r="C45" s="1376" t="e">
        <f ca="1">ROUND((C68-C40)/10000,4)</f>
        <v>#VALUE!</v>
      </c>
      <c r="D45" s="3131" t="s">
        <v>3351</v>
      </c>
      <c r="E45" s="1307"/>
      <c r="F45" s="1307"/>
      <c r="O45" s="1310" t="s">
        <v>808</v>
      </c>
      <c r="P45" s="1366"/>
      <c r="Q45" s="1366"/>
      <c r="R45" s="1366"/>
    </row>
    <row r="46" spans="1:18" s="1292" customFormat="1" ht="13.5" thickBot="1">
      <c r="A46" s="1311" t="s">
        <v>809</v>
      </c>
      <c r="C46" s="1312" t="e">
        <f ca="1">ROUND(C45,0)</f>
        <v>#VALUE!</v>
      </c>
      <c r="D46" s="1313" t="str">
        <f>C2</f>
        <v>万元</v>
      </c>
      <c r="I46" s="1314" t="s">
        <v>810</v>
      </c>
      <c r="J46" s="1315"/>
      <c r="K46" s="1316"/>
      <c r="L46" s="1317" t="e">
        <f ca="1">IF(M47="住宅",0,IF(L48&gt;J51,L60,J60))</f>
        <v>#VALUE!</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c r="K47" s="1323" t="s">
        <v>816</v>
      </c>
      <c r="L47" s="1324">
        <f ca="1">INDIRECT("'数据-取费表'!d"&amp;$G$1)</f>
        <v>70</v>
      </c>
      <c r="M47" s="1288" t="str">
        <f>IF(ISNUMBER(FIND("住宅",C1)),"住宅","非住宅")</f>
        <v>非住宅</v>
      </c>
      <c r="O47" s="1325" t="s">
        <v>403</v>
      </c>
      <c r="P47" s="1326" t="s">
        <v>817</v>
      </c>
      <c r="Q47" s="1327" t="e">
        <f ca="1">C40+J29</f>
        <v>#VALUE!</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58.11</v>
      </c>
      <c r="O48" s="1325" t="s">
        <v>404</v>
      </c>
      <c r="P48" s="1326" t="s">
        <v>821</v>
      </c>
      <c r="Q48" s="1327" t="str">
        <f ca="1">J60</f>
        <v>0</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926"/>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#VALUE!</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t="e">
        <f ca="1">ROUND(-PV(INDIRECT("'数据-取费表'!h"&amp;$G$1),J51,(C39-C13*C76),0),0)</f>
        <v>#VALUE!</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0.75" customHeight="1" thickBot="1">
      <c r="A53" s="1048" t="s">
        <v>440</v>
      </c>
      <c r="B53" s="315" t="s">
        <v>700</v>
      </c>
      <c r="C53" s="308">
        <f ca="1">ROUND(IF(F53="押一",C49/12*F11,IF(F53="押二",C49/12*2*F11,IF(F53="押三",C49/12*3*F11,C54*F11))),0)</f>
        <v>0</v>
      </c>
      <c r="D53" s="150" t="s">
        <v>2117</v>
      </c>
      <c r="E53" s="305" t="s">
        <v>701</v>
      </c>
      <c r="F53" s="1053"/>
      <c r="I53" s="1344" t="s">
        <v>836</v>
      </c>
      <c r="J53" s="2006">
        <f ca="1">IF(M47="住宅",IF(D1="——",MAX(J51,L48),MAX(J51,L48-'数据-取费表'!B24)),IF(D1="——",MIN(J51,L48),MIN(J51,L48-'数据-取费表'!B24)))</f>
        <v>0</v>
      </c>
      <c r="K53" s="3570" t="s">
        <v>837</v>
      </c>
      <c r="L53" s="3571"/>
      <c r="O53" s="1325" t="s">
        <v>409</v>
      </c>
      <c r="P53" s="1326" t="s">
        <v>838</v>
      </c>
      <c r="Q53" s="1327" t="e">
        <f ca="1">Q47+Q48</f>
        <v>#VALUE!</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#VALUE!</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0</v>
      </c>
      <c r="D56" s="1352"/>
      <c r="E56" s="1353"/>
      <c r="F56" s="1345"/>
      <c r="I56" s="1354" t="s">
        <v>842</v>
      </c>
      <c r="J56" s="1355"/>
      <c r="K56" s="1328" t="s">
        <v>843</v>
      </c>
      <c r="L56" s="1331">
        <f ca="1">IF(L48&lt;J51,"——",L48-J51)</f>
        <v>58.11</v>
      </c>
      <c r="O56" s="1325" t="s">
        <v>403</v>
      </c>
      <c r="P56" s="1326" t="s">
        <v>817</v>
      </c>
      <c r="Q56" s="1327" t="e">
        <f ca="1">C40+J29</f>
        <v>#VALUE!</v>
      </c>
      <c r="R56" s="1327" t="s">
        <v>818</v>
      </c>
    </row>
    <row r="57" spans="1:18" s="1292" customFormat="1" ht="24.75" thickBot="1">
      <c r="A57" s="1356"/>
      <c r="B57" s="896" t="s">
        <v>767</v>
      </c>
      <c r="C57" s="230">
        <f ca="1">C29</f>
        <v>0</v>
      </c>
      <c r="D57" s="1357"/>
      <c r="E57" s="1358"/>
      <c r="F57" s="1359"/>
      <c r="I57" s="1360" t="s">
        <v>844</v>
      </c>
      <c r="J57" s="1361" t="str">
        <f ca="1">IF(OR(M47="住宅",J51&lt;L48,J56="是"),"——",J51-L48)</f>
        <v>——</v>
      </c>
      <c r="K57" s="1328" t="s">
        <v>892</v>
      </c>
      <c r="L57" s="1331" t="e">
        <f ca="1">IF(L48&lt;J51,"——",IF(L55="比较法",L49,IF(L55="基准地价",L50,L51)))</f>
        <v>#VALUE!</v>
      </c>
      <c r="O57" s="1325" t="s">
        <v>404</v>
      </c>
      <c r="P57" s="1326" t="s">
        <v>893</v>
      </c>
      <c r="Q57" s="1327" t="e">
        <f ca="1">L60</f>
        <v>#VALUE!</v>
      </c>
      <c r="R57" s="1327" t="s">
        <v>894</v>
      </c>
    </row>
    <row r="58" spans="1:18" s="1292" customFormat="1" ht="24.75" thickBot="1">
      <c r="A58" s="307" t="s">
        <v>393</v>
      </c>
      <c r="B58" s="904" t="s">
        <v>714</v>
      </c>
      <c r="C58" s="308" t="e">
        <f ca="1">ROUND(C59+C64+C65+C66,0)</f>
        <v>#VALUE!</v>
      </c>
      <c r="D58" s="906" t="s">
        <v>715</v>
      </c>
      <c r="E58" s="907"/>
      <c r="F58" s="908"/>
      <c r="I58" s="1360" t="s">
        <v>848</v>
      </c>
      <c r="J58" s="1362" t="e">
        <f ca="1">IF(J55&lt;0.4,0.4,J55)</f>
        <v>#VALUE!</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t="e">
        <f ca="1">ROUND(IF(AND(项目基本情况!B11="自然人",项目基本情况!B10="北京市"),C49*F59/(1+'数据-取费表'!C42),C60+C61+C62),0)</f>
        <v>#VALUE!</v>
      </c>
      <c r="D59" s="909" t="s">
        <v>720</v>
      </c>
      <c r="E59" s="910" t="s">
        <v>721</v>
      </c>
      <c r="F59" s="2139">
        <f ca="1">IF(项目基本情况!B11="企业","——",IF('数据-取费表'!B10="住宅",IF(F49*F50*F51/12/(1+'数据-取费表'!F30)&gt;100000,4%,2.5%),IF(F49*F50*F51/12/(1+'数据-取费表'!F30)&gt;100000,12%,7%)))</f>
        <v>7.0000000000000007E-2</v>
      </c>
      <c r="I59" s="1360" t="s">
        <v>851</v>
      </c>
      <c r="J59" s="1361" t="str">
        <f ca="1">IF(OR(M47="住宅",J51&lt;L48,J56="是"),"——",ROUND(C29*J58,0))</f>
        <v>——</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t="str">
        <f>IF(项目基本情况!B11="自然人","——",ROUND(C48*F60/(1+'数据-取费表'!C42),0))</f>
        <v>——</v>
      </c>
      <c r="D60" s="910" t="s">
        <v>724</v>
      </c>
      <c r="E60" s="896" t="s">
        <v>712</v>
      </c>
      <c r="F60" s="322">
        <f t="shared" ref="F60:F66" si="0">F32</f>
        <v>5.6000000000000001E-2</v>
      </c>
      <c r="I60" s="1363" t="s">
        <v>853</v>
      </c>
      <c r="J60" s="1364" t="str">
        <f ca="1">IF(OR(M47="住宅",J51&lt;L48,J56="是"),"0",ROUND(J59/(1+J52)^J53,0))</f>
        <v>0</v>
      </c>
      <c r="K60" s="1365" t="s">
        <v>854</v>
      </c>
      <c r="L60" s="1364" t="e">
        <f ca="1">IF(OR(M47="住宅",L48&lt;J51),0,ROUND(L57*(L58/L59-1),0))</f>
        <v>#VALUE!</v>
      </c>
      <c r="O60" s="1334" t="s">
        <v>407</v>
      </c>
      <c r="P60" s="1326" t="s">
        <v>855</v>
      </c>
      <c r="Q60" s="1327" t="e">
        <f ca="1">L58</f>
        <v>#DIV/0!</v>
      </c>
      <c r="R60" s="1327" t="s">
        <v>856</v>
      </c>
    </row>
    <row r="61" spans="1:18" s="1292" customFormat="1" ht="13.5" thickBot="1">
      <c r="A61" s="928" t="s">
        <v>781</v>
      </c>
      <c r="B61" s="896" t="s">
        <v>782</v>
      </c>
      <c r="C61" s="21" t="str">
        <f ca="1">IF(项目基本情况!B11="自然人","——",IF(D61="按租金收入计税",ROUND(C49*F61/(1+'数据-取费表'!C42),0),IF(D61="按房产原值计税",ROUND(C57*F61*0.7,0),INDIRECT("'数据-取费表'!Aj"&amp;$G$1))))</f>
        <v>——</v>
      </c>
      <c r="D61" s="1278" t="s">
        <v>3334</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t="str">
        <f>IF(项目基本情况!B11="自然人","——",ROUND(F62*F63,0))</f>
        <v>——</v>
      </c>
      <c r="D62" s="911" t="s">
        <v>786</v>
      </c>
      <c r="E62" s="896" t="s">
        <v>787</v>
      </c>
      <c r="F62" s="317">
        <f t="shared" si="0"/>
        <v>4</v>
      </c>
      <c r="I62" s="1367" t="s">
        <v>858</v>
      </c>
      <c r="J62" s="610" t="s">
        <v>859</v>
      </c>
      <c r="K62" s="610" t="s">
        <v>860</v>
      </c>
      <c r="L62" s="610" t="s">
        <v>861</v>
      </c>
      <c r="M62" s="1368" t="s">
        <v>862</v>
      </c>
      <c r="O62" s="1325" t="s">
        <v>409</v>
      </c>
      <c r="P62" s="1326" t="s">
        <v>863</v>
      </c>
      <c r="Q62" s="1327" t="e">
        <f ca="1">Q56+Q57</f>
        <v>#VALUE!</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0</v>
      </c>
      <c r="D65" s="910" t="s">
        <v>743</v>
      </c>
      <c r="E65" s="896" t="s">
        <v>744</v>
      </c>
      <c r="F65" s="321">
        <f t="shared" ca="1" si="0"/>
        <v>0</v>
      </c>
      <c r="I65" s="1367" t="s">
        <v>867</v>
      </c>
      <c r="J65" s="610">
        <v>40</v>
      </c>
      <c r="K65" s="610">
        <v>30</v>
      </c>
      <c r="L65" s="610">
        <v>50</v>
      </c>
      <c r="M65" s="1369">
        <v>0.02</v>
      </c>
      <c r="O65" s="1325" t="s">
        <v>403</v>
      </c>
      <c r="P65" s="1326" t="s">
        <v>868</v>
      </c>
      <c r="Q65" s="1327" t="e">
        <f ca="1">C40+J29</f>
        <v>#VALUE!</v>
      </c>
      <c r="R65" s="1327" t="s">
        <v>818</v>
      </c>
    </row>
    <row r="66" spans="1:18" s="1292" customFormat="1" ht="16.5" thickBot="1">
      <c r="A66" s="928" t="s">
        <v>793</v>
      </c>
      <c r="B66" s="896" t="s">
        <v>728</v>
      </c>
      <c r="C66" s="21">
        <f ca="1">ROUND(C48*F66,0)</f>
        <v>0</v>
      </c>
      <c r="D66" s="910" t="s">
        <v>794</v>
      </c>
      <c r="E66" s="896" t="s">
        <v>712</v>
      </c>
      <c r="F66" s="304">
        <f t="shared" ca="1" si="0"/>
        <v>0</v>
      </c>
      <c r="O66" s="1325" t="s">
        <v>404</v>
      </c>
      <c r="P66" s="1326" t="s">
        <v>846</v>
      </c>
      <c r="Q66" s="1327" t="e">
        <f ca="1">L60</f>
        <v>#VALUE!</v>
      </c>
      <c r="R66" s="1327" t="s">
        <v>869</v>
      </c>
    </row>
    <row r="67" spans="1:18" s="1292" customFormat="1" ht="16.5" thickBot="1">
      <c r="A67" s="903" t="s">
        <v>394</v>
      </c>
      <c r="B67" s="913" t="s">
        <v>752</v>
      </c>
      <c r="C67" s="308" t="e">
        <f ca="1">C48-C58</f>
        <v>#VALUE!</v>
      </c>
      <c r="D67" s="909" t="s">
        <v>753</v>
      </c>
      <c r="E67" s="914"/>
      <c r="F67" s="915"/>
      <c r="O67" s="1334" t="s">
        <v>405</v>
      </c>
      <c r="P67" s="1326" t="s">
        <v>850</v>
      </c>
      <c r="Q67" s="1370" t="e">
        <f ca="1">L51</f>
        <v>#VALUE!</v>
      </c>
      <c r="R67" s="1327" t="s">
        <v>870</v>
      </c>
    </row>
    <row r="68" spans="1:18" s="1292" customFormat="1" ht="16.5" thickBot="1">
      <c r="A68" s="893" t="s">
        <v>395</v>
      </c>
      <c r="B68" s="894" t="s">
        <v>774</v>
      </c>
      <c r="C68" s="293" t="e">
        <f ca="1">ROUND(C67*(1-((1+F70)/(1+F68))^F69)/(F68-F70),0)</f>
        <v>#VALUE!</v>
      </c>
      <c r="D68" s="911" t="s">
        <v>758</v>
      </c>
      <c r="E68" s="896" t="s">
        <v>759</v>
      </c>
      <c r="F68" s="304">
        <f ca="1">F40</f>
        <v>0</v>
      </c>
      <c r="O68" s="1334" t="s">
        <v>406</v>
      </c>
      <c r="P68" s="1371" t="s">
        <v>871</v>
      </c>
      <c r="Q68" s="1327" t="e">
        <f ca="1">ROUND(Q69-Q70*Q71,0)</f>
        <v>#VALUE!</v>
      </c>
      <c r="R68" s="1327" t="s">
        <v>414</v>
      </c>
    </row>
    <row r="69" spans="1:18" s="1292" customFormat="1" ht="13.5" thickBot="1">
      <c r="A69" s="897"/>
      <c r="B69" s="898"/>
      <c r="C69" s="298"/>
      <c r="D69" s="916" t="s">
        <v>762</v>
      </c>
      <c r="E69" s="896" t="s">
        <v>763</v>
      </c>
      <c r="F69" s="324">
        <f ca="1">F41</f>
        <v>0</v>
      </c>
      <c r="O69" s="1334" t="s">
        <v>411</v>
      </c>
      <c r="P69" s="1371" t="s">
        <v>872</v>
      </c>
      <c r="Q69" s="1327" t="e">
        <f ca="1">C39</f>
        <v>#VALUE!</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ROUND(C68/F71,0)</f>
        <v>#VALUE!</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#VALUE!</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#VALUE!</v>
      </c>
    </row>
    <row r="80" spans="1:18">
      <c r="B80" s="331" t="s">
        <v>800</v>
      </c>
      <c r="C80" s="266" t="e">
        <f ca="1">ROUND(C75/C39,3)</f>
        <v>#VALUE!</v>
      </c>
    </row>
    <row r="81" spans="2:3">
      <c r="B81" s="262" t="s">
        <v>801</v>
      </c>
      <c r="C81" s="230"/>
    </row>
    <row r="82" spans="2:3">
      <c r="B82" s="265" t="s">
        <v>802</v>
      </c>
      <c r="C82" s="267" t="e">
        <f ca="1">1-C83</f>
        <v>#VALUE!</v>
      </c>
    </row>
    <row r="83" spans="2:3">
      <c r="B83" s="265" t="s">
        <v>803</v>
      </c>
      <c r="C83" s="266" t="e">
        <f ca="1">ROUND(C13/C40,3)</f>
        <v>#VALUE!</v>
      </c>
    </row>
  </sheetData>
  <sheetProtection password="CEE9" sheet="1" objects="1" scenarios="1" formatCells="0" formatColumns="0" formatRows="0"/>
  <mergeCells count="3">
    <mergeCell ref="B6:B9"/>
    <mergeCell ref="I6:I9"/>
    <mergeCell ref="K53:L53"/>
  </mergeCells>
  <phoneticPr fontId="139" type="noConversion"/>
  <conditionalFormatting sqref="C11">
    <cfRule type="expression" dxfId="133" priority="3">
      <formula>$F$10="自定义"</formula>
    </cfRule>
  </conditionalFormatting>
  <conditionalFormatting sqref="C54">
    <cfRule type="expression" dxfId="132" priority="1">
      <formula>$F$53="自定义"</formula>
    </cfRule>
  </conditionalFormatting>
  <conditionalFormatting sqref="I55 I60">
    <cfRule type="expression" dxfId="131" priority="5">
      <formula>$J$51&gt;$L$48</formula>
    </cfRule>
  </conditionalFormatting>
  <conditionalFormatting sqref="J11">
    <cfRule type="expression" dxfId="130" priority="2">
      <formula>$M$10="自定义"</formula>
    </cfRule>
  </conditionalFormatting>
  <conditionalFormatting sqref="K55 K60">
    <cfRule type="expression" dxfId="129" priority="4">
      <formula>$L$48&gt;$J$51</formula>
    </cfRule>
  </conditionalFormatting>
  <dataValidations count="9">
    <dataValidation type="list" allowBlank="1" showInputMessage="1" showErrorMessage="1" sqref="L55" xr:uid="{00000000-0002-0000-1500-000000000000}">
      <formula1>"比较法,基准地价,收益还原"</formula1>
    </dataValidation>
    <dataValidation type="list" allowBlank="1" showInputMessage="1" showErrorMessage="1" sqref="J56" xr:uid="{00000000-0002-0000-1500-000001000000}">
      <formula1>估价范围判定</formula1>
    </dataValidation>
    <dataValidation type="list" allowBlank="1" showInputMessage="1" showErrorMessage="1" sqref="J48" xr:uid="{00000000-0002-0000-1500-000002000000}">
      <formula1>"非生产用房,生产用房,受腐蚀的生产用房"</formula1>
    </dataValidation>
    <dataValidation type="list" allowBlank="1" showInputMessage="1" showErrorMessage="1" sqref="J47" xr:uid="{00000000-0002-0000-1500-000003000000}">
      <formula1>"钢,钢混,砖混"</formula1>
    </dataValidation>
    <dataValidation type="list" allowBlank="1" showInputMessage="1" showErrorMessage="1" sqref="C1" xr:uid="{00000000-0002-0000-1500-000004000000}">
      <formula1>项目类型</formula1>
    </dataValidation>
    <dataValidation type="list" allowBlank="1" showInputMessage="1" showErrorMessage="1" sqref="D33 D61" xr:uid="{00000000-0002-0000-1500-000005000000}">
      <formula1>"按租金收入计税,按房产原值计税,按票据"</formula1>
    </dataValidation>
    <dataValidation type="list" allowBlank="1" showInputMessage="1" showErrorMessage="1" sqref="K19" xr:uid="{00000000-0002-0000-1500-000006000000}">
      <formula1>"按租金收入计税,按房产原值计税"</formula1>
    </dataValidation>
    <dataValidation type="list" allowBlank="1" showInputMessage="1" showErrorMessage="1" sqref="F10 F53 M10"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W44"/>
  <sheetViews>
    <sheetView zoomScale="80" zoomScaleNormal="80" workbookViewId="0">
      <selection activeCell="E2" sqref="E2"/>
    </sheetView>
  </sheetViews>
  <sheetFormatPr defaultRowHeight="13.15" customHeight="1"/>
  <cols>
    <col min="1" max="1" width="9.5" style="2594" customWidth="1"/>
    <col min="2" max="2" width="8.875" style="2594"/>
    <col min="3" max="5" width="12.875" style="2594" customWidth="1"/>
    <col min="6" max="6" width="47.5" style="2594" customWidth="1"/>
    <col min="7" max="7" width="13" style="2588" customWidth="1"/>
    <col min="8" max="8" width="8.875" style="2588"/>
    <col min="9" max="9" width="8.875" style="2589"/>
    <col min="10" max="10" width="5.75" style="2748" customWidth="1"/>
    <col min="11" max="11" width="11.75" style="2748" customWidth="1"/>
    <col min="12" max="13" width="10.75" style="2748" customWidth="1"/>
    <col min="14" max="14" width="10" style="2748" customWidth="1"/>
    <col min="15" max="16" width="10.5" style="2748" bestFit="1" customWidth="1"/>
    <col min="17" max="17" width="10" style="2748" customWidth="1"/>
    <col min="18" max="18" width="10.125" style="2748" customWidth="1"/>
    <col min="19" max="19" width="10" style="2748" customWidth="1"/>
    <col min="20" max="20" width="26.125" style="2748" customWidth="1"/>
    <col min="21" max="21" width="8.875" style="2748"/>
    <col min="22" max="22" width="8.875" style="2589"/>
    <col min="23" max="256" width="8.875" style="2594"/>
    <col min="257" max="257" width="9.5" style="2594" customWidth="1"/>
    <col min="258" max="258" width="8.875" style="2594"/>
    <col min="259" max="261" width="12.875" style="2594" customWidth="1"/>
    <col min="262" max="262" width="47.5" style="2594" customWidth="1"/>
    <col min="263" max="263" width="13" style="2594" customWidth="1"/>
    <col min="264" max="265" width="8.875" style="2594"/>
    <col min="266" max="266" width="5.75" style="2594" customWidth="1"/>
    <col min="267" max="267" width="11.75" style="2594" customWidth="1"/>
    <col min="268" max="269" width="10.75" style="2594" customWidth="1"/>
    <col min="270" max="270" width="10" style="2594" customWidth="1"/>
    <col min="271" max="272" width="10.5" style="2594" bestFit="1" customWidth="1"/>
    <col min="273" max="273" width="10" style="2594" customWidth="1"/>
    <col min="274" max="274" width="10.125" style="2594" customWidth="1"/>
    <col min="275" max="275" width="10" style="2594" customWidth="1"/>
    <col min="276" max="276" width="26.125" style="2594" customWidth="1"/>
    <col min="277" max="512" width="8.875" style="2594"/>
    <col min="513" max="513" width="9.5" style="2594" customWidth="1"/>
    <col min="514" max="514" width="8.875" style="2594"/>
    <col min="515" max="517" width="12.875" style="2594" customWidth="1"/>
    <col min="518" max="518" width="47.5" style="2594" customWidth="1"/>
    <col min="519" max="519" width="13" style="2594" customWidth="1"/>
    <col min="520" max="521" width="8.875" style="2594"/>
    <col min="522" max="522" width="5.75" style="2594" customWidth="1"/>
    <col min="523" max="523" width="11.75" style="2594" customWidth="1"/>
    <col min="524" max="525" width="10.75" style="2594" customWidth="1"/>
    <col min="526" max="526" width="10" style="2594" customWidth="1"/>
    <col min="527" max="528" width="10.5" style="2594" bestFit="1" customWidth="1"/>
    <col min="529" max="529" width="10" style="2594" customWidth="1"/>
    <col min="530" max="530" width="10.125" style="2594" customWidth="1"/>
    <col min="531" max="531" width="10" style="2594" customWidth="1"/>
    <col min="532" max="532" width="26.125" style="2594" customWidth="1"/>
    <col min="533" max="768" width="8.875" style="2594"/>
    <col min="769" max="769" width="9.5" style="2594" customWidth="1"/>
    <col min="770" max="770" width="8.875" style="2594"/>
    <col min="771" max="773" width="12.875" style="2594" customWidth="1"/>
    <col min="774" max="774" width="47.5" style="2594" customWidth="1"/>
    <col min="775" max="775" width="13" style="2594" customWidth="1"/>
    <col min="776" max="777" width="8.875" style="2594"/>
    <col min="778" max="778" width="5.75" style="2594" customWidth="1"/>
    <col min="779" max="779" width="11.75" style="2594" customWidth="1"/>
    <col min="780" max="781" width="10.75" style="2594" customWidth="1"/>
    <col min="782" max="782" width="10" style="2594" customWidth="1"/>
    <col min="783" max="784" width="10.5" style="2594" bestFit="1" customWidth="1"/>
    <col min="785" max="785" width="10" style="2594" customWidth="1"/>
    <col min="786" max="786" width="10.125" style="2594" customWidth="1"/>
    <col min="787" max="787" width="10" style="2594" customWidth="1"/>
    <col min="788" max="788" width="26.125" style="2594" customWidth="1"/>
    <col min="789" max="1024" width="8.875" style="2594"/>
    <col min="1025" max="1025" width="9.5" style="2594" customWidth="1"/>
    <col min="1026" max="1026" width="8.875" style="2594"/>
    <col min="1027" max="1029" width="12.875" style="2594" customWidth="1"/>
    <col min="1030" max="1030" width="47.5" style="2594" customWidth="1"/>
    <col min="1031" max="1031" width="13" style="2594" customWidth="1"/>
    <col min="1032" max="1033" width="8.875" style="2594"/>
    <col min="1034" max="1034" width="5.75" style="2594" customWidth="1"/>
    <col min="1035" max="1035" width="11.75" style="2594" customWidth="1"/>
    <col min="1036" max="1037" width="10.75" style="2594" customWidth="1"/>
    <col min="1038" max="1038" width="10" style="2594" customWidth="1"/>
    <col min="1039" max="1040" width="10.5" style="2594" bestFit="1" customWidth="1"/>
    <col min="1041" max="1041" width="10" style="2594" customWidth="1"/>
    <col min="1042" max="1042" width="10.125" style="2594" customWidth="1"/>
    <col min="1043" max="1043" width="10" style="2594" customWidth="1"/>
    <col min="1044" max="1044" width="26.125" style="2594" customWidth="1"/>
    <col min="1045" max="1280" width="8.875" style="2594"/>
    <col min="1281" max="1281" width="9.5" style="2594" customWidth="1"/>
    <col min="1282" max="1282" width="8.875" style="2594"/>
    <col min="1283" max="1285" width="12.875" style="2594" customWidth="1"/>
    <col min="1286" max="1286" width="47.5" style="2594" customWidth="1"/>
    <col min="1287" max="1287" width="13" style="2594" customWidth="1"/>
    <col min="1288" max="1289" width="8.875" style="2594"/>
    <col min="1290" max="1290" width="5.75" style="2594" customWidth="1"/>
    <col min="1291" max="1291" width="11.75" style="2594" customWidth="1"/>
    <col min="1292" max="1293" width="10.75" style="2594" customWidth="1"/>
    <col min="1294" max="1294" width="10" style="2594" customWidth="1"/>
    <col min="1295" max="1296" width="10.5" style="2594" bestFit="1" customWidth="1"/>
    <col min="1297" max="1297" width="10" style="2594" customWidth="1"/>
    <col min="1298" max="1298" width="10.125" style="2594" customWidth="1"/>
    <col min="1299" max="1299" width="10" style="2594" customWidth="1"/>
    <col min="1300" max="1300" width="26.125" style="2594" customWidth="1"/>
    <col min="1301" max="1536" width="8.875" style="2594"/>
    <col min="1537" max="1537" width="9.5" style="2594" customWidth="1"/>
    <col min="1538" max="1538" width="8.875" style="2594"/>
    <col min="1539" max="1541" width="12.875" style="2594" customWidth="1"/>
    <col min="1542" max="1542" width="47.5" style="2594" customWidth="1"/>
    <col min="1543" max="1543" width="13" style="2594" customWidth="1"/>
    <col min="1544" max="1545" width="8.875" style="2594"/>
    <col min="1546" max="1546" width="5.75" style="2594" customWidth="1"/>
    <col min="1547" max="1547" width="11.75" style="2594" customWidth="1"/>
    <col min="1548" max="1549" width="10.75" style="2594" customWidth="1"/>
    <col min="1550" max="1550" width="10" style="2594" customWidth="1"/>
    <col min="1551" max="1552" width="10.5" style="2594" bestFit="1" customWidth="1"/>
    <col min="1553" max="1553" width="10" style="2594" customWidth="1"/>
    <col min="1554" max="1554" width="10.125" style="2594" customWidth="1"/>
    <col min="1555" max="1555" width="10" style="2594" customWidth="1"/>
    <col min="1556" max="1556" width="26.125" style="2594" customWidth="1"/>
    <col min="1557" max="1792" width="8.875" style="2594"/>
    <col min="1793" max="1793" width="9.5" style="2594" customWidth="1"/>
    <col min="1794" max="1794" width="8.875" style="2594"/>
    <col min="1795" max="1797" width="12.875" style="2594" customWidth="1"/>
    <col min="1798" max="1798" width="47.5" style="2594" customWidth="1"/>
    <col min="1799" max="1799" width="13" style="2594" customWidth="1"/>
    <col min="1800" max="1801" width="8.875" style="2594"/>
    <col min="1802" max="1802" width="5.75" style="2594" customWidth="1"/>
    <col min="1803" max="1803" width="11.75" style="2594" customWidth="1"/>
    <col min="1804" max="1805" width="10.75" style="2594" customWidth="1"/>
    <col min="1806" max="1806" width="10" style="2594" customWidth="1"/>
    <col min="1807" max="1808" width="10.5" style="2594" bestFit="1" customWidth="1"/>
    <col min="1809" max="1809" width="10" style="2594" customWidth="1"/>
    <col min="1810" max="1810" width="10.125" style="2594" customWidth="1"/>
    <col min="1811" max="1811" width="10" style="2594" customWidth="1"/>
    <col min="1812" max="1812" width="26.125" style="2594" customWidth="1"/>
    <col min="1813" max="2048" width="8.875" style="2594"/>
    <col min="2049" max="2049" width="9.5" style="2594" customWidth="1"/>
    <col min="2050" max="2050" width="8.875" style="2594"/>
    <col min="2051" max="2053" width="12.875" style="2594" customWidth="1"/>
    <col min="2054" max="2054" width="47.5" style="2594" customWidth="1"/>
    <col min="2055" max="2055" width="13" style="2594" customWidth="1"/>
    <col min="2056" max="2057" width="8.875" style="2594"/>
    <col min="2058" max="2058" width="5.75" style="2594" customWidth="1"/>
    <col min="2059" max="2059" width="11.75" style="2594" customWidth="1"/>
    <col min="2060" max="2061" width="10.75" style="2594" customWidth="1"/>
    <col min="2062" max="2062" width="10" style="2594" customWidth="1"/>
    <col min="2063" max="2064" width="10.5" style="2594" bestFit="1" customWidth="1"/>
    <col min="2065" max="2065" width="10" style="2594" customWidth="1"/>
    <col min="2066" max="2066" width="10.125" style="2594" customWidth="1"/>
    <col min="2067" max="2067" width="10" style="2594" customWidth="1"/>
    <col min="2068" max="2068" width="26.125" style="2594" customWidth="1"/>
    <col min="2069" max="2304" width="8.875" style="2594"/>
    <col min="2305" max="2305" width="9.5" style="2594" customWidth="1"/>
    <col min="2306" max="2306" width="8.875" style="2594"/>
    <col min="2307" max="2309" width="12.875" style="2594" customWidth="1"/>
    <col min="2310" max="2310" width="47.5" style="2594" customWidth="1"/>
    <col min="2311" max="2311" width="13" style="2594" customWidth="1"/>
    <col min="2312" max="2313" width="8.875" style="2594"/>
    <col min="2314" max="2314" width="5.75" style="2594" customWidth="1"/>
    <col min="2315" max="2315" width="11.75" style="2594" customWidth="1"/>
    <col min="2316" max="2317" width="10.75" style="2594" customWidth="1"/>
    <col min="2318" max="2318" width="10" style="2594" customWidth="1"/>
    <col min="2319" max="2320" width="10.5" style="2594" bestFit="1" customWidth="1"/>
    <col min="2321" max="2321" width="10" style="2594" customWidth="1"/>
    <col min="2322" max="2322" width="10.125" style="2594" customWidth="1"/>
    <col min="2323" max="2323" width="10" style="2594" customWidth="1"/>
    <col min="2324" max="2324" width="26.125" style="2594" customWidth="1"/>
    <col min="2325" max="2560" width="8.875" style="2594"/>
    <col min="2561" max="2561" width="9.5" style="2594" customWidth="1"/>
    <col min="2562" max="2562" width="8.875" style="2594"/>
    <col min="2563" max="2565" width="12.875" style="2594" customWidth="1"/>
    <col min="2566" max="2566" width="47.5" style="2594" customWidth="1"/>
    <col min="2567" max="2567" width="13" style="2594" customWidth="1"/>
    <col min="2568" max="2569" width="8.875" style="2594"/>
    <col min="2570" max="2570" width="5.75" style="2594" customWidth="1"/>
    <col min="2571" max="2571" width="11.75" style="2594" customWidth="1"/>
    <col min="2572" max="2573" width="10.75" style="2594" customWidth="1"/>
    <col min="2574" max="2574" width="10" style="2594" customWidth="1"/>
    <col min="2575" max="2576" width="10.5" style="2594" bestFit="1" customWidth="1"/>
    <col min="2577" max="2577" width="10" style="2594" customWidth="1"/>
    <col min="2578" max="2578" width="10.125" style="2594" customWidth="1"/>
    <col min="2579" max="2579" width="10" style="2594" customWidth="1"/>
    <col min="2580" max="2580" width="26.125" style="2594" customWidth="1"/>
    <col min="2581" max="2816" width="8.875" style="2594"/>
    <col min="2817" max="2817" width="9.5" style="2594" customWidth="1"/>
    <col min="2818" max="2818" width="8.875" style="2594"/>
    <col min="2819" max="2821" width="12.875" style="2594" customWidth="1"/>
    <col min="2822" max="2822" width="47.5" style="2594" customWidth="1"/>
    <col min="2823" max="2823" width="13" style="2594" customWidth="1"/>
    <col min="2824" max="2825" width="8.875" style="2594"/>
    <col min="2826" max="2826" width="5.75" style="2594" customWidth="1"/>
    <col min="2827" max="2827" width="11.75" style="2594" customWidth="1"/>
    <col min="2828" max="2829" width="10.75" style="2594" customWidth="1"/>
    <col min="2830" max="2830" width="10" style="2594" customWidth="1"/>
    <col min="2831" max="2832" width="10.5" style="2594" bestFit="1" customWidth="1"/>
    <col min="2833" max="2833" width="10" style="2594" customWidth="1"/>
    <col min="2834" max="2834" width="10.125" style="2594" customWidth="1"/>
    <col min="2835" max="2835" width="10" style="2594" customWidth="1"/>
    <col min="2836" max="2836" width="26.125" style="2594" customWidth="1"/>
    <col min="2837" max="3072" width="8.875" style="2594"/>
    <col min="3073" max="3073" width="9.5" style="2594" customWidth="1"/>
    <col min="3074" max="3074" width="8.875" style="2594"/>
    <col min="3075" max="3077" width="12.875" style="2594" customWidth="1"/>
    <col min="3078" max="3078" width="47.5" style="2594" customWidth="1"/>
    <col min="3079" max="3079" width="13" style="2594" customWidth="1"/>
    <col min="3080" max="3081" width="8.875" style="2594"/>
    <col min="3082" max="3082" width="5.75" style="2594" customWidth="1"/>
    <col min="3083" max="3083" width="11.75" style="2594" customWidth="1"/>
    <col min="3084" max="3085" width="10.75" style="2594" customWidth="1"/>
    <col min="3086" max="3086" width="10" style="2594" customWidth="1"/>
    <col min="3087" max="3088" width="10.5" style="2594" bestFit="1" customWidth="1"/>
    <col min="3089" max="3089" width="10" style="2594" customWidth="1"/>
    <col min="3090" max="3090" width="10.125" style="2594" customWidth="1"/>
    <col min="3091" max="3091" width="10" style="2594" customWidth="1"/>
    <col min="3092" max="3092" width="26.125" style="2594" customWidth="1"/>
    <col min="3093" max="3328" width="8.875" style="2594"/>
    <col min="3329" max="3329" width="9.5" style="2594" customWidth="1"/>
    <col min="3330" max="3330" width="8.875" style="2594"/>
    <col min="3331" max="3333" width="12.875" style="2594" customWidth="1"/>
    <col min="3334" max="3334" width="47.5" style="2594" customWidth="1"/>
    <col min="3335" max="3335" width="13" style="2594" customWidth="1"/>
    <col min="3336" max="3337" width="8.875" style="2594"/>
    <col min="3338" max="3338" width="5.75" style="2594" customWidth="1"/>
    <col min="3339" max="3339" width="11.75" style="2594" customWidth="1"/>
    <col min="3340" max="3341" width="10.75" style="2594" customWidth="1"/>
    <col min="3342" max="3342" width="10" style="2594" customWidth="1"/>
    <col min="3343" max="3344" width="10.5" style="2594" bestFit="1" customWidth="1"/>
    <col min="3345" max="3345" width="10" style="2594" customWidth="1"/>
    <col min="3346" max="3346" width="10.125" style="2594" customWidth="1"/>
    <col min="3347" max="3347" width="10" style="2594" customWidth="1"/>
    <col min="3348" max="3348" width="26.125" style="2594" customWidth="1"/>
    <col min="3349" max="3584" width="8.875" style="2594"/>
    <col min="3585" max="3585" width="9.5" style="2594" customWidth="1"/>
    <col min="3586" max="3586" width="8.875" style="2594"/>
    <col min="3587" max="3589" width="12.875" style="2594" customWidth="1"/>
    <col min="3590" max="3590" width="47.5" style="2594" customWidth="1"/>
    <col min="3591" max="3591" width="13" style="2594" customWidth="1"/>
    <col min="3592" max="3593" width="8.875" style="2594"/>
    <col min="3594" max="3594" width="5.75" style="2594" customWidth="1"/>
    <col min="3595" max="3595" width="11.75" style="2594" customWidth="1"/>
    <col min="3596" max="3597" width="10.75" style="2594" customWidth="1"/>
    <col min="3598" max="3598" width="10" style="2594" customWidth="1"/>
    <col min="3599" max="3600" width="10.5" style="2594" bestFit="1" customWidth="1"/>
    <col min="3601" max="3601" width="10" style="2594" customWidth="1"/>
    <col min="3602" max="3602" width="10.125" style="2594" customWidth="1"/>
    <col min="3603" max="3603" width="10" style="2594" customWidth="1"/>
    <col min="3604" max="3604" width="26.125" style="2594" customWidth="1"/>
    <col min="3605" max="3840" width="8.875" style="2594"/>
    <col min="3841" max="3841" width="9.5" style="2594" customWidth="1"/>
    <col min="3842" max="3842" width="8.875" style="2594"/>
    <col min="3843" max="3845" width="12.875" style="2594" customWidth="1"/>
    <col min="3846" max="3846" width="47.5" style="2594" customWidth="1"/>
    <col min="3847" max="3847" width="13" style="2594" customWidth="1"/>
    <col min="3848" max="3849" width="8.875" style="2594"/>
    <col min="3850" max="3850" width="5.75" style="2594" customWidth="1"/>
    <col min="3851" max="3851" width="11.75" style="2594" customWidth="1"/>
    <col min="3852" max="3853" width="10.75" style="2594" customWidth="1"/>
    <col min="3854" max="3854" width="10" style="2594" customWidth="1"/>
    <col min="3855" max="3856" width="10.5" style="2594" bestFit="1" customWidth="1"/>
    <col min="3857" max="3857" width="10" style="2594" customWidth="1"/>
    <col min="3858" max="3858" width="10.125" style="2594" customWidth="1"/>
    <col min="3859" max="3859" width="10" style="2594" customWidth="1"/>
    <col min="3860" max="3860" width="26.125" style="2594" customWidth="1"/>
    <col min="3861" max="4096" width="8.875" style="2594"/>
    <col min="4097" max="4097" width="9.5" style="2594" customWidth="1"/>
    <col min="4098" max="4098" width="8.875" style="2594"/>
    <col min="4099" max="4101" width="12.875" style="2594" customWidth="1"/>
    <col min="4102" max="4102" width="47.5" style="2594" customWidth="1"/>
    <col min="4103" max="4103" width="13" style="2594" customWidth="1"/>
    <col min="4104" max="4105" width="8.875" style="2594"/>
    <col min="4106" max="4106" width="5.75" style="2594" customWidth="1"/>
    <col min="4107" max="4107" width="11.75" style="2594" customWidth="1"/>
    <col min="4108" max="4109" width="10.75" style="2594" customWidth="1"/>
    <col min="4110" max="4110" width="10" style="2594" customWidth="1"/>
    <col min="4111" max="4112" width="10.5" style="2594" bestFit="1" customWidth="1"/>
    <col min="4113" max="4113" width="10" style="2594" customWidth="1"/>
    <col min="4114" max="4114" width="10.125" style="2594" customWidth="1"/>
    <col min="4115" max="4115" width="10" style="2594" customWidth="1"/>
    <col min="4116" max="4116" width="26.125" style="2594" customWidth="1"/>
    <col min="4117" max="4352" width="8.875" style="2594"/>
    <col min="4353" max="4353" width="9.5" style="2594" customWidth="1"/>
    <col min="4354" max="4354" width="8.875" style="2594"/>
    <col min="4355" max="4357" width="12.875" style="2594" customWidth="1"/>
    <col min="4358" max="4358" width="47.5" style="2594" customWidth="1"/>
    <col min="4359" max="4359" width="13" style="2594" customWidth="1"/>
    <col min="4360" max="4361" width="8.875" style="2594"/>
    <col min="4362" max="4362" width="5.75" style="2594" customWidth="1"/>
    <col min="4363" max="4363" width="11.75" style="2594" customWidth="1"/>
    <col min="4364" max="4365" width="10.75" style="2594" customWidth="1"/>
    <col min="4366" max="4366" width="10" style="2594" customWidth="1"/>
    <col min="4367" max="4368" width="10.5" style="2594" bestFit="1" customWidth="1"/>
    <col min="4369" max="4369" width="10" style="2594" customWidth="1"/>
    <col min="4370" max="4370" width="10.125" style="2594" customWidth="1"/>
    <col min="4371" max="4371" width="10" style="2594" customWidth="1"/>
    <col min="4372" max="4372" width="26.125" style="2594" customWidth="1"/>
    <col min="4373" max="4608" width="8.875" style="2594"/>
    <col min="4609" max="4609" width="9.5" style="2594" customWidth="1"/>
    <col min="4610" max="4610" width="8.875" style="2594"/>
    <col min="4611" max="4613" width="12.875" style="2594" customWidth="1"/>
    <col min="4614" max="4614" width="47.5" style="2594" customWidth="1"/>
    <col min="4615" max="4615" width="13" style="2594" customWidth="1"/>
    <col min="4616" max="4617" width="8.875" style="2594"/>
    <col min="4618" max="4618" width="5.75" style="2594" customWidth="1"/>
    <col min="4619" max="4619" width="11.75" style="2594" customWidth="1"/>
    <col min="4620" max="4621" width="10.75" style="2594" customWidth="1"/>
    <col min="4622" max="4622" width="10" style="2594" customWidth="1"/>
    <col min="4623" max="4624" width="10.5" style="2594" bestFit="1" customWidth="1"/>
    <col min="4625" max="4625" width="10" style="2594" customWidth="1"/>
    <col min="4626" max="4626" width="10.125" style="2594" customWidth="1"/>
    <col min="4627" max="4627" width="10" style="2594" customWidth="1"/>
    <col min="4628" max="4628" width="26.125" style="2594" customWidth="1"/>
    <col min="4629" max="4864" width="8.875" style="2594"/>
    <col min="4865" max="4865" width="9.5" style="2594" customWidth="1"/>
    <col min="4866" max="4866" width="8.875" style="2594"/>
    <col min="4867" max="4869" width="12.875" style="2594" customWidth="1"/>
    <col min="4870" max="4870" width="47.5" style="2594" customWidth="1"/>
    <col min="4871" max="4871" width="13" style="2594" customWidth="1"/>
    <col min="4872" max="4873" width="8.875" style="2594"/>
    <col min="4874" max="4874" width="5.75" style="2594" customWidth="1"/>
    <col min="4875" max="4875" width="11.75" style="2594" customWidth="1"/>
    <col min="4876" max="4877" width="10.75" style="2594" customWidth="1"/>
    <col min="4878" max="4878" width="10" style="2594" customWidth="1"/>
    <col min="4879" max="4880" width="10.5" style="2594" bestFit="1" customWidth="1"/>
    <col min="4881" max="4881" width="10" style="2594" customWidth="1"/>
    <col min="4882" max="4882" width="10.125" style="2594" customWidth="1"/>
    <col min="4883" max="4883" width="10" style="2594" customWidth="1"/>
    <col min="4884" max="4884" width="26.125" style="2594" customWidth="1"/>
    <col min="4885" max="5120" width="8.875" style="2594"/>
    <col min="5121" max="5121" width="9.5" style="2594" customWidth="1"/>
    <col min="5122" max="5122" width="8.875" style="2594"/>
    <col min="5123" max="5125" width="12.875" style="2594" customWidth="1"/>
    <col min="5126" max="5126" width="47.5" style="2594" customWidth="1"/>
    <col min="5127" max="5127" width="13" style="2594" customWidth="1"/>
    <col min="5128" max="5129" width="8.875" style="2594"/>
    <col min="5130" max="5130" width="5.75" style="2594" customWidth="1"/>
    <col min="5131" max="5131" width="11.75" style="2594" customWidth="1"/>
    <col min="5132" max="5133" width="10.75" style="2594" customWidth="1"/>
    <col min="5134" max="5134" width="10" style="2594" customWidth="1"/>
    <col min="5135" max="5136" width="10.5" style="2594" bestFit="1" customWidth="1"/>
    <col min="5137" max="5137" width="10" style="2594" customWidth="1"/>
    <col min="5138" max="5138" width="10.125" style="2594" customWidth="1"/>
    <col min="5139" max="5139" width="10" style="2594" customWidth="1"/>
    <col min="5140" max="5140" width="26.125" style="2594" customWidth="1"/>
    <col min="5141" max="5376" width="8.875" style="2594"/>
    <col min="5377" max="5377" width="9.5" style="2594" customWidth="1"/>
    <col min="5378" max="5378" width="8.875" style="2594"/>
    <col min="5379" max="5381" width="12.875" style="2594" customWidth="1"/>
    <col min="5382" max="5382" width="47.5" style="2594" customWidth="1"/>
    <col min="5383" max="5383" width="13" style="2594" customWidth="1"/>
    <col min="5384" max="5385" width="8.875" style="2594"/>
    <col min="5386" max="5386" width="5.75" style="2594" customWidth="1"/>
    <col min="5387" max="5387" width="11.75" style="2594" customWidth="1"/>
    <col min="5388" max="5389" width="10.75" style="2594" customWidth="1"/>
    <col min="5390" max="5390" width="10" style="2594" customWidth="1"/>
    <col min="5391" max="5392" width="10.5" style="2594" bestFit="1" customWidth="1"/>
    <col min="5393" max="5393" width="10" style="2594" customWidth="1"/>
    <col min="5394" max="5394" width="10.125" style="2594" customWidth="1"/>
    <col min="5395" max="5395" width="10" style="2594" customWidth="1"/>
    <col min="5396" max="5396" width="26.125" style="2594" customWidth="1"/>
    <col min="5397" max="5632" width="8.875" style="2594"/>
    <col min="5633" max="5633" width="9.5" style="2594" customWidth="1"/>
    <col min="5634" max="5634" width="8.875" style="2594"/>
    <col min="5635" max="5637" width="12.875" style="2594" customWidth="1"/>
    <col min="5638" max="5638" width="47.5" style="2594" customWidth="1"/>
    <col min="5639" max="5639" width="13" style="2594" customWidth="1"/>
    <col min="5640" max="5641" width="8.875" style="2594"/>
    <col min="5642" max="5642" width="5.75" style="2594" customWidth="1"/>
    <col min="5643" max="5643" width="11.75" style="2594" customWidth="1"/>
    <col min="5644" max="5645" width="10.75" style="2594" customWidth="1"/>
    <col min="5646" max="5646" width="10" style="2594" customWidth="1"/>
    <col min="5647" max="5648" width="10.5" style="2594" bestFit="1" customWidth="1"/>
    <col min="5649" max="5649" width="10" style="2594" customWidth="1"/>
    <col min="5650" max="5650" width="10.125" style="2594" customWidth="1"/>
    <col min="5651" max="5651" width="10" style="2594" customWidth="1"/>
    <col min="5652" max="5652" width="26.125" style="2594" customWidth="1"/>
    <col min="5653" max="5888" width="8.875" style="2594"/>
    <col min="5889" max="5889" width="9.5" style="2594" customWidth="1"/>
    <col min="5890" max="5890" width="8.875" style="2594"/>
    <col min="5891" max="5893" width="12.875" style="2594" customWidth="1"/>
    <col min="5894" max="5894" width="47.5" style="2594" customWidth="1"/>
    <col min="5895" max="5895" width="13" style="2594" customWidth="1"/>
    <col min="5896" max="5897" width="8.875" style="2594"/>
    <col min="5898" max="5898" width="5.75" style="2594" customWidth="1"/>
    <col min="5899" max="5899" width="11.75" style="2594" customWidth="1"/>
    <col min="5900" max="5901" width="10.75" style="2594" customWidth="1"/>
    <col min="5902" max="5902" width="10" style="2594" customWidth="1"/>
    <col min="5903" max="5904" width="10.5" style="2594" bestFit="1" customWidth="1"/>
    <col min="5905" max="5905" width="10" style="2594" customWidth="1"/>
    <col min="5906" max="5906" width="10.125" style="2594" customWidth="1"/>
    <col min="5907" max="5907" width="10" style="2594" customWidth="1"/>
    <col min="5908" max="5908" width="26.125" style="2594" customWidth="1"/>
    <col min="5909" max="6144" width="8.875" style="2594"/>
    <col min="6145" max="6145" width="9.5" style="2594" customWidth="1"/>
    <col min="6146" max="6146" width="8.875" style="2594"/>
    <col min="6147" max="6149" width="12.875" style="2594" customWidth="1"/>
    <col min="6150" max="6150" width="47.5" style="2594" customWidth="1"/>
    <col min="6151" max="6151" width="13" style="2594" customWidth="1"/>
    <col min="6152" max="6153" width="8.875" style="2594"/>
    <col min="6154" max="6154" width="5.75" style="2594" customWidth="1"/>
    <col min="6155" max="6155" width="11.75" style="2594" customWidth="1"/>
    <col min="6156" max="6157" width="10.75" style="2594" customWidth="1"/>
    <col min="6158" max="6158" width="10" style="2594" customWidth="1"/>
    <col min="6159" max="6160" width="10.5" style="2594" bestFit="1" customWidth="1"/>
    <col min="6161" max="6161" width="10" style="2594" customWidth="1"/>
    <col min="6162" max="6162" width="10.125" style="2594" customWidth="1"/>
    <col min="6163" max="6163" width="10" style="2594" customWidth="1"/>
    <col min="6164" max="6164" width="26.125" style="2594" customWidth="1"/>
    <col min="6165" max="6400" width="8.875" style="2594"/>
    <col min="6401" max="6401" width="9.5" style="2594" customWidth="1"/>
    <col min="6402" max="6402" width="8.875" style="2594"/>
    <col min="6403" max="6405" width="12.875" style="2594" customWidth="1"/>
    <col min="6406" max="6406" width="47.5" style="2594" customWidth="1"/>
    <col min="6407" max="6407" width="13" style="2594" customWidth="1"/>
    <col min="6408" max="6409" width="8.875" style="2594"/>
    <col min="6410" max="6410" width="5.75" style="2594" customWidth="1"/>
    <col min="6411" max="6411" width="11.75" style="2594" customWidth="1"/>
    <col min="6412" max="6413" width="10.75" style="2594" customWidth="1"/>
    <col min="6414" max="6414" width="10" style="2594" customWidth="1"/>
    <col min="6415" max="6416" width="10.5" style="2594" bestFit="1" customWidth="1"/>
    <col min="6417" max="6417" width="10" style="2594" customWidth="1"/>
    <col min="6418" max="6418" width="10.125" style="2594" customWidth="1"/>
    <col min="6419" max="6419" width="10" style="2594" customWidth="1"/>
    <col min="6420" max="6420" width="26.125" style="2594" customWidth="1"/>
    <col min="6421" max="6656" width="8.875" style="2594"/>
    <col min="6657" max="6657" width="9.5" style="2594" customWidth="1"/>
    <col min="6658" max="6658" width="8.875" style="2594"/>
    <col min="6659" max="6661" width="12.875" style="2594" customWidth="1"/>
    <col min="6662" max="6662" width="47.5" style="2594" customWidth="1"/>
    <col min="6663" max="6663" width="13" style="2594" customWidth="1"/>
    <col min="6664" max="6665" width="8.875" style="2594"/>
    <col min="6666" max="6666" width="5.75" style="2594" customWidth="1"/>
    <col min="6667" max="6667" width="11.75" style="2594" customWidth="1"/>
    <col min="6668" max="6669" width="10.75" style="2594" customWidth="1"/>
    <col min="6670" max="6670" width="10" style="2594" customWidth="1"/>
    <col min="6671" max="6672" width="10.5" style="2594" bestFit="1" customWidth="1"/>
    <col min="6673" max="6673" width="10" style="2594" customWidth="1"/>
    <col min="6674" max="6674" width="10.125" style="2594" customWidth="1"/>
    <col min="6675" max="6675" width="10" style="2594" customWidth="1"/>
    <col min="6676" max="6676" width="26.125" style="2594" customWidth="1"/>
    <col min="6677" max="6912" width="8.875" style="2594"/>
    <col min="6913" max="6913" width="9.5" style="2594" customWidth="1"/>
    <col min="6914" max="6914" width="8.875" style="2594"/>
    <col min="6915" max="6917" width="12.875" style="2594" customWidth="1"/>
    <col min="6918" max="6918" width="47.5" style="2594" customWidth="1"/>
    <col min="6919" max="6919" width="13" style="2594" customWidth="1"/>
    <col min="6920" max="6921" width="8.875" style="2594"/>
    <col min="6922" max="6922" width="5.75" style="2594" customWidth="1"/>
    <col min="6923" max="6923" width="11.75" style="2594" customWidth="1"/>
    <col min="6924" max="6925" width="10.75" style="2594" customWidth="1"/>
    <col min="6926" max="6926" width="10" style="2594" customWidth="1"/>
    <col min="6927" max="6928" width="10.5" style="2594" bestFit="1" customWidth="1"/>
    <col min="6929" max="6929" width="10" style="2594" customWidth="1"/>
    <col min="6930" max="6930" width="10.125" style="2594" customWidth="1"/>
    <col min="6931" max="6931" width="10" style="2594" customWidth="1"/>
    <col min="6932" max="6932" width="26.125" style="2594" customWidth="1"/>
    <col min="6933" max="7168" width="8.875" style="2594"/>
    <col min="7169" max="7169" width="9.5" style="2594" customWidth="1"/>
    <col min="7170" max="7170" width="8.875" style="2594"/>
    <col min="7171" max="7173" width="12.875" style="2594" customWidth="1"/>
    <col min="7174" max="7174" width="47.5" style="2594" customWidth="1"/>
    <col min="7175" max="7175" width="13" style="2594" customWidth="1"/>
    <col min="7176" max="7177" width="8.875" style="2594"/>
    <col min="7178" max="7178" width="5.75" style="2594" customWidth="1"/>
    <col min="7179" max="7179" width="11.75" style="2594" customWidth="1"/>
    <col min="7180" max="7181" width="10.75" style="2594" customWidth="1"/>
    <col min="7182" max="7182" width="10" style="2594" customWidth="1"/>
    <col min="7183" max="7184" width="10.5" style="2594" bestFit="1" customWidth="1"/>
    <col min="7185" max="7185" width="10" style="2594" customWidth="1"/>
    <col min="7186" max="7186" width="10.125" style="2594" customWidth="1"/>
    <col min="7187" max="7187" width="10" style="2594" customWidth="1"/>
    <col min="7188" max="7188" width="26.125" style="2594" customWidth="1"/>
    <col min="7189" max="7424" width="8.875" style="2594"/>
    <col min="7425" max="7425" width="9.5" style="2594" customWidth="1"/>
    <col min="7426" max="7426" width="8.875" style="2594"/>
    <col min="7427" max="7429" width="12.875" style="2594" customWidth="1"/>
    <col min="7430" max="7430" width="47.5" style="2594" customWidth="1"/>
    <col min="7431" max="7431" width="13" style="2594" customWidth="1"/>
    <col min="7432" max="7433" width="8.875" style="2594"/>
    <col min="7434" max="7434" width="5.75" style="2594" customWidth="1"/>
    <col min="7435" max="7435" width="11.75" style="2594" customWidth="1"/>
    <col min="7436" max="7437" width="10.75" style="2594" customWidth="1"/>
    <col min="7438" max="7438" width="10" style="2594" customWidth="1"/>
    <col min="7439" max="7440" width="10.5" style="2594" bestFit="1" customWidth="1"/>
    <col min="7441" max="7441" width="10" style="2594" customWidth="1"/>
    <col min="7442" max="7442" width="10.125" style="2594" customWidth="1"/>
    <col min="7443" max="7443" width="10" style="2594" customWidth="1"/>
    <col min="7444" max="7444" width="26.125" style="2594" customWidth="1"/>
    <col min="7445" max="7680" width="8.875" style="2594"/>
    <col min="7681" max="7681" width="9.5" style="2594" customWidth="1"/>
    <col min="7682" max="7682" width="8.875" style="2594"/>
    <col min="7683" max="7685" width="12.875" style="2594" customWidth="1"/>
    <col min="7686" max="7686" width="47.5" style="2594" customWidth="1"/>
    <col min="7687" max="7687" width="13" style="2594" customWidth="1"/>
    <col min="7688" max="7689" width="8.875" style="2594"/>
    <col min="7690" max="7690" width="5.75" style="2594" customWidth="1"/>
    <col min="7691" max="7691" width="11.75" style="2594" customWidth="1"/>
    <col min="7692" max="7693" width="10.75" style="2594" customWidth="1"/>
    <col min="7694" max="7694" width="10" style="2594" customWidth="1"/>
    <col min="7695" max="7696" width="10.5" style="2594" bestFit="1" customWidth="1"/>
    <col min="7697" max="7697" width="10" style="2594" customWidth="1"/>
    <col min="7698" max="7698" width="10.125" style="2594" customWidth="1"/>
    <col min="7699" max="7699" width="10" style="2594" customWidth="1"/>
    <col min="7700" max="7700" width="26.125" style="2594" customWidth="1"/>
    <col min="7701" max="7936" width="8.875" style="2594"/>
    <col min="7937" max="7937" width="9.5" style="2594" customWidth="1"/>
    <col min="7938" max="7938" width="8.875" style="2594"/>
    <col min="7939" max="7941" width="12.875" style="2594" customWidth="1"/>
    <col min="7942" max="7942" width="47.5" style="2594" customWidth="1"/>
    <col min="7943" max="7943" width="13" style="2594" customWidth="1"/>
    <col min="7944" max="7945" width="8.875" style="2594"/>
    <col min="7946" max="7946" width="5.75" style="2594" customWidth="1"/>
    <col min="7947" max="7947" width="11.75" style="2594" customWidth="1"/>
    <col min="7948" max="7949" width="10.75" style="2594" customWidth="1"/>
    <col min="7950" max="7950" width="10" style="2594" customWidth="1"/>
    <col min="7951" max="7952" width="10.5" style="2594" bestFit="1" customWidth="1"/>
    <col min="7953" max="7953" width="10" style="2594" customWidth="1"/>
    <col min="7954" max="7954" width="10.125" style="2594" customWidth="1"/>
    <col min="7955" max="7955" width="10" style="2594" customWidth="1"/>
    <col min="7956" max="7956" width="26.125" style="2594" customWidth="1"/>
    <col min="7957" max="8192" width="8.875" style="2594"/>
    <col min="8193" max="8193" width="9.5" style="2594" customWidth="1"/>
    <col min="8194" max="8194" width="8.875" style="2594"/>
    <col min="8195" max="8197" width="12.875" style="2594" customWidth="1"/>
    <col min="8198" max="8198" width="47.5" style="2594" customWidth="1"/>
    <col min="8199" max="8199" width="13" style="2594" customWidth="1"/>
    <col min="8200" max="8201" width="8.875" style="2594"/>
    <col min="8202" max="8202" width="5.75" style="2594" customWidth="1"/>
    <col min="8203" max="8203" width="11.75" style="2594" customWidth="1"/>
    <col min="8204" max="8205" width="10.75" style="2594" customWidth="1"/>
    <col min="8206" max="8206" width="10" style="2594" customWidth="1"/>
    <col min="8207" max="8208" width="10.5" style="2594" bestFit="1" customWidth="1"/>
    <col min="8209" max="8209" width="10" style="2594" customWidth="1"/>
    <col min="8210" max="8210" width="10.125" style="2594" customWidth="1"/>
    <col min="8211" max="8211" width="10" style="2594" customWidth="1"/>
    <col min="8212" max="8212" width="26.125" style="2594" customWidth="1"/>
    <col min="8213" max="8448" width="8.875" style="2594"/>
    <col min="8449" max="8449" width="9.5" style="2594" customWidth="1"/>
    <col min="8450" max="8450" width="8.875" style="2594"/>
    <col min="8451" max="8453" width="12.875" style="2594" customWidth="1"/>
    <col min="8454" max="8454" width="47.5" style="2594" customWidth="1"/>
    <col min="8455" max="8455" width="13" style="2594" customWidth="1"/>
    <col min="8456" max="8457" width="8.875" style="2594"/>
    <col min="8458" max="8458" width="5.75" style="2594" customWidth="1"/>
    <col min="8459" max="8459" width="11.75" style="2594" customWidth="1"/>
    <col min="8460" max="8461" width="10.75" style="2594" customWidth="1"/>
    <col min="8462" max="8462" width="10" style="2594" customWidth="1"/>
    <col min="8463" max="8464" width="10.5" style="2594" bestFit="1" customWidth="1"/>
    <col min="8465" max="8465" width="10" style="2594" customWidth="1"/>
    <col min="8466" max="8466" width="10.125" style="2594" customWidth="1"/>
    <col min="8467" max="8467" width="10" style="2594" customWidth="1"/>
    <col min="8468" max="8468" width="26.125" style="2594" customWidth="1"/>
    <col min="8469" max="8704" width="8.875" style="2594"/>
    <col min="8705" max="8705" width="9.5" style="2594" customWidth="1"/>
    <col min="8706" max="8706" width="8.875" style="2594"/>
    <col min="8707" max="8709" width="12.875" style="2594" customWidth="1"/>
    <col min="8710" max="8710" width="47.5" style="2594" customWidth="1"/>
    <col min="8711" max="8711" width="13" style="2594" customWidth="1"/>
    <col min="8712" max="8713" width="8.875" style="2594"/>
    <col min="8714" max="8714" width="5.75" style="2594" customWidth="1"/>
    <col min="8715" max="8715" width="11.75" style="2594" customWidth="1"/>
    <col min="8716" max="8717" width="10.75" style="2594" customWidth="1"/>
    <col min="8718" max="8718" width="10" style="2594" customWidth="1"/>
    <col min="8719" max="8720" width="10.5" style="2594" bestFit="1" customWidth="1"/>
    <col min="8721" max="8721" width="10" style="2594" customWidth="1"/>
    <col min="8722" max="8722" width="10.125" style="2594" customWidth="1"/>
    <col min="8723" max="8723" width="10" style="2594" customWidth="1"/>
    <col min="8724" max="8724" width="26.125" style="2594" customWidth="1"/>
    <col min="8725" max="8960" width="8.875" style="2594"/>
    <col min="8961" max="8961" width="9.5" style="2594" customWidth="1"/>
    <col min="8962" max="8962" width="8.875" style="2594"/>
    <col min="8963" max="8965" width="12.875" style="2594" customWidth="1"/>
    <col min="8966" max="8966" width="47.5" style="2594" customWidth="1"/>
    <col min="8967" max="8967" width="13" style="2594" customWidth="1"/>
    <col min="8968" max="8969" width="8.875" style="2594"/>
    <col min="8970" max="8970" width="5.75" style="2594" customWidth="1"/>
    <col min="8971" max="8971" width="11.75" style="2594" customWidth="1"/>
    <col min="8972" max="8973" width="10.75" style="2594" customWidth="1"/>
    <col min="8974" max="8974" width="10" style="2594" customWidth="1"/>
    <col min="8975" max="8976" width="10.5" style="2594" bestFit="1" customWidth="1"/>
    <col min="8977" max="8977" width="10" style="2594" customWidth="1"/>
    <col min="8978" max="8978" width="10.125" style="2594" customWidth="1"/>
    <col min="8979" max="8979" width="10" style="2594" customWidth="1"/>
    <col min="8980" max="8980" width="26.125" style="2594" customWidth="1"/>
    <col min="8981" max="9216" width="8.875" style="2594"/>
    <col min="9217" max="9217" width="9.5" style="2594" customWidth="1"/>
    <col min="9218" max="9218" width="8.875" style="2594"/>
    <col min="9219" max="9221" width="12.875" style="2594" customWidth="1"/>
    <col min="9222" max="9222" width="47.5" style="2594" customWidth="1"/>
    <col min="9223" max="9223" width="13" style="2594" customWidth="1"/>
    <col min="9224" max="9225" width="8.875" style="2594"/>
    <col min="9226" max="9226" width="5.75" style="2594" customWidth="1"/>
    <col min="9227" max="9227" width="11.75" style="2594" customWidth="1"/>
    <col min="9228" max="9229" width="10.75" style="2594" customWidth="1"/>
    <col min="9230" max="9230" width="10" style="2594" customWidth="1"/>
    <col min="9231" max="9232" width="10.5" style="2594" bestFit="1" customWidth="1"/>
    <col min="9233" max="9233" width="10" style="2594" customWidth="1"/>
    <col min="9234" max="9234" width="10.125" style="2594" customWidth="1"/>
    <col min="9235" max="9235" width="10" style="2594" customWidth="1"/>
    <col min="9236" max="9236" width="26.125" style="2594" customWidth="1"/>
    <col min="9237" max="9472" width="8.875" style="2594"/>
    <col min="9473" max="9473" width="9.5" style="2594" customWidth="1"/>
    <col min="9474" max="9474" width="8.875" style="2594"/>
    <col min="9475" max="9477" width="12.875" style="2594" customWidth="1"/>
    <col min="9478" max="9478" width="47.5" style="2594" customWidth="1"/>
    <col min="9479" max="9479" width="13" style="2594" customWidth="1"/>
    <col min="9480" max="9481" width="8.875" style="2594"/>
    <col min="9482" max="9482" width="5.75" style="2594" customWidth="1"/>
    <col min="9483" max="9483" width="11.75" style="2594" customWidth="1"/>
    <col min="9484" max="9485" width="10.75" style="2594" customWidth="1"/>
    <col min="9486" max="9486" width="10" style="2594" customWidth="1"/>
    <col min="9487" max="9488" width="10.5" style="2594" bestFit="1" customWidth="1"/>
    <col min="9489" max="9489" width="10" style="2594" customWidth="1"/>
    <col min="9490" max="9490" width="10.125" style="2594" customWidth="1"/>
    <col min="9491" max="9491" width="10" style="2594" customWidth="1"/>
    <col min="9492" max="9492" width="26.125" style="2594" customWidth="1"/>
    <col min="9493" max="9728" width="8.875" style="2594"/>
    <col min="9729" max="9729" width="9.5" style="2594" customWidth="1"/>
    <col min="9730" max="9730" width="8.875" style="2594"/>
    <col min="9731" max="9733" width="12.875" style="2594" customWidth="1"/>
    <col min="9734" max="9734" width="47.5" style="2594" customWidth="1"/>
    <col min="9735" max="9735" width="13" style="2594" customWidth="1"/>
    <col min="9736" max="9737" width="8.875" style="2594"/>
    <col min="9738" max="9738" width="5.75" style="2594" customWidth="1"/>
    <col min="9739" max="9739" width="11.75" style="2594" customWidth="1"/>
    <col min="9740" max="9741" width="10.75" style="2594" customWidth="1"/>
    <col min="9742" max="9742" width="10" style="2594" customWidth="1"/>
    <col min="9743" max="9744" width="10.5" style="2594" bestFit="1" customWidth="1"/>
    <col min="9745" max="9745" width="10" style="2594" customWidth="1"/>
    <col min="9746" max="9746" width="10.125" style="2594" customWidth="1"/>
    <col min="9747" max="9747" width="10" style="2594" customWidth="1"/>
    <col min="9748" max="9748" width="26.125" style="2594" customWidth="1"/>
    <col min="9749" max="9984" width="8.875" style="2594"/>
    <col min="9985" max="9985" width="9.5" style="2594" customWidth="1"/>
    <col min="9986" max="9986" width="8.875" style="2594"/>
    <col min="9987" max="9989" width="12.875" style="2594" customWidth="1"/>
    <col min="9990" max="9990" width="47.5" style="2594" customWidth="1"/>
    <col min="9991" max="9991" width="13" style="2594" customWidth="1"/>
    <col min="9992" max="9993" width="8.875" style="2594"/>
    <col min="9994" max="9994" width="5.75" style="2594" customWidth="1"/>
    <col min="9995" max="9995" width="11.75" style="2594" customWidth="1"/>
    <col min="9996" max="9997" width="10.75" style="2594" customWidth="1"/>
    <col min="9998" max="9998" width="10" style="2594" customWidth="1"/>
    <col min="9999" max="10000" width="10.5" style="2594" bestFit="1" customWidth="1"/>
    <col min="10001" max="10001" width="10" style="2594" customWidth="1"/>
    <col min="10002" max="10002" width="10.125" style="2594" customWidth="1"/>
    <col min="10003" max="10003" width="10" style="2594" customWidth="1"/>
    <col min="10004" max="10004" width="26.125" style="2594" customWidth="1"/>
    <col min="10005" max="10240" width="8.875" style="2594"/>
    <col min="10241" max="10241" width="9.5" style="2594" customWidth="1"/>
    <col min="10242" max="10242" width="8.875" style="2594"/>
    <col min="10243" max="10245" width="12.875" style="2594" customWidth="1"/>
    <col min="10246" max="10246" width="47.5" style="2594" customWidth="1"/>
    <col min="10247" max="10247" width="13" style="2594" customWidth="1"/>
    <col min="10248" max="10249" width="8.875" style="2594"/>
    <col min="10250" max="10250" width="5.75" style="2594" customWidth="1"/>
    <col min="10251" max="10251" width="11.75" style="2594" customWidth="1"/>
    <col min="10252" max="10253" width="10.75" style="2594" customWidth="1"/>
    <col min="10254" max="10254" width="10" style="2594" customWidth="1"/>
    <col min="10255" max="10256" width="10.5" style="2594" bestFit="1" customWidth="1"/>
    <col min="10257" max="10257" width="10" style="2594" customWidth="1"/>
    <col min="10258" max="10258" width="10.125" style="2594" customWidth="1"/>
    <col min="10259" max="10259" width="10" style="2594" customWidth="1"/>
    <col min="10260" max="10260" width="26.125" style="2594" customWidth="1"/>
    <col min="10261" max="10496" width="8.875" style="2594"/>
    <col min="10497" max="10497" width="9.5" style="2594" customWidth="1"/>
    <col min="10498" max="10498" width="8.875" style="2594"/>
    <col min="10499" max="10501" width="12.875" style="2594" customWidth="1"/>
    <col min="10502" max="10502" width="47.5" style="2594" customWidth="1"/>
    <col min="10503" max="10503" width="13" style="2594" customWidth="1"/>
    <col min="10504" max="10505" width="8.875" style="2594"/>
    <col min="10506" max="10506" width="5.75" style="2594" customWidth="1"/>
    <col min="10507" max="10507" width="11.75" style="2594" customWidth="1"/>
    <col min="10508" max="10509" width="10.75" style="2594" customWidth="1"/>
    <col min="10510" max="10510" width="10" style="2594" customWidth="1"/>
    <col min="10511" max="10512" width="10.5" style="2594" bestFit="1" customWidth="1"/>
    <col min="10513" max="10513" width="10" style="2594" customWidth="1"/>
    <col min="10514" max="10514" width="10.125" style="2594" customWidth="1"/>
    <col min="10515" max="10515" width="10" style="2594" customWidth="1"/>
    <col min="10516" max="10516" width="26.125" style="2594" customWidth="1"/>
    <col min="10517" max="10752" width="8.875" style="2594"/>
    <col min="10753" max="10753" width="9.5" style="2594" customWidth="1"/>
    <col min="10754" max="10754" width="8.875" style="2594"/>
    <col min="10755" max="10757" width="12.875" style="2594" customWidth="1"/>
    <col min="10758" max="10758" width="47.5" style="2594" customWidth="1"/>
    <col min="10759" max="10759" width="13" style="2594" customWidth="1"/>
    <col min="10760" max="10761" width="8.875" style="2594"/>
    <col min="10762" max="10762" width="5.75" style="2594" customWidth="1"/>
    <col min="10763" max="10763" width="11.75" style="2594" customWidth="1"/>
    <col min="10764" max="10765" width="10.75" style="2594" customWidth="1"/>
    <col min="10766" max="10766" width="10" style="2594" customWidth="1"/>
    <col min="10767" max="10768" width="10.5" style="2594" bestFit="1" customWidth="1"/>
    <col min="10769" max="10769" width="10" style="2594" customWidth="1"/>
    <col min="10770" max="10770" width="10.125" style="2594" customWidth="1"/>
    <col min="10771" max="10771" width="10" style="2594" customWidth="1"/>
    <col min="10772" max="10772" width="26.125" style="2594" customWidth="1"/>
    <col min="10773" max="11008" width="8.875" style="2594"/>
    <col min="11009" max="11009" width="9.5" style="2594" customWidth="1"/>
    <col min="11010" max="11010" width="8.875" style="2594"/>
    <col min="11011" max="11013" width="12.875" style="2594" customWidth="1"/>
    <col min="11014" max="11014" width="47.5" style="2594" customWidth="1"/>
    <col min="11015" max="11015" width="13" style="2594" customWidth="1"/>
    <col min="11016" max="11017" width="8.875" style="2594"/>
    <col min="11018" max="11018" width="5.75" style="2594" customWidth="1"/>
    <col min="11019" max="11019" width="11.75" style="2594" customWidth="1"/>
    <col min="11020" max="11021" width="10.75" style="2594" customWidth="1"/>
    <col min="11022" max="11022" width="10" style="2594" customWidth="1"/>
    <col min="11023" max="11024" width="10.5" style="2594" bestFit="1" customWidth="1"/>
    <col min="11025" max="11025" width="10" style="2594" customWidth="1"/>
    <col min="11026" max="11026" width="10.125" style="2594" customWidth="1"/>
    <col min="11027" max="11027" width="10" style="2594" customWidth="1"/>
    <col min="11028" max="11028" width="26.125" style="2594" customWidth="1"/>
    <col min="11029" max="11264" width="8.875" style="2594"/>
    <col min="11265" max="11265" width="9.5" style="2594" customWidth="1"/>
    <col min="11266" max="11266" width="8.875" style="2594"/>
    <col min="11267" max="11269" width="12.875" style="2594" customWidth="1"/>
    <col min="11270" max="11270" width="47.5" style="2594" customWidth="1"/>
    <col min="11271" max="11271" width="13" style="2594" customWidth="1"/>
    <col min="11272" max="11273" width="8.875" style="2594"/>
    <col min="11274" max="11274" width="5.75" style="2594" customWidth="1"/>
    <col min="11275" max="11275" width="11.75" style="2594" customWidth="1"/>
    <col min="11276" max="11277" width="10.75" style="2594" customWidth="1"/>
    <col min="11278" max="11278" width="10" style="2594" customWidth="1"/>
    <col min="11279" max="11280" width="10.5" style="2594" bestFit="1" customWidth="1"/>
    <col min="11281" max="11281" width="10" style="2594" customWidth="1"/>
    <col min="11282" max="11282" width="10.125" style="2594" customWidth="1"/>
    <col min="11283" max="11283" width="10" style="2594" customWidth="1"/>
    <col min="11284" max="11284" width="26.125" style="2594" customWidth="1"/>
    <col min="11285" max="11520" width="8.875" style="2594"/>
    <col min="11521" max="11521" width="9.5" style="2594" customWidth="1"/>
    <col min="11522" max="11522" width="8.875" style="2594"/>
    <col min="11523" max="11525" width="12.875" style="2594" customWidth="1"/>
    <col min="11526" max="11526" width="47.5" style="2594" customWidth="1"/>
    <col min="11527" max="11527" width="13" style="2594" customWidth="1"/>
    <col min="11528" max="11529" width="8.875" style="2594"/>
    <col min="11530" max="11530" width="5.75" style="2594" customWidth="1"/>
    <col min="11531" max="11531" width="11.75" style="2594" customWidth="1"/>
    <col min="11532" max="11533" width="10.75" style="2594" customWidth="1"/>
    <col min="11534" max="11534" width="10" style="2594" customWidth="1"/>
    <col min="11535" max="11536" width="10.5" style="2594" bestFit="1" customWidth="1"/>
    <col min="11537" max="11537" width="10" style="2594" customWidth="1"/>
    <col min="11538" max="11538" width="10.125" style="2594" customWidth="1"/>
    <col min="11539" max="11539" width="10" style="2594" customWidth="1"/>
    <col min="11540" max="11540" width="26.125" style="2594" customWidth="1"/>
    <col min="11541" max="11776" width="8.875" style="2594"/>
    <col min="11777" max="11777" width="9.5" style="2594" customWidth="1"/>
    <col min="11778" max="11778" width="8.875" style="2594"/>
    <col min="11779" max="11781" width="12.875" style="2594" customWidth="1"/>
    <col min="11782" max="11782" width="47.5" style="2594" customWidth="1"/>
    <col min="11783" max="11783" width="13" style="2594" customWidth="1"/>
    <col min="11784" max="11785" width="8.875" style="2594"/>
    <col min="11786" max="11786" width="5.75" style="2594" customWidth="1"/>
    <col min="11787" max="11787" width="11.75" style="2594" customWidth="1"/>
    <col min="11788" max="11789" width="10.75" style="2594" customWidth="1"/>
    <col min="11790" max="11790" width="10" style="2594" customWidth="1"/>
    <col min="11791" max="11792" width="10.5" style="2594" bestFit="1" customWidth="1"/>
    <col min="11793" max="11793" width="10" style="2594" customWidth="1"/>
    <col min="11794" max="11794" width="10.125" style="2594" customWidth="1"/>
    <col min="11795" max="11795" width="10" style="2594" customWidth="1"/>
    <col min="11796" max="11796" width="26.125" style="2594" customWidth="1"/>
    <col min="11797" max="12032" width="8.875" style="2594"/>
    <col min="12033" max="12033" width="9.5" style="2594" customWidth="1"/>
    <col min="12034" max="12034" width="8.875" style="2594"/>
    <col min="12035" max="12037" width="12.875" style="2594" customWidth="1"/>
    <col min="12038" max="12038" width="47.5" style="2594" customWidth="1"/>
    <col min="12039" max="12039" width="13" style="2594" customWidth="1"/>
    <col min="12040" max="12041" width="8.875" style="2594"/>
    <col min="12042" max="12042" width="5.75" style="2594" customWidth="1"/>
    <col min="12043" max="12043" width="11.75" style="2594" customWidth="1"/>
    <col min="12044" max="12045" width="10.75" style="2594" customWidth="1"/>
    <col min="12046" max="12046" width="10" style="2594" customWidth="1"/>
    <col min="12047" max="12048" width="10.5" style="2594" bestFit="1" customWidth="1"/>
    <col min="12049" max="12049" width="10" style="2594" customWidth="1"/>
    <col min="12050" max="12050" width="10.125" style="2594" customWidth="1"/>
    <col min="12051" max="12051" width="10" style="2594" customWidth="1"/>
    <col min="12052" max="12052" width="26.125" style="2594" customWidth="1"/>
    <col min="12053" max="12288" width="8.875" style="2594"/>
    <col min="12289" max="12289" width="9.5" style="2594" customWidth="1"/>
    <col min="12290" max="12290" width="8.875" style="2594"/>
    <col min="12291" max="12293" width="12.875" style="2594" customWidth="1"/>
    <col min="12294" max="12294" width="47.5" style="2594" customWidth="1"/>
    <col min="12295" max="12295" width="13" style="2594" customWidth="1"/>
    <col min="12296" max="12297" width="8.875" style="2594"/>
    <col min="12298" max="12298" width="5.75" style="2594" customWidth="1"/>
    <col min="12299" max="12299" width="11.75" style="2594" customWidth="1"/>
    <col min="12300" max="12301" width="10.75" style="2594" customWidth="1"/>
    <col min="12302" max="12302" width="10" style="2594" customWidth="1"/>
    <col min="12303" max="12304" width="10.5" style="2594" bestFit="1" customWidth="1"/>
    <col min="12305" max="12305" width="10" style="2594" customWidth="1"/>
    <col min="12306" max="12306" width="10.125" style="2594" customWidth="1"/>
    <col min="12307" max="12307" width="10" style="2594" customWidth="1"/>
    <col min="12308" max="12308" width="26.125" style="2594" customWidth="1"/>
    <col min="12309" max="12544" width="8.875" style="2594"/>
    <col min="12545" max="12545" width="9.5" style="2594" customWidth="1"/>
    <col min="12546" max="12546" width="8.875" style="2594"/>
    <col min="12547" max="12549" width="12.875" style="2594" customWidth="1"/>
    <col min="12550" max="12550" width="47.5" style="2594" customWidth="1"/>
    <col min="12551" max="12551" width="13" style="2594" customWidth="1"/>
    <col min="12552" max="12553" width="8.875" style="2594"/>
    <col min="12554" max="12554" width="5.75" style="2594" customWidth="1"/>
    <col min="12555" max="12555" width="11.75" style="2594" customWidth="1"/>
    <col min="12556" max="12557" width="10.75" style="2594" customWidth="1"/>
    <col min="12558" max="12558" width="10" style="2594" customWidth="1"/>
    <col min="12559" max="12560" width="10.5" style="2594" bestFit="1" customWidth="1"/>
    <col min="12561" max="12561" width="10" style="2594" customWidth="1"/>
    <col min="12562" max="12562" width="10.125" style="2594" customWidth="1"/>
    <col min="12563" max="12563" width="10" style="2594" customWidth="1"/>
    <col min="12564" max="12564" width="26.125" style="2594" customWidth="1"/>
    <col min="12565" max="12800" width="8.875" style="2594"/>
    <col min="12801" max="12801" width="9.5" style="2594" customWidth="1"/>
    <col min="12802" max="12802" width="8.875" style="2594"/>
    <col min="12803" max="12805" width="12.875" style="2594" customWidth="1"/>
    <col min="12806" max="12806" width="47.5" style="2594" customWidth="1"/>
    <col min="12807" max="12807" width="13" style="2594" customWidth="1"/>
    <col min="12808" max="12809" width="8.875" style="2594"/>
    <col min="12810" max="12810" width="5.75" style="2594" customWidth="1"/>
    <col min="12811" max="12811" width="11.75" style="2594" customWidth="1"/>
    <col min="12812" max="12813" width="10.75" style="2594" customWidth="1"/>
    <col min="12814" max="12814" width="10" style="2594" customWidth="1"/>
    <col min="12815" max="12816" width="10.5" style="2594" bestFit="1" customWidth="1"/>
    <col min="12817" max="12817" width="10" style="2594" customWidth="1"/>
    <col min="12818" max="12818" width="10.125" style="2594" customWidth="1"/>
    <col min="12819" max="12819" width="10" style="2594" customWidth="1"/>
    <col min="12820" max="12820" width="26.125" style="2594" customWidth="1"/>
    <col min="12821" max="13056" width="8.875" style="2594"/>
    <col min="13057" max="13057" width="9.5" style="2594" customWidth="1"/>
    <col min="13058" max="13058" width="8.875" style="2594"/>
    <col min="13059" max="13061" width="12.875" style="2594" customWidth="1"/>
    <col min="13062" max="13062" width="47.5" style="2594" customWidth="1"/>
    <col min="13063" max="13063" width="13" style="2594" customWidth="1"/>
    <col min="13064" max="13065" width="8.875" style="2594"/>
    <col min="13066" max="13066" width="5.75" style="2594" customWidth="1"/>
    <col min="13067" max="13067" width="11.75" style="2594" customWidth="1"/>
    <col min="13068" max="13069" width="10.75" style="2594" customWidth="1"/>
    <col min="13070" max="13070" width="10" style="2594" customWidth="1"/>
    <col min="13071" max="13072" width="10.5" style="2594" bestFit="1" customWidth="1"/>
    <col min="13073" max="13073" width="10" style="2594" customWidth="1"/>
    <col min="13074" max="13074" width="10.125" style="2594" customWidth="1"/>
    <col min="13075" max="13075" width="10" style="2594" customWidth="1"/>
    <col min="13076" max="13076" width="26.125" style="2594" customWidth="1"/>
    <col min="13077" max="13312" width="8.875" style="2594"/>
    <col min="13313" max="13313" width="9.5" style="2594" customWidth="1"/>
    <col min="13314" max="13314" width="8.875" style="2594"/>
    <col min="13315" max="13317" width="12.875" style="2594" customWidth="1"/>
    <col min="13318" max="13318" width="47.5" style="2594" customWidth="1"/>
    <col min="13319" max="13319" width="13" style="2594" customWidth="1"/>
    <col min="13320" max="13321" width="8.875" style="2594"/>
    <col min="13322" max="13322" width="5.75" style="2594" customWidth="1"/>
    <col min="13323" max="13323" width="11.75" style="2594" customWidth="1"/>
    <col min="13324" max="13325" width="10.75" style="2594" customWidth="1"/>
    <col min="13326" max="13326" width="10" style="2594" customWidth="1"/>
    <col min="13327" max="13328" width="10.5" style="2594" bestFit="1" customWidth="1"/>
    <col min="13329" max="13329" width="10" style="2594" customWidth="1"/>
    <col min="13330" max="13330" width="10.125" style="2594" customWidth="1"/>
    <col min="13331" max="13331" width="10" style="2594" customWidth="1"/>
    <col min="13332" max="13332" width="26.125" style="2594" customWidth="1"/>
    <col min="13333" max="13568" width="8.875" style="2594"/>
    <col min="13569" max="13569" width="9.5" style="2594" customWidth="1"/>
    <col min="13570" max="13570" width="8.875" style="2594"/>
    <col min="13571" max="13573" width="12.875" style="2594" customWidth="1"/>
    <col min="13574" max="13574" width="47.5" style="2594" customWidth="1"/>
    <col min="13575" max="13575" width="13" style="2594" customWidth="1"/>
    <col min="13576" max="13577" width="8.875" style="2594"/>
    <col min="13578" max="13578" width="5.75" style="2594" customWidth="1"/>
    <col min="13579" max="13579" width="11.75" style="2594" customWidth="1"/>
    <col min="13580" max="13581" width="10.75" style="2594" customWidth="1"/>
    <col min="13582" max="13582" width="10" style="2594" customWidth="1"/>
    <col min="13583" max="13584" width="10.5" style="2594" bestFit="1" customWidth="1"/>
    <col min="13585" max="13585" width="10" style="2594" customWidth="1"/>
    <col min="13586" max="13586" width="10.125" style="2594" customWidth="1"/>
    <col min="13587" max="13587" width="10" style="2594" customWidth="1"/>
    <col min="13588" max="13588" width="26.125" style="2594" customWidth="1"/>
    <col min="13589" max="13824" width="8.875" style="2594"/>
    <col min="13825" max="13825" width="9.5" style="2594" customWidth="1"/>
    <col min="13826" max="13826" width="8.875" style="2594"/>
    <col min="13827" max="13829" width="12.875" style="2594" customWidth="1"/>
    <col min="13830" max="13830" width="47.5" style="2594" customWidth="1"/>
    <col min="13831" max="13831" width="13" style="2594" customWidth="1"/>
    <col min="13832" max="13833" width="8.875" style="2594"/>
    <col min="13834" max="13834" width="5.75" style="2594" customWidth="1"/>
    <col min="13835" max="13835" width="11.75" style="2594" customWidth="1"/>
    <col min="13836" max="13837" width="10.75" style="2594" customWidth="1"/>
    <col min="13838" max="13838" width="10" style="2594" customWidth="1"/>
    <col min="13839" max="13840" width="10.5" style="2594" bestFit="1" customWidth="1"/>
    <col min="13841" max="13841" width="10" style="2594" customWidth="1"/>
    <col min="13842" max="13842" width="10.125" style="2594" customWidth="1"/>
    <col min="13843" max="13843" width="10" style="2594" customWidth="1"/>
    <col min="13844" max="13844" width="26.125" style="2594" customWidth="1"/>
    <col min="13845" max="14080" width="8.875" style="2594"/>
    <col min="14081" max="14081" width="9.5" style="2594" customWidth="1"/>
    <col min="14082" max="14082" width="8.875" style="2594"/>
    <col min="14083" max="14085" width="12.875" style="2594" customWidth="1"/>
    <col min="14086" max="14086" width="47.5" style="2594" customWidth="1"/>
    <col min="14087" max="14087" width="13" style="2594" customWidth="1"/>
    <col min="14088" max="14089" width="8.875" style="2594"/>
    <col min="14090" max="14090" width="5.75" style="2594" customWidth="1"/>
    <col min="14091" max="14091" width="11.75" style="2594" customWidth="1"/>
    <col min="14092" max="14093" width="10.75" style="2594" customWidth="1"/>
    <col min="14094" max="14094" width="10" style="2594" customWidth="1"/>
    <col min="14095" max="14096" width="10.5" style="2594" bestFit="1" customWidth="1"/>
    <col min="14097" max="14097" width="10" style="2594" customWidth="1"/>
    <col min="14098" max="14098" width="10.125" style="2594" customWidth="1"/>
    <col min="14099" max="14099" width="10" style="2594" customWidth="1"/>
    <col min="14100" max="14100" width="26.125" style="2594" customWidth="1"/>
    <col min="14101" max="14336" width="8.875" style="2594"/>
    <col min="14337" max="14337" width="9.5" style="2594" customWidth="1"/>
    <col min="14338" max="14338" width="8.875" style="2594"/>
    <col min="14339" max="14341" width="12.875" style="2594" customWidth="1"/>
    <col min="14342" max="14342" width="47.5" style="2594" customWidth="1"/>
    <col min="14343" max="14343" width="13" style="2594" customWidth="1"/>
    <col min="14344" max="14345" width="8.875" style="2594"/>
    <col min="14346" max="14346" width="5.75" style="2594" customWidth="1"/>
    <col min="14347" max="14347" width="11.75" style="2594" customWidth="1"/>
    <col min="14348" max="14349" width="10.75" style="2594" customWidth="1"/>
    <col min="14350" max="14350" width="10" style="2594" customWidth="1"/>
    <col min="14351" max="14352" width="10.5" style="2594" bestFit="1" customWidth="1"/>
    <col min="14353" max="14353" width="10" style="2594" customWidth="1"/>
    <col min="14354" max="14354" width="10.125" style="2594" customWidth="1"/>
    <col min="14355" max="14355" width="10" style="2594" customWidth="1"/>
    <col min="14356" max="14356" width="26.125" style="2594" customWidth="1"/>
    <col min="14357" max="14592" width="8.875" style="2594"/>
    <col min="14593" max="14593" width="9.5" style="2594" customWidth="1"/>
    <col min="14594" max="14594" width="8.875" style="2594"/>
    <col min="14595" max="14597" width="12.875" style="2594" customWidth="1"/>
    <col min="14598" max="14598" width="47.5" style="2594" customWidth="1"/>
    <col min="14599" max="14599" width="13" style="2594" customWidth="1"/>
    <col min="14600" max="14601" width="8.875" style="2594"/>
    <col min="14602" max="14602" width="5.75" style="2594" customWidth="1"/>
    <col min="14603" max="14603" width="11.75" style="2594" customWidth="1"/>
    <col min="14604" max="14605" width="10.75" style="2594" customWidth="1"/>
    <col min="14606" max="14606" width="10" style="2594" customWidth="1"/>
    <col min="14607" max="14608" width="10.5" style="2594" bestFit="1" customWidth="1"/>
    <col min="14609" max="14609" width="10" style="2594" customWidth="1"/>
    <col min="14610" max="14610" width="10.125" style="2594" customWidth="1"/>
    <col min="14611" max="14611" width="10" style="2594" customWidth="1"/>
    <col min="14612" max="14612" width="26.125" style="2594" customWidth="1"/>
    <col min="14613" max="14848" width="8.875" style="2594"/>
    <col min="14849" max="14849" width="9.5" style="2594" customWidth="1"/>
    <col min="14850" max="14850" width="8.875" style="2594"/>
    <col min="14851" max="14853" width="12.875" style="2594" customWidth="1"/>
    <col min="14854" max="14854" width="47.5" style="2594" customWidth="1"/>
    <col min="14855" max="14855" width="13" style="2594" customWidth="1"/>
    <col min="14856" max="14857" width="8.875" style="2594"/>
    <col min="14858" max="14858" width="5.75" style="2594" customWidth="1"/>
    <col min="14859" max="14859" width="11.75" style="2594" customWidth="1"/>
    <col min="14860" max="14861" width="10.75" style="2594" customWidth="1"/>
    <col min="14862" max="14862" width="10" style="2594" customWidth="1"/>
    <col min="14863" max="14864" width="10.5" style="2594" bestFit="1" customWidth="1"/>
    <col min="14865" max="14865" width="10" style="2594" customWidth="1"/>
    <col min="14866" max="14866" width="10.125" style="2594" customWidth="1"/>
    <col min="14867" max="14867" width="10" style="2594" customWidth="1"/>
    <col min="14868" max="14868" width="26.125" style="2594" customWidth="1"/>
    <col min="14869" max="15104" width="8.875" style="2594"/>
    <col min="15105" max="15105" width="9.5" style="2594" customWidth="1"/>
    <col min="15106" max="15106" width="8.875" style="2594"/>
    <col min="15107" max="15109" width="12.875" style="2594" customWidth="1"/>
    <col min="15110" max="15110" width="47.5" style="2594" customWidth="1"/>
    <col min="15111" max="15111" width="13" style="2594" customWidth="1"/>
    <col min="15112" max="15113" width="8.875" style="2594"/>
    <col min="15114" max="15114" width="5.75" style="2594" customWidth="1"/>
    <col min="15115" max="15115" width="11.75" style="2594" customWidth="1"/>
    <col min="15116" max="15117" width="10.75" style="2594" customWidth="1"/>
    <col min="15118" max="15118" width="10" style="2594" customWidth="1"/>
    <col min="15119" max="15120" width="10.5" style="2594" bestFit="1" customWidth="1"/>
    <col min="15121" max="15121" width="10" style="2594" customWidth="1"/>
    <col min="15122" max="15122" width="10.125" style="2594" customWidth="1"/>
    <col min="15123" max="15123" width="10" style="2594" customWidth="1"/>
    <col min="15124" max="15124" width="26.125" style="2594" customWidth="1"/>
    <col min="15125" max="15360" width="8.875" style="2594"/>
    <col min="15361" max="15361" width="9.5" style="2594" customWidth="1"/>
    <col min="15362" max="15362" width="8.875" style="2594"/>
    <col min="15363" max="15365" width="12.875" style="2594" customWidth="1"/>
    <col min="15366" max="15366" width="47.5" style="2594" customWidth="1"/>
    <col min="15367" max="15367" width="13" style="2594" customWidth="1"/>
    <col min="15368" max="15369" width="8.875" style="2594"/>
    <col min="15370" max="15370" width="5.75" style="2594" customWidth="1"/>
    <col min="15371" max="15371" width="11.75" style="2594" customWidth="1"/>
    <col min="15372" max="15373" width="10.75" style="2594" customWidth="1"/>
    <col min="15374" max="15374" width="10" style="2594" customWidth="1"/>
    <col min="15375" max="15376" width="10.5" style="2594" bestFit="1" customWidth="1"/>
    <col min="15377" max="15377" width="10" style="2594" customWidth="1"/>
    <col min="15378" max="15378" width="10.125" style="2594" customWidth="1"/>
    <col min="15379" max="15379" width="10" style="2594" customWidth="1"/>
    <col min="15380" max="15380" width="26.125" style="2594" customWidth="1"/>
    <col min="15381" max="15616" width="8.875" style="2594"/>
    <col min="15617" max="15617" width="9.5" style="2594" customWidth="1"/>
    <col min="15618" max="15618" width="8.875" style="2594"/>
    <col min="15619" max="15621" width="12.875" style="2594" customWidth="1"/>
    <col min="15622" max="15622" width="47.5" style="2594" customWidth="1"/>
    <col min="15623" max="15623" width="13" style="2594" customWidth="1"/>
    <col min="15624" max="15625" width="8.875" style="2594"/>
    <col min="15626" max="15626" width="5.75" style="2594" customWidth="1"/>
    <col min="15627" max="15627" width="11.75" style="2594" customWidth="1"/>
    <col min="15628" max="15629" width="10.75" style="2594" customWidth="1"/>
    <col min="15630" max="15630" width="10" style="2594" customWidth="1"/>
    <col min="15631" max="15632" width="10.5" style="2594" bestFit="1" customWidth="1"/>
    <col min="15633" max="15633" width="10" style="2594" customWidth="1"/>
    <col min="15634" max="15634" width="10.125" style="2594" customWidth="1"/>
    <col min="15635" max="15635" width="10" style="2594" customWidth="1"/>
    <col min="15636" max="15636" width="26.125" style="2594" customWidth="1"/>
    <col min="15637" max="15872" width="8.875" style="2594"/>
    <col min="15873" max="15873" width="9.5" style="2594" customWidth="1"/>
    <col min="15874" max="15874" width="8.875" style="2594"/>
    <col min="15875" max="15877" width="12.875" style="2594" customWidth="1"/>
    <col min="15878" max="15878" width="47.5" style="2594" customWidth="1"/>
    <col min="15879" max="15879" width="13" style="2594" customWidth="1"/>
    <col min="15880" max="15881" width="8.875" style="2594"/>
    <col min="15882" max="15882" width="5.75" style="2594" customWidth="1"/>
    <col min="15883" max="15883" width="11.75" style="2594" customWidth="1"/>
    <col min="15884" max="15885" width="10.75" style="2594" customWidth="1"/>
    <col min="15886" max="15886" width="10" style="2594" customWidth="1"/>
    <col min="15887" max="15888" width="10.5" style="2594" bestFit="1" customWidth="1"/>
    <col min="15889" max="15889" width="10" style="2594" customWidth="1"/>
    <col min="15890" max="15890" width="10.125" style="2594" customWidth="1"/>
    <col min="15891" max="15891" width="10" style="2594" customWidth="1"/>
    <col min="15892" max="15892" width="26.125" style="2594" customWidth="1"/>
    <col min="15893" max="16128" width="8.875" style="2594"/>
    <col min="16129" max="16129" width="9.5" style="2594" customWidth="1"/>
    <col min="16130" max="16130" width="8.875" style="2594"/>
    <col min="16131" max="16133" width="12.875" style="2594" customWidth="1"/>
    <col min="16134" max="16134" width="47.5" style="2594" customWidth="1"/>
    <col min="16135" max="16135" width="13" style="2594" customWidth="1"/>
    <col min="16136" max="16137" width="8.875" style="2594"/>
    <col min="16138" max="16138" width="5.75" style="2594" customWidth="1"/>
    <col min="16139" max="16139" width="11.75" style="2594" customWidth="1"/>
    <col min="16140" max="16141" width="10.75" style="2594" customWidth="1"/>
    <col min="16142" max="16142" width="10" style="2594" customWidth="1"/>
    <col min="16143" max="16144" width="10.5" style="2594" bestFit="1" customWidth="1"/>
    <col min="16145" max="16145" width="10" style="2594" customWidth="1"/>
    <col min="16146" max="16146" width="10.125" style="2594" customWidth="1"/>
    <col min="16147" max="16147" width="10" style="2594" customWidth="1"/>
    <col min="16148" max="16148" width="26.125" style="2594" customWidth="1"/>
    <col min="16149" max="16384" width="8.875" style="2594"/>
  </cols>
  <sheetData>
    <row r="1" spans="1:22" ht="21" customHeight="1">
      <c r="A1" s="2583" t="s">
        <v>2433</v>
      </c>
      <c r="B1" s="2584"/>
      <c r="C1" s="2596"/>
      <c r="D1" s="2596"/>
      <c r="E1" s="2585"/>
      <c r="F1" s="2586"/>
      <c r="G1" s="2587"/>
      <c r="J1" s="2590" t="s">
        <v>2312</v>
      </c>
      <c r="K1" s="2591"/>
      <c r="L1" s="2591"/>
      <c r="M1" s="2591"/>
      <c r="N1" s="2591"/>
      <c r="O1" s="2591"/>
      <c r="P1" s="2591"/>
      <c r="Q1" s="2591"/>
      <c r="R1" s="2592"/>
      <c r="S1" s="2593"/>
      <c r="T1" s="2593"/>
      <c r="U1" s="2593"/>
    </row>
    <row r="2" spans="1:22" s="2605" customFormat="1" ht="13.15" customHeight="1">
      <c r="A2" s="1293" t="s">
        <v>2313</v>
      </c>
      <c r="B2" s="2595" t="e">
        <f>IF(D2="——",C40,C40+E2)</f>
        <v>#DIV/0!</v>
      </c>
      <c r="C2" s="2596" t="s">
        <v>2314</v>
      </c>
      <c r="D2" s="3139" t="s">
        <v>3357</v>
      </c>
      <c r="E2" s="3140"/>
      <c r="F2" s="2598"/>
      <c r="G2" s="2599"/>
      <c r="H2" s="2600"/>
      <c r="I2" s="2601"/>
      <c r="J2" s="3575" t="s">
        <v>2315</v>
      </c>
      <c r="K2" s="3576"/>
      <c r="L2" s="2602" t="s">
        <v>2316</v>
      </c>
      <c r="M2" s="2602" t="s">
        <v>2317</v>
      </c>
      <c r="N2" s="2602" t="s">
        <v>2318</v>
      </c>
      <c r="O2" s="2602" t="s">
        <v>2319</v>
      </c>
      <c r="P2" s="2602" t="s">
        <v>2320</v>
      </c>
      <c r="Q2" s="2603" t="s">
        <v>2321</v>
      </c>
      <c r="R2" s="2604" t="s">
        <v>2322</v>
      </c>
      <c r="S2" s="2593"/>
      <c r="T2" s="2593"/>
      <c r="U2" s="2593"/>
      <c r="V2" s="2601"/>
    </row>
    <row r="3" spans="1:22" s="2605" customFormat="1" ht="13.15" customHeight="1">
      <c r="A3" s="2606" t="s">
        <v>2323</v>
      </c>
      <c r="B3" s="2607" t="e">
        <f>ROUND(B2*10000/B4,0)</f>
        <v>#DIV/0!</v>
      </c>
      <c r="C3" s="2596" t="s">
        <v>2324</v>
      </c>
      <c r="D3" s="2596"/>
      <c r="E3" s="2597"/>
      <c r="F3" s="2598"/>
      <c r="G3" s="2599"/>
      <c r="H3" s="2600"/>
      <c r="I3" s="2601"/>
      <c r="J3" s="3577" t="s">
        <v>2325</v>
      </c>
      <c r="K3" s="3578"/>
      <c r="L3" s="2608"/>
      <c r="M3" s="2608"/>
      <c r="N3" s="2608"/>
      <c r="O3" s="2608"/>
      <c r="P3" s="2608"/>
      <c r="Q3" s="2609"/>
      <c r="R3" s="2610">
        <f>SUM(L3:Q3)</f>
        <v>0</v>
      </c>
      <c r="S3" s="2593"/>
      <c r="T3" s="2593"/>
      <c r="U3" s="2593"/>
      <c r="V3" s="2601"/>
    </row>
    <row r="4" spans="1:22" s="2605" customFormat="1" ht="13.15" customHeight="1">
      <c r="A4" s="2611" t="s">
        <v>2326</v>
      </c>
      <c r="B4" s="2612"/>
      <c r="C4" s="2596"/>
      <c r="D4" s="2596"/>
      <c r="E4" s="2597"/>
      <c r="F4" s="2598"/>
      <c r="G4" s="2599"/>
      <c r="H4" s="2600"/>
      <c r="I4" s="2601"/>
      <c r="J4" s="3577" t="s">
        <v>2327</v>
      </c>
      <c r="K4" s="3578"/>
      <c r="L4" s="2613"/>
      <c r="M4" s="2613"/>
      <c r="N4" s="2613"/>
      <c r="O4" s="2613"/>
      <c r="P4" s="2613"/>
      <c r="Q4" s="2614"/>
      <c r="R4" s="2615">
        <f>SUM(L4:Q4)</f>
        <v>0</v>
      </c>
      <c r="S4" s="2593"/>
      <c r="T4" s="2593"/>
      <c r="U4" s="2593"/>
      <c r="V4" s="2601"/>
    </row>
    <row r="5" spans="1:22" s="2605" customFormat="1" ht="13.15" customHeight="1" thickBot="1">
      <c r="A5" s="2616" t="s">
        <v>2328</v>
      </c>
      <c r="B5" s="2617"/>
      <c r="C5" s="2596"/>
      <c r="D5" s="2618"/>
      <c r="E5" s="2598"/>
      <c r="F5" s="2598"/>
      <c r="G5" s="2599"/>
      <c r="H5" s="2600"/>
      <c r="I5" s="2601"/>
      <c r="J5" s="2619" t="s">
        <v>2329</v>
      </c>
      <c r="K5" s="2620"/>
      <c r="L5" s="2620"/>
      <c r="M5" s="2621"/>
      <c r="N5" s="2621"/>
      <c r="O5" s="2621"/>
      <c r="P5" s="2621"/>
      <c r="Q5" s="2621"/>
      <c r="R5" s="2604">
        <f>SUM(R14,R19,R24,R25,R27,R28)</f>
        <v>0</v>
      </c>
      <c r="S5" s="2593"/>
      <c r="T5" s="2593" t="s">
        <v>2330</v>
      </c>
      <c r="U5" s="2593" t="e">
        <f>ROUND(R5*10000/365/R3,1)</f>
        <v>#DIV/0!</v>
      </c>
      <c r="V5" s="2601"/>
    </row>
    <row r="6" spans="1:22" s="2605" customFormat="1" ht="13.15" customHeight="1" thickBot="1">
      <c r="A6" s="3579" t="s">
        <v>2331</v>
      </c>
      <c r="B6" s="3580"/>
      <c r="C6" s="3581"/>
      <c r="D6" s="2622"/>
      <c r="E6" s="2623"/>
      <c r="F6" s="2624"/>
      <c r="G6" s="2625"/>
      <c r="H6" s="2600"/>
      <c r="I6" s="2601"/>
      <c r="J6" s="3582">
        <v>1</v>
      </c>
      <c r="K6" s="3583" t="s">
        <v>2332</v>
      </c>
      <c r="L6" s="2626" t="s">
        <v>2333</v>
      </c>
      <c r="M6" s="2627" t="s">
        <v>2334</v>
      </c>
      <c r="N6" s="2627" t="s">
        <v>2335</v>
      </c>
      <c r="O6" s="2627" t="s">
        <v>2336</v>
      </c>
      <c r="P6" s="2627" t="s">
        <v>2337</v>
      </c>
      <c r="Q6" s="2627" t="s">
        <v>2338</v>
      </c>
      <c r="R6" s="2610" t="s">
        <v>2339</v>
      </c>
      <c r="S6" s="2593"/>
      <c r="T6" s="2593" t="s">
        <v>2340</v>
      </c>
      <c r="U6" s="2593"/>
      <c r="V6" s="2601"/>
    </row>
    <row r="7" spans="1:22" s="2605" customFormat="1" ht="13.15" customHeight="1">
      <c r="A7" s="2628" t="s">
        <v>2341</v>
      </c>
      <c r="B7" s="2629"/>
      <c r="C7" s="2630"/>
      <c r="D7" s="2631">
        <f>SUM(D9,D10,D11,D17,0)</f>
        <v>0</v>
      </c>
      <c r="E7" s="2632" t="e">
        <f>E9+E10+E11+E17</f>
        <v>#DIV/0!</v>
      </c>
      <c r="F7" s="2633"/>
      <c r="G7" s="2634"/>
      <c r="H7" s="2600"/>
      <c r="I7" s="2601"/>
      <c r="J7" s="3582"/>
      <c r="K7" s="3584"/>
      <c r="L7" s="2635" t="s">
        <v>2342</v>
      </c>
      <c r="M7" s="2636"/>
      <c r="N7" s="2612"/>
      <c r="O7" s="2637"/>
      <c r="P7" s="2637"/>
      <c r="Q7" s="2638">
        <v>365</v>
      </c>
      <c r="R7" s="2639">
        <f>ROUND(M7*N7*O7*P7*Q7/10000,0)</f>
        <v>0</v>
      </c>
      <c r="S7" s="2593"/>
      <c r="T7" s="2593" t="s">
        <v>2343</v>
      </c>
      <c r="U7" s="2593"/>
      <c r="V7" s="2601"/>
    </row>
    <row r="8" spans="1:22" s="2605" customFormat="1" ht="13.15" customHeight="1">
      <c r="A8" s="2640" t="s">
        <v>2344</v>
      </c>
      <c r="B8" s="3586" t="s">
        <v>2345</v>
      </c>
      <c r="C8" s="3587"/>
      <c r="D8" s="2641" t="s">
        <v>2346</v>
      </c>
      <c r="E8" s="2642" t="s">
        <v>2347</v>
      </c>
      <c r="F8" s="2643" t="s">
        <v>2348</v>
      </c>
      <c r="G8" s="2644"/>
      <c r="H8" s="2600"/>
      <c r="I8" s="2601"/>
      <c r="J8" s="3582"/>
      <c r="K8" s="3584"/>
      <c r="L8" s="2635" t="s">
        <v>2349</v>
      </c>
      <c r="M8" s="2636"/>
      <c r="N8" s="2612"/>
      <c r="O8" s="2637"/>
      <c r="P8" s="2637"/>
      <c r="Q8" s="2638">
        <v>365</v>
      </c>
      <c r="R8" s="2639">
        <f t="shared" ref="R8:R13" si="0">ROUND(M8*N8*O8*P8*Q8/10000,0)</f>
        <v>0</v>
      </c>
      <c r="S8" s="2593"/>
      <c r="T8" s="2593" t="s">
        <v>2350</v>
      </c>
      <c r="U8" s="2593"/>
      <c r="V8" s="2601"/>
    </row>
    <row r="9" spans="1:22" s="2605" customFormat="1" ht="13.15" customHeight="1">
      <c r="A9" s="2640">
        <v>1</v>
      </c>
      <c r="B9" s="3586" t="s">
        <v>2351</v>
      </c>
      <c r="C9" s="3587"/>
      <c r="D9" s="2641">
        <f>ROUND(D6*E9,0)</f>
        <v>0</v>
      </c>
      <c r="E9" s="2645"/>
      <c r="F9" s="2646" t="s">
        <v>2352</v>
      </c>
      <c r="G9" s="2625"/>
      <c r="H9" s="2600"/>
      <c r="I9" s="2601"/>
      <c r="J9" s="3582"/>
      <c r="K9" s="3584"/>
      <c r="L9" s="2635" t="s">
        <v>2353</v>
      </c>
      <c r="M9" s="2636"/>
      <c r="N9" s="2612"/>
      <c r="O9" s="2637"/>
      <c r="P9" s="2637"/>
      <c r="Q9" s="2638">
        <v>365</v>
      </c>
      <c r="R9" s="2639">
        <f t="shared" si="0"/>
        <v>0</v>
      </c>
      <c r="S9" s="2593"/>
      <c r="T9" s="2593"/>
      <c r="U9" s="2593"/>
      <c r="V9" s="2601"/>
    </row>
    <row r="10" spans="1:22" s="2605" customFormat="1" ht="13.15" customHeight="1">
      <c r="A10" s="2640">
        <v>2</v>
      </c>
      <c r="B10" s="3586" t="s">
        <v>2354</v>
      </c>
      <c r="C10" s="3587"/>
      <c r="D10" s="2641">
        <f>ROUND(D6*E10,0)</f>
        <v>0</v>
      </c>
      <c r="E10" s="2645"/>
      <c r="F10" s="2646" t="s">
        <v>2355</v>
      </c>
      <c r="G10" s="2625"/>
      <c r="H10" s="2600"/>
      <c r="I10" s="2601"/>
      <c r="J10" s="3582"/>
      <c r="K10" s="3584"/>
      <c r="L10" s="2635" t="s">
        <v>2356</v>
      </c>
      <c r="M10" s="2636"/>
      <c r="N10" s="2612"/>
      <c r="O10" s="2637"/>
      <c r="P10" s="2637"/>
      <c r="Q10" s="2638">
        <v>365</v>
      </c>
      <c r="R10" s="2639">
        <f t="shared" si="0"/>
        <v>0</v>
      </c>
      <c r="S10" s="2593"/>
      <c r="T10" s="2593"/>
      <c r="U10" s="2593"/>
      <c r="V10" s="2601"/>
    </row>
    <row r="11" spans="1:22" s="2605" customFormat="1" ht="13.15" customHeight="1">
      <c r="A11" s="2640">
        <v>3</v>
      </c>
      <c r="B11" s="3586" t="s">
        <v>2357</v>
      </c>
      <c r="C11" s="3587"/>
      <c r="D11" s="2641">
        <f>D12+D14+D15+D16</f>
        <v>0</v>
      </c>
      <c r="E11" s="2647" t="e">
        <f>D11/D6</f>
        <v>#DIV/0!</v>
      </c>
      <c r="F11" s="2643"/>
      <c r="G11" s="2644"/>
      <c r="H11" s="2600"/>
      <c r="I11" s="2601"/>
      <c r="J11" s="3582"/>
      <c r="K11" s="3584"/>
      <c r="L11" s="2635" t="s">
        <v>2358</v>
      </c>
      <c r="M11" s="2636"/>
      <c r="N11" s="2612"/>
      <c r="O11" s="2637"/>
      <c r="P11" s="2637"/>
      <c r="Q11" s="2638">
        <v>365</v>
      </c>
      <c r="R11" s="2639">
        <f t="shared" si="0"/>
        <v>0</v>
      </c>
      <c r="S11" s="2593"/>
      <c r="T11" s="2593"/>
      <c r="U11" s="2593"/>
      <c r="V11" s="2601"/>
    </row>
    <row r="12" spans="1:22" s="2605" customFormat="1" ht="13.15" customHeight="1">
      <c r="A12" s="2648" t="s">
        <v>2359</v>
      </c>
      <c r="B12" s="3588" t="s">
        <v>2360</v>
      </c>
      <c r="C12" s="3589"/>
      <c r="D12" s="2649">
        <f>ROUND(D13*1.2%*(1-30%),0)</f>
        <v>0</v>
      </c>
      <c r="E12" s="2650">
        <v>1.2E-2</v>
      </c>
      <c r="F12" s="2643" t="s">
        <v>2361</v>
      </c>
      <c r="G12" s="2644"/>
      <c r="H12" s="2600"/>
      <c r="I12" s="2601"/>
      <c r="J12" s="3582"/>
      <c r="K12" s="3584"/>
      <c r="L12" s="2635" t="s">
        <v>2362</v>
      </c>
      <c r="M12" s="2636"/>
      <c r="N12" s="2612"/>
      <c r="O12" s="2637"/>
      <c r="P12" s="2637"/>
      <c r="Q12" s="2638">
        <v>365</v>
      </c>
      <c r="R12" s="2639">
        <f t="shared" si="0"/>
        <v>0</v>
      </c>
      <c r="S12" s="2593"/>
      <c r="T12" s="2593"/>
      <c r="U12" s="2593"/>
      <c r="V12" s="2601"/>
    </row>
    <row r="13" spans="1:22" s="2605" customFormat="1" ht="13.15" customHeight="1">
      <c r="A13" s="2648"/>
      <c r="B13" s="2651"/>
      <c r="C13" s="2652" t="s">
        <v>2363</v>
      </c>
      <c r="D13" s="2653"/>
      <c r="E13" s="2654"/>
      <c r="F13" s="2643"/>
      <c r="G13" s="2644"/>
      <c r="H13" s="2600"/>
      <c r="I13" s="2601"/>
      <c r="J13" s="3582"/>
      <c r="K13" s="3584"/>
      <c r="L13" s="2635" t="s">
        <v>2364</v>
      </c>
      <c r="M13" s="2636"/>
      <c r="N13" s="2612"/>
      <c r="O13" s="2637"/>
      <c r="P13" s="2637"/>
      <c r="Q13" s="2638">
        <v>365</v>
      </c>
      <c r="R13" s="2639">
        <f t="shared" si="0"/>
        <v>0</v>
      </c>
      <c r="S13" s="2593"/>
      <c r="T13" s="2593"/>
      <c r="U13" s="2593"/>
      <c r="V13" s="2601"/>
    </row>
    <row r="14" spans="1:22" s="2605" customFormat="1" ht="13.15" customHeight="1">
      <c r="A14" s="2648" t="s">
        <v>2365</v>
      </c>
      <c r="B14" s="3588" t="s">
        <v>2366</v>
      </c>
      <c r="C14" s="3589"/>
      <c r="D14" s="2649">
        <f>ROUND(E14*B5/10000,0)</f>
        <v>0</v>
      </c>
      <c r="E14" s="2638"/>
      <c r="F14" s="2643" t="s">
        <v>2367</v>
      </c>
      <c r="G14" s="2644"/>
      <c r="H14" s="2600"/>
      <c r="I14" s="2601"/>
      <c r="J14" s="3582"/>
      <c r="K14" s="3585"/>
      <c r="L14" s="2655" t="s">
        <v>2368</v>
      </c>
      <c r="M14" s="2656">
        <f>SUM(M7:M13)</f>
        <v>0</v>
      </c>
      <c r="N14" s="2656" t="e">
        <f>ROUND((N7*M7+N8*M8+N9*M9+N10*M10+N11*M11+N12*M12+N13*M13)/M14,0)</f>
        <v>#DIV/0!</v>
      </c>
      <c r="O14" s="2657"/>
      <c r="P14" s="2657"/>
      <c r="Q14" s="2658"/>
      <c r="R14" s="2604">
        <f>SUM(R7:R13)</f>
        <v>0</v>
      </c>
      <c r="S14" s="2593"/>
      <c r="T14" s="2593"/>
      <c r="U14" s="2593"/>
      <c r="V14" s="2601"/>
    </row>
    <row r="15" spans="1:22" s="2605" customFormat="1" ht="13.15" customHeight="1">
      <c r="A15" s="2648" t="s">
        <v>2369</v>
      </c>
      <c r="B15" s="3588" t="s">
        <v>2370</v>
      </c>
      <c r="C15" s="3589"/>
      <c r="D15" s="2649">
        <f>ROUND(D6*E15,0)</f>
        <v>0</v>
      </c>
      <c r="E15" s="2650">
        <v>5.5E-2</v>
      </c>
      <c r="F15" s="2643" t="s">
        <v>2371</v>
      </c>
      <c r="G15" s="2625"/>
      <c r="H15" s="2600"/>
      <c r="I15" s="2601"/>
      <c r="J15" s="3582">
        <v>2</v>
      </c>
      <c r="K15" s="3583" t="s">
        <v>2372</v>
      </c>
      <c r="L15" s="2635" t="s">
        <v>2373</v>
      </c>
      <c r="M15" s="2636" t="s">
        <v>2374</v>
      </c>
      <c r="N15" s="2636" t="s">
        <v>2375</v>
      </c>
      <c r="O15" s="2637" t="s">
        <v>2376</v>
      </c>
      <c r="P15" s="2637" t="s">
        <v>2338</v>
      </c>
      <c r="Q15" s="2612" t="s">
        <v>2377</v>
      </c>
      <c r="R15" s="2659" t="s">
        <v>2339</v>
      </c>
      <c r="S15" s="2593"/>
      <c r="T15" s="2593"/>
      <c r="U15" s="2593"/>
      <c r="V15" s="2601"/>
    </row>
    <row r="16" spans="1:22" s="2605" customFormat="1" ht="13.15" customHeight="1">
      <c r="A16" s="2648" t="s">
        <v>2378</v>
      </c>
      <c r="B16" s="3588" t="s">
        <v>2379</v>
      </c>
      <c r="C16" s="3589"/>
      <c r="D16" s="2660">
        <f>D6*E16</f>
        <v>0</v>
      </c>
      <c r="E16" s="2661"/>
      <c r="F16" s="2646" t="s">
        <v>2380</v>
      </c>
      <c r="G16" s="2625"/>
      <c r="H16" s="2600"/>
      <c r="I16" s="2601"/>
      <c r="J16" s="3582"/>
      <c r="K16" s="3584"/>
      <c r="L16" s="2635" t="s">
        <v>2381</v>
      </c>
      <c r="M16" s="2636"/>
      <c r="N16" s="2636"/>
      <c r="O16" s="2637"/>
      <c r="P16" s="2638">
        <v>365</v>
      </c>
      <c r="Q16" s="2612"/>
      <c r="R16" s="2659">
        <f>ROUND(M16*N16*O16*P16/10000,0)</f>
        <v>0</v>
      </c>
      <c r="S16" s="2593"/>
      <c r="T16" s="2593"/>
      <c r="U16" s="2593"/>
      <c r="V16" s="2601"/>
    </row>
    <row r="17" spans="1:22" s="2605" customFormat="1" ht="13.15" customHeight="1" thickBot="1">
      <c r="A17" s="2662">
        <v>4</v>
      </c>
      <c r="B17" s="3590" t="s">
        <v>2382</v>
      </c>
      <c r="C17" s="3591"/>
      <c r="D17" s="2663">
        <f>ROUND(D6*E17,0)</f>
        <v>0</v>
      </c>
      <c r="E17" s="2664"/>
      <c r="F17" s="2665" t="s">
        <v>2383</v>
      </c>
      <c r="G17" s="2625"/>
      <c r="H17" s="2600"/>
      <c r="I17" s="2601"/>
      <c r="J17" s="3582"/>
      <c r="K17" s="3584"/>
      <c r="L17" s="2635" t="s">
        <v>2384</v>
      </c>
      <c r="M17" s="2636"/>
      <c r="N17" s="2636"/>
      <c r="O17" s="2637"/>
      <c r="P17" s="2638">
        <v>365</v>
      </c>
      <c r="Q17" s="2612"/>
      <c r="R17" s="2659">
        <f>ROUND(M17*N17*O17*P17/10000,0)</f>
        <v>0</v>
      </c>
      <c r="S17" s="2593"/>
      <c r="T17" s="2593"/>
      <c r="U17" s="2593"/>
      <c r="V17" s="2601"/>
    </row>
    <row r="18" spans="1:22" s="2605" customFormat="1" ht="13.15" customHeight="1" thickBot="1">
      <c r="A18" s="2628" t="s">
        <v>2385</v>
      </c>
      <c r="B18" s="2629"/>
      <c r="C18" s="2629"/>
      <c r="D18" s="2666">
        <f>ROUND(D6*E18,0)</f>
        <v>0</v>
      </c>
      <c r="E18" s="2667"/>
      <c r="F18" s="2668" t="s">
        <v>2386</v>
      </c>
      <c r="G18" s="2625"/>
      <c r="H18" s="2600"/>
      <c r="I18" s="2601"/>
      <c r="J18" s="3582"/>
      <c r="K18" s="3584"/>
      <c r="L18" s="2635" t="s">
        <v>2387</v>
      </c>
      <c r="M18" s="2636"/>
      <c r="N18" s="2636"/>
      <c r="O18" s="2637"/>
      <c r="P18" s="2638">
        <v>365</v>
      </c>
      <c r="Q18" s="2612"/>
      <c r="R18" s="2659">
        <f>ROUND(M18*N18*O18*P18/10000,0)</f>
        <v>0</v>
      </c>
      <c r="S18" s="2593"/>
      <c r="T18" s="2593"/>
      <c r="U18" s="2593"/>
      <c r="V18" s="2601"/>
    </row>
    <row r="19" spans="1:22" s="2605" customFormat="1" ht="13.15" customHeight="1" thickBot="1">
      <c r="A19" s="2669" t="s">
        <v>2388</v>
      </c>
      <c r="B19" s="2623"/>
      <c r="C19" s="2623"/>
      <c r="D19" s="2623"/>
      <c r="E19" s="2623"/>
      <c r="F19" s="2624"/>
      <c r="G19" s="2644"/>
      <c r="H19" s="2600"/>
      <c r="I19" s="2601"/>
      <c r="J19" s="3582"/>
      <c r="K19" s="3585"/>
      <c r="L19" s="2655" t="s">
        <v>2368</v>
      </c>
      <c r="M19" s="2656"/>
      <c r="N19" s="2656">
        <f>SUM(N16:N18)</f>
        <v>0</v>
      </c>
      <c r="O19" s="2657"/>
      <c r="P19" s="2670" t="s">
        <v>2432</v>
      </c>
      <c r="Q19" s="2637">
        <v>0</v>
      </c>
      <c r="R19" s="2671">
        <f>ROUND(IF(P19="按比例",R14*Q19,SUM(R16:R18)),0)</f>
        <v>0</v>
      </c>
      <c r="S19" s="2593"/>
      <c r="T19" s="2593"/>
      <c r="U19" s="2593"/>
      <c r="V19" s="2601"/>
    </row>
    <row r="20" spans="1:22" s="2605" customFormat="1" ht="13.15" customHeight="1">
      <c r="A20" s="2628"/>
      <c r="B20" s="2629"/>
      <c r="C20" s="2629"/>
      <c r="D20" s="2629"/>
      <c r="E20" s="2629"/>
      <c r="F20" s="2672"/>
      <c r="G20" s="2644"/>
      <c r="H20" s="2600"/>
      <c r="I20" s="2601"/>
      <c r="J20" s="3582">
        <v>3</v>
      </c>
      <c r="K20" s="3583" t="s">
        <v>2389</v>
      </c>
      <c r="L20" s="2635" t="s">
        <v>2390</v>
      </c>
      <c r="M20" s="2636" t="s">
        <v>2391</v>
      </c>
      <c r="N20" s="2673" t="s">
        <v>2392</v>
      </c>
      <c r="O20" s="2637" t="s">
        <v>2393</v>
      </c>
      <c r="P20" s="2638" t="s">
        <v>2394</v>
      </c>
      <c r="Q20" s="2612" t="s">
        <v>2395</v>
      </c>
      <c r="R20" s="2659" t="s">
        <v>2396</v>
      </c>
      <c r="S20" s="2593"/>
      <c r="T20" s="2593"/>
      <c r="U20" s="2593"/>
      <c r="V20" s="2601"/>
    </row>
    <row r="21" spans="1:22" s="2605" customFormat="1" ht="13.15" customHeight="1">
      <c r="A21" s="2628"/>
      <c r="B21" s="2629"/>
      <c r="C21" s="2674" t="s">
        <v>2397</v>
      </c>
      <c r="D21" s="2675" t="s">
        <v>2398</v>
      </c>
      <c r="E21" s="2676" t="s">
        <v>2399</v>
      </c>
      <c r="F21" s="2672"/>
      <c r="G21" s="2644"/>
      <c r="H21" s="2600"/>
      <c r="I21" s="2601"/>
      <c r="J21" s="3582"/>
      <c r="K21" s="3584"/>
      <c r="L21" s="2635" t="s">
        <v>2400</v>
      </c>
      <c r="M21" s="2636"/>
      <c r="N21" s="2636"/>
      <c r="O21" s="2637"/>
      <c r="P21" s="2638">
        <v>365</v>
      </c>
      <c r="Q21" s="2612"/>
      <c r="R21" s="2677">
        <f>ROUND(M21*N21*O21*P21/10000,0)</f>
        <v>0</v>
      </c>
      <c r="S21" s="2593"/>
      <c r="T21" s="2593"/>
      <c r="U21" s="2593"/>
      <c r="V21" s="2601"/>
    </row>
    <row r="22" spans="1:22" s="2605" customFormat="1" ht="13.15" customHeight="1">
      <c r="A22" s="2628"/>
      <c r="B22" s="2629"/>
      <c r="C22" s="2678" t="s">
        <v>2401</v>
      </c>
      <c r="D22" s="2679" t="s">
        <v>2402</v>
      </c>
      <c r="E22" s="2680" t="s">
        <v>2403</v>
      </c>
      <c r="F22" s="2672"/>
      <c r="G22" s="2593"/>
      <c r="H22" s="2600"/>
      <c r="I22" s="2601"/>
      <c r="J22" s="3582"/>
      <c r="K22" s="3584"/>
      <c r="L22" s="2635" t="s">
        <v>2404</v>
      </c>
      <c r="M22" s="2636"/>
      <c r="N22" s="2636"/>
      <c r="O22" s="2637"/>
      <c r="P22" s="2638">
        <v>365</v>
      </c>
      <c r="Q22" s="2612"/>
      <c r="R22" s="2677">
        <f>ROUND(M22*N22*O22*P22/10000,0)</f>
        <v>0</v>
      </c>
      <c r="S22" s="2593"/>
      <c r="T22" s="2593"/>
      <c r="U22" s="2593"/>
      <c r="V22" s="2601"/>
    </row>
    <row r="23" spans="1:22" s="2605" customFormat="1" ht="13.15" customHeight="1">
      <c r="A23" s="2681">
        <v>1</v>
      </c>
      <c r="B23" s="2682" t="s">
        <v>2405</v>
      </c>
      <c r="C23" s="2683">
        <f>D6</f>
        <v>0</v>
      </c>
      <c r="D23" s="2684">
        <f>C23*(1+D24)</f>
        <v>0</v>
      </c>
      <c r="E23" s="2685">
        <f>D23*(1+E24)</f>
        <v>0</v>
      </c>
      <c r="F23" s="2686"/>
      <c r="G23" s="2687"/>
      <c r="H23" s="2600"/>
      <c r="I23" s="2601"/>
      <c r="J23" s="3582"/>
      <c r="K23" s="3584"/>
      <c r="L23" s="2635" t="s">
        <v>2406</v>
      </c>
      <c r="M23" s="2636"/>
      <c r="N23" s="2636"/>
      <c r="O23" s="2637"/>
      <c r="P23" s="2638">
        <v>365</v>
      </c>
      <c r="Q23" s="2612"/>
      <c r="R23" s="2677">
        <f>ROUND(M23*N23*O23*P23/10000,0)</f>
        <v>0</v>
      </c>
      <c r="S23" s="2593"/>
      <c r="T23" s="2593"/>
      <c r="U23" s="2593"/>
      <c r="V23" s="2601"/>
    </row>
    <row r="24" spans="1:22" s="2605" customFormat="1" ht="13.15" customHeight="1">
      <c r="A24" s="2688"/>
      <c r="B24" s="2689" t="s">
        <v>2407</v>
      </c>
      <c r="C24" s="2690"/>
      <c r="D24" s="2691"/>
      <c r="E24" s="2692"/>
      <c r="F24" s="2693"/>
      <c r="G24" s="2687"/>
      <c r="H24" s="2600"/>
      <c r="I24" s="2601"/>
      <c r="J24" s="3582"/>
      <c r="K24" s="3585"/>
      <c r="L24" s="2655" t="s">
        <v>2368</v>
      </c>
      <c r="M24" s="2656">
        <f>SUM(M21:M23)</f>
        <v>0</v>
      </c>
      <c r="N24" s="2656"/>
      <c r="O24" s="2657"/>
      <c r="P24" s="2670" t="s">
        <v>2432</v>
      </c>
      <c r="Q24" s="2637">
        <v>0</v>
      </c>
      <c r="R24" s="2671">
        <f>ROUND(IF(P24="按比例",R14*Q24,SUM(R21:R23)),0)</f>
        <v>0</v>
      </c>
      <c r="S24" s="2593"/>
      <c r="T24" s="2593"/>
      <c r="U24" s="2593"/>
      <c r="V24" s="2601"/>
    </row>
    <row r="25" spans="1:22" s="2700" customFormat="1" ht="13.15" customHeight="1">
      <c r="A25" s="2688"/>
      <c r="B25" s="2689"/>
      <c r="C25" s="2690"/>
      <c r="D25" s="2691"/>
      <c r="E25" s="2692"/>
      <c r="F25" s="2693"/>
      <c r="G25" s="2593"/>
      <c r="H25" s="2600"/>
      <c r="I25" s="2601"/>
      <c r="J25" s="2694">
        <v>4</v>
      </c>
      <c r="K25" s="2695" t="s">
        <v>2408</v>
      </c>
      <c r="L25" s="2696"/>
      <c r="M25" s="2696"/>
      <c r="N25" s="2696"/>
      <c r="O25" s="2696"/>
      <c r="P25" s="2697"/>
      <c r="Q25" s="2698">
        <v>0</v>
      </c>
      <c r="R25" s="2671">
        <f>ROUND(R14*Q25,0)</f>
        <v>0</v>
      </c>
      <c r="S25" s="2593"/>
      <c r="T25" s="2593"/>
      <c r="U25" s="2593"/>
      <c r="V25" s="2699"/>
    </row>
    <row r="26" spans="1:22" s="2700" customFormat="1" ht="13.15" customHeight="1">
      <c r="A26" s="2681">
        <v>2</v>
      </c>
      <c r="B26" s="2682" t="s">
        <v>2409</v>
      </c>
      <c r="C26" s="2683">
        <f>D7</f>
        <v>0</v>
      </c>
      <c r="D26" s="2684">
        <f>D23*D27</f>
        <v>0</v>
      </c>
      <c r="E26" s="2685">
        <f>E23*E27</f>
        <v>0</v>
      </c>
      <c r="F26" s="2686"/>
      <c r="G26" s="2687"/>
      <c r="H26" s="2600"/>
      <c r="I26" s="2601"/>
      <c r="J26" s="3592">
        <v>5</v>
      </c>
      <c r="K26" s="2701" t="s">
        <v>2410</v>
      </c>
      <c r="L26" s="2702"/>
      <c r="M26" s="2703"/>
      <c r="N26" s="2704" t="s">
        <v>2411</v>
      </c>
      <c r="O26" s="2704" t="s">
        <v>2412</v>
      </c>
      <c r="P26" s="2705" t="s">
        <v>2413</v>
      </c>
      <c r="Q26" s="2705" t="s">
        <v>2414</v>
      </c>
      <c r="R26" s="2610" t="s">
        <v>2339</v>
      </c>
      <c r="S26" s="2644"/>
      <c r="T26" s="2644"/>
      <c r="U26" s="2644"/>
      <c r="V26" s="2699"/>
    </row>
    <row r="27" spans="1:22" s="2605" customFormat="1" ht="13.15" customHeight="1">
      <c r="A27" s="2688"/>
      <c r="B27" s="2689" t="s">
        <v>2415</v>
      </c>
      <c r="C27" s="2706" t="e">
        <f>E7</f>
        <v>#DIV/0!</v>
      </c>
      <c r="D27" s="2691"/>
      <c r="E27" s="2692"/>
      <c r="F27" s="2693"/>
      <c r="G27" s="2687"/>
      <c r="H27" s="2707"/>
      <c r="I27" s="2699"/>
      <c r="J27" s="3593"/>
      <c r="K27" s="2708"/>
      <c r="L27" s="2709"/>
      <c r="M27" s="2710"/>
      <c r="N27" s="2711"/>
      <c r="O27" s="2711"/>
      <c r="P27" s="2711"/>
      <c r="Q27" s="2712"/>
      <c r="R27" s="2671">
        <f>ROUND(O27*N27*P27*(1-Q27)/10000,0)</f>
        <v>0</v>
      </c>
      <c r="S27" s="2593"/>
      <c r="T27" s="2593"/>
      <c r="U27" s="2593"/>
      <c r="V27" s="2601"/>
    </row>
    <row r="28" spans="1:22" s="2700" customFormat="1" ht="13.15" customHeight="1" thickBot="1">
      <c r="A28" s="2688"/>
      <c r="B28" s="2689"/>
      <c r="C28" s="2706"/>
      <c r="D28" s="2691"/>
      <c r="E28" s="2692" t="s">
        <v>2416</v>
      </c>
      <c r="F28" s="2693"/>
      <c r="G28" s="2593"/>
      <c r="H28" s="2707"/>
      <c r="I28" s="2699"/>
      <c r="J28" s="2713">
        <v>6</v>
      </c>
      <c r="K28" s="2714" t="s">
        <v>2417</v>
      </c>
      <c r="L28" s="2715" t="s">
        <v>2418</v>
      </c>
      <c r="M28" s="2716"/>
      <c r="N28" s="2715" t="s">
        <v>2419</v>
      </c>
      <c r="O28" s="2717"/>
      <c r="P28" s="2715" t="s">
        <v>2420</v>
      </c>
      <c r="Q28" s="2718">
        <v>1.4999999999999999E-2</v>
      </c>
      <c r="R28" s="2719"/>
      <c r="S28" s="2593"/>
      <c r="T28" s="2593"/>
      <c r="U28" s="2593"/>
      <c r="V28" s="2699"/>
    </row>
    <row r="29" spans="1:22" s="2700" customFormat="1" ht="13.15" customHeight="1">
      <c r="A29" s="2681">
        <v>3</v>
      </c>
      <c r="B29" s="2682" t="s">
        <v>2421</v>
      </c>
      <c r="C29" s="2683">
        <f>C23*C30</f>
        <v>0</v>
      </c>
      <c r="D29" s="2684">
        <f>D23*C30</f>
        <v>0</v>
      </c>
      <c r="E29" s="2685">
        <f>E23*C30</f>
        <v>0</v>
      </c>
      <c r="F29" s="2686"/>
      <c r="G29" s="2687"/>
      <c r="H29" s="2600"/>
      <c r="I29" s="2601"/>
      <c r="J29" s="2593"/>
      <c r="K29" s="2593"/>
      <c r="L29" s="2593"/>
      <c r="M29" s="2593"/>
      <c r="N29" s="2593"/>
      <c r="O29" s="2593"/>
      <c r="P29" s="2593"/>
      <c r="Q29" s="2593"/>
      <c r="R29" s="2593"/>
      <c r="S29" s="2593"/>
      <c r="T29" s="2593"/>
      <c r="U29" s="2593"/>
      <c r="V29" s="2699"/>
    </row>
    <row r="30" spans="1:22" s="2605" customFormat="1" ht="13.15" customHeight="1" thickBot="1">
      <c r="A30" s="2688"/>
      <c r="B30" s="2689" t="s">
        <v>2415</v>
      </c>
      <c r="C30" s="2706">
        <f>E18</f>
        <v>0</v>
      </c>
      <c r="D30" s="2720"/>
      <c r="E30" s="2654"/>
      <c r="F30" s="2693"/>
      <c r="G30" s="2687"/>
      <c r="H30" s="2707"/>
      <c r="I30" s="2699"/>
      <c r="J30" s="2593"/>
      <c r="K30" s="2593"/>
      <c r="L30" s="2593"/>
      <c r="M30" s="2593"/>
      <c r="N30" s="2593"/>
      <c r="O30" s="2593"/>
      <c r="P30" s="2593"/>
      <c r="Q30" s="2593"/>
      <c r="R30" s="2593"/>
      <c r="S30" s="2593"/>
      <c r="T30" s="2593"/>
      <c r="U30" s="2593"/>
      <c r="V30" s="2601"/>
    </row>
    <row r="31" spans="1:22" s="2700" customFormat="1" ht="13.15" customHeight="1">
      <c r="A31" s="2688"/>
      <c r="B31" s="2689"/>
      <c r="C31" s="2721"/>
      <c r="D31" s="2720"/>
      <c r="E31" s="2654"/>
      <c r="F31" s="2693"/>
      <c r="G31" s="2593"/>
      <c r="H31" s="2707"/>
      <c r="I31" s="2699"/>
      <c r="J31" s="2590" t="s">
        <v>2422</v>
      </c>
      <c r="K31" s="2591"/>
      <c r="L31" s="2591"/>
      <c r="M31" s="2591"/>
      <c r="N31" s="2591"/>
      <c r="O31" s="2591"/>
      <c r="P31" s="2591"/>
      <c r="Q31" s="2591"/>
      <c r="R31" s="2592"/>
      <c r="S31" s="2593"/>
      <c r="T31" s="2593"/>
      <c r="U31" s="2593"/>
      <c r="V31" s="2699"/>
    </row>
    <row r="32" spans="1:22" s="2700" customFormat="1" ht="13.15" customHeight="1">
      <c r="A32" s="2681">
        <v>4</v>
      </c>
      <c r="B32" s="2682" t="s">
        <v>2423</v>
      </c>
      <c r="C32" s="2683">
        <f>C23-C26-C29</f>
        <v>0</v>
      </c>
      <c r="D32" s="2684">
        <f>D23-D26-D29</f>
        <v>0</v>
      </c>
      <c r="E32" s="2685">
        <f>E23-E26-E29</f>
        <v>0</v>
      </c>
      <c r="F32" s="2686"/>
      <c r="G32" s="2593"/>
      <c r="H32" s="2600"/>
      <c r="I32" s="2601"/>
      <c r="J32" s="3575" t="s">
        <v>2315</v>
      </c>
      <c r="K32" s="3576"/>
      <c r="L32" s="2602" t="s">
        <v>2316</v>
      </c>
      <c r="M32" s="2602" t="s">
        <v>2317</v>
      </c>
      <c r="N32" s="2602" t="s">
        <v>2318</v>
      </c>
      <c r="O32" s="2602" t="s">
        <v>2319</v>
      </c>
      <c r="P32" s="2602" t="s">
        <v>2320</v>
      </c>
      <c r="Q32" s="2603" t="s">
        <v>2321</v>
      </c>
      <c r="R32" s="2722" t="s">
        <v>2322</v>
      </c>
      <c r="S32" s="2593"/>
      <c r="T32" s="2593"/>
      <c r="U32" s="2593"/>
      <c r="V32" s="2699"/>
    </row>
    <row r="33" spans="1:23" s="2605" customFormat="1" ht="13.15" customHeight="1">
      <c r="A33" s="2681"/>
      <c r="B33" s="2682"/>
      <c r="C33" s="2683"/>
      <c r="D33" s="2723"/>
      <c r="E33" s="2724"/>
      <c r="F33" s="2686"/>
      <c r="G33" s="2593"/>
      <c r="H33" s="2707"/>
      <c r="I33" s="2699"/>
      <c r="J33" s="3577" t="s">
        <v>2325</v>
      </c>
      <c r="K33" s="3578"/>
      <c r="L33" s="2608"/>
      <c r="M33" s="2608"/>
      <c r="N33" s="2608"/>
      <c r="O33" s="2608"/>
      <c r="P33" s="2608"/>
      <c r="Q33" s="2609"/>
      <c r="R33" s="2725">
        <f>SUM(L33:Q33)</f>
        <v>0</v>
      </c>
      <c r="S33" s="2593"/>
      <c r="T33" s="2593"/>
      <c r="U33" s="2593"/>
      <c r="V33" s="2601"/>
    </row>
    <row r="34" spans="1:23" s="2605" customFormat="1" ht="13.15" customHeight="1">
      <c r="A34" s="2681">
        <v>5</v>
      </c>
      <c r="B34" s="2682" t="s">
        <v>2424</v>
      </c>
      <c r="C34" s="2726"/>
      <c r="D34" s="2727"/>
      <c r="E34" s="2728"/>
      <c r="F34" s="2686"/>
      <c r="G34" s="2593"/>
      <c r="H34" s="2707"/>
      <c r="I34" s="2699"/>
      <c r="J34" s="3577" t="s">
        <v>2327</v>
      </c>
      <c r="K34" s="3578"/>
      <c r="L34" s="2613"/>
      <c r="M34" s="2613"/>
      <c r="N34" s="2613"/>
      <c r="O34" s="2613"/>
      <c r="P34" s="2613"/>
      <c r="Q34" s="2614"/>
      <c r="R34" s="2729">
        <f>SUM(L34:Q34)</f>
        <v>0</v>
      </c>
      <c r="S34" s="2593"/>
      <c r="T34" s="2593"/>
      <c r="U34" s="2593" t="e">
        <f>ROUND(R35*10000/365/R33,1)</f>
        <v>#DIV/0!</v>
      </c>
      <c r="V34" s="2601"/>
    </row>
    <row r="35" spans="1:23" s="2605" customFormat="1" ht="13.15" customHeight="1">
      <c r="A35" s="2681">
        <v>6</v>
      </c>
      <c r="B35" s="2682" t="s">
        <v>2425</v>
      </c>
      <c r="C35" s="2730"/>
      <c r="D35" s="2731"/>
      <c r="E35" s="2732"/>
      <c r="F35" s="2686"/>
      <c r="G35" s="2733"/>
      <c r="H35" s="2600"/>
      <c r="I35" s="2699"/>
      <c r="J35" s="2619" t="s">
        <v>2329</v>
      </c>
      <c r="K35" s="2620"/>
      <c r="L35" s="2620"/>
      <c r="M35" s="2621"/>
      <c r="N35" s="2621"/>
      <c r="O35" s="2621"/>
      <c r="P35" s="2621"/>
      <c r="Q35" s="2621"/>
      <c r="R35" s="2734">
        <f>R40+R41+R43</f>
        <v>0</v>
      </c>
      <c r="S35" s="2593"/>
      <c r="T35" s="2593" t="s">
        <v>2330</v>
      </c>
      <c r="U35" s="2593"/>
      <c r="V35" s="2601"/>
    </row>
    <row r="36" spans="1:23" s="2605" customFormat="1" ht="13.15" customHeight="1" thickBot="1">
      <c r="A36" s="2681">
        <v>7</v>
      </c>
      <c r="B36" s="2735" t="s">
        <v>2426</v>
      </c>
      <c r="C36" s="2736"/>
      <c r="D36" s="2737"/>
      <c r="E36" s="2738"/>
      <c r="F36" s="2739">
        <f>C36+D36+E36</f>
        <v>0</v>
      </c>
      <c r="G36" s="2593"/>
      <c r="H36" s="2600"/>
      <c r="I36" s="2601"/>
      <c r="J36" s="3582">
        <v>1</v>
      </c>
      <c r="K36" s="3583" t="s">
        <v>2427</v>
      </c>
      <c r="L36" s="2626"/>
      <c r="M36" s="2627"/>
      <c r="N36" s="2627"/>
      <c r="O36" s="2627"/>
      <c r="P36" s="2627"/>
      <c r="Q36" s="2627"/>
      <c r="R36" s="2610" t="s">
        <v>2339</v>
      </c>
      <c r="S36" s="2593"/>
      <c r="T36" s="2593" t="s">
        <v>2340</v>
      </c>
      <c r="U36" s="2593"/>
      <c r="V36" s="2601"/>
    </row>
    <row r="37" spans="1:23" s="2605" customFormat="1" ht="13.15" customHeight="1">
      <c r="A37" s="2681"/>
      <c r="B37" s="2682"/>
      <c r="C37" s="2682"/>
      <c r="D37" s="2682"/>
      <c r="E37" s="2682"/>
      <c r="F37" s="2686"/>
      <c r="G37" s="2593"/>
      <c r="H37" s="2600"/>
      <c r="I37" s="2601"/>
      <c r="J37" s="3582"/>
      <c r="K37" s="3584"/>
      <c r="L37" s="2635"/>
      <c r="M37" s="2636"/>
      <c r="N37" s="2612"/>
      <c r="O37" s="2637"/>
      <c r="P37" s="2637"/>
      <c r="Q37" s="2638"/>
      <c r="R37" s="2639"/>
      <c r="S37" s="2593"/>
      <c r="T37" s="2593" t="s">
        <v>2343</v>
      </c>
      <c r="U37" s="2593"/>
      <c r="V37" s="2601"/>
    </row>
    <row r="38" spans="1:23" s="2605" customFormat="1" ht="13.15" customHeight="1">
      <c r="A38" s="2681">
        <v>8</v>
      </c>
      <c r="B38" s="2682"/>
      <c r="C38" s="2641" t="e">
        <f>ROUND(C32*(1-((1+C35)/(1+C34))^C36)/(C34-C35),0)</f>
        <v>#DIV/0!</v>
      </c>
      <c r="D38" s="2641">
        <f>IF(D23=0,0,ROUND(D32*(1-((1+D35)/(1+D34))^D36)/(D34-D35),0))</f>
        <v>0</v>
      </c>
      <c r="E38" s="2641">
        <f>IF(E23=0,0,ROUND(E32*(1-((1+E35)/(1+E34))^E36)/(E34-E35),0))</f>
        <v>0</v>
      </c>
      <c r="F38" s="2686"/>
      <c r="G38" s="2593"/>
      <c r="H38" s="2600"/>
      <c r="I38" s="2601"/>
      <c r="J38" s="3582"/>
      <c r="K38" s="3584"/>
      <c r="L38" s="2635"/>
      <c r="M38" s="2636"/>
      <c r="N38" s="2612"/>
      <c r="O38" s="2637"/>
      <c r="P38" s="2637"/>
      <c r="Q38" s="2638"/>
      <c r="R38" s="2639"/>
      <c r="S38" s="2593"/>
      <c r="T38" s="2593" t="s">
        <v>2350</v>
      </c>
      <c r="U38" s="2593"/>
      <c r="V38" s="2601"/>
    </row>
    <row r="39" spans="1:23" s="2605" customFormat="1" ht="13.15" customHeight="1">
      <c r="A39" s="2681">
        <v>9</v>
      </c>
      <c r="B39" s="2682" t="s">
        <v>2428</v>
      </c>
      <c r="C39" s="2649" t="e">
        <f>C38</f>
        <v>#DIV/0!</v>
      </c>
      <c r="D39" s="2682">
        <f>D38/(1+D34)^C36</f>
        <v>0</v>
      </c>
      <c r="E39" s="2682">
        <f>E38/(1+E34)^(C36+D36)</f>
        <v>0</v>
      </c>
      <c r="F39" s="2686"/>
      <c r="G39" s="2601"/>
      <c r="H39" s="2600"/>
      <c r="I39" s="2601"/>
      <c r="J39" s="3582"/>
      <c r="K39" s="3584"/>
      <c r="L39" s="2635"/>
      <c r="M39" s="2636"/>
      <c r="N39" s="2612"/>
      <c r="O39" s="2637"/>
      <c r="P39" s="2637"/>
      <c r="Q39" s="2638"/>
      <c r="R39" s="2639"/>
      <c r="S39" s="2593"/>
      <c r="T39" s="2593"/>
      <c r="U39" s="2593"/>
      <c r="V39" s="2601"/>
    </row>
    <row r="40" spans="1:23" s="2605" customFormat="1" ht="13.15" customHeight="1">
      <c r="A40" s="2740">
        <v>10</v>
      </c>
      <c r="B40" s="2682" t="s">
        <v>2429</v>
      </c>
      <c r="C40" s="2741" t="e">
        <f>C39+D39+E39</f>
        <v>#DIV/0!</v>
      </c>
      <c r="D40" s="2742"/>
      <c r="E40" s="2742"/>
      <c r="F40" s="2743"/>
      <c r="G40" s="2593"/>
      <c r="H40" s="2600"/>
      <c r="I40" s="2601"/>
      <c r="J40" s="3582"/>
      <c r="K40" s="3585"/>
      <c r="L40" s="2655" t="s">
        <v>2368</v>
      </c>
      <c r="M40" s="2656"/>
      <c r="N40" s="2656"/>
      <c r="O40" s="2657"/>
      <c r="P40" s="2657"/>
      <c r="Q40" s="2658"/>
      <c r="R40" s="2604">
        <f>SUM(R37:R39)</f>
        <v>0</v>
      </c>
      <c r="S40" s="2593"/>
      <c r="T40" s="2593"/>
      <c r="U40" s="2593"/>
      <c r="V40" s="2601"/>
    </row>
    <row r="41" spans="1:23" s="2605" customFormat="1" ht="13.15" customHeight="1" thickBot="1">
      <c r="A41" s="2744">
        <v>11</v>
      </c>
      <c r="B41" s="2745" t="s">
        <v>2430</v>
      </c>
      <c r="C41" s="2745" t="e">
        <f>ROUND(C40*10000/B4,0)</f>
        <v>#DIV/0!</v>
      </c>
      <c r="D41" s="2746"/>
      <c r="E41" s="2746"/>
      <c r="F41" s="2747"/>
      <c r="G41" s="2600"/>
      <c r="H41" s="2600"/>
      <c r="I41" s="2601"/>
      <c r="J41" s="2694">
        <v>2</v>
      </c>
      <c r="K41" s="2695" t="s">
        <v>2408</v>
      </c>
      <c r="L41" s="2696"/>
      <c r="M41" s="2696"/>
      <c r="N41" s="2696"/>
      <c r="O41" s="2696"/>
      <c r="P41" s="2697"/>
      <c r="Q41" s="2698"/>
      <c r="R41" s="2671">
        <f>ROUND(R40*Q41,0)</f>
        <v>0</v>
      </c>
      <c r="S41" s="2593"/>
      <c r="T41" s="2593"/>
      <c r="U41" s="2644"/>
      <c r="V41" s="2601"/>
    </row>
    <row r="42" spans="1:23" s="2605" customFormat="1" ht="13.15" customHeight="1">
      <c r="G42" s="2600"/>
      <c r="H42" s="2600"/>
      <c r="I42" s="2601"/>
      <c r="J42" s="3592">
        <v>3</v>
      </c>
      <c r="K42" s="2701" t="s">
        <v>2410</v>
      </c>
      <c r="L42" s="2702"/>
      <c r="M42" s="2703"/>
      <c r="N42" s="2704" t="s">
        <v>2411</v>
      </c>
      <c r="O42" s="2704" t="s">
        <v>2412</v>
      </c>
      <c r="P42" s="2705" t="s">
        <v>2413</v>
      </c>
      <c r="Q42" s="2705" t="s">
        <v>2414</v>
      </c>
      <c r="R42" s="2610" t="s">
        <v>2339</v>
      </c>
      <c r="S42" s="2644"/>
      <c r="T42" s="2644"/>
      <c r="U42" s="2593"/>
      <c r="V42" s="2601"/>
    </row>
    <row r="43" spans="1:23" ht="13.15" customHeight="1">
      <c r="A43" s="2605"/>
      <c r="B43" s="2605"/>
      <c r="C43" s="2605"/>
      <c r="D43" s="2605"/>
      <c r="E43" s="2605"/>
      <c r="F43" s="2605"/>
      <c r="I43" s="2588"/>
      <c r="J43" s="3593"/>
      <c r="K43" s="2708"/>
      <c r="L43" s="2709"/>
      <c r="M43" s="2710"/>
      <c r="N43" s="2636"/>
      <c r="O43" s="2636"/>
      <c r="P43" s="2636"/>
      <c r="Q43" s="2698"/>
      <c r="R43" s="2671">
        <f>ROUND(O43*N43*P43*(1-Q43)/10000,0)</f>
        <v>0</v>
      </c>
      <c r="S43" s="2593"/>
      <c r="T43" s="2593"/>
      <c r="V43" s="2748"/>
      <c r="W43" s="2749"/>
    </row>
    <row r="44" spans="1:23" ht="13.15" customHeight="1" thickBot="1">
      <c r="J44" s="2713">
        <v>6</v>
      </c>
      <c r="K44" s="2714" t="s">
        <v>2417</v>
      </c>
      <c r="L44" s="2750" t="s">
        <v>2418</v>
      </c>
      <c r="M44" s="2716"/>
      <c r="N44" s="2750" t="s">
        <v>2419</v>
      </c>
      <c r="O44" s="2716"/>
      <c r="P44" s="2750" t="s">
        <v>2420</v>
      </c>
      <c r="Q44" s="2718">
        <v>1.4999999999999999E-2</v>
      </c>
      <c r="R44" s="271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6"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6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600-000001000000}">
      <formula1>"按明细,按比例"</formula1>
    </dataValidation>
    <dataValidation type="list" allowBlank="1" showInputMessage="1" showErrorMessage="1" sqref="D2" xr:uid="{00000000-0002-0000-1600-000002000000}">
      <formula1>"——,需考虑建筑物残值"</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5" t="s">
        <v>1656</v>
      </c>
      <c r="B1" s="1726"/>
      <c r="C1" s="1726"/>
      <c r="D1" s="1726"/>
      <c r="E1" s="1727"/>
      <c r="F1" s="2480"/>
      <c r="G1" s="459"/>
      <c r="H1" s="459"/>
      <c r="I1" s="459"/>
      <c r="J1" s="459"/>
      <c r="K1" s="459"/>
      <c r="L1" s="459"/>
      <c r="M1" s="459"/>
      <c r="N1" s="459"/>
      <c r="O1" s="459"/>
      <c r="P1" s="459"/>
      <c r="Q1" s="459"/>
      <c r="R1" s="459"/>
      <c r="S1" s="459"/>
    </row>
    <row r="2" spans="1:22" ht="15.75">
      <c r="A2" s="1728" t="s">
        <v>1460</v>
      </c>
      <c r="B2" s="811">
        <f ca="1">SUMIF(B6:B13,"&lt;&gt;#ref!",B6:B13)</f>
        <v>0</v>
      </c>
      <c r="C2" s="1729" t="s">
        <v>1649</v>
      </c>
      <c r="D2" s="1730" t="s">
        <v>1650</v>
      </c>
      <c r="E2" s="2393">
        <f>SUM(E6:E13)</f>
        <v>0</v>
      </c>
      <c r="F2" s="2480"/>
      <c r="G2" s="459"/>
      <c r="H2" s="459"/>
      <c r="I2" s="459"/>
      <c r="J2" s="459"/>
      <c r="K2" s="459"/>
      <c r="L2" s="459"/>
      <c r="M2" s="459"/>
      <c r="N2" s="459"/>
      <c r="O2" s="459"/>
      <c r="P2" s="459"/>
      <c r="Q2" s="459"/>
      <c r="R2" s="459"/>
      <c r="S2" s="459"/>
    </row>
    <row r="3" spans="1:22" ht="15.75">
      <c r="A3" s="1728" t="s">
        <v>686</v>
      </c>
      <c r="B3" s="2387" t="e">
        <f ca="1">ROUND(B2*10000/E2,0)</f>
        <v>#DIV/0!</v>
      </c>
      <c r="C3" s="1729" t="s">
        <v>1657</v>
      </c>
      <c r="D3" s="2480"/>
      <c r="E3" s="2483"/>
      <c r="F3" s="2480"/>
      <c r="G3" s="459"/>
      <c r="H3" s="459"/>
      <c r="I3" s="459"/>
      <c r="J3" s="459"/>
      <c r="K3" s="459"/>
      <c r="L3" s="459"/>
      <c r="M3" s="459"/>
      <c r="N3" s="459"/>
      <c r="O3" s="459"/>
      <c r="P3" s="459"/>
      <c r="Q3" s="459"/>
      <c r="R3" s="459"/>
      <c r="S3" s="459"/>
    </row>
    <row r="4" spans="1:22" ht="15.75">
      <c r="A4" s="2484"/>
      <c r="B4" s="2480"/>
      <c r="C4" s="2480"/>
      <c r="D4" s="2480"/>
      <c r="E4" s="2483"/>
      <c r="F4" s="2480"/>
      <c r="G4" s="459"/>
      <c r="H4" s="459"/>
      <c r="I4" s="459"/>
      <c r="J4" s="459"/>
      <c r="K4" s="459"/>
      <c r="L4" s="459"/>
      <c r="M4" s="459"/>
      <c r="N4" s="459"/>
      <c r="O4" s="459"/>
      <c r="P4" s="459"/>
      <c r="Q4" s="459"/>
      <c r="R4" s="459"/>
      <c r="S4" s="459"/>
    </row>
    <row r="5" spans="1:22" ht="15">
      <c r="A5" s="2389" t="s">
        <v>1651</v>
      </c>
      <c r="B5" s="3594" t="s">
        <v>1652</v>
      </c>
      <c r="C5" s="3595"/>
      <c r="D5" s="2481"/>
      <c r="E5" s="1731" t="s">
        <v>1653</v>
      </c>
      <c r="F5" s="129" t="s">
        <v>1654</v>
      </c>
      <c r="G5" s="459"/>
      <c r="H5" s="459"/>
      <c r="I5" s="459"/>
      <c r="J5" s="459"/>
      <c r="K5" s="459"/>
      <c r="L5" s="459"/>
      <c r="M5" s="459"/>
      <c r="N5" s="459"/>
      <c r="O5" s="459"/>
      <c r="P5" s="459"/>
      <c r="Q5" s="459"/>
      <c r="R5" s="459"/>
      <c r="S5" s="459"/>
    </row>
    <row r="6" spans="1:22">
      <c r="A6" s="2390">
        <f>'数据-取费表'!AN6</f>
        <v>0</v>
      </c>
      <c r="B6" s="2388" t="e">
        <f ca="1">IF(F6="是",'数据-取费表'!AO6,0)</f>
        <v>#REF!</v>
      </c>
      <c r="C6" s="1729" t="s">
        <v>1649</v>
      </c>
      <c r="D6" s="2480"/>
      <c r="E6" s="2392">
        <f>IF(OR(A6=0,F6="否"),0,'数据-取费表'!K6+'数据-取费表'!S6)</f>
        <v>0</v>
      </c>
      <c r="F6" s="1732" t="s">
        <v>1655</v>
      </c>
      <c r="G6" s="459"/>
      <c r="H6" s="459"/>
      <c r="I6" s="459"/>
      <c r="J6" s="459"/>
      <c r="K6" s="459"/>
      <c r="L6" s="459"/>
      <c r="M6" s="459"/>
      <c r="N6" s="459"/>
      <c r="O6" s="459"/>
      <c r="P6" s="459"/>
      <c r="Q6" s="459"/>
      <c r="R6" s="459"/>
      <c r="S6" s="459"/>
    </row>
    <row r="7" spans="1:22">
      <c r="A7" s="2390">
        <f>'数据-取费表'!AN7</f>
        <v>0</v>
      </c>
      <c r="B7" s="2388" t="e">
        <f ca="1">IF(F7="是",'数据-取费表'!AO7,0)</f>
        <v>#REF!</v>
      </c>
      <c r="C7" s="1729" t="s">
        <v>1649</v>
      </c>
      <c r="D7" s="2480"/>
      <c r="E7" s="2392">
        <f>IF(OR(A7=0,F7="否"),0,'数据-取费表'!K7+'数据-取费表'!S7)</f>
        <v>0</v>
      </c>
      <c r="F7" s="1732" t="s">
        <v>1655</v>
      </c>
      <c r="G7" s="459"/>
      <c r="H7" s="459"/>
      <c r="I7" s="459"/>
      <c r="J7" s="459"/>
      <c r="K7" s="459"/>
      <c r="L7" s="459"/>
      <c r="M7" s="459"/>
      <c r="N7" s="459"/>
      <c r="O7" s="459"/>
      <c r="P7" s="459"/>
      <c r="Q7" s="459"/>
      <c r="R7" s="459"/>
      <c r="S7" s="459"/>
    </row>
    <row r="8" spans="1:22">
      <c r="A8" s="2390">
        <f>'数据-取费表'!AN8</f>
        <v>0</v>
      </c>
      <c r="B8" s="2388" t="e">
        <f ca="1">IF(F8="是",'数据-取费表'!AO8,0)</f>
        <v>#REF!</v>
      </c>
      <c r="C8" s="1729" t="s">
        <v>1649</v>
      </c>
      <c r="D8" s="2480"/>
      <c r="E8" s="2392">
        <f>IF(OR(A8=0,F8="否"),0,'数据-取费表'!K8+'数据-取费表'!S8)</f>
        <v>0</v>
      </c>
      <c r="F8" s="1732" t="s">
        <v>1655</v>
      </c>
      <c r="G8" s="459"/>
      <c r="H8" s="459"/>
      <c r="I8" s="459"/>
      <c r="J8" s="459"/>
      <c r="K8" s="459"/>
      <c r="L8" s="459"/>
      <c r="M8" s="459"/>
      <c r="N8" s="459"/>
      <c r="O8" s="459"/>
      <c r="P8" s="459"/>
      <c r="Q8" s="459"/>
      <c r="R8" s="459"/>
      <c r="S8" s="459"/>
    </row>
    <row r="9" spans="1:22">
      <c r="A9" s="2390">
        <f>'数据-取费表'!AN9</f>
        <v>0</v>
      </c>
      <c r="B9" s="2388" t="e">
        <f ca="1">IF(F9="是",'数据-取费表'!AO9,0)</f>
        <v>#REF!</v>
      </c>
      <c r="C9" s="1729" t="s">
        <v>1649</v>
      </c>
      <c r="D9" s="2480"/>
      <c r="E9" s="2392">
        <f>IF(OR(A9=0,F9="否"),0,'数据-取费表'!K9+'数据-取费表'!S9)</f>
        <v>0</v>
      </c>
      <c r="F9" s="1732" t="s">
        <v>1655</v>
      </c>
      <c r="G9" s="459"/>
      <c r="H9" s="459"/>
      <c r="I9" s="459"/>
      <c r="J9" s="459"/>
      <c r="K9" s="459"/>
      <c r="L9" s="459"/>
      <c r="M9" s="459"/>
      <c r="N9" s="459"/>
      <c r="O9" s="459"/>
      <c r="P9" s="459"/>
      <c r="Q9" s="459"/>
      <c r="R9" s="459"/>
      <c r="S9" s="459"/>
    </row>
    <row r="10" spans="1:22">
      <c r="A10" s="2390">
        <f>'数据-取费表'!AN10</f>
        <v>0</v>
      </c>
      <c r="B10" s="2388" t="e">
        <f ca="1">IF(F10="是",'数据-取费表'!AO10,0)</f>
        <v>#REF!</v>
      </c>
      <c r="C10" s="1729" t="s">
        <v>1649</v>
      </c>
      <c r="D10" s="2480"/>
      <c r="E10" s="2392">
        <f>IF(OR(A10=0,F10="否"),0,'数据-取费表'!K10+'数据-取费表'!S10)</f>
        <v>0</v>
      </c>
      <c r="F10" s="1732" t="s">
        <v>1655</v>
      </c>
      <c r="G10" s="459"/>
      <c r="H10" s="459"/>
      <c r="I10" s="459"/>
      <c r="J10" s="459"/>
      <c r="K10" s="459"/>
      <c r="L10" s="459"/>
      <c r="M10" s="459"/>
      <c r="N10" s="459"/>
      <c r="O10" s="459"/>
      <c r="P10" s="459"/>
      <c r="Q10" s="459"/>
      <c r="R10" s="459"/>
      <c r="S10" s="459"/>
    </row>
    <row r="11" spans="1:22">
      <c r="A11" s="2390">
        <f>'数据-取费表'!AN11</f>
        <v>0</v>
      </c>
      <c r="B11" s="2388" t="e">
        <f ca="1">IF(F11="是",'数据-取费表'!AO11,0)</f>
        <v>#REF!</v>
      </c>
      <c r="C11" s="1729" t="s">
        <v>1649</v>
      </c>
      <c r="D11" s="2480"/>
      <c r="E11" s="2392">
        <f>IF(OR(A11=0,F11="否"),0,'数据-取费表'!K11+'数据-取费表'!S11)</f>
        <v>0</v>
      </c>
      <c r="F11" s="1732" t="s">
        <v>1655</v>
      </c>
      <c r="G11" s="459"/>
      <c r="H11" s="459"/>
      <c r="I11" s="459"/>
      <c r="J11" s="459"/>
      <c r="K11" s="459"/>
      <c r="L11" s="459"/>
      <c r="M11" s="459"/>
      <c r="N11" s="459"/>
      <c r="O11" s="459"/>
      <c r="P11" s="459"/>
      <c r="Q11" s="459"/>
      <c r="R11" s="459"/>
      <c r="S11" s="459"/>
    </row>
    <row r="12" spans="1:22">
      <c r="A12" s="2390">
        <f>'数据-取费表'!AN12</f>
        <v>0</v>
      </c>
      <c r="B12" s="2388" t="e">
        <f ca="1">IF(F12="是",'数据-取费表'!AO12,0)</f>
        <v>#REF!</v>
      </c>
      <c r="C12" s="1729" t="s">
        <v>1649</v>
      </c>
      <c r="D12" s="2480"/>
      <c r="E12" s="2392">
        <f>IF(OR(A12=0,F12="否"),0,'数据-取费表'!K12+'数据-取费表'!S12)</f>
        <v>0</v>
      </c>
      <c r="F12" s="1732" t="s">
        <v>1655</v>
      </c>
      <c r="G12" s="459"/>
      <c r="H12" s="459"/>
      <c r="I12" s="459"/>
      <c r="J12" s="459"/>
      <c r="K12" s="459"/>
      <c r="L12" s="459"/>
      <c r="M12" s="459"/>
      <c r="N12" s="459"/>
      <c r="O12" s="459"/>
      <c r="P12" s="459"/>
      <c r="Q12" s="459"/>
      <c r="R12" s="459"/>
      <c r="S12" s="459"/>
    </row>
    <row r="13" spans="1:22" ht="15" thickBot="1">
      <c r="A13" s="2391">
        <f>'数据-取费表'!AN13</f>
        <v>0</v>
      </c>
      <c r="B13" s="2388" t="e">
        <f ca="1">IF(F13="是",'数据-取费表'!AO13,0)</f>
        <v>#REF!</v>
      </c>
      <c r="C13" s="1733" t="s">
        <v>1649</v>
      </c>
      <c r="D13" s="2482"/>
      <c r="E13" s="2392">
        <f>IF(OR(A13=0,F13="否"),0,'数据-取费表'!K13+'数据-取费表'!S13)</f>
        <v>0</v>
      </c>
      <c r="F13" s="1732" t="s">
        <v>1655</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6" type="noConversion"/>
  <dataValidations count="1">
    <dataValidation type="list" allowBlank="1" showInputMessage="1" showErrorMessage="1" sqref="F6:F13" xr:uid="{00000000-0002-0000-1700-000000000000}">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tabColor rgb="FF92D050"/>
    <pageSetUpPr fitToPage="1"/>
  </sheetPr>
  <dimension ref="A1:AC148"/>
  <sheetViews>
    <sheetView view="pageBreakPreview" topLeftCell="A22" zoomScale="70" zoomScaleNormal="60" zoomScaleSheetLayoutView="70" workbookViewId="0">
      <selection activeCell="B38" sqref="B38"/>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1658</v>
      </c>
      <c r="B1" s="1734" t="s">
        <v>1659</v>
      </c>
      <c r="C1" s="1155" t="s">
        <v>1660</v>
      </c>
      <c r="D1" s="1142"/>
      <c r="E1" s="3125"/>
      <c r="F1" s="1735"/>
      <c r="G1" s="1152" t="s">
        <v>1661</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6"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1662</v>
      </c>
      <c r="F2" s="1739"/>
      <c r="G2" s="854"/>
      <c r="H2" s="854"/>
      <c r="I2" s="854"/>
      <c r="J2" s="854"/>
      <c r="K2" s="1740"/>
      <c r="L2" s="2485"/>
      <c r="M2" s="2486"/>
      <c r="N2" s="2486"/>
      <c r="O2" s="2486"/>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1663</v>
      </c>
      <c r="D3" s="343">
        <f>IF(D1="",'数据-汇总表'!E3,SUMIF('数据-汇总表'!$C19:$C33,D1,'数据-汇总表'!$E19:$E33))</f>
        <v>449.18</v>
      </c>
      <c r="E3" s="854"/>
      <c r="F3" s="1743"/>
      <c r="G3" s="854"/>
      <c r="H3" s="854"/>
      <c r="I3" s="854"/>
      <c r="J3" s="854"/>
      <c r="K3" s="1740"/>
      <c r="L3" s="2485"/>
      <c r="M3" s="2486"/>
      <c r="N3" s="2486"/>
      <c r="O3" s="2486"/>
      <c r="P3" s="1741"/>
      <c r="Q3" s="1742"/>
      <c r="R3" s="1742"/>
      <c r="S3" s="1742"/>
      <c r="T3" s="1742"/>
      <c r="U3" s="1742"/>
      <c r="V3" s="1742"/>
      <c r="W3" s="1742"/>
      <c r="X3" s="1742"/>
      <c r="Y3" s="1742"/>
      <c r="Z3" s="1742"/>
      <c r="AA3" s="1742"/>
      <c r="AB3" s="1742"/>
      <c r="AC3" s="998"/>
    </row>
    <row r="4" spans="1:29" ht="15">
      <c r="A4" s="345" t="s">
        <v>1664</v>
      </c>
      <c r="B4" s="346"/>
      <c r="C4" s="3614" t="s">
        <v>1665</v>
      </c>
      <c r="D4" s="3615"/>
      <c r="E4" s="3616" t="s">
        <v>1666</v>
      </c>
      <c r="F4" s="3617"/>
      <c r="G4" s="3614" t="s">
        <v>1667</v>
      </c>
      <c r="H4" s="3615"/>
      <c r="I4" s="3614" t="s">
        <v>1668</v>
      </c>
      <c r="J4" s="3615"/>
      <c r="K4" s="1744" t="s">
        <v>1669</v>
      </c>
      <c r="L4" s="2487"/>
      <c r="M4" s="2488"/>
      <c r="N4" s="2488"/>
      <c r="O4" s="2488"/>
      <c r="P4" s="3618" t="s">
        <v>1670</v>
      </c>
      <c r="Q4" s="3619"/>
      <c r="R4" s="3601" t="s">
        <v>1666</v>
      </c>
      <c r="S4" s="3602"/>
      <c r="T4" s="3601" t="s">
        <v>1667</v>
      </c>
      <c r="U4" s="3602"/>
      <c r="V4" s="3626" t="s">
        <v>1668</v>
      </c>
      <c r="W4" s="3626"/>
      <c r="X4" s="1265"/>
      <c r="Y4" s="3601" t="s">
        <v>1670</v>
      </c>
      <c r="Z4" s="3602"/>
      <c r="AA4" s="3596" t="s">
        <v>1666</v>
      </c>
      <c r="AB4" s="3596" t="s">
        <v>1667</v>
      </c>
      <c r="AC4" s="3596" t="s">
        <v>1668</v>
      </c>
    </row>
    <row r="5" spans="1:29" ht="15">
      <c r="A5" s="348"/>
      <c r="B5" s="349"/>
      <c r="C5" s="3607" t="s">
        <v>1671</v>
      </c>
      <c r="D5" s="3608"/>
      <c r="E5" s="3605" t="s">
        <v>1672</v>
      </c>
      <c r="F5" s="3606"/>
      <c r="G5" s="3607" t="s">
        <v>1673</v>
      </c>
      <c r="H5" s="3608"/>
      <c r="I5" s="3607" t="s">
        <v>1674</v>
      </c>
      <c r="J5" s="3608"/>
      <c r="K5" s="1745"/>
      <c r="L5" s="2487"/>
      <c r="M5" s="2488"/>
      <c r="N5" s="2488"/>
      <c r="O5" s="2488"/>
      <c r="P5" s="3620"/>
      <c r="Q5" s="3621"/>
      <c r="R5" s="3603"/>
      <c r="S5" s="3604"/>
      <c r="T5" s="3603"/>
      <c r="U5" s="3604"/>
      <c r="V5" s="3626"/>
      <c r="W5" s="3626"/>
      <c r="X5" s="1265"/>
      <c r="Y5" s="3603"/>
      <c r="Z5" s="3604"/>
      <c r="AA5" s="3597"/>
      <c r="AB5" s="3597"/>
      <c r="AC5" s="3597"/>
    </row>
    <row r="6" spans="1:29" ht="15.75" thickBot="1">
      <c r="A6" s="350"/>
      <c r="B6" s="351"/>
      <c r="C6" s="3609" t="s">
        <v>1675</v>
      </c>
      <c r="D6" s="3610"/>
      <c r="E6" s="3611" t="s">
        <v>1675</v>
      </c>
      <c r="F6" s="3612"/>
      <c r="G6" s="3609" t="s">
        <v>1675</v>
      </c>
      <c r="H6" s="3610"/>
      <c r="I6" s="3609" t="s">
        <v>1675</v>
      </c>
      <c r="J6" s="3610"/>
      <c r="K6" s="1745" t="s">
        <v>1676</v>
      </c>
      <c r="L6" s="2487"/>
      <c r="M6" s="2488"/>
      <c r="N6" s="2488"/>
      <c r="O6" s="2488"/>
      <c r="P6" s="3622"/>
      <c r="Q6" s="3623"/>
      <c r="R6" s="3603"/>
      <c r="S6" s="3604"/>
      <c r="T6" s="3624"/>
      <c r="U6" s="3625"/>
      <c r="V6" s="3626"/>
      <c r="W6" s="3626"/>
      <c r="X6" s="1265"/>
      <c r="Y6" s="3624"/>
      <c r="Z6" s="3625"/>
      <c r="AA6" s="3598"/>
      <c r="AB6" s="3598"/>
      <c r="AC6" s="3598"/>
    </row>
    <row r="7" spans="1:29" s="102" customFormat="1" ht="15.75" thickBot="1">
      <c r="A7" s="352" t="s">
        <v>1677</v>
      </c>
      <c r="B7" s="353"/>
      <c r="C7" s="354">
        <f>'数据-取费表'!B2</f>
        <v>45839</v>
      </c>
      <c r="D7" s="355">
        <v>100</v>
      </c>
      <c r="E7" s="356"/>
      <c r="F7" s="357">
        <f>SUMIF(58:58,YEAR(E7)&amp;"-"&amp;MONTH(E7),59:59)</f>
        <v>0</v>
      </c>
      <c r="G7" s="356"/>
      <c r="H7" s="355">
        <f>SUMIF(58:58,YEAR(G7)&amp;"-"&amp;MONTH(G7),59:59)</f>
        <v>0</v>
      </c>
      <c r="I7" s="356"/>
      <c r="J7" s="355">
        <f>SUMIF(58:58,YEAR(I7)&amp;"-"&amp;MONTH(I7),59:59)</f>
        <v>0</v>
      </c>
      <c r="K7" s="1746"/>
      <c r="L7" s="2489"/>
      <c r="M7" s="2440"/>
      <c r="N7" s="2440"/>
      <c r="O7" s="2440"/>
      <c r="P7" s="3599" t="s">
        <v>1678</v>
      </c>
      <c r="Q7" s="3627"/>
      <c r="R7" s="664" t="s">
        <v>20</v>
      </c>
      <c r="S7" s="665">
        <f t="shared" ref="S7:S15" si="0">F7</f>
        <v>0</v>
      </c>
      <c r="T7" s="664" t="s">
        <v>20</v>
      </c>
      <c r="U7" s="665">
        <f t="shared" ref="U7:U15" si="1">H7</f>
        <v>0</v>
      </c>
      <c r="V7" s="664" t="s">
        <v>20</v>
      </c>
      <c r="W7" s="665">
        <f t="shared" ref="W7:W15" si="2">J7</f>
        <v>0</v>
      </c>
      <c r="X7" s="666"/>
      <c r="Y7" s="3599" t="s">
        <v>1678</v>
      </c>
      <c r="Z7" s="3600"/>
      <c r="AA7" s="50" t="e">
        <f>D7/F7</f>
        <v>#DIV/0!</v>
      </c>
      <c r="AB7" s="50" t="e">
        <f>D7/H7</f>
        <v>#DIV/0!</v>
      </c>
      <c r="AC7" s="50" t="e">
        <f>D7/J7</f>
        <v>#DIV/0!</v>
      </c>
    </row>
    <row r="8" spans="1:29" s="102" customFormat="1" ht="15.75" thickBot="1">
      <c r="A8" s="352" t="s">
        <v>1679</v>
      </c>
      <c r="B8" s="353"/>
      <c r="C8" s="358"/>
      <c r="D8" s="355">
        <v>100</v>
      </c>
      <c r="E8" s="1747"/>
      <c r="F8" s="357">
        <f>SUMIF(61:61,E8,62:62)-SUMIF(61:61,C8,62:62)+100</f>
        <v>100</v>
      </c>
      <c r="G8" s="358"/>
      <c r="H8" s="355">
        <f>SUMIF(61:61,G8,62:62)-SUMIF(61:61,C8,62:62)+100</f>
        <v>100</v>
      </c>
      <c r="I8" s="1747"/>
      <c r="J8" s="355">
        <f>SUMIF(61:61,I8,62:62)-SUMIF(61:61,C8,62:62)+100</f>
        <v>100</v>
      </c>
      <c r="K8" s="1746"/>
      <c r="L8" s="2489"/>
      <c r="M8" s="2440"/>
      <c r="N8" s="2440"/>
      <c r="O8" s="2440"/>
      <c r="P8" s="3599" t="s">
        <v>1681</v>
      </c>
      <c r="Q8" s="3600"/>
      <c r="R8" s="664" t="s">
        <v>20</v>
      </c>
      <c r="S8" s="665">
        <f t="shared" si="0"/>
        <v>100</v>
      </c>
      <c r="T8" s="664" t="s">
        <v>20</v>
      </c>
      <c r="U8" s="665">
        <f t="shared" si="1"/>
        <v>100</v>
      </c>
      <c r="V8" s="664" t="s">
        <v>20</v>
      </c>
      <c r="W8" s="665">
        <f t="shared" si="2"/>
        <v>100</v>
      </c>
      <c r="X8" s="666"/>
      <c r="Y8" s="3599" t="s">
        <v>1681</v>
      </c>
      <c r="Z8" s="3600"/>
      <c r="AA8" s="50">
        <f t="shared" ref="AA8:AA19" si="3">D8/F8</f>
        <v>1</v>
      </c>
      <c r="AB8" s="50">
        <f t="shared" ref="AB8:AB19" si="4">D8/H8</f>
        <v>1</v>
      </c>
      <c r="AC8" s="50">
        <f t="shared" ref="AC8:AC19" si="5">D8/J8</f>
        <v>1</v>
      </c>
    </row>
    <row r="9" spans="1:29" s="102" customFormat="1">
      <c r="A9" s="359" t="s">
        <v>1682</v>
      </c>
      <c r="B9" s="60" t="s">
        <v>1683</v>
      </c>
      <c r="C9" s="360"/>
      <c r="D9" s="59">
        <v>100</v>
      </c>
      <c r="E9" s="361"/>
      <c r="F9" s="60">
        <f>SUMIF(63:63,E9,64:64)-SUMIF(63:63,C9,64:64)+100</f>
        <v>100</v>
      </c>
      <c r="G9" s="362"/>
      <c r="H9" s="59">
        <f>SUMIF(63:63,G9,64:64)-SUMIF(63:63,C9,64:64)+100</f>
        <v>100</v>
      </c>
      <c r="I9" s="362"/>
      <c r="J9" s="59">
        <f>SUMIF(63:63,I9,64:64)-SUMIF(63:63,C9,64:64)+100</f>
        <v>100</v>
      </c>
      <c r="K9" s="1746"/>
      <c r="L9" s="2489"/>
      <c r="M9" s="2440"/>
      <c r="N9" s="2440"/>
      <c r="O9" s="2440"/>
      <c r="P9" s="3613" t="s">
        <v>1684</v>
      </c>
      <c r="Q9" s="530" t="str">
        <f t="shared" ref="Q9:Q15" si="6">B9</f>
        <v>用途</v>
      </c>
      <c r="R9" s="664" t="s">
        <v>14</v>
      </c>
      <c r="S9" s="665">
        <f t="shared" si="0"/>
        <v>100</v>
      </c>
      <c r="T9" s="664" t="s">
        <v>14</v>
      </c>
      <c r="U9" s="665">
        <f t="shared" si="1"/>
        <v>100</v>
      </c>
      <c r="V9" s="664" t="s">
        <v>14</v>
      </c>
      <c r="W9" s="665">
        <f t="shared" si="2"/>
        <v>100</v>
      </c>
      <c r="X9" s="666"/>
      <c r="Y9" s="3543" t="s">
        <v>1685</v>
      </c>
      <c r="Z9" s="50" t="str">
        <f t="shared" ref="Z9:Z15" si="7">Q9</f>
        <v>用途</v>
      </c>
      <c r="AA9" s="50">
        <f t="shared" si="3"/>
        <v>1</v>
      </c>
      <c r="AB9" s="50">
        <f t="shared" si="4"/>
        <v>1</v>
      </c>
      <c r="AC9" s="50">
        <f t="shared" si="5"/>
        <v>1</v>
      </c>
    </row>
    <row r="10" spans="1:29" s="366" customFormat="1" ht="27">
      <c r="A10" s="363"/>
      <c r="B10" s="364" t="s">
        <v>1686</v>
      </c>
      <c r="C10" s="3133"/>
      <c r="D10" s="119">
        <v>100</v>
      </c>
      <c r="E10" s="3134"/>
      <c r="F10" s="364">
        <f>SUMIF(65:65,E10,66:66)-SUMIF(65:65,C10,66:66)+100</f>
        <v>100</v>
      </c>
      <c r="G10" s="3133"/>
      <c r="H10" s="119">
        <f>SUMIF(65:65,G10,66:66)-SUMIF(65:65,C10,66:66)+100</f>
        <v>100</v>
      </c>
      <c r="I10" s="3133"/>
      <c r="J10" s="119">
        <f>SUMIF(65:65,I10,66:66)-SUMIF(65:65,C10,66:66)+100</f>
        <v>100</v>
      </c>
      <c r="K10" s="1746"/>
      <c r="L10" s="2490"/>
      <c r="M10" s="2491"/>
      <c r="N10" s="2491"/>
      <c r="O10" s="2491"/>
      <c r="P10" s="3613"/>
      <c r="Q10" s="530" t="str">
        <f t="shared" si="6"/>
        <v>土地使用年限（年）</v>
      </c>
      <c r="R10" s="664" t="s">
        <v>14</v>
      </c>
      <c r="S10" s="665">
        <f t="shared" si="0"/>
        <v>100</v>
      </c>
      <c r="T10" s="664" t="s">
        <v>14</v>
      </c>
      <c r="U10" s="665">
        <f t="shared" si="1"/>
        <v>100</v>
      </c>
      <c r="V10" s="664" t="s">
        <v>14</v>
      </c>
      <c r="W10" s="665">
        <f t="shared" si="2"/>
        <v>100</v>
      </c>
      <c r="X10" s="666"/>
      <c r="Y10" s="3543"/>
      <c r="Z10" s="50" t="str">
        <f t="shared" si="7"/>
        <v>土地使用年限（年）</v>
      </c>
      <c r="AA10" s="50">
        <f t="shared" si="3"/>
        <v>1</v>
      </c>
      <c r="AB10" s="50">
        <f t="shared" si="4"/>
        <v>1</v>
      </c>
      <c r="AC10" s="50">
        <f t="shared" si="5"/>
        <v>1</v>
      </c>
    </row>
    <row r="11" spans="1:29" ht="15">
      <c r="A11" s="367"/>
      <c r="B11" s="364" t="s">
        <v>1687</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2"/>
      <c r="M11" s="2488"/>
      <c r="N11" s="2488"/>
      <c r="O11" s="2488"/>
      <c r="P11" s="3613"/>
      <c r="Q11" s="530" t="str">
        <f t="shared" si="6"/>
        <v>容积率</v>
      </c>
      <c r="R11" s="664" t="s">
        <v>18</v>
      </c>
      <c r="S11" s="665" t="e">
        <f t="shared" si="0"/>
        <v>#N/A</v>
      </c>
      <c r="T11" s="664" t="s">
        <v>18</v>
      </c>
      <c r="U11" s="665" t="e">
        <f t="shared" si="1"/>
        <v>#N/A</v>
      </c>
      <c r="V11" s="664" t="s">
        <v>18</v>
      </c>
      <c r="W11" s="665" t="e">
        <f t="shared" si="2"/>
        <v>#N/A</v>
      </c>
      <c r="X11" s="666"/>
      <c r="Y11" s="3543"/>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9"/>
      <c r="M12" s="2440"/>
      <c r="N12" s="2440"/>
      <c r="O12" s="2440"/>
      <c r="P12" s="3613"/>
      <c r="Q12" s="530">
        <f t="shared" si="6"/>
        <v>111</v>
      </c>
      <c r="R12" s="664" t="s">
        <v>18</v>
      </c>
      <c r="S12" s="665">
        <f t="shared" si="0"/>
        <v>100</v>
      </c>
      <c r="T12" s="664" t="s">
        <v>18</v>
      </c>
      <c r="U12" s="665">
        <f t="shared" si="1"/>
        <v>100</v>
      </c>
      <c r="V12" s="664" t="s">
        <v>18</v>
      </c>
      <c r="W12" s="665">
        <f t="shared" si="2"/>
        <v>100</v>
      </c>
      <c r="X12" s="666"/>
      <c r="Y12" s="3543"/>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3"/>
      <c r="M13" s="2488"/>
      <c r="N13" s="2488"/>
      <c r="O13" s="2488"/>
      <c r="P13" s="3613"/>
      <c r="Q13" s="530">
        <f t="shared" si="6"/>
        <v>111</v>
      </c>
      <c r="R13" s="664" t="s">
        <v>18</v>
      </c>
      <c r="S13" s="665">
        <f t="shared" si="0"/>
        <v>100</v>
      </c>
      <c r="T13" s="664" t="s">
        <v>18</v>
      </c>
      <c r="U13" s="665">
        <f t="shared" si="1"/>
        <v>100</v>
      </c>
      <c r="V13" s="664" t="s">
        <v>18</v>
      </c>
      <c r="W13" s="665">
        <f t="shared" si="2"/>
        <v>100</v>
      </c>
      <c r="X13" s="666"/>
      <c r="Y13" s="3543"/>
      <c r="Z13" s="50">
        <f t="shared" si="7"/>
        <v>111</v>
      </c>
      <c r="AA13" s="50">
        <f t="shared" si="3"/>
        <v>1</v>
      </c>
      <c r="AB13" s="50">
        <f t="shared" si="4"/>
        <v>1</v>
      </c>
      <c r="AC13" s="50">
        <f t="shared" si="5"/>
        <v>1</v>
      </c>
    </row>
    <row r="14" spans="1:29" ht="15.75"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3"/>
      <c r="M14" s="2488"/>
      <c r="N14" s="2488"/>
      <c r="O14" s="2488"/>
      <c r="P14" s="3613"/>
      <c r="Q14" s="530">
        <f t="shared" si="6"/>
        <v>111</v>
      </c>
      <c r="R14" s="664" t="s">
        <v>18</v>
      </c>
      <c r="S14" s="665">
        <f t="shared" si="0"/>
        <v>100</v>
      </c>
      <c r="T14" s="664" t="s">
        <v>18</v>
      </c>
      <c r="U14" s="665">
        <f t="shared" si="1"/>
        <v>100</v>
      </c>
      <c r="V14" s="664" t="s">
        <v>18</v>
      </c>
      <c r="W14" s="665">
        <f t="shared" si="2"/>
        <v>100</v>
      </c>
      <c r="X14" s="666"/>
      <c r="Y14" s="3543"/>
      <c r="Z14" s="50">
        <f t="shared" si="7"/>
        <v>111</v>
      </c>
      <c r="AA14" s="50">
        <f t="shared" si="3"/>
        <v>1</v>
      </c>
      <c r="AB14" s="50">
        <f t="shared" si="4"/>
        <v>1</v>
      </c>
      <c r="AC14" s="50">
        <f t="shared" si="5"/>
        <v>1</v>
      </c>
    </row>
    <row r="15" spans="1:29" ht="85.5">
      <c r="A15" s="379" t="s">
        <v>1688</v>
      </c>
      <c r="B15" s="58" t="s">
        <v>1255</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3"/>
      <c r="M15" s="2488"/>
      <c r="N15" s="2488"/>
      <c r="O15" s="2488"/>
      <c r="P15" s="3639" t="s">
        <v>1689</v>
      </c>
      <c r="Q15" s="1263" t="str">
        <f t="shared" si="6"/>
        <v>居住社区成熟度</v>
      </c>
      <c r="R15" s="667" t="s">
        <v>18</v>
      </c>
      <c r="S15" s="668">
        <f t="shared" si="0"/>
        <v>100</v>
      </c>
      <c r="T15" s="667" t="s">
        <v>18</v>
      </c>
      <c r="U15" s="668">
        <f t="shared" si="1"/>
        <v>100</v>
      </c>
      <c r="V15" s="667" t="s">
        <v>18</v>
      </c>
      <c r="W15" s="668">
        <f t="shared" si="2"/>
        <v>100</v>
      </c>
      <c r="X15" s="1265"/>
      <c r="Y15" s="3632" t="s">
        <v>1689</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3"/>
      <c r="M16" s="2488"/>
      <c r="N16" s="2488"/>
      <c r="O16" s="2488"/>
      <c r="P16" s="3640"/>
      <c r="Q16" s="1263"/>
      <c r="R16" s="667"/>
      <c r="S16" s="668"/>
      <c r="T16" s="667"/>
      <c r="U16" s="668"/>
      <c r="V16" s="667"/>
      <c r="W16" s="668"/>
      <c r="X16" s="1265"/>
      <c r="Y16" s="3633"/>
      <c r="Z16" s="1264"/>
      <c r="AA16" s="1264">
        <v>1</v>
      </c>
      <c r="AB16" s="1264">
        <v>1</v>
      </c>
      <c r="AC16" s="1264">
        <v>1</v>
      </c>
    </row>
    <row r="17" spans="1:29" ht="71.25">
      <c r="A17" s="367"/>
      <c r="B17" s="390" t="s">
        <v>1257</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3"/>
      <c r="M17" s="2488"/>
      <c r="N17" s="2488"/>
      <c r="O17" s="2488"/>
      <c r="P17" s="3640"/>
      <c r="Q17" s="1263" t="str">
        <f>B17</f>
        <v>交通便捷度</v>
      </c>
      <c r="R17" s="667" t="s">
        <v>18</v>
      </c>
      <c r="S17" s="668">
        <f>F17</f>
        <v>100</v>
      </c>
      <c r="T17" s="667" t="s">
        <v>18</v>
      </c>
      <c r="U17" s="668">
        <f>H17</f>
        <v>100</v>
      </c>
      <c r="V17" s="667" t="s">
        <v>18</v>
      </c>
      <c r="W17" s="668">
        <f>J17</f>
        <v>100</v>
      </c>
      <c r="X17" s="1265"/>
      <c r="Y17" s="3633"/>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3"/>
      <c r="M18" s="2488"/>
      <c r="N18" s="2488"/>
      <c r="O18" s="2488"/>
      <c r="P18" s="3640"/>
      <c r="Q18" s="1263"/>
      <c r="R18" s="667"/>
      <c r="S18" s="668"/>
      <c r="T18" s="667"/>
      <c r="U18" s="668"/>
      <c r="V18" s="667"/>
      <c r="W18" s="668"/>
      <c r="X18" s="1265"/>
      <c r="Y18" s="3633"/>
      <c r="Z18" s="1264"/>
      <c r="AA18" s="1264">
        <v>1</v>
      </c>
      <c r="AB18" s="1264">
        <v>1</v>
      </c>
      <c r="AC18" s="1264">
        <v>1</v>
      </c>
    </row>
    <row r="19" spans="1:29" ht="42.75">
      <c r="A19" s="367"/>
      <c r="B19" s="390" t="s">
        <v>1256</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3"/>
      <c r="M19" s="2488"/>
      <c r="N19" s="2488"/>
      <c r="O19" s="2488"/>
      <c r="P19" s="3640"/>
      <c r="Q19" s="1263" t="str">
        <f>B19</f>
        <v>公共配套设施</v>
      </c>
      <c r="R19" s="667" t="s">
        <v>18</v>
      </c>
      <c r="S19" s="668">
        <f>F19</f>
        <v>100</v>
      </c>
      <c r="T19" s="667" t="s">
        <v>18</v>
      </c>
      <c r="U19" s="668">
        <f>H19</f>
        <v>100</v>
      </c>
      <c r="V19" s="667" t="s">
        <v>18</v>
      </c>
      <c r="W19" s="668">
        <f>J19</f>
        <v>100</v>
      </c>
      <c r="X19" s="1265"/>
      <c r="Y19" s="3633"/>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3"/>
      <c r="M20" s="2488"/>
      <c r="N20" s="2488"/>
      <c r="O20" s="2488"/>
      <c r="P20" s="3640"/>
      <c r="Q20" s="1263"/>
      <c r="R20" s="667"/>
      <c r="S20" s="668"/>
      <c r="T20" s="667"/>
      <c r="U20" s="668"/>
      <c r="V20" s="667"/>
      <c r="W20" s="668"/>
      <c r="X20" s="1265"/>
      <c r="Y20" s="3633"/>
      <c r="Z20" s="1264"/>
      <c r="AA20" s="1264">
        <v>1</v>
      </c>
      <c r="AB20" s="1264">
        <v>1</v>
      </c>
      <c r="AC20" s="1264">
        <v>1</v>
      </c>
    </row>
    <row r="21" spans="1:29" ht="28.5">
      <c r="A21" s="367"/>
      <c r="B21" s="586" t="s">
        <v>1258</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3"/>
      <c r="M21" s="2488"/>
      <c r="N21" s="2488"/>
      <c r="O21" s="2488"/>
      <c r="P21" s="3640"/>
      <c r="Q21" s="1263" t="str">
        <f>B21</f>
        <v>基础设施水平</v>
      </c>
      <c r="R21" s="667" t="s">
        <v>14</v>
      </c>
      <c r="S21" s="668">
        <f>F21</f>
        <v>100</v>
      </c>
      <c r="T21" s="667" t="s">
        <v>14</v>
      </c>
      <c r="U21" s="668">
        <f>H21</f>
        <v>100</v>
      </c>
      <c r="V21" s="667" t="s">
        <v>14</v>
      </c>
      <c r="W21" s="668">
        <f>J21</f>
        <v>100</v>
      </c>
      <c r="X21" s="1265"/>
      <c r="Y21" s="3633"/>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3"/>
      <c r="M22" s="2488"/>
      <c r="N22" s="2488"/>
      <c r="O22" s="2488"/>
      <c r="P22" s="3640"/>
      <c r="Q22" s="1263"/>
      <c r="R22" s="667"/>
      <c r="S22" s="668"/>
      <c r="T22" s="667"/>
      <c r="U22" s="668"/>
      <c r="V22" s="667"/>
      <c r="W22" s="668"/>
      <c r="X22" s="1265"/>
      <c r="Y22" s="3633"/>
      <c r="Z22" s="1264"/>
      <c r="AA22" s="1264">
        <v>1</v>
      </c>
      <c r="AB22" s="1264">
        <v>1</v>
      </c>
      <c r="AC22" s="1264">
        <v>1</v>
      </c>
    </row>
    <row r="23" spans="1:29" ht="42.75">
      <c r="A23" s="367"/>
      <c r="B23" s="390" t="s">
        <v>1259</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3"/>
      <c r="M23" s="2488"/>
      <c r="N23" s="2488"/>
      <c r="O23" s="2488"/>
      <c r="P23" s="3640"/>
      <c r="Q23" s="1263" t="str">
        <f>B23</f>
        <v>自然及人文环境</v>
      </c>
      <c r="R23" s="667" t="s">
        <v>18</v>
      </c>
      <c r="S23" s="668">
        <f>F23</f>
        <v>100</v>
      </c>
      <c r="T23" s="667" t="s">
        <v>18</v>
      </c>
      <c r="U23" s="668">
        <f>H23</f>
        <v>100</v>
      </c>
      <c r="V23" s="667" t="s">
        <v>18</v>
      </c>
      <c r="W23" s="668">
        <f>J23</f>
        <v>100</v>
      </c>
      <c r="X23" s="1265"/>
      <c r="Y23" s="3633"/>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3"/>
      <c r="M24" s="2488"/>
      <c r="N24" s="2488"/>
      <c r="O24" s="2488"/>
      <c r="P24" s="3640"/>
      <c r="Q24" s="1263"/>
      <c r="R24" s="667"/>
      <c r="S24" s="668"/>
      <c r="T24" s="667"/>
      <c r="U24" s="668"/>
      <c r="V24" s="667"/>
      <c r="W24" s="668"/>
      <c r="X24" s="1265"/>
      <c r="Y24" s="3633"/>
      <c r="Z24" s="1264"/>
      <c r="AA24" s="1264">
        <v>1</v>
      </c>
      <c r="AB24" s="1264">
        <v>1</v>
      </c>
      <c r="AC24" s="1264">
        <v>1</v>
      </c>
    </row>
    <row r="25" spans="1:29" ht="15">
      <c r="A25" s="367"/>
      <c r="B25" s="364" t="s">
        <v>1690</v>
      </c>
      <c r="C25" s="399"/>
      <c r="D25" s="374">
        <v>100</v>
      </c>
      <c r="E25" s="1760"/>
      <c r="F25" s="374">
        <f>SUMIF(86:86,E25,87:87)-SUMIF(86:86,C25,87:87)+100</f>
        <v>100</v>
      </c>
      <c r="G25" s="1761"/>
      <c r="H25" s="374">
        <f>SUMIF(86:86,G25,87:87)-SUMIF(86:86,C25,87:87)+100</f>
        <v>100</v>
      </c>
      <c r="I25" s="1761"/>
      <c r="J25" s="374">
        <f>SUMIF(86:86,I25,87:87)-SUMIF(86:86,C25,87:87)+100</f>
        <v>100</v>
      </c>
      <c r="K25" s="365"/>
      <c r="L25" s="2493"/>
      <c r="M25" s="2488"/>
      <c r="N25" s="2488"/>
      <c r="O25" s="2488"/>
      <c r="P25" s="3640"/>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633"/>
      <c r="Z25" s="1264" t="str">
        <f>Q25</f>
        <v>楼层-1</v>
      </c>
      <c r="AA25" s="1264">
        <f t="shared" ref="AA25:AA46" si="15">D25/F25</f>
        <v>1</v>
      </c>
      <c r="AB25" s="1264">
        <f t="shared" ref="AB25:AB46" si="16">D25/H25</f>
        <v>1</v>
      </c>
      <c r="AC25" s="1264">
        <f t="shared" ref="AC25:AC46" si="17">D25/J25</f>
        <v>1</v>
      </c>
    </row>
    <row r="26" spans="1:29" ht="15">
      <c r="A26" s="367"/>
      <c r="B26" s="364" t="s">
        <v>1691</v>
      </c>
      <c r="C26" s="399"/>
      <c r="D26" s="374">
        <v>100</v>
      </c>
      <c r="E26" s="1760"/>
      <c r="F26" s="374">
        <f>SUMIF(88:88,E26,89:89)-SUMIF(88:88,C26,89:89)+100</f>
        <v>100</v>
      </c>
      <c r="G26" s="1761"/>
      <c r="H26" s="374">
        <f>SUMIF(88:88,G26,89:89)-SUMIF(88:88,C26,89:89)+100</f>
        <v>100</v>
      </c>
      <c r="I26" s="1761"/>
      <c r="J26" s="374">
        <f>SUMIF(88:88,I26,89:89)-SUMIF(88:88,C26,89:89)+100</f>
        <v>100</v>
      </c>
      <c r="K26" s="365"/>
      <c r="L26" s="2493"/>
      <c r="M26" s="2488"/>
      <c r="N26" s="2488"/>
      <c r="O26" s="2488"/>
      <c r="P26" s="3640"/>
      <c r="Q26" s="1263" t="str">
        <f t="shared" si="11"/>
        <v>朝向</v>
      </c>
      <c r="R26" s="667" t="s">
        <v>18</v>
      </c>
      <c r="S26" s="668">
        <f t="shared" si="12"/>
        <v>100</v>
      </c>
      <c r="T26" s="667" t="s">
        <v>18</v>
      </c>
      <c r="U26" s="668">
        <f t="shared" si="13"/>
        <v>100</v>
      </c>
      <c r="V26" s="667" t="s">
        <v>18</v>
      </c>
      <c r="W26" s="668">
        <f t="shared" si="14"/>
        <v>100</v>
      </c>
      <c r="X26" s="1265"/>
      <c r="Y26" s="3633"/>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9"/>
      <c r="M27" s="2440"/>
      <c r="N27" s="2440"/>
      <c r="O27" s="2440"/>
      <c r="P27" s="3640"/>
      <c r="Q27" s="530">
        <f t="shared" si="11"/>
        <v>111</v>
      </c>
      <c r="R27" s="664" t="s">
        <v>18</v>
      </c>
      <c r="S27" s="665">
        <f t="shared" si="12"/>
        <v>100</v>
      </c>
      <c r="T27" s="664" t="s">
        <v>18</v>
      </c>
      <c r="U27" s="665">
        <f t="shared" si="13"/>
        <v>100</v>
      </c>
      <c r="V27" s="664" t="s">
        <v>18</v>
      </c>
      <c r="W27" s="665">
        <f t="shared" si="14"/>
        <v>100</v>
      </c>
      <c r="X27" s="666"/>
      <c r="Y27" s="3633"/>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3"/>
      <c r="M28" s="2488"/>
      <c r="N28" s="2488"/>
      <c r="O28" s="2488"/>
      <c r="P28" s="3640"/>
      <c r="Q28" s="1263">
        <f t="shared" si="11"/>
        <v>111</v>
      </c>
      <c r="R28" s="667" t="s">
        <v>18</v>
      </c>
      <c r="S28" s="668">
        <f t="shared" si="12"/>
        <v>100</v>
      </c>
      <c r="T28" s="667" t="s">
        <v>18</v>
      </c>
      <c r="U28" s="668">
        <f t="shared" si="13"/>
        <v>100</v>
      </c>
      <c r="V28" s="667" t="s">
        <v>18</v>
      </c>
      <c r="W28" s="668">
        <f t="shared" si="14"/>
        <v>100</v>
      </c>
      <c r="X28" s="1265"/>
      <c r="Y28" s="3633"/>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3"/>
      <c r="M29" s="2488"/>
      <c r="N29" s="2488"/>
      <c r="O29" s="2488"/>
      <c r="P29" s="3640"/>
      <c r="Q29" s="1263">
        <f t="shared" si="11"/>
        <v>111</v>
      </c>
      <c r="R29" s="667" t="s">
        <v>18</v>
      </c>
      <c r="S29" s="668">
        <f t="shared" si="12"/>
        <v>100</v>
      </c>
      <c r="T29" s="667" t="s">
        <v>18</v>
      </c>
      <c r="U29" s="668">
        <f t="shared" si="13"/>
        <v>100</v>
      </c>
      <c r="V29" s="667" t="s">
        <v>18</v>
      </c>
      <c r="W29" s="668">
        <f t="shared" si="14"/>
        <v>100</v>
      </c>
      <c r="X29" s="1265"/>
      <c r="Y29" s="3633"/>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3"/>
      <c r="M30" s="2488"/>
      <c r="N30" s="2488"/>
      <c r="O30" s="2488"/>
      <c r="P30" s="3640"/>
      <c r="Q30" s="1263">
        <f t="shared" si="11"/>
        <v>111</v>
      </c>
      <c r="R30" s="667" t="s">
        <v>18</v>
      </c>
      <c r="S30" s="668">
        <f t="shared" si="12"/>
        <v>100</v>
      </c>
      <c r="T30" s="667" t="s">
        <v>18</v>
      </c>
      <c r="U30" s="668">
        <f t="shared" si="13"/>
        <v>100</v>
      </c>
      <c r="V30" s="667" t="s">
        <v>18</v>
      </c>
      <c r="W30" s="668">
        <f t="shared" si="14"/>
        <v>100</v>
      </c>
      <c r="X30" s="1265"/>
      <c r="Y30" s="3633"/>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3"/>
      <c r="M31" s="2488"/>
      <c r="N31" s="2488"/>
      <c r="O31" s="2488"/>
      <c r="P31" s="3640"/>
      <c r="Q31" s="1263">
        <f t="shared" si="11"/>
        <v>111</v>
      </c>
      <c r="R31" s="667" t="s">
        <v>18</v>
      </c>
      <c r="S31" s="668">
        <f t="shared" si="12"/>
        <v>100</v>
      </c>
      <c r="T31" s="667" t="s">
        <v>18</v>
      </c>
      <c r="U31" s="668">
        <f t="shared" si="13"/>
        <v>100</v>
      </c>
      <c r="V31" s="667" t="s">
        <v>18</v>
      </c>
      <c r="W31" s="668">
        <f t="shared" si="14"/>
        <v>100</v>
      </c>
      <c r="X31" s="1265"/>
      <c r="Y31" s="3633"/>
      <c r="Z31" s="1264">
        <f t="shared" si="18"/>
        <v>111</v>
      </c>
      <c r="AA31" s="1264">
        <f t="shared" si="15"/>
        <v>1</v>
      </c>
      <c r="AB31" s="1264">
        <f t="shared" si="16"/>
        <v>1</v>
      </c>
      <c r="AC31" s="1264">
        <f t="shared" si="17"/>
        <v>1</v>
      </c>
    </row>
    <row r="32" spans="1:29" ht="15">
      <c r="A32" s="379" t="s">
        <v>1692</v>
      </c>
      <c r="B32" s="60" t="s">
        <v>1693</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3"/>
      <c r="M32" s="2488"/>
      <c r="N32" s="2488"/>
      <c r="O32" s="2488"/>
      <c r="P32" s="3634" t="s">
        <v>1694</v>
      </c>
      <c r="Q32" s="1263" t="str">
        <f t="shared" si="11"/>
        <v>建筑类型</v>
      </c>
      <c r="R32" s="667" t="s">
        <v>18</v>
      </c>
      <c r="S32" s="668">
        <f t="shared" si="12"/>
        <v>100</v>
      </c>
      <c r="T32" s="667" t="s">
        <v>18</v>
      </c>
      <c r="U32" s="668">
        <f t="shared" si="13"/>
        <v>100</v>
      </c>
      <c r="V32" s="667" t="s">
        <v>18</v>
      </c>
      <c r="W32" s="668">
        <f t="shared" si="14"/>
        <v>100</v>
      </c>
      <c r="X32" s="1265"/>
      <c r="Y32" s="3637" t="s">
        <v>1694</v>
      </c>
      <c r="Z32" s="1264" t="str">
        <f t="shared" si="18"/>
        <v>建筑类型</v>
      </c>
      <c r="AA32" s="1264">
        <f t="shared" si="15"/>
        <v>1</v>
      </c>
      <c r="AB32" s="1264">
        <f t="shared" si="16"/>
        <v>1</v>
      </c>
      <c r="AC32" s="1264">
        <f t="shared" si="17"/>
        <v>1</v>
      </c>
    </row>
    <row r="33" spans="1:29" s="408" customFormat="1" ht="15">
      <c r="A33" s="406"/>
      <c r="B33" s="364" t="s">
        <v>1695</v>
      </c>
      <c r="C33" s="407"/>
      <c r="D33" s="119">
        <v>100</v>
      </c>
      <c r="E33" s="369"/>
      <c r="F33" s="364">
        <f>LOOKUP(E33,103:103,104:104)-LOOKUP(C33,103:103,104:104)+100</f>
        <v>100</v>
      </c>
      <c r="G33" s="368"/>
      <c r="H33" s="119">
        <f>LOOKUP(G33,103:103,104:104)-LOOKUP(C33,103:103,104:104)+100</f>
        <v>100</v>
      </c>
      <c r="I33" s="369"/>
      <c r="J33" s="119">
        <f>LOOKUP(I33,103:103,104:104)-LOOKUP(C33,103:103,104:104)+100</f>
        <v>100</v>
      </c>
      <c r="K33" s="1748"/>
      <c r="L33" s="2492"/>
      <c r="M33" s="2494"/>
      <c r="N33" s="2494"/>
      <c r="O33" s="2494"/>
      <c r="P33" s="3635"/>
      <c r="Q33" s="531" t="str">
        <f t="shared" si="11"/>
        <v>项目建筑规模</v>
      </c>
      <c r="R33" s="669" t="s">
        <v>18</v>
      </c>
      <c r="S33" s="670">
        <f t="shared" si="12"/>
        <v>100</v>
      </c>
      <c r="T33" s="669" t="s">
        <v>18</v>
      </c>
      <c r="U33" s="670">
        <f t="shared" si="13"/>
        <v>100</v>
      </c>
      <c r="V33" s="669" t="s">
        <v>18</v>
      </c>
      <c r="W33" s="670">
        <f t="shared" si="14"/>
        <v>100</v>
      </c>
      <c r="X33" s="671"/>
      <c r="Y33" s="3637"/>
      <c r="Z33" s="672" t="str">
        <f t="shared" si="18"/>
        <v>项目建筑规模</v>
      </c>
      <c r="AA33" s="1264">
        <f t="shared" si="15"/>
        <v>1</v>
      </c>
      <c r="AB33" s="1264">
        <f t="shared" si="16"/>
        <v>1</v>
      </c>
      <c r="AC33" s="1264">
        <f t="shared" si="17"/>
        <v>1</v>
      </c>
    </row>
    <row r="34" spans="1:29" ht="15">
      <c r="A34" s="409"/>
      <c r="B34" s="364" t="s">
        <v>1696</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3"/>
      <c r="M34" s="2488"/>
      <c r="N34" s="2488"/>
      <c r="O34" s="2488"/>
      <c r="P34" s="3635"/>
      <c r="Q34" s="1263" t="str">
        <f t="shared" si="11"/>
        <v>建筑结构</v>
      </c>
      <c r="R34" s="667" t="s">
        <v>18</v>
      </c>
      <c r="S34" s="668">
        <f t="shared" si="12"/>
        <v>100</v>
      </c>
      <c r="T34" s="667" t="s">
        <v>18</v>
      </c>
      <c r="U34" s="668">
        <f t="shared" si="13"/>
        <v>100</v>
      </c>
      <c r="V34" s="667" t="s">
        <v>18</v>
      </c>
      <c r="W34" s="668">
        <f t="shared" si="14"/>
        <v>100</v>
      </c>
      <c r="X34" s="1265"/>
      <c r="Y34" s="3637"/>
      <c r="Z34" s="1264" t="str">
        <f t="shared" si="18"/>
        <v>建筑结构</v>
      </c>
      <c r="AA34" s="1264">
        <f t="shared" si="15"/>
        <v>1</v>
      </c>
      <c r="AB34" s="1264">
        <f t="shared" si="16"/>
        <v>1</v>
      </c>
      <c r="AC34" s="1264">
        <f t="shared" si="17"/>
        <v>1</v>
      </c>
    </row>
    <row r="35" spans="1:29" ht="15">
      <c r="A35" s="409"/>
      <c r="B35" s="364" t="s">
        <v>1697</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3"/>
      <c r="M35" s="2488"/>
      <c r="N35" s="2488"/>
      <c r="O35" s="2488"/>
      <c r="P35" s="3635"/>
      <c r="Q35" s="1263" t="str">
        <f t="shared" si="11"/>
        <v>建筑品质</v>
      </c>
      <c r="R35" s="667" t="s">
        <v>18</v>
      </c>
      <c r="S35" s="668">
        <f t="shared" si="12"/>
        <v>100</v>
      </c>
      <c r="T35" s="667" t="s">
        <v>18</v>
      </c>
      <c r="U35" s="668">
        <f t="shared" si="13"/>
        <v>100</v>
      </c>
      <c r="V35" s="667" t="s">
        <v>18</v>
      </c>
      <c r="W35" s="668">
        <f t="shared" si="14"/>
        <v>100</v>
      </c>
      <c r="X35" s="1265"/>
      <c r="Y35" s="3637"/>
      <c r="Z35" s="1264" t="str">
        <f t="shared" si="18"/>
        <v>建筑品质</v>
      </c>
      <c r="AA35" s="1264">
        <f t="shared" si="15"/>
        <v>1</v>
      </c>
      <c r="AB35" s="1264">
        <f t="shared" si="16"/>
        <v>1</v>
      </c>
      <c r="AC35" s="1264">
        <f t="shared" si="17"/>
        <v>1</v>
      </c>
    </row>
    <row r="36" spans="1:29" ht="15">
      <c r="A36" s="409"/>
      <c r="B36" s="364" t="s">
        <v>1698</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3"/>
      <c r="M36" s="2488"/>
      <c r="N36" s="2488"/>
      <c r="O36" s="2488"/>
      <c r="P36" s="3635"/>
      <c r="Q36" s="1263" t="str">
        <f t="shared" si="11"/>
        <v>公共部分装修</v>
      </c>
      <c r="R36" s="667" t="s">
        <v>18</v>
      </c>
      <c r="S36" s="668">
        <f t="shared" si="12"/>
        <v>100</v>
      </c>
      <c r="T36" s="667" t="s">
        <v>18</v>
      </c>
      <c r="U36" s="668">
        <f t="shared" si="13"/>
        <v>100</v>
      </c>
      <c r="V36" s="667" t="s">
        <v>18</v>
      </c>
      <c r="W36" s="668">
        <f t="shared" si="14"/>
        <v>100</v>
      </c>
      <c r="X36" s="1265"/>
      <c r="Y36" s="3637"/>
      <c r="Z36" s="1264" t="str">
        <f t="shared" si="18"/>
        <v>公共部分装修</v>
      </c>
      <c r="AA36" s="1264">
        <f t="shared" si="15"/>
        <v>1</v>
      </c>
      <c r="AB36" s="1264">
        <f t="shared" si="16"/>
        <v>1</v>
      </c>
      <c r="AC36" s="1264">
        <f t="shared" si="17"/>
        <v>1</v>
      </c>
    </row>
    <row r="37" spans="1:29" s="102" customFormat="1" ht="15">
      <c r="A37" s="410"/>
      <c r="B37" s="364" t="s">
        <v>1699</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9"/>
      <c r="M37" s="2440"/>
      <c r="N37" s="2440"/>
      <c r="O37" s="2440"/>
      <c r="P37" s="3635"/>
      <c r="Q37" s="530" t="str">
        <f t="shared" si="11"/>
        <v>成新度</v>
      </c>
      <c r="R37" s="664" t="s">
        <v>18</v>
      </c>
      <c r="S37" s="665" t="e">
        <f t="shared" si="12"/>
        <v>#N/A</v>
      </c>
      <c r="T37" s="664" t="s">
        <v>18</v>
      </c>
      <c r="U37" s="665" t="e">
        <f t="shared" si="13"/>
        <v>#N/A</v>
      </c>
      <c r="V37" s="664" t="s">
        <v>18</v>
      </c>
      <c r="W37" s="665" t="e">
        <f t="shared" si="14"/>
        <v>#N/A</v>
      </c>
      <c r="X37" s="666"/>
      <c r="Y37" s="3637"/>
      <c r="Z37" s="50" t="str">
        <f t="shared" si="18"/>
        <v>成新度</v>
      </c>
      <c r="AA37" s="50" t="e">
        <f t="shared" si="15"/>
        <v>#N/A</v>
      </c>
      <c r="AB37" s="50" t="e">
        <f t="shared" si="16"/>
        <v>#N/A</v>
      </c>
      <c r="AC37" s="50" t="e">
        <f t="shared" si="17"/>
        <v>#N/A</v>
      </c>
    </row>
    <row r="38" spans="1:29" ht="15">
      <c r="A38" s="409"/>
      <c r="B38" s="364" t="s">
        <v>1700</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3"/>
      <c r="M38" s="2488"/>
      <c r="N38" s="2488"/>
      <c r="O38" s="2488"/>
      <c r="P38" s="3635" t="s">
        <v>1694</v>
      </c>
      <c r="Q38" s="1263" t="str">
        <f t="shared" si="11"/>
        <v>物业管理</v>
      </c>
      <c r="R38" s="667" t="s">
        <v>18</v>
      </c>
      <c r="S38" s="668">
        <f t="shared" si="12"/>
        <v>100</v>
      </c>
      <c r="T38" s="667" t="s">
        <v>18</v>
      </c>
      <c r="U38" s="668">
        <f t="shared" si="13"/>
        <v>100</v>
      </c>
      <c r="V38" s="667" t="s">
        <v>18</v>
      </c>
      <c r="W38" s="668">
        <f t="shared" si="14"/>
        <v>100</v>
      </c>
      <c r="X38" s="1265"/>
      <c r="Y38" s="3637" t="s">
        <v>1694</v>
      </c>
      <c r="Z38" s="1264" t="str">
        <f t="shared" si="18"/>
        <v>物业管理</v>
      </c>
      <c r="AA38" s="1264">
        <f t="shared" si="15"/>
        <v>1</v>
      </c>
      <c r="AB38" s="1264">
        <f t="shared" si="16"/>
        <v>1</v>
      </c>
      <c r="AC38" s="1264">
        <f t="shared" si="17"/>
        <v>1</v>
      </c>
    </row>
    <row r="39" spans="1:29" ht="15">
      <c r="A39" s="409"/>
      <c r="B39" s="364" t="s">
        <v>1701</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3"/>
      <c r="M39" s="2488"/>
      <c r="N39" s="2488"/>
      <c r="O39" s="2488"/>
      <c r="P39" s="3635"/>
      <c r="Q39" s="1263" t="str">
        <f t="shared" si="11"/>
        <v>市政基础设施</v>
      </c>
      <c r="R39" s="667" t="s">
        <v>18</v>
      </c>
      <c r="S39" s="668">
        <f t="shared" si="12"/>
        <v>100</v>
      </c>
      <c r="T39" s="667" t="s">
        <v>18</v>
      </c>
      <c r="U39" s="668">
        <f t="shared" si="13"/>
        <v>100</v>
      </c>
      <c r="V39" s="667" t="s">
        <v>18</v>
      </c>
      <c r="W39" s="668">
        <f t="shared" si="14"/>
        <v>100</v>
      </c>
      <c r="X39" s="1265"/>
      <c r="Y39" s="3637"/>
      <c r="Z39" s="1264" t="str">
        <f t="shared" si="18"/>
        <v>市政基础设施</v>
      </c>
      <c r="AA39" s="1264">
        <f t="shared" si="15"/>
        <v>1</v>
      </c>
      <c r="AB39" s="1264">
        <f t="shared" si="16"/>
        <v>1</v>
      </c>
      <c r="AC39" s="1264">
        <f t="shared" si="17"/>
        <v>1</v>
      </c>
    </row>
    <row r="40" spans="1:29" ht="15">
      <c r="A40" s="409"/>
      <c r="B40" s="364" t="s">
        <v>1702</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3"/>
      <c r="M40" s="2488"/>
      <c r="N40" s="2488"/>
      <c r="O40" s="2488"/>
      <c r="P40" s="3635"/>
      <c r="Q40" s="1263" t="str">
        <f t="shared" si="11"/>
        <v>房型</v>
      </c>
      <c r="R40" s="667" t="s">
        <v>18</v>
      </c>
      <c r="S40" s="668">
        <f t="shared" si="12"/>
        <v>100</v>
      </c>
      <c r="T40" s="667" t="s">
        <v>18</v>
      </c>
      <c r="U40" s="668">
        <f t="shared" si="13"/>
        <v>100</v>
      </c>
      <c r="V40" s="667" t="s">
        <v>18</v>
      </c>
      <c r="W40" s="668">
        <f t="shared" si="14"/>
        <v>100</v>
      </c>
      <c r="X40" s="1265"/>
      <c r="Y40" s="3637"/>
      <c r="Z40" s="1264" t="str">
        <f t="shared" si="18"/>
        <v>房型</v>
      </c>
      <c r="AA40" s="1264">
        <f t="shared" si="15"/>
        <v>1</v>
      </c>
      <c r="AB40" s="1264">
        <f t="shared" si="16"/>
        <v>1</v>
      </c>
      <c r="AC40" s="1264">
        <f t="shared" si="17"/>
        <v>1</v>
      </c>
    </row>
    <row r="41" spans="1:29" s="408" customFormat="1" ht="28.5">
      <c r="A41" s="406"/>
      <c r="B41" s="364" t="s">
        <v>1703</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2"/>
      <c r="M41" s="2494"/>
      <c r="N41" s="2494"/>
      <c r="O41" s="2494"/>
      <c r="P41" s="3635"/>
      <c r="Q41" s="531" t="str">
        <f t="shared" si="11"/>
        <v>单套/主力户型建筑面积</v>
      </c>
      <c r="R41" s="669" t="s">
        <v>18</v>
      </c>
      <c r="S41" s="670">
        <f t="shared" si="12"/>
        <v>100</v>
      </c>
      <c r="T41" s="669" t="s">
        <v>18</v>
      </c>
      <c r="U41" s="670">
        <f t="shared" si="13"/>
        <v>100</v>
      </c>
      <c r="V41" s="669" t="s">
        <v>18</v>
      </c>
      <c r="W41" s="670">
        <f t="shared" si="14"/>
        <v>100</v>
      </c>
      <c r="X41" s="671"/>
      <c r="Y41" s="3637"/>
      <c r="Z41" s="672" t="str">
        <f t="shared" si="18"/>
        <v>单套/主力户型建筑面积</v>
      </c>
      <c r="AA41" s="1264">
        <f t="shared" si="15"/>
        <v>1</v>
      </c>
      <c r="AB41" s="1264">
        <f t="shared" si="16"/>
        <v>1</v>
      </c>
      <c r="AC41" s="1264">
        <f t="shared" si="17"/>
        <v>1</v>
      </c>
    </row>
    <row r="42" spans="1:29" ht="15">
      <c r="A42" s="409"/>
      <c r="B42" s="364" t="s">
        <v>1704</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3"/>
      <c r="M42" s="2488"/>
      <c r="N42" s="2488"/>
      <c r="O42" s="2488"/>
      <c r="P42" s="3635"/>
      <c r="Q42" s="1263" t="str">
        <f t="shared" si="11"/>
        <v>内部装修</v>
      </c>
      <c r="R42" s="667" t="s">
        <v>18</v>
      </c>
      <c r="S42" s="668">
        <f t="shared" si="12"/>
        <v>100</v>
      </c>
      <c r="T42" s="667" t="s">
        <v>18</v>
      </c>
      <c r="U42" s="668">
        <f t="shared" si="13"/>
        <v>100</v>
      </c>
      <c r="V42" s="667" t="s">
        <v>18</v>
      </c>
      <c r="W42" s="668">
        <f t="shared" si="14"/>
        <v>100</v>
      </c>
      <c r="X42" s="1265"/>
      <c r="Y42" s="3637"/>
      <c r="Z42" s="1264" t="str">
        <f t="shared" si="18"/>
        <v>内部装修</v>
      </c>
      <c r="AA42" s="1264">
        <f t="shared" si="15"/>
        <v>1</v>
      </c>
      <c r="AB42" s="1264">
        <f t="shared" si="16"/>
        <v>1</v>
      </c>
      <c r="AC42" s="1264">
        <f t="shared" si="17"/>
        <v>1</v>
      </c>
    </row>
    <row r="43" spans="1:29" ht="15">
      <c r="A43" s="409"/>
      <c r="B43" s="364" t="s">
        <v>1705</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3"/>
      <c r="M43" s="2488"/>
      <c r="N43" s="2488"/>
      <c r="O43" s="2488"/>
      <c r="P43" s="3635"/>
      <c r="Q43" s="1263" t="str">
        <f t="shared" si="11"/>
        <v>内部装修维护情况</v>
      </c>
      <c r="R43" s="667" t="s">
        <v>18</v>
      </c>
      <c r="S43" s="668">
        <f t="shared" si="12"/>
        <v>100</v>
      </c>
      <c r="T43" s="667" t="s">
        <v>18</v>
      </c>
      <c r="U43" s="668">
        <f t="shared" si="13"/>
        <v>100</v>
      </c>
      <c r="V43" s="667" t="s">
        <v>18</v>
      </c>
      <c r="W43" s="668">
        <f t="shared" si="14"/>
        <v>100</v>
      </c>
      <c r="X43" s="1265"/>
      <c r="Y43" s="3637"/>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9"/>
      <c r="M44" s="2440"/>
      <c r="N44" s="2440"/>
      <c r="O44" s="2440"/>
      <c r="P44" s="3635"/>
      <c r="Q44" s="530">
        <f t="shared" si="11"/>
        <v>111</v>
      </c>
      <c r="R44" s="664" t="s">
        <v>18</v>
      </c>
      <c r="S44" s="665">
        <f t="shared" si="12"/>
        <v>100</v>
      </c>
      <c r="T44" s="664" t="s">
        <v>18</v>
      </c>
      <c r="U44" s="665">
        <f t="shared" si="13"/>
        <v>100</v>
      </c>
      <c r="V44" s="664" t="s">
        <v>18</v>
      </c>
      <c r="W44" s="665">
        <f t="shared" si="14"/>
        <v>100</v>
      </c>
      <c r="X44" s="666"/>
      <c r="Y44" s="3637"/>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3"/>
      <c r="M45" s="2488"/>
      <c r="N45" s="2488"/>
      <c r="O45" s="2488"/>
      <c r="P45" s="3635"/>
      <c r="Q45" s="1263">
        <f t="shared" si="11"/>
        <v>111</v>
      </c>
      <c r="R45" s="667" t="s">
        <v>18</v>
      </c>
      <c r="S45" s="668">
        <f t="shared" si="12"/>
        <v>100</v>
      </c>
      <c r="T45" s="667" t="s">
        <v>18</v>
      </c>
      <c r="U45" s="668">
        <f t="shared" si="13"/>
        <v>100</v>
      </c>
      <c r="V45" s="667" t="s">
        <v>18</v>
      </c>
      <c r="W45" s="668">
        <f t="shared" si="14"/>
        <v>100</v>
      </c>
      <c r="X45" s="1265"/>
      <c r="Y45" s="3637"/>
      <c r="Z45" s="1264">
        <f t="shared" si="18"/>
        <v>111</v>
      </c>
      <c r="AA45" s="1264">
        <f t="shared" si="15"/>
        <v>1</v>
      </c>
      <c r="AB45" s="1264">
        <f t="shared" si="16"/>
        <v>1</v>
      </c>
      <c r="AC45" s="1264">
        <f t="shared" si="17"/>
        <v>1</v>
      </c>
    </row>
    <row r="46" spans="1:29" ht="15.75"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3"/>
      <c r="M46" s="2488"/>
      <c r="N46" s="2488"/>
      <c r="O46" s="2488"/>
      <c r="P46" s="3636"/>
      <c r="Q46" s="1263">
        <f t="shared" si="11"/>
        <v>111</v>
      </c>
      <c r="R46" s="667" t="s">
        <v>17</v>
      </c>
      <c r="S46" s="668">
        <f t="shared" si="12"/>
        <v>100</v>
      </c>
      <c r="T46" s="667" t="s">
        <v>17</v>
      </c>
      <c r="U46" s="668">
        <f t="shared" si="13"/>
        <v>100</v>
      </c>
      <c r="V46" s="667" t="s">
        <v>17</v>
      </c>
      <c r="W46" s="668">
        <f t="shared" si="14"/>
        <v>100</v>
      </c>
      <c r="X46" s="1265"/>
      <c r="Y46" s="3638"/>
      <c r="Z46" s="1264">
        <f t="shared" si="18"/>
        <v>111</v>
      </c>
      <c r="AA46" s="1264">
        <f t="shared" si="15"/>
        <v>1</v>
      </c>
      <c r="AB46" s="1264">
        <f t="shared" si="16"/>
        <v>1</v>
      </c>
      <c r="AC46" s="1264">
        <f t="shared" si="17"/>
        <v>1</v>
      </c>
    </row>
    <row r="47" spans="1:29" ht="15">
      <c r="A47" s="416" t="s">
        <v>1706</v>
      </c>
      <c r="B47" s="417"/>
      <c r="C47" s="1081" t="s">
        <v>16</v>
      </c>
      <c r="D47" s="418"/>
      <c r="E47" s="419"/>
      <c r="F47" s="420"/>
      <c r="G47" s="421"/>
      <c r="H47" s="422"/>
      <c r="I47" s="419"/>
      <c r="J47" s="422"/>
      <c r="K47" s="1767"/>
      <c r="L47" s="2495"/>
      <c r="M47" s="2488"/>
      <c r="N47" s="2488"/>
      <c r="O47" s="2488"/>
      <c r="P47" s="3631" t="str">
        <f>A47</f>
        <v>成交单价（元/平方米）</v>
      </c>
      <c r="Q47" s="3631"/>
      <c r="R47" s="3626">
        <f>E47</f>
        <v>0</v>
      </c>
      <c r="S47" s="3626"/>
      <c r="T47" s="3626">
        <f>G47</f>
        <v>0</v>
      </c>
      <c r="U47" s="3626"/>
      <c r="V47" s="3626">
        <f>I47</f>
        <v>0</v>
      </c>
      <c r="W47" s="3626"/>
      <c r="X47" s="385"/>
      <c r="Y47" s="673"/>
      <c r="Z47" s="385"/>
      <c r="AA47" s="385"/>
      <c r="AB47" s="385"/>
      <c r="AC47" s="385"/>
    </row>
    <row r="48" spans="1:29" ht="15.75" thickBot="1">
      <c r="A48" s="423" t="s">
        <v>1707</v>
      </c>
      <c r="B48" s="424"/>
      <c r="C48" s="1082" t="e">
        <f>R49</f>
        <v>#DIV/0!</v>
      </c>
      <c r="D48" s="2141" t="s">
        <v>2136</v>
      </c>
      <c r="E48" s="1083" t="e">
        <f>R48</f>
        <v>#DIV/0!</v>
      </c>
      <c r="F48" s="2142"/>
      <c r="G48" s="1082" t="e">
        <f>T48</f>
        <v>#DIV/0!</v>
      </c>
      <c r="H48" s="2142"/>
      <c r="I48" s="1083" t="e">
        <f>V48</f>
        <v>#DIV/0!</v>
      </c>
      <c r="J48" s="2142"/>
      <c r="K48" s="2143">
        <f>F48+H48+J48</f>
        <v>0</v>
      </c>
      <c r="L48" s="2495"/>
      <c r="M48" s="2488"/>
      <c r="N48" s="2488"/>
      <c r="O48" s="2488"/>
      <c r="P48" s="3631" t="str">
        <f>A48</f>
        <v>比较价值（元/平方米）</v>
      </c>
      <c r="Q48" s="3631"/>
      <c r="R48" s="3626" t="e">
        <f>IF(F1="售价",ROUND(PRODUCT(R47,AA7:AA46),0),ROUND(PRODUCT(R47,AA7:AA46),1))</f>
        <v>#DIV/0!</v>
      </c>
      <c r="S48" s="3626"/>
      <c r="T48" s="3626" t="e">
        <f>IF(F1="售价",ROUND(PRODUCT(T47,AB7:AB46),0),ROUND(PRODUCT(T47,AB7:AB46),1))</f>
        <v>#DIV/0!</v>
      </c>
      <c r="U48" s="3626"/>
      <c r="V48" s="3626" t="e">
        <f>IF(F1="售价",ROUND(PRODUCT(V47,AC7:AC46),0),ROUND(PRODUCT(V47,AC7:AC46),1))</f>
        <v>#DIV/0!</v>
      </c>
      <c r="W48" s="3626"/>
      <c r="X48" s="385"/>
      <c r="Y48" s="385"/>
      <c r="Z48" s="385"/>
      <c r="AA48" s="385"/>
      <c r="AB48" s="385"/>
      <c r="AC48" s="385"/>
    </row>
    <row r="49" spans="1:29" ht="15.75" thickBot="1">
      <c r="A49" s="427" t="s">
        <v>1708</v>
      </c>
      <c r="B49" s="428"/>
      <c r="C49" s="1084" t="e">
        <f>R49</f>
        <v>#DIV/0!</v>
      </c>
      <c r="D49" s="351"/>
      <c r="E49" s="351"/>
      <c r="F49" s="351"/>
      <c r="G49" s="351"/>
      <c r="H49" s="351"/>
      <c r="I49" s="351"/>
      <c r="J49" s="351"/>
      <c r="K49" s="1768"/>
      <c r="L49" s="2495"/>
      <c r="M49" s="2488"/>
      <c r="N49" s="2488"/>
      <c r="O49" s="2488"/>
      <c r="P49" s="3628" t="str">
        <f>A49</f>
        <v>估价对象XX用房的比较价值（楼面单价，元/平方米）</v>
      </c>
      <c r="Q49" s="3629"/>
      <c r="R49" s="3630" t="e">
        <f>IF(F1="售价",ROUND(IF(D48="简单平均",AVERAGE(R48:V48),R48*F48+T48*H48+V48*J48),0),ROUND(IF(D48="简单平均",AVERAGE(R48:V48),R48*F48+T48*H48+V48*J48),1))</f>
        <v>#DIV/0!</v>
      </c>
      <c r="S49" s="3630"/>
      <c r="T49" s="3630"/>
      <c r="U49" s="3630"/>
      <c r="V49" s="3630"/>
      <c r="W49" s="3630"/>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row>
    <row r="51" spans="1:29">
      <c r="A51" s="2488"/>
      <c r="B51" s="2488"/>
      <c r="C51" s="2488"/>
      <c r="D51" s="2488"/>
      <c r="E51" s="2488"/>
      <c r="F51" s="2488"/>
      <c r="G51" s="2488"/>
      <c r="H51" s="2488"/>
      <c r="I51" s="2488"/>
      <c r="J51" s="2488"/>
      <c r="K51" s="2500"/>
      <c r="L51" s="2496"/>
      <c r="M51" s="2488"/>
      <c r="N51" s="2488"/>
      <c r="O51" s="2488"/>
    </row>
    <row r="52" spans="1:29" ht="13.5" customHeight="1">
      <c r="A52" s="2488"/>
      <c r="B52" s="2488"/>
      <c r="C52" s="432" t="s">
        <v>1709</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row>
    <row r="53" spans="1:29" ht="13.5" customHeight="1">
      <c r="A53" s="2488"/>
      <c r="B53" s="2488"/>
      <c r="C53" s="432" t="s">
        <v>1710</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row>
    <row r="54" spans="1:29" s="437" customFormat="1" ht="13.5" customHeight="1">
      <c r="A54" s="2498"/>
      <c r="B54" s="2498"/>
      <c r="C54" s="432" t="s">
        <v>1711</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1770"/>
    </row>
    <row r="55" spans="1:29" s="437" customFormat="1">
      <c r="A55" s="2498"/>
      <c r="B55" s="2501"/>
      <c r="C55" s="2502"/>
      <c r="D55" s="2498"/>
      <c r="E55" s="2498"/>
      <c r="F55" s="2498"/>
      <c r="G55" s="2498"/>
      <c r="H55" s="2498"/>
      <c r="I55" s="2498"/>
      <c r="J55" s="2498"/>
      <c r="K55" s="2503"/>
      <c r="L55" s="2497"/>
      <c r="M55" s="2498"/>
      <c r="N55" s="2498"/>
      <c r="O55" s="2498"/>
      <c r="P55" s="1770"/>
    </row>
    <row r="56" spans="1:29">
      <c r="A56" s="2488"/>
      <c r="B56" s="2501"/>
      <c r="C56" s="2502"/>
      <c r="D56" s="2488"/>
      <c r="E56" s="2488"/>
      <c r="F56" s="2488"/>
      <c r="G56" s="2488"/>
      <c r="H56" s="2488"/>
      <c r="I56" s="2488"/>
      <c r="J56" s="2488"/>
      <c r="K56" s="2500"/>
      <c r="L56" s="2496"/>
      <c r="M56" s="2488"/>
      <c r="N56" s="2488"/>
      <c r="O56" s="2488"/>
    </row>
    <row r="57" spans="1:29" ht="21.75" thickBot="1">
      <c r="A57" s="658" t="s">
        <v>1712</v>
      </c>
      <c r="B57" s="385"/>
      <c r="C57" s="659"/>
      <c r="D57" s="659"/>
      <c r="E57" s="659"/>
      <c r="F57" s="660"/>
      <c r="G57" s="660"/>
      <c r="H57" s="659"/>
      <c r="I57" s="659"/>
      <c r="J57" s="659"/>
      <c r="K57" s="887"/>
      <c r="L57" s="888"/>
      <c r="M57" s="886"/>
      <c r="N57" s="886"/>
      <c r="O57" s="886"/>
      <c r="P57" s="1771"/>
      <c r="Q57" s="439"/>
    </row>
    <row r="58" spans="1:29" s="442" customFormat="1" ht="15">
      <c r="A58" s="440" t="s">
        <v>1713</v>
      </c>
      <c r="B58" s="441"/>
      <c r="C58" s="1105" t="str">
        <f>YEAR(C7)&amp;"-"&amp;MONTH(C7)</f>
        <v>2025-7</v>
      </c>
      <c r="D58" s="1104">
        <f>EDATE(C58,-1)</f>
        <v>45809</v>
      </c>
      <c r="E58" s="1104">
        <f>EDATE(D58,-1)</f>
        <v>45778</v>
      </c>
      <c r="F58" s="1104">
        <f t="shared" ref="F58:O58" si="19">EDATE(E58,-1)</f>
        <v>45748</v>
      </c>
      <c r="G58" s="1104">
        <f t="shared" si="19"/>
        <v>45717</v>
      </c>
      <c r="H58" s="1104">
        <f t="shared" si="19"/>
        <v>45689</v>
      </c>
      <c r="I58" s="1104">
        <f t="shared" si="19"/>
        <v>45658</v>
      </c>
      <c r="J58" s="1104">
        <f t="shared" si="19"/>
        <v>45627</v>
      </c>
      <c r="K58" s="1104">
        <f t="shared" si="19"/>
        <v>45597</v>
      </c>
      <c r="L58" s="1104">
        <f t="shared" si="19"/>
        <v>45566</v>
      </c>
      <c r="M58" s="1104">
        <f t="shared" si="19"/>
        <v>45536</v>
      </c>
      <c r="N58" s="1104">
        <f t="shared" si="19"/>
        <v>45505</v>
      </c>
      <c r="O58" s="1104">
        <f t="shared" si="19"/>
        <v>45474</v>
      </c>
      <c r="P58" s="1100"/>
    </row>
    <row r="59" spans="1:29" s="102" customFormat="1" ht="15">
      <c r="A59" s="443"/>
      <c r="B59" s="1772"/>
      <c r="C59" s="1102">
        <v>100</v>
      </c>
      <c r="D59" s="445"/>
      <c r="E59" s="446"/>
      <c r="F59" s="446"/>
      <c r="G59" s="446"/>
      <c r="H59" s="446"/>
      <c r="I59" s="446"/>
      <c r="J59" s="446"/>
      <c r="K59" s="446"/>
      <c r="L59" s="446"/>
      <c r="M59" s="447"/>
      <c r="N59" s="446"/>
      <c r="O59" s="447"/>
      <c r="P59" s="1773"/>
    </row>
    <row r="60" spans="1:29" s="102" customFormat="1" ht="15.75" thickBot="1">
      <c r="A60" s="449" t="s">
        <v>1714</v>
      </c>
      <c r="B60" s="450"/>
      <c r="C60" s="451"/>
      <c r="D60" s="452"/>
      <c r="E60" s="452"/>
      <c r="F60" s="452"/>
      <c r="G60" s="452"/>
      <c r="H60" s="452"/>
      <c r="I60" s="452"/>
      <c r="J60" s="452"/>
      <c r="K60" s="452"/>
      <c r="L60" s="452"/>
      <c r="M60" s="453"/>
      <c r="N60" s="452"/>
      <c r="O60" s="453"/>
      <c r="P60" s="1773"/>
      <c r="Q60" s="439"/>
    </row>
    <row r="61" spans="1:29" s="102" customFormat="1" ht="15">
      <c r="A61" s="455" t="s">
        <v>1715</v>
      </c>
      <c r="B61" s="444"/>
      <c r="C61" s="456" t="s">
        <v>1716</v>
      </c>
      <c r="D61" s="31"/>
      <c r="E61" s="31"/>
      <c r="F61" s="31"/>
      <c r="G61" s="31"/>
      <c r="H61" s="31"/>
      <c r="I61" s="31"/>
      <c r="J61" s="31"/>
      <c r="K61" s="31"/>
      <c r="L61" s="457"/>
      <c r="M61" s="458"/>
      <c r="N61" s="878"/>
      <c r="O61" s="878"/>
      <c r="P61" s="1774"/>
      <c r="Q61" s="439"/>
    </row>
    <row r="62" spans="1:29" s="102" customFormat="1" ht="15.75" thickBot="1">
      <c r="A62" s="455"/>
      <c r="B62" s="444"/>
      <c r="C62" s="445">
        <v>100</v>
      </c>
      <c r="D62" s="446"/>
      <c r="E62" s="446"/>
      <c r="F62" s="446"/>
      <c r="G62" s="446"/>
      <c r="H62" s="446"/>
      <c r="I62" s="446"/>
      <c r="J62" s="446"/>
      <c r="K62" s="446"/>
      <c r="L62" s="446"/>
      <c r="M62" s="448"/>
      <c r="N62" s="878"/>
      <c r="O62" s="878"/>
      <c r="P62" s="1773"/>
      <c r="Q62" s="439"/>
    </row>
    <row r="63" spans="1:29">
      <c r="A63" s="379" t="s">
        <v>1717</v>
      </c>
      <c r="B63" s="460" t="s">
        <v>1683</v>
      </c>
      <c r="C63" s="461">
        <f>C9</f>
        <v>0</v>
      </c>
      <c r="D63" s="462"/>
      <c r="E63" s="462"/>
      <c r="F63" s="462"/>
      <c r="G63" s="462"/>
      <c r="H63" s="462"/>
      <c r="I63" s="462"/>
      <c r="J63" s="462"/>
      <c r="K63" s="463"/>
      <c r="L63" s="464"/>
      <c r="M63" s="465"/>
      <c r="N63" s="879"/>
      <c r="O63" s="879"/>
      <c r="P63" s="1775"/>
      <c r="Q63" s="439"/>
    </row>
    <row r="64" spans="1:29" ht="15.75" thickBot="1">
      <c r="A64" s="367"/>
      <c r="B64" s="466"/>
      <c r="C64" s="467">
        <v>100</v>
      </c>
      <c r="D64" s="467"/>
      <c r="E64" s="467"/>
      <c r="F64" s="467"/>
      <c r="G64" s="467"/>
      <c r="H64" s="467"/>
      <c r="I64" s="467"/>
      <c r="J64" s="467"/>
      <c r="K64" s="467"/>
      <c r="L64" s="467"/>
      <c r="M64" s="468"/>
      <c r="N64" s="880"/>
      <c r="O64" s="880"/>
      <c r="P64" s="1775"/>
      <c r="Q64" s="439"/>
    </row>
    <row r="65" spans="1:17" ht="27.75" thickTop="1">
      <c r="A65" s="367"/>
      <c r="B65" s="469" t="s">
        <v>1686</v>
      </c>
      <c r="C65" s="513"/>
      <c r="D65" s="513"/>
      <c r="E65" s="513"/>
      <c r="F65" s="513"/>
      <c r="G65" s="513"/>
      <c r="H65" s="513"/>
      <c r="I65" s="513"/>
      <c r="J65" s="513"/>
      <c r="K65" s="513"/>
      <c r="L65" s="513"/>
      <c r="M65" s="513"/>
      <c r="N65" s="880"/>
      <c r="O65" s="880"/>
      <c r="P65" s="1775"/>
      <c r="Q65" s="439"/>
    </row>
    <row r="66" spans="1:17" ht="15.75" thickBot="1">
      <c r="A66" s="367"/>
      <c r="B66" s="474"/>
      <c r="C66" s="467"/>
      <c r="D66" s="467"/>
      <c r="E66" s="467"/>
      <c r="F66" s="467"/>
      <c r="G66" s="467"/>
      <c r="H66" s="467"/>
      <c r="I66" s="467"/>
      <c r="J66" s="467"/>
      <c r="K66" s="467"/>
      <c r="L66" s="467"/>
      <c r="M66" s="468"/>
      <c r="N66" s="880"/>
      <c r="O66" s="880"/>
      <c r="P66" s="1775"/>
      <c r="Q66" s="439"/>
    </row>
    <row r="67" spans="1:17" ht="15.75" thickTop="1">
      <c r="A67" s="367"/>
      <c r="B67" s="477" t="s">
        <v>1687</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ht="15">
      <c r="A68" s="367"/>
      <c r="B68" s="479"/>
      <c r="C68" s="480"/>
      <c r="D68" s="480"/>
      <c r="E68" s="480"/>
      <c r="F68" s="480"/>
      <c r="G68" s="480"/>
      <c r="H68" s="480"/>
      <c r="I68" s="480"/>
      <c r="J68" s="480"/>
      <c r="K68" s="481"/>
      <c r="L68" s="482"/>
      <c r="M68" s="483"/>
      <c r="N68" s="879"/>
      <c r="O68" s="879"/>
      <c r="P68" s="1775"/>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5.75" thickTop="1">
      <c r="A70" s="484"/>
      <c r="B70" s="469">
        <f>B12</f>
        <v>111</v>
      </c>
      <c r="C70" s="485"/>
      <c r="D70" s="485"/>
      <c r="E70" s="485"/>
      <c r="F70" s="485"/>
      <c r="G70" s="485"/>
      <c r="H70" s="486"/>
      <c r="I70" s="486"/>
      <c r="J70" s="486"/>
      <c r="K70" s="486"/>
      <c r="L70" s="487"/>
      <c r="M70" s="488"/>
      <c r="N70" s="881"/>
      <c r="O70" s="881"/>
      <c r="P70" s="1776"/>
      <c r="Q70" s="490"/>
    </row>
    <row r="71" spans="1:17" s="408" customFormat="1" ht="15.75" thickBot="1">
      <c r="A71" s="484"/>
      <c r="B71" s="474"/>
      <c r="C71" s="491"/>
      <c r="D71" s="467"/>
      <c r="E71" s="467"/>
      <c r="F71" s="467"/>
      <c r="G71" s="467"/>
      <c r="H71" s="467"/>
      <c r="I71" s="467"/>
      <c r="J71" s="467"/>
      <c r="K71" s="467"/>
      <c r="L71" s="467"/>
      <c r="M71" s="468"/>
      <c r="N71" s="880"/>
      <c r="O71" s="880"/>
      <c r="P71" s="1776"/>
      <c r="Q71" s="490"/>
    </row>
    <row r="72" spans="1:17" s="408" customFormat="1" ht="15.75" thickTop="1">
      <c r="A72" s="484"/>
      <c r="B72" s="469">
        <f>B13</f>
        <v>111</v>
      </c>
      <c r="C72" s="485"/>
      <c r="D72" s="485"/>
      <c r="E72" s="485"/>
      <c r="F72" s="485"/>
      <c r="G72" s="485"/>
      <c r="H72" s="486"/>
      <c r="I72" s="486"/>
      <c r="J72" s="486"/>
      <c r="K72" s="486"/>
      <c r="L72" s="487"/>
      <c r="M72" s="488"/>
      <c r="N72" s="881"/>
      <c r="O72" s="881"/>
      <c r="P72" s="1777"/>
      <c r="Q72" s="492"/>
    </row>
    <row r="73" spans="1:17" s="408" customFormat="1" ht="15.75" thickBot="1">
      <c r="A73" s="484"/>
      <c r="B73" s="474"/>
      <c r="C73" s="491"/>
      <c r="D73" s="491"/>
      <c r="E73" s="491"/>
      <c r="F73" s="491"/>
      <c r="G73" s="491"/>
      <c r="H73" s="493"/>
      <c r="I73" s="493"/>
      <c r="J73" s="493"/>
      <c r="K73" s="493"/>
      <c r="L73" s="493"/>
      <c r="M73" s="494"/>
      <c r="N73" s="881"/>
      <c r="O73" s="881"/>
      <c r="P73" s="1776"/>
      <c r="Q73" s="490"/>
    </row>
    <row r="74" spans="1:17" s="408" customFormat="1" ht="15.75" thickTop="1">
      <c r="A74" s="484"/>
      <c r="B74" s="477">
        <f>B14</f>
        <v>111</v>
      </c>
      <c r="C74" s="485"/>
      <c r="D74" s="485"/>
      <c r="E74" s="485"/>
      <c r="F74" s="485"/>
      <c r="G74" s="31"/>
      <c r="H74" s="495"/>
      <c r="I74" s="495"/>
      <c r="J74" s="495"/>
      <c r="K74" s="495"/>
      <c r="L74" s="496"/>
      <c r="M74" s="497"/>
      <c r="N74" s="881"/>
      <c r="O74" s="881"/>
      <c r="P74" s="1778"/>
      <c r="Q74" s="490"/>
    </row>
    <row r="75" spans="1:17" s="408" customFormat="1" ht="15.75" thickBot="1">
      <c r="A75" s="499"/>
      <c r="B75" s="500"/>
      <c r="C75" s="501"/>
      <c r="D75" s="501"/>
      <c r="E75" s="501"/>
      <c r="F75" s="501"/>
      <c r="G75" s="501"/>
      <c r="H75" s="502"/>
      <c r="I75" s="502"/>
      <c r="J75" s="502"/>
      <c r="K75" s="502"/>
      <c r="L75" s="502"/>
      <c r="M75" s="503"/>
      <c r="N75" s="881"/>
      <c r="O75" s="881"/>
      <c r="P75" s="1776"/>
      <c r="Q75" s="490"/>
    </row>
    <row r="76" spans="1:17">
      <c r="A76" s="379" t="s">
        <v>1688</v>
      </c>
      <c r="B76" s="460" t="s">
        <v>1718</v>
      </c>
      <c r="C76" s="504" t="s">
        <v>1719</v>
      </c>
      <c r="D76" s="504" t="s">
        <v>1720</v>
      </c>
      <c r="E76" s="504" t="s">
        <v>1721</v>
      </c>
      <c r="F76" s="504" t="s">
        <v>1722</v>
      </c>
      <c r="G76" s="504" t="s">
        <v>1723</v>
      </c>
      <c r="H76" s="461"/>
      <c r="I76" s="461"/>
      <c r="J76" s="461"/>
      <c r="K76" s="505"/>
      <c r="L76" s="506"/>
      <c r="M76" s="507"/>
      <c r="N76" s="879"/>
      <c r="O76" s="879"/>
      <c r="P76" s="1779"/>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75" thickTop="1">
      <c r="A78" s="367"/>
      <c r="B78" s="469" t="s">
        <v>1724</v>
      </c>
      <c r="C78" s="509" t="s">
        <v>1719</v>
      </c>
      <c r="D78" s="509" t="s">
        <v>1720</v>
      </c>
      <c r="E78" s="509" t="s">
        <v>1721</v>
      </c>
      <c r="F78" s="509" t="s">
        <v>1722</v>
      </c>
      <c r="G78" s="509" t="s">
        <v>1723</v>
      </c>
      <c r="H78" s="470"/>
      <c r="I78" s="470"/>
      <c r="J78" s="470"/>
      <c r="K78" s="471"/>
      <c r="L78" s="472"/>
      <c r="M78" s="473"/>
      <c r="N78" s="879"/>
      <c r="O78" s="879"/>
      <c r="P78" s="1775"/>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75" thickTop="1">
      <c r="A80" s="367"/>
      <c r="B80" s="469" t="s">
        <v>1725</v>
      </c>
      <c r="C80" s="509" t="s">
        <v>1719</v>
      </c>
      <c r="D80" s="509" t="s">
        <v>1720</v>
      </c>
      <c r="E80" s="509" t="s">
        <v>1721</v>
      </c>
      <c r="F80" s="509" t="s">
        <v>1722</v>
      </c>
      <c r="G80" s="509" t="s">
        <v>1723</v>
      </c>
      <c r="H80" s="470"/>
      <c r="I80" s="470"/>
      <c r="J80" s="470"/>
      <c r="K80" s="471"/>
      <c r="L80" s="472"/>
      <c r="M80" s="473"/>
      <c r="N80" s="879"/>
      <c r="O80" s="879"/>
      <c r="P80" s="1775"/>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75" thickTop="1">
      <c r="A82" s="367"/>
      <c r="B82" s="477" t="s">
        <v>1258</v>
      </c>
      <c r="C82" s="470" t="s">
        <v>1726</v>
      </c>
      <c r="D82" s="470" t="s">
        <v>1727</v>
      </c>
      <c r="E82" s="470" t="s">
        <v>1728</v>
      </c>
      <c r="F82" s="470" t="s">
        <v>1729</v>
      </c>
      <c r="G82" s="470" t="s">
        <v>1730</v>
      </c>
      <c r="H82" s="470"/>
      <c r="I82" s="470"/>
      <c r="J82" s="470"/>
      <c r="K82" s="470"/>
      <c r="L82" s="470"/>
      <c r="M82" s="1063"/>
      <c r="N82" s="880"/>
      <c r="O82" s="880"/>
      <c r="P82" s="1775"/>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75" thickTop="1">
      <c r="A84" s="367"/>
      <c r="B84" s="469" t="s">
        <v>1731</v>
      </c>
      <c r="C84" s="509" t="s">
        <v>1719</v>
      </c>
      <c r="D84" s="509" t="s">
        <v>1720</v>
      </c>
      <c r="E84" s="509" t="s">
        <v>1721</v>
      </c>
      <c r="F84" s="509" t="s">
        <v>1722</v>
      </c>
      <c r="G84" s="509" t="s">
        <v>1723</v>
      </c>
      <c r="H84" s="470"/>
      <c r="I84" s="470"/>
      <c r="J84" s="470"/>
      <c r="K84" s="471"/>
      <c r="L84" s="472"/>
      <c r="M84" s="473"/>
      <c r="N84" s="879"/>
      <c r="O84" s="879"/>
      <c r="P84" s="1775"/>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75" thickTop="1">
      <c r="A86" s="370"/>
      <c r="B86" s="469" t="s">
        <v>1732</v>
      </c>
      <c r="C86" s="485"/>
      <c r="D86" s="485"/>
      <c r="E86" s="485"/>
      <c r="F86" s="485"/>
      <c r="G86" s="485"/>
      <c r="H86" s="485"/>
      <c r="I86" s="485"/>
      <c r="J86" s="485"/>
      <c r="K86" s="485"/>
      <c r="L86" s="510"/>
      <c r="M86" s="511"/>
      <c r="N86" s="878"/>
      <c r="O86" s="878"/>
      <c r="P86" s="1775"/>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75" thickTop="1">
      <c r="A88" s="370"/>
      <c r="B88" s="469" t="s">
        <v>1733</v>
      </c>
      <c r="C88" s="485"/>
      <c r="D88" s="485"/>
      <c r="E88" s="485"/>
      <c r="F88" s="1780"/>
      <c r="G88" s="485"/>
      <c r="H88" s="485"/>
      <c r="I88" s="485"/>
      <c r="J88" s="485"/>
      <c r="K88" s="485"/>
      <c r="L88" s="485"/>
      <c r="M88" s="511"/>
      <c r="N88" s="878"/>
      <c r="O88" s="878"/>
      <c r="P88" s="1775"/>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5.75" thickTop="1">
      <c r="A90" s="484"/>
      <c r="B90" s="469">
        <f>B27</f>
        <v>111</v>
      </c>
      <c r="C90" s="485"/>
      <c r="D90" s="485"/>
      <c r="E90" s="485"/>
      <c r="F90" s="485"/>
      <c r="G90" s="485"/>
      <c r="H90" s="486"/>
      <c r="I90" s="486"/>
      <c r="J90" s="486"/>
      <c r="K90" s="486"/>
      <c r="L90" s="487"/>
      <c r="M90" s="488"/>
      <c r="N90" s="881"/>
      <c r="O90" s="881"/>
      <c r="P90" s="1776"/>
      <c r="Q90" s="490"/>
    </row>
    <row r="91" spans="1:17" s="408" customFormat="1" ht="15.75" thickBot="1">
      <c r="A91" s="484"/>
      <c r="B91" s="474"/>
      <c r="C91" s="491"/>
      <c r="D91" s="491"/>
      <c r="E91" s="491"/>
      <c r="F91" s="491"/>
      <c r="G91" s="491"/>
      <c r="H91" s="493"/>
      <c r="I91" s="493"/>
      <c r="J91" s="493"/>
      <c r="K91" s="493"/>
      <c r="L91" s="493"/>
      <c r="M91" s="494"/>
      <c r="N91" s="881"/>
      <c r="O91" s="881"/>
      <c r="P91" s="1776"/>
      <c r="Q91" s="490"/>
    </row>
    <row r="92" spans="1:17" ht="15.75" thickTop="1">
      <c r="A92" s="367"/>
      <c r="B92" s="469">
        <f>B28</f>
        <v>111</v>
      </c>
      <c r="C92" s="485"/>
      <c r="D92" s="485"/>
      <c r="E92" s="485"/>
      <c r="F92" s="485"/>
      <c r="G92" s="513"/>
      <c r="H92" s="513"/>
      <c r="I92" s="513"/>
      <c r="J92" s="513"/>
      <c r="K92" s="514"/>
      <c r="L92" s="515"/>
      <c r="M92" s="516"/>
      <c r="N92" s="879"/>
      <c r="O92" s="879"/>
      <c r="P92" s="1775"/>
      <c r="Q92" s="439"/>
    </row>
    <row r="93" spans="1:17" ht="15.75" thickBot="1">
      <c r="A93" s="367"/>
      <c r="B93" s="474"/>
      <c r="C93" s="491"/>
      <c r="D93" s="467"/>
      <c r="E93" s="467"/>
      <c r="F93" s="467"/>
      <c r="G93" s="467"/>
      <c r="H93" s="467"/>
      <c r="I93" s="467"/>
      <c r="J93" s="467"/>
      <c r="K93" s="467"/>
      <c r="L93" s="467"/>
      <c r="M93" s="468"/>
      <c r="N93" s="880"/>
      <c r="O93" s="880"/>
      <c r="P93" s="1775"/>
      <c r="Q93" s="439"/>
    </row>
    <row r="94" spans="1:17" ht="15.75" thickTop="1">
      <c r="A94" s="367"/>
      <c r="B94" s="469">
        <f>B29</f>
        <v>111</v>
      </c>
      <c r="C94" s="485"/>
      <c r="D94" s="485"/>
      <c r="E94" s="485"/>
      <c r="F94" s="485"/>
      <c r="G94" s="513"/>
      <c r="H94" s="513"/>
      <c r="I94" s="513"/>
      <c r="J94" s="513"/>
      <c r="K94" s="514"/>
      <c r="L94" s="515"/>
      <c r="M94" s="516"/>
      <c r="N94" s="879"/>
      <c r="O94" s="879"/>
      <c r="P94" s="1775"/>
      <c r="Q94" s="439"/>
    </row>
    <row r="95" spans="1:17" ht="15.75" thickBot="1">
      <c r="A95" s="367"/>
      <c r="B95" s="474"/>
      <c r="C95" s="491"/>
      <c r="D95" s="491"/>
      <c r="E95" s="491"/>
      <c r="F95" s="491"/>
      <c r="G95" s="467"/>
      <c r="H95" s="467"/>
      <c r="I95" s="467"/>
      <c r="J95" s="467"/>
      <c r="K95" s="467"/>
      <c r="L95" s="467"/>
      <c r="M95" s="468"/>
      <c r="N95" s="880"/>
      <c r="O95" s="880"/>
      <c r="P95" s="1775"/>
      <c r="Q95" s="439"/>
    </row>
    <row r="96" spans="1:17" ht="15.75" thickTop="1">
      <c r="A96" s="367"/>
      <c r="B96" s="469">
        <f>B30</f>
        <v>111</v>
      </c>
      <c r="C96" s="485"/>
      <c r="D96" s="485"/>
      <c r="E96" s="485"/>
      <c r="F96" s="485"/>
      <c r="G96" s="513"/>
      <c r="H96" s="513"/>
      <c r="I96" s="513"/>
      <c r="J96" s="513"/>
      <c r="K96" s="514"/>
      <c r="L96" s="515"/>
      <c r="M96" s="516"/>
      <c r="N96" s="879"/>
      <c r="O96" s="879"/>
      <c r="P96" s="1775"/>
      <c r="Q96" s="439"/>
    </row>
    <row r="97" spans="1:17" ht="15.75" thickBot="1">
      <c r="A97" s="367"/>
      <c r="B97" s="474"/>
      <c r="C97" s="501"/>
      <c r="D97" s="501"/>
      <c r="E97" s="501"/>
      <c r="F97" s="501"/>
      <c r="G97" s="467"/>
      <c r="H97" s="467"/>
      <c r="I97" s="467"/>
      <c r="J97" s="467"/>
      <c r="K97" s="467"/>
      <c r="L97" s="467"/>
      <c r="M97" s="468"/>
      <c r="N97" s="880"/>
      <c r="O97" s="880"/>
      <c r="P97" s="1775"/>
      <c r="Q97" s="439"/>
    </row>
    <row r="98" spans="1:17" ht="15.75" thickTop="1">
      <c r="A98" s="367"/>
      <c r="B98" s="477">
        <f>B31</f>
        <v>111</v>
      </c>
      <c r="C98" s="517"/>
      <c r="D98" s="517"/>
      <c r="E98" s="517"/>
      <c r="F98" s="517"/>
      <c r="G98" s="517"/>
      <c r="H98" s="517"/>
      <c r="I98" s="517"/>
      <c r="J98" s="517"/>
      <c r="K98" s="518"/>
      <c r="L98" s="519"/>
      <c r="M98" s="520"/>
      <c r="N98" s="879"/>
      <c r="O98" s="879"/>
      <c r="P98" s="1775"/>
      <c r="Q98" s="439"/>
    </row>
    <row r="99" spans="1:17" ht="15.75" thickBot="1">
      <c r="A99" s="375"/>
      <c r="B99" s="500"/>
      <c r="C99" s="521"/>
      <c r="D99" s="521"/>
      <c r="E99" s="521"/>
      <c r="F99" s="521"/>
      <c r="G99" s="521"/>
      <c r="H99" s="521"/>
      <c r="I99" s="521"/>
      <c r="J99" s="521"/>
      <c r="K99" s="521"/>
      <c r="L99" s="521"/>
      <c r="M99" s="522"/>
      <c r="N99" s="880"/>
      <c r="O99" s="880"/>
      <c r="P99" s="1775"/>
      <c r="Q99" s="439"/>
    </row>
    <row r="100" spans="1:17">
      <c r="A100" s="379" t="s">
        <v>1692</v>
      </c>
      <c r="B100" s="460" t="s">
        <v>1734</v>
      </c>
      <c r="C100" s="462"/>
      <c r="D100" s="462"/>
      <c r="E100" s="462"/>
      <c r="F100" s="462"/>
      <c r="G100" s="462"/>
      <c r="H100" s="462"/>
      <c r="I100" s="462"/>
      <c r="J100" s="462"/>
      <c r="K100" s="463"/>
      <c r="L100" s="464"/>
      <c r="M100" s="465"/>
      <c r="N100" s="879"/>
      <c r="O100" s="879"/>
      <c r="P100" s="1775"/>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75" thickTop="1">
      <c r="A102" s="367"/>
      <c r="B102" s="469" t="s">
        <v>1735</v>
      </c>
      <c r="C102" s="509" t="str">
        <f>C103&amp;"(含)"&amp;"-"&amp;D103</f>
        <v>0(含)-1</v>
      </c>
      <c r="D102" s="509" t="str">
        <f t="shared" ref="D102:L102" si="26">D103&amp;"(含)"&amp;"-"&amp;E103</f>
        <v>1(含)-2</v>
      </c>
      <c r="E102" s="509" t="str">
        <f t="shared" si="26"/>
        <v>2(含)-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v>0</v>
      </c>
      <c r="D103" s="6">
        <v>1</v>
      </c>
      <c r="E103" s="6">
        <v>2</v>
      </c>
      <c r="F103" s="6"/>
      <c r="G103" s="6"/>
      <c r="H103" s="6"/>
      <c r="I103" s="6"/>
      <c r="J103" s="524"/>
      <c r="K103" s="524"/>
      <c r="L103" s="525"/>
      <c r="M103" s="526"/>
      <c r="N103" s="881"/>
      <c r="O103" s="881"/>
      <c r="P103" s="1776"/>
      <c r="Q103" s="490"/>
    </row>
    <row r="104" spans="1:17" s="408" customFormat="1" ht="15.75"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1736</v>
      </c>
      <c r="C105" s="485"/>
      <c r="D105" s="485"/>
      <c r="E105" s="513"/>
      <c r="F105" s="513"/>
      <c r="G105" s="513"/>
      <c r="H105" s="513"/>
      <c r="I105" s="513"/>
      <c r="J105" s="513"/>
      <c r="K105" s="514"/>
      <c r="L105" s="515"/>
      <c r="M105" s="516"/>
      <c r="N105" s="879"/>
      <c r="O105" s="879"/>
      <c r="P105" s="1775"/>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1737</v>
      </c>
      <c r="C107" s="513"/>
      <c r="D107" s="513"/>
      <c r="E107" s="513"/>
      <c r="F107" s="513"/>
      <c r="G107" s="513"/>
      <c r="H107" s="513"/>
      <c r="I107" s="513"/>
      <c r="J107" s="513"/>
      <c r="K107" s="514"/>
      <c r="L107" s="515"/>
      <c r="M107" s="516"/>
      <c r="N107" s="879"/>
      <c r="O107" s="879"/>
      <c r="P107" s="1775"/>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1738</v>
      </c>
      <c r="C109" s="485"/>
      <c r="D109" s="485"/>
      <c r="E109" s="485"/>
      <c r="F109" s="513"/>
      <c r="G109" s="513"/>
      <c r="H109" s="513"/>
      <c r="I109" s="513"/>
      <c r="J109" s="513"/>
      <c r="K109" s="514"/>
      <c r="L109" s="515"/>
      <c r="M109" s="516"/>
      <c r="N109" s="879"/>
      <c r="O109" s="879"/>
      <c r="P109" s="1775"/>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1739</v>
      </c>
      <c r="C114" s="485"/>
      <c r="D114" s="485"/>
      <c r="E114" s="513"/>
      <c r="F114" s="513"/>
      <c r="G114" s="513"/>
      <c r="H114" s="513"/>
      <c r="I114" s="513"/>
      <c r="J114" s="513"/>
      <c r="K114" s="514"/>
      <c r="L114" s="515"/>
      <c r="M114" s="516"/>
      <c r="N114" s="879"/>
      <c r="O114" s="879"/>
      <c r="P114" s="1775"/>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1740</v>
      </c>
      <c r="C116" s="485"/>
      <c r="D116" s="485"/>
      <c r="E116" s="485"/>
      <c r="F116" s="485"/>
      <c r="G116" s="485"/>
      <c r="H116" s="513"/>
      <c r="I116" s="513"/>
      <c r="J116" s="513"/>
      <c r="K116" s="514"/>
      <c r="L116" s="515"/>
      <c r="M116" s="516"/>
      <c r="N116" s="879"/>
      <c r="O116" s="879"/>
      <c r="P116" s="1775"/>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1741</v>
      </c>
      <c r="C118" s="513"/>
      <c r="D118" s="513"/>
      <c r="E118" s="513"/>
      <c r="F118" s="513"/>
      <c r="G118" s="513"/>
      <c r="H118" s="513"/>
      <c r="I118" s="513"/>
      <c r="J118" s="513"/>
      <c r="K118" s="514"/>
      <c r="L118" s="515"/>
      <c r="M118" s="516"/>
      <c r="N118" s="879"/>
      <c r="O118" s="879"/>
      <c r="P118" s="1775"/>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8.5" thickTop="1">
      <c r="A120" s="406"/>
      <c r="B120" s="469" t="s">
        <v>1703</v>
      </c>
      <c r="C120" s="485"/>
      <c r="D120" s="485"/>
      <c r="E120" s="485"/>
      <c r="F120" s="485"/>
      <c r="G120" s="485"/>
      <c r="H120" s="485"/>
      <c r="I120" s="485"/>
      <c r="J120" s="485"/>
      <c r="K120" s="485"/>
      <c r="L120" s="510"/>
      <c r="M120" s="511"/>
      <c r="N120" s="881"/>
      <c r="O120" s="881"/>
      <c r="P120" s="1776"/>
      <c r="Q120" s="490"/>
    </row>
    <row r="121" spans="1:17" s="408" customFormat="1" ht="15.75"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1742</v>
      </c>
      <c r="C122" s="485"/>
      <c r="D122" s="485"/>
      <c r="E122" s="485"/>
      <c r="F122" s="513"/>
      <c r="G122" s="513"/>
      <c r="H122" s="513"/>
      <c r="I122" s="513"/>
      <c r="J122" s="513"/>
      <c r="K122" s="514"/>
      <c r="L122" s="515"/>
      <c r="M122" s="516"/>
      <c r="N122" s="879"/>
      <c r="O122" s="879"/>
      <c r="P122" s="1775"/>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15" thickTop="1">
      <c r="A124" s="409"/>
      <c r="B124" s="469" t="s">
        <v>1743</v>
      </c>
      <c r="C124" s="509" t="s">
        <v>1719</v>
      </c>
      <c r="D124" s="509" t="s">
        <v>1720</v>
      </c>
      <c r="E124" s="509" t="s">
        <v>1721</v>
      </c>
      <c r="F124" s="509" t="s">
        <v>1722</v>
      </c>
      <c r="G124" s="509" t="s">
        <v>1723</v>
      </c>
      <c r="H124" s="470"/>
      <c r="I124" s="470"/>
      <c r="J124" s="470"/>
      <c r="K124" s="471"/>
      <c r="L124" s="472"/>
      <c r="M124" s="473"/>
      <c r="N124" s="879"/>
      <c r="O124" s="879"/>
      <c r="P124" s="1776"/>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5.75" thickBot="1">
      <c r="A127" s="484"/>
      <c r="B127" s="474"/>
      <c r="C127" s="491"/>
      <c r="D127" s="467"/>
      <c r="E127" s="467"/>
      <c r="F127" s="467"/>
      <c r="G127" s="491"/>
      <c r="H127" s="493"/>
      <c r="I127" s="493"/>
      <c r="J127" s="493"/>
      <c r="K127" s="493"/>
      <c r="L127" s="493"/>
      <c r="M127" s="494"/>
      <c r="N127" s="881"/>
      <c r="O127" s="881"/>
      <c r="P127" s="1776"/>
      <c r="Q127" s="490"/>
    </row>
    <row r="128" spans="1:17" ht="15" thickTop="1">
      <c r="A128" s="409"/>
      <c r="B128" s="469">
        <f>B45</f>
        <v>111</v>
      </c>
      <c r="C128" s="485"/>
      <c r="D128" s="485"/>
      <c r="E128" s="485"/>
      <c r="F128" s="485"/>
      <c r="G128" s="513"/>
      <c r="H128" s="513"/>
      <c r="I128" s="513"/>
      <c r="J128" s="513"/>
      <c r="K128" s="514"/>
      <c r="L128" s="515"/>
      <c r="M128" s="516"/>
      <c r="N128" s="879"/>
      <c r="O128" s="879"/>
      <c r="P128" s="1775"/>
      <c r="Q128" s="439"/>
    </row>
    <row r="129" spans="1:17" ht="15.75" thickBot="1">
      <c r="A129" s="367"/>
      <c r="B129" s="474"/>
      <c r="C129" s="491"/>
      <c r="D129" s="491"/>
      <c r="E129" s="491"/>
      <c r="F129" s="491"/>
      <c r="G129" s="467"/>
      <c r="H129" s="467"/>
      <c r="I129" s="467"/>
      <c r="J129" s="467"/>
      <c r="K129" s="467"/>
      <c r="L129" s="467"/>
      <c r="M129" s="468"/>
      <c r="N129" s="880"/>
      <c r="O129" s="880"/>
      <c r="P129" s="1775"/>
      <c r="Q129" s="439"/>
    </row>
    <row r="130" spans="1:17" ht="15" thickTop="1">
      <c r="A130" s="409"/>
      <c r="B130" s="477">
        <f>B46</f>
        <v>111</v>
      </c>
      <c r="C130" s="485"/>
      <c r="D130" s="485"/>
      <c r="E130" s="485"/>
      <c r="F130" s="485"/>
      <c r="G130" s="517"/>
      <c r="H130" s="517"/>
      <c r="I130" s="517"/>
      <c r="J130" s="517"/>
      <c r="K130" s="31"/>
      <c r="L130" s="457"/>
      <c r="M130" s="520"/>
      <c r="N130" s="879"/>
      <c r="O130" s="879"/>
      <c r="P130" s="1775"/>
      <c r="Q130" s="439"/>
    </row>
    <row r="131" spans="1:17" ht="15.75"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1744</v>
      </c>
    </row>
    <row r="137" spans="1:17" ht="15">
      <c r="B137" s="1782" t="s">
        <v>1745</v>
      </c>
      <c r="C137" s="1783"/>
      <c r="D137" s="1783"/>
      <c r="E137" s="1783"/>
      <c r="F137" s="1783"/>
      <c r="G137" s="1784"/>
      <c r="H137" s="1785"/>
      <c r="I137" s="1786" t="s">
        <v>1746</v>
      </c>
      <c r="J137" s="1783"/>
      <c r="K137" s="1787"/>
    </row>
    <row r="138" spans="1:17" ht="15">
      <c r="B138" s="1788"/>
      <c r="C138" s="129" t="s">
        <v>1747</v>
      </c>
      <c r="D138" s="129" t="s">
        <v>1748</v>
      </c>
      <c r="E138" s="1789" t="s">
        <v>1749</v>
      </c>
      <c r="F138" s="1790" t="s">
        <v>1750</v>
      </c>
      <c r="G138" s="129" t="s">
        <v>1748</v>
      </c>
      <c r="H138" s="130" t="s">
        <v>1749</v>
      </c>
      <c r="I138" s="1791"/>
      <c r="J138" s="129" t="s">
        <v>1751</v>
      </c>
      <c r="K138" s="130" t="s">
        <v>1752</v>
      </c>
    </row>
    <row r="139" spans="1:17" ht="15">
      <c r="B139" s="814">
        <v>6</v>
      </c>
      <c r="C139" s="815">
        <v>96</v>
      </c>
      <c r="D139" s="1792" t="s">
        <v>1753</v>
      </c>
      <c r="E139" s="816">
        <v>100</v>
      </c>
      <c r="F139" s="817">
        <v>102.5</v>
      </c>
      <c r="G139" s="1792" t="s">
        <v>1753</v>
      </c>
      <c r="H139" s="818">
        <v>105</v>
      </c>
      <c r="I139" s="1793" t="s">
        <v>1754</v>
      </c>
      <c r="J139" s="815">
        <v>20</v>
      </c>
      <c r="K139" s="819">
        <f>C145/(J139-2)</f>
        <v>4.0555555555555553E-3</v>
      </c>
    </row>
    <row r="140" spans="1:17" ht="15">
      <c r="B140" s="820">
        <v>5</v>
      </c>
      <c r="C140" s="821">
        <v>100</v>
      </c>
      <c r="D140" s="821"/>
      <c r="E140" s="822"/>
      <c r="F140" s="823">
        <v>102</v>
      </c>
      <c r="G140" s="821"/>
      <c r="H140" s="824"/>
      <c r="I140" s="1794" t="s">
        <v>1755</v>
      </c>
      <c r="J140" s="263">
        <f>ROUNDUP((J139-1)/2,0)</f>
        <v>10</v>
      </c>
      <c r="K140" s="825">
        <v>100</v>
      </c>
    </row>
    <row r="141" spans="1:17" ht="15">
      <c r="B141" s="820">
        <v>4</v>
      </c>
      <c r="C141" s="821">
        <v>102</v>
      </c>
      <c r="D141" s="821"/>
      <c r="E141" s="822"/>
      <c r="F141" s="823">
        <v>101.5</v>
      </c>
      <c r="G141" s="821"/>
      <c r="H141" s="824"/>
      <c r="I141" s="1794" t="s">
        <v>1756</v>
      </c>
      <c r="J141" s="263">
        <v>1</v>
      </c>
      <c r="K141" s="826">
        <f>ROUND(100+(J141-J140)*K139*100,1)</f>
        <v>96.4</v>
      </c>
    </row>
    <row r="142" spans="1:17" ht="15">
      <c r="B142" s="820">
        <v>3</v>
      </c>
      <c r="C142" s="821">
        <v>103</v>
      </c>
      <c r="D142" s="821"/>
      <c r="E142" s="822"/>
      <c r="F142" s="823">
        <v>101</v>
      </c>
      <c r="G142" s="821"/>
      <c r="H142" s="824"/>
      <c r="I142" s="1794" t="s">
        <v>1757</v>
      </c>
      <c r="J142" s="263">
        <f>J139</f>
        <v>20</v>
      </c>
      <c r="K142" s="827">
        <v>95</v>
      </c>
    </row>
    <row r="143" spans="1:17" ht="15">
      <c r="B143" s="820">
        <v>2</v>
      </c>
      <c r="C143" s="821">
        <v>100</v>
      </c>
      <c r="D143" s="821"/>
      <c r="E143" s="822"/>
      <c r="F143" s="823">
        <v>100.5</v>
      </c>
      <c r="G143" s="821"/>
      <c r="H143" s="824"/>
      <c r="I143" s="1794" t="s">
        <v>1758</v>
      </c>
      <c r="J143" s="821">
        <v>15</v>
      </c>
      <c r="K143" s="826">
        <f>ROUND(100+(J143-J140)*K139*100,1)</f>
        <v>102</v>
      </c>
    </row>
    <row r="144" spans="1:17" ht="15">
      <c r="B144" s="820">
        <v>1</v>
      </c>
      <c r="C144" s="821">
        <v>98</v>
      </c>
      <c r="D144" s="1795" t="s">
        <v>1759</v>
      </c>
      <c r="E144" s="822">
        <v>102</v>
      </c>
      <c r="F144" s="828">
        <v>100</v>
      </c>
      <c r="G144" s="1795" t="s">
        <v>1759</v>
      </c>
      <c r="H144" s="824">
        <v>105</v>
      </c>
      <c r="I144" s="1794" t="s">
        <v>1758</v>
      </c>
      <c r="J144" s="821">
        <v>18</v>
      </c>
      <c r="K144" s="826">
        <f>ROUND(100+(J144-J140)*K139*100,1)</f>
        <v>103.2</v>
      </c>
    </row>
    <row r="145" spans="2:11" ht="15.75" thickBot="1">
      <c r="B145" s="1796" t="s">
        <v>1760</v>
      </c>
      <c r="C145" s="829">
        <f>ROUND(MAX(C139:C144)/MIN(C139:C144)-1,3)</f>
        <v>7.2999999999999995E-2</v>
      </c>
      <c r="D145" s="830"/>
      <c r="E145" s="830"/>
      <c r="F145" s="1797" t="s">
        <v>1761</v>
      </c>
      <c r="G145" s="1798"/>
      <c r="H145" s="1799"/>
      <c r="I145" s="1800" t="s">
        <v>1758</v>
      </c>
      <c r="J145" s="831">
        <v>8</v>
      </c>
      <c r="K145" s="832">
        <f>ROUND(100+(J145-J140)*K139*100,1)</f>
        <v>99.2</v>
      </c>
    </row>
    <row r="147" spans="2:11">
      <c r="B147" s="1781" t="s">
        <v>1762</v>
      </c>
    </row>
    <row r="148" spans="2:11">
      <c r="B148" s="1781" t="s">
        <v>1763</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E52">
    <cfRule type="expression" dxfId="128" priority="14" stopIfTrue="1">
      <formula>$F$52="超过30%"</formula>
    </cfRule>
  </conditionalFormatting>
  <conditionalFormatting sqref="E53">
    <cfRule type="expression" dxfId="127" priority="11" stopIfTrue="1">
      <formula>$F$53="超过20%"</formula>
    </cfRule>
  </conditionalFormatting>
  <conditionalFormatting sqref="E54">
    <cfRule type="expression" dxfId="126" priority="10" stopIfTrue="1">
      <formula>$F$54="超过30%"</formula>
    </cfRule>
  </conditionalFormatting>
  <conditionalFormatting sqref="F7:F46 H7:H46 J7:J46">
    <cfRule type="cellIs" dxfId="125" priority="1" operator="notEqual">
      <formula>100</formula>
    </cfRule>
  </conditionalFormatting>
  <conditionalFormatting sqref="F48">
    <cfRule type="expression" dxfId="124" priority="4">
      <formula>$D$48="简单平均"</formula>
    </cfRule>
  </conditionalFormatting>
  <conditionalFormatting sqref="F52:F54 H52:H54 J52:J54">
    <cfRule type="containsText" dxfId="123" priority="15" stopIfTrue="1" operator="containsText" text="超过">
      <formula>NOT(ISERROR(SEARCH("超过",F52)))</formula>
    </cfRule>
  </conditionalFormatting>
  <conditionalFormatting sqref="G52">
    <cfRule type="expression" dxfId="122" priority="9" stopIfTrue="1">
      <formula>$H$52="超过30%"</formula>
    </cfRule>
  </conditionalFormatting>
  <conditionalFormatting sqref="G53">
    <cfRule type="expression" dxfId="121" priority="8" stopIfTrue="1">
      <formula>$H$53="超过20%"</formula>
    </cfRule>
  </conditionalFormatting>
  <conditionalFormatting sqref="G54">
    <cfRule type="expression" dxfId="120" priority="12" stopIfTrue="1">
      <formula>$H$54="超过30%"</formula>
    </cfRule>
  </conditionalFormatting>
  <conditionalFormatting sqref="H48">
    <cfRule type="expression" dxfId="119" priority="3">
      <formula>$D$48="简单平均"</formula>
    </cfRule>
  </conditionalFormatting>
  <conditionalFormatting sqref="I52">
    <cfRule type="expression" dxfId="118" priority="7" stopIfTrue="1">
      <formula>$J$52="超过30%"</formula>
    </cfRule>
  </conditionalFormatting>
  <conditionalFormatting sqref="I53">
    <cfRule type="expression" dxfId="117" priority="6" stopIfTrue="1">
      <formula>$J$53="超过20%"</formula>
    </cfRule>
  </conditionalFormatting>
  <conditionalFormatting sqref="I54">
    <cfRule type="expression" dxfId="116" priority="5" stopIfTrue="1">
      <formula>$J$54="超过30%"</formula>
    </cfRule>
  </conditionalFormatting>
  <conditionalFormatting sqref="J48">
    <cfRule type="expression" dxfId="115" priority="2">
      <formula>$D$48="简单平均"</formula>
    </cfRule>
  </conditionalFormatting>
  <dataValidations count="24">
    <dataValidation type="list" allowBlank="1" showInputMessage="1" showErrorMessage="1" sqref="E24 G24 I24 C24" xr:uid="{00000000-0002-0000-1800-000000000000}">
      <formula1>环境</formula1>
    </dataValidation>
    <dataValidation type="list" allowBlank="1" showInputMessage="1" showErrorMessage="1" sqref="E16 G16 I16 C16" xr:uid="{00000000-0002-0000-1800-000001000000}">
      <formula1>居住社区成熟度</formula1>
    </dataValidation>
    <dataValidation type="list" allowBlank="1" showInputMessage="1" showErrorMessage="1" sqref="E18 G18 I18 C18" xr:uid="{00000000-0002-0000-1800-000002000000}">
      <formula1>交通便捷度</formula1>
    </dataValidation>
    <dataValidation type="list" allowBlank="1" showInputMessage="1" showErrorMessage="1" sqref="C20 G20 E20 I20" xr:uid="{00000000-0002-0000-1800-000003000000}">
      <formula1>公共配套设施</formula1>
    </dataValidation>
    <dataValidation type="list" allowBlank="1" showInputMessage="1" showErrorMessage="1" sqref="E25 G25 I25 C25" xr:uid="{00000000-0002-0000-1800-000004000000}">
      <formula1>住宅楼层</formula1>
    </dataValidation>
    <dataValidation type="list" allowBlank="1" showInputMessage="1" showErrorMessage="1" sqref="E26 G26 I26 C26" xr:uid="{00000000-0002-0000-1800-000005000000}">
      <formula1>住宅朝向</formula1>
    </dataValidation>
    <dataValidation type="list" allowBlank="1" showInputMessage="1" showErrorMessage="1" sqref="E32 G32 I32 C32" xr:uid="{00000000-0002-0000-1800-000006000000}">
      <formula1>住宅建筑类型</formula1>
    </dataValidation>
    <dataValidation type="list" allowBlank="1" showInputMessage="1" showErrorMessage="1" sqref="E34 G34 I34 C34" xr:uid="{00000000-0002-0000-1800-000007000000}">
      <formula1>住宅建筑结构</formula1>
    </dataValidation>
    <dataValidation type="list" allowBlank="1" showInputMessage="1" showErrorMessage="1" sqref="E35 G35 I35 C35" xr:uid="{00000000-0002-0000-1800-000008000000}">
      <formula1>住宅建筑品质</formula1>
    </dataValidation>
    <dataValidation type="list" allowBlank="1" showInputMessage="1" showErrorMessage="1" sqref="E36 G36 I36 C36" xr:uid="{00000000-0002-0000-1800-000009000000}">
      <formula1>住宅公共部分装修</formula1>
    </dataValidation>
    <dataValidation type="list" allowBlank="1" showInputMessage="1" showErrorMessage="1" sqref="E38 G38 I38 C38" xr:uid="{00000000-0002-0000-1800-00000A000000}">
      <formula1>住宅物业管理</formula1>
    </dataValidation>
    <dataValidation type="list" allowBlank="1" showInputMessage="1" showErrorMessage="1" sqref="E39 G39 I39 C39" xr:uid="{00000000-0002-0000-1800-00000B000000}">
      <formula1>住宅基础设施水平</formula1>
    </dataValidation>
    <dataValidation type="list" allowBlank="1" showInputMessage="1" showErrorMessage="1" sqref="E40 G40 I40 C40" xr:uid="{00000000-0002-0000-1800-00000C000000}">
      <formula1>住宅房型</formula1>
    </dataValidation>
    <dataValidation type="list" allowBlank="1" showInputMessage="1" showErrorMessage="1" sqref="E42 G42 I42 C42" xr:uid="{00000000-0002-0000-1800-00000D000000}">
      <formula1>住宅内部装修</formula1>
    </dataValidation>
    <dataValidation type="list" allowBlank="1" showInputMessage="1" showErrorMessage="1" sqref="E43 G43 I43 C43" xr:uid="{00000000-0002-0000-1800-00000E000000}">
      <formula1>内部装修维护情况</formula1>
    </dataValidation>
    <dataValidation type="list" allowBlank="1" showInputMessage="1" showErrorMessage="1" sqref="E8 G8 I8 C8" xr:uid="{00000000-0002-0000-1800-00000F000000}">
      <formula1>住宅交易情况</formula1>
    </dataValidation>
    <dataValidation type="list" allowBlank="1" showInputMessage="1" showErrorMessage="1" sqref="D1" xr:uid="{00000000-0002-0000-1800-000010000000}">
      <formula1>项目类型</formula1>
    </dataValidation>
    <dataValidation type="list" allowBlank="1" showInputMessage="1" showErrorMessage="1" sqref="E9 G9 I9" xr:uid="{00000000-0002-0000-1800-000011000000}">
      <formula1>住宅用途</formula1>
    </dataValidation>
    <dataValidation type="list" allowBlank="1" showInputMessage="1" showErrorMessage="1" sqref="C22 E22 G22 I22" xr:uid="{00000000-0002-0000-1800-000012000000}">
      <formula1>基础设施水平</formula1>
    </dataValidation>
    <dataValidation type="list" allowBlank="1" showInputMessage="1" showErrorMessage="1" sqref="F1" xr:uid="{00000000-0002-0000-1800-000013000000}">
      <formula1>"售价,租金"</formula1>
    </dataValidation>
    <dataValidation type="list" allowBlank="1" showInputMessage="1" showErrorMessage="1" sqref="C2" xr:uid="{00000000-0002-0000-1800-000014000000}">
      <formula1>"需扣减承租人权益,——"</formula1>
    </dataValidation>
    <dataValidation type="list" allowBlank="1" showInputMessage="1" showErrorMessage="1" sqref="F2" xr:uid="{00000000-0002-0000-1800-000015000000}">
      <formula1>估价方法</formula1>
    </dataValidation>
    <dataValidation type="list" allowBlank="1" showInputMessage="1" showErrorMessage="1" sqref="D48" xr:uid="{00000000-0002-0000-1800-000016000000}">
      <formula1>"简单平均,加权平均"</formula1>
    </dataValidation>
    <dataValidation type="list" allowBlank="1" showInputMessage="1" showErrorMessage="1" sqref="E1" xr:uid="{00000000-0002-0000-1800-000017000000}">
      <formula1>"项目模式,单套模式"</formula1>
    </dataValidation>
  </dataValidations>
  <pageMargins left="0.70866141732283472" right="0.70866141732283472" top="1.0629921259842521" bottom="0.94488188976377963" header="0.31496062992125984" footer="0.31496062992125984"/>
  <pageSetup paperSize="9" scale="5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1658</v>
      </c>
      <c r="B1" s="1734" t="s">
        <v>1764</v>
      </c>
      <c r="C1" s="1155" t="s">
        <v>1660</v>
      </c>
      <c r="D1" s="1142"/>
      <c r="E1" s="3125"/>
      <c r="F1" s="1735"/>
      <c r="G1" s="1152" t="s">
        <v>1765</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1460</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1461</v>
      </c>
      <c r="F2" s="1739"/>
      <c r="G2" s="855"/>
      <c r="H2" s="855"/>
      <c r="I2" s="855"/>
      <c r="J2" s="855"/>
      <c r="K2" s="855"/>
      <c r="L2" s="2504"/>
      <c r="M2" s="2505"/>
      <c r="N2" s="2505"/>
      <c r="O2" s="2505"/>
      <c r="P2" s="1804"/>
      <c r="Q2" s="859"/>
      <c r="R2" s="859"/>
      <c r="S2" s="859"/>
      <c r="T2" s="859"/>
      <c r="U2" s="859"/>
      <c r="V2" s="859"/>
      <c r="W2" s="859"/>
      <c r="X2" s="859"/>
      <c r="Y2" s="859"/>
      <c r="Z2" s="859"/>
      <c r="AA2" s="859"/>
      <c r="AB2" s="859"/>
      <c r="AC2" s="1805"/>
    </row>
    <row r="3" spans="1:29" s="342" customFormat="1" ht="28.5" customHeight="1" thickBot="1">
      <c r="A3" s="195" t="s">
        <v>1462</v>
      </c>
      <c r="B3" s="536">
        <f>IF(C2="——",C49,ROUND(B2*10000/D3,0))</f>
        <v>0</v>
      </c>
      <c r="C3" s="344" t="s">
        <v>1766</v>
      </c>
      <c r="D3" s="343">
        <f>IF(D1="",'数据-汇总表'!E3,SUMIF('数据-汇总表'!$C19:$C33,D1,'数据-汇总表'!$E19:$E33))</f>
        <v>449.18</v>
      </c>
      <c r="E3" s="1805"/>
      <c r="F3" s="856"/>
      <c r="G3" s="855"/>
      <c r="H3" s="855"/>
      <c r="I3" s="855"/>
      <c r="J3" s="855"/>
      <c r="K3" s="857"/>
      <c r="L3" s="2504"/>
      <c r="M3" s="2505"/>
      <c r="N3" s="2505"/>
      <c r="O3" s="2505"/>
      <c r="P3" s="1804"/>
      <c r="Q3" s="859"/>
      <c r="R3" s="859"/>
      <c r="S3" s="859"/>
      <c r="T3" s="859"/>
      <c r="U3" s="859"/>
      <c r="V3" s="859"/>
      <c r="W3" s="859"/>
      <c r="X3" s="859"/>
      <c r="Y3" s="859"/>
      <c r="Z3" s="859"/>
      <c r="AA3" s="859"/>
      <c r="AB3" s="859"/>
      <c r="AC3" s="1805"/>
    </row>
    <row r="4" spans="1:29" ht="15">
      <c r="A4" s="345" t="s">
        <v>1767</v>
      </c>
      <c r="B4" s="346"/>
      <c r="C4" s="3614" t="s">
        <v>1768</v>
      </c>
      <c r="D4" s="3615"/>
      <c r="E4" s="3616" t="s">
        <v>1769</v>
      </c>
      <c r="F4" s="3617"/>
      <c r="G4" s="3614" t="s">
        <v>1770</v>
      </c>
      <c r="H4" s="3615"/>
      <c r="I4" s="3614" t="s">
        <v>1771</v>
      </c>
      <c r="J4" s="3615"/>
      <c r="K4" s="537" t="s">
        <v>1772</v>
      </c>
      <c r="L4" s="2487"/>
      <c r="M4" s="2488"/>
      <c r="N4" s="2488"/>
      <c r="O4" s="2488"/>
      <c r="P4" s="3618" t="s">
        <v>1773</v>
      </c>
      <c r="Q4" s="3619"/>
      <c r="R4" s="3601" t="s">
        <v>1769</v>
      </c>
      <c r="S4" s="3602"/>
      <c r="T4" s="3601" t="s">
        <v>1770</v>
      </c>
      <c r="U4" s="3602"/>
      <c r="V4" s="3626" t="s">
        <v>1771</v>
      </c>
      <c r="W4" s="3626"/>
      <c r="X4" s="1265"/>
      <c r="Y4" s="3601" t="s">
        <v>1773</v>
      </c>
      <c r="Z4" s="3602"/>
      <c r="AA4" s="3596" t="s">
        <v>1769</v>
      </c>
      <c r="AB4" s="3626" t="s">
        <v>1770</v>
      </c>
      <c r="AC4" s="3596" t="s">
        <v>1771</v>
      </c>
    </row>
    <row r="5" spans="1:29" ht="15">
      <c r="A5" s="348"/>
      <c r="B5" s="349"/>
      <c r="C5" s="3607" t="s">
        <v>1671</v>
      </c>
      <c r="D5" s="3608"/>
      <c r="E5" s="3605" t="s">
        <v>1672</v>
      </c>
      <c r="F5" s="3606"/>
      <c r="G5" s="3607" t="s">
        <v>1673</v>
      </c>
      <c r="H5" s="3608"/>
      <c r="I5" s="3607" t="s">
        <v>1674</v>
      </c>
      <c r="J5" s="3608"/>
      <c r="K5" s="537"/>
      <c r="L5" s="2487"/>
      <c r="M5" s="2488"/>
      <c r="N5" s="2488"/>
      <c r="O5" s="2488"/>
      <c r="P5" s="3620"/>
      <c r="Q5" s="3621"/>
      <c r="R5" s="3603"/>
      <c r="S5" s="3604"/>
      <c r="T5" s="3603"/>
      <c r="U5" s="3604"/>
      <c r="V5" s="3626"/>
      <c r="W5" s="3626"/>
      <c r="X5" s="1265"/>
      <c r="Y5" s="3603"/>
      <c r="Z5" s="3604"/>
      <c r="AA5" s="3597"/>
      <c r="AB5" s="3626"/>
      <c r="AC5" s="3597"/>
    </row>
    <row r="6" spans="1:29" ht="15.75" thickBot="1">
      <c r="A6" s="350"/>
      <c r="B6" s="351"/>
      <c r="C6" s="3609" t="s">
        <v>1675</v>
      </c>
      <c r="D6" s="3610"/>
      <c r="E6" s="3611" t="s">
        <v>1675</v>
      </c>
      <c r="F6" s="3612"/>
      <c r="G6" s="3609" t="s">
        <v>1675</v>
      </c>
      <c r="H6" s="3610"/>
      <c r="I6" s="3609" t="s">
        <v>1675</v>
      </c>
      <c r="J6" s="3610"/>
      <c r="K6" s="537" t="s">
        <v>1676</v>
      </c>
      <c r="L6" s="2487"/>
      <c r="M6" s="2488"/>
      <c r="N6" s="2488"/>
      <c r="O6" s="2488"/>
      <c r="P6" s="3622"/>
      <c r="Q6" s="3623"/>
      <c r="R6" s="3603"/>
      <c r="S6" s="3604"/>
      <c r="T6" s="3624"/>
      <c r="U6" s="3625"/>
      <c r="V6" s="3626"/>
      <c r="W6" s="3626"/>
      <c r="X6" s="1265"/>
      <c r="Y6" s="3624"/>
      <c r="Z6" s="3625"/>
      <c r="AA6" s="3598"/>
      <c r="AB6" s="3626"/>
      <c r="AC6" s="3598"/>
    </row>
    <row r="7" spans="1:29" s="102" customFormat="1" ht="15.75" thickBot="1">
      <c r="A7" s="352" t="s">
        <v>1677</v>
      </c>
      <c r="B7" s="353"/>
      <c r="C7" s="354">
        <f>'数据-取费表'!B2</f>
        <v>45839</v>
      </c>
      <c r="D7" s="355">
        <v>100</v>
      </c>
      <c r="E7" s="356"/>
      <c r="F7" s="357">
        <f>SUMIF(58:58,YEAR(E7)&amp;"-"&amp;MONTH(E7),59:59)</f>
        <v>0</v>
      </c>
      <c r="G7" s="356"/>
      <c r="H7" s="355">
        <f>SUMIF(58:58,YEAR(G7)&amp;"-"&amp;MONTH(G7),59:59)</f>
        <v>0</v>
      </c>
      <c r="I7" s="356"/>
      <c r="J7" s="355">
        <f>SUMIF(58:58,YEAR(I7)&amp;"-"&amp;MONTH(I7),59:59)</f>
        <v>0</v>
      </c>
      <c r="K7" s="38"/>
      <c r="L7" s="2489"/>
      <c r="M7" s="2440"/>
      <c r="N7" s="2440"/>
      <c r="O7" s="2440"/>
      <c r="P7" s="3599" t="s">
        <v>1678</v>
      </c>
      <c r="Q7" s="3627"/>
      <c r="R7" s="664" t="s">
        <v>14</v>
      </c>
      <c r="S7" s="665">
        <f t="shared" ref="S7:S15" si="0">F7</f>
        <v>0</v>
      </c>
      <c r="T7" s="664" t="s">
        <v>14</v>
      </c>
      <c r="U7" s="665">
        <f t="shared" ref="U7:U15" si="1">H7</f>
        <v>0</v>
      </c>
      <c r="V7" s="664" t="s">
        <v>14</v>
      </c>
      <c r="W7" s="665">
        <f t="shared" ref="W7:W15" si="2">J7</f>
        <v>0</v>
      </c>
      <c r="X7" s="666"/>
      <c r="Y7" s="3599" t="s">
        <v>1678</v>
      </c>
      <c r="Z7" s="3600"/>
      <c r="AA7" s="50" t="e">
        <f>D7/F7</f>
        <v>#DIV/0!</v>
      </c>
      <c r="AB7" s="50" t="e">
        <f>D7/H7</f>
        <v>#DIV/0!</v>
      </c>
      <c r="AC7" s="50" t="e">
        <f>D7/J7</f>
        <v>#DIV/0!</v>
      </c>
    </row>
    <row r="8" spans="1:29" s="102" customFormat="1" ht="15.75" thickBot="1">
      <c r="A8" s="352" t="s">
        <v>1679</v>
      </c>
      <c r="B8" s="353"/>
      <c r="C8" s="358"/>
      <c r="D8" s="355">
        <v>100</v>
      </c>
      <c r="E8" s="358"/>
      <c r="F8" s="357">
        <f>SUMIF(61:61,E8,62:62)-SUMIF(61:61,C8,62:62)+100</f>
        <v>100</v>
      </c>
      <c r="G8" s="358"/>
      <c r="H8" s="355">
        <f>SUMIF(61:61,G8,62:62)-SUMIF(61:61,C8,62:62)+100</f>
        <v>100</v>
      </c>
      <c r="I8" s="358"/>
      <c r="J8" s="355">
        <f>SUMIF(61:61,I8,62:62)-SUMIF(61:61,C8,62:62)+100</f>
        <v>100</v>
      </c>
      <c r="K8" s="38"/>
      <c r="L8" s="2489"/>
      <c r="M8" s="2440"/>
      <c r="N8" s="2440"/>
      <c r="O8" s="2440"/>
      <c r="P8" s="3599" t="s">
        <v>1681</v>
      </c>
      <c r="Q8" s="3600"/>
      <c r="R8" s="664" t="s">
        <v>14</v>
      </c>
      <c r="S8" s="665">
        <f t="shared" si="0"/>
        <v>100</v>
      </c>
      <c r="T8" s="664" t="s">
        <v>14</v>
      </c>
      <c r="U8" s="665">
        <f t="shared" si="1"/>
        <v>100</v>
      </c>
      <c r="V8" s="664" t="s">
        <v>14</v>
      </c>
      <c r="W8" s="665">
        <f t="shared" si="2"/>
        <v>100</v>
      </c>
      <c r="X8" s="666"/>
      <c r="Y8" s="3599" t="s">
        <v>1681</v>
      </c>
      <c r="Z8" s="3600"/>
      <c r="AA8" s="50">
        <f t="shared" ref="AA8:AA46" si="3">D8/F8</f>
        <v>1</v>
      </c>
      <c r="AB8" s="50">
        <f t="shared" ref="AB8:AB46" si="4">D8/H8</f>
        <v>1</v>
      </c>
      <c r="AC8" s="50">
        <f t="shared" ref="AC8:AC46" si="5">D8/J8</f>
        <v>1</v>
      </c>
    </row>
    <row r="9" spans="1:29" s="102" customFormat="1">
      <c r="A9" s="359" t="s">
        <v>1682</v>
      </c>
      <c r="B9" s="60" t="s">
        <v>1683</v>
      </c>
      <c r="C9" s="360"/>
      <c r="D9" s="59">
        <v>100</v>
      </c>
      <c r="E9" s="361"/>
      <c r="F9" s="60">
        <f>SUMIF(63:63,E9,64:64)-SUMIF(63:63,C9,64:64)+100</f>
        <v>100</v>
      </c>
      <c r="G9" s="361"/>
      <c r="H9" s="59">
        <f>SUMIF(63:63,G9,64:64)-SUMIF(63:63,C9,64:64)+100</f>
        <v>100</v>
      </c>
      <c r="I9" s="361"/>
      <c r="J9" s="59">
        <f>SUMIF(63:63,I9,64:64)-SUMIF(63:63,C9,64:64)+100</f>
        <v>100</v>
      </c>
      <c r="K9" s="38"/>
      <c r="L9" s="2489"/>
      <c r="M9" s="2440"/>
      <c r="N9" s="2440"/>
      <c r="O9" s="2440"/>
      <c r="P9" s="3613" t="s">
        <v>1684</v>
      </c>
      <c r="Q9" s="530" t="str">
        <f t="shared" ref="Q9:Q15" si="6">B9</f>
        <v>用途</v>
      </c>
      <c r="R9" s="664" t="s">
        <v>14</v>
      </c>
      <c r="S9" s="665">
        <f t="shared" si="0"/>
        <v>100</v>
      </c>
      <c r="T9" s="664" t="s">
        <v>14</v>
      </c>
      <c r="U9" s="665">
        <f t="shared" si="1"/>
        <v>100</v>
      </c>
      <c r="V9" s="664" t="s">
        <v>14</v>
      </c>
      <c r="W9" s="665">
        <f t="shared" si="2"/>
        <v>100</v>
      </c>
      <c r="X9" s="666"/>
      <c r="Y9" s="3543" t="s">
        <v>1685</v>
      </c>
      <c r="Z9" s="50" t="str">
        <f t="shared" ref="Z9:Z15" si="7">Q9</f>
        <v>用途</v>
      </c>
      <c r="AA9" s="50">
        <f t="shared" si="3"/>
        <v>1</v>
      </c>
      <c r="AB9" s="50">
        <f t="shared" si="4"/>
        <v>1</v>
      </c>
      <c r="AC9" s="50">
        <f t="shared" si="5"/>
        <v>1</v>
      </c>
    </row>
    <row r="10" spans="1:29" s="366" customFormat="1" ht="27">
      <c r="A10" s="363"/>
      <c r="B10" s="364" t="s">
        <v>1686</v>
      </c>
      <c r="C10" s="3133"/>
      <c r="D10" s="119">
        <v>100</v>
      </c>
      <c r="E10" s="3134"/>
      <c r="F10" s="364">
        <f>SUMIF(65:65,E10,66:66)-SUMIF(65:65,C10,66:66)+100</f>
        <v>100</v>
      </c>
      <c r="G10" s="3133"/>
      <c r="H10" s="119">
        <f>SUMIF(65:65,G10,66:66)-SUMIF(65:65,C10,66:66)+100</f>
        <v>100</v>
      </c>
      <c r="I10" s="3133"/>
      <c r="J10" s="119">
        <f>SUMIF(65:65,I10,66:66)-SUMIF(65:65,C10,66:66)+100</f>
        <v>100</v>
      </c>
      <c r="K10" s="38"/>
      <c r="L10" s="2490"/>
      <c r="M10" s="2491"/>
      <c r="N10" s="2491"/>
      <c r="O10" s="2491"/>
      <c r="P10" s="3613"/>
      <c r="Q10" s="530" t="str">
        <f t="shared" si="6"/>
        <v>土地使用年限（年）</v>
      </c>
      <c r="R10" s="664" t="s">
        <v>14</v>
      </c>
      <c r="S10" s="665">
        <f t="shared" si="0"/>
        <v>100</v>
      </c>
      <c r="T10" s="664" t="s">
        <v>14</v>
      </c>
      <c r="U10" s="665">
        <f t="shared" si="1"/>
        <v>100</v>
      </c>
      <c r="V10" s="664" t="s">
        <v>14</v>
      </c>
      <c r="W10" s="665">
        <f t="shared" si="2"/>
        <v>100</v>
      </c>
      <c r="X10" s="666"/>
      <c r="Y10" s="3543"/>
      <c r="Z10" s="50" t="str">
        <f t="shared" si="7"/>
        <v>土地使用年限（年）</v>
      </c>
      <c r="AA10" s="50">
        <f t="shared" si="3"/>
        <v>1</v>
      </c>
      <c r="AB10" s="50">
        <f t="shared" si="4"/>
        <v>1</v>
      </c>
      <c r="AC10" s="50">
        <f t="shared" si="5"/>
        <v>1</v>
      </c>
    </row>
    <row r="11" spans="1:29" ht="15">
      <c r="A11" s="367"/>
      <c r="B11" s="364" t="s">
        <v>1687</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2"/>
      <c r="M11" s="2488"/>
      <c r="N11" s="2488"/>
      <c r="O11" s="2488"/>
      <c r="P11" s="3613"/>
      <c r="Q11" s="530" t="str">
        <f t="shared" si="6"/>
        <v>容积率</v>
      </c>
      <c r="R11" s="664" t="s">
        <v>14</v>
      </c>
      <c r="S11" s="665" t="e">
        <f t="shared" si="0"/>
        <v>#N/A</v>
      </c>
      <c r="T11" s="664" t="s">
        <v>14</v>
      </c>
      <c r="U11" s="665" t="e">
        <f t="shared" si="1"/>
        <v>#N/A</v>
      </c>
      <c r="V11" s="664" t="s">
        <v>14</v>
      </c>
      <c r="W11" s="665" t="e">
        <f t="shared" si="2"/>
        <v>#N/A</v>
      </c>
      <c r="X11" s="666"/>
      <c r="Y11" s="3543"/>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9"/>
      <c r="M12" s="2440"/>
      <c r="N12" s="2440"/>
      <c r="O12" s="2440"/>
      <c r="P12" s="3613"/>
      <c r="Q12" s="530">
        <f t="shared" si="6"/>
        <v>111</v>
      </c>
      <c r="R12" s="664" t="s">
        <v>14</v>
      </c>
      <c r="S12" s="665">
        <f t="shared" si="0"/>
        <v>100</v>
      </c>
      <c r="T12" s="664" t="s">
        <v>14</v>
      </c>
      <c r="U12" s="665">
        <f t="shared" si="1"/>
        <v>100</v>
      </c>
      <c r="V12" s="664" t="s">
        <v>14</v>
      </c>
      <c r="W12" s="665">
        <f t="shared" si="2"/>
        <v>100</v>
      </c>
      <c r="X12" s="666"/>
      <c r="Y12" s="3543"/>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3"/>
      <c r="M13" s="2488"/>
      <c r="N13" s="2488"/>
      <c r="O13" s="2488"/>
      <c r="P13" s="3613"/>
      <c r="Q13" s="530">
        <f t="shared" si="6"/>
        <v>111</v>
      </c>
      <c r="R13" s="664" t="s">
        <v>14</v>
      </c>
      <c r="S13" s="665">
        <f t="shared" si="0"/>
        <v>100</v>
      </c>
      <c r="T13" s="664" t="s">
        <v>14</v>
      </c>
      <c r="U13" s="665">
        <f t="shared" si="1"/>
        <v>100</v>
      </c>
      <c r="V13" s="664" t="s">
        <v>14</v>
      </c>
      <c r="W13" s="665">
        <f t="shared" si="2"/>
        <v>100</v>
      </c>
      <c r="X13" s="666"/>
      <c r="Y13" s="3543"/>
      <c r="Z13" s="50">
        <f t="shared" si="7"/>
        <v>111</v>
      </c>
      <c r="AA13" s="50">
        <f t="shared" si="3"/>
        <v>1</v>
      </c>
      <c r="AB13" s="50">
        <f t="shared" si="4"/>
        <v>1</v>
      </c>
      <c r="AC13" s="50">
        <f t="shared" si="5"/>
        <v>1</v>
      </c>
    </row>
    <row r="14" spans="1:29" ht="15.75"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3"/>
      <c r="M14" s="2488"/>
      <c r="N14" s="2488"/>
      <c r="O14" s="2488"/>
      <c r="P14" s="3613"/>
      <c r="Q14" s="530">
        <f t="shared" si="6"/>
        <v>111</v>
      </c>
      <c r="R14" s="664" t="s">
        <v>14</v>
      </c>
      <c r="S14" s="665">
        <f t="shared" si="0"/>
        <v>100</v>
      </c>
      <c r="T14" s="664" t="s">
        <v>14</v>
      </c>
      <c r="U14" s="665">
        <f t="shared" si="1"/>
        <v>100</v>
      </c>
      <c r="V14" s="664" t="s">
        <v>14</v>
      </c>
      <c r="W14" s="665">
        <f t="shared" si="2"/>
        <v>100</v>
      </c>
      <c r="X14" s="666"/>
      <c r="Y14" s="3543"/>
      <c r="Z14" s="50">
        <f t="shared" si="7"/>
        <v>111</v>
      </c>
      <c r="AA14" s="50">
        <f t="shared" si="3"/>
        <v>1</v>
      </c>
      <c r="AB14" s="50">
        <f t="shared" si="4"/>
        <v>1</v>
      </c>
      <c r="AC14" s="50">
        <f t="shared" si="5"/>
        <v>1</v>
      </c>
    </row>
    <row r="15" spans="1:29" ht="71.25">
      <c r="A15" s="379" t="s">
        <v>1688</v>
      </c>
      <c r="B15" s="58" t="s">
        <v>1775</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3"/>
      <c r="M15" s="2488"/>
      <c r="N15" s="2488"/>
      <c r="O15" s="2488"/>
      <c r="P15" s="3639" t="s">
        <v>1689</v>
      </c>
      <c r="Q15" s="1263" t="str">
        <f t="shared" si="6"/>
        <v>商业繁华度</v>
      </c>
      <c r="R15" s="667" t="s">
        <v>14</v>
      </c>
      <c r="S15" s="668">
        <f t="shared" si="0"/>
        <v>100</v>
      </c>
      <c r="T15" s="667" t="s">
        <v>14</v>
      </c>
      <c r="U15" s="668">
        <f t="shared" si="1"/>
        <v>100</v>
      </c>
      <c r="V15" s="667" t="s">
        <v>14</v>
      </c>
      <c r="W15" s="668">
        <f t="shared" si="2"/>
        <v>100</v>
      </c>
      <c r="X15" s="1265"/>
      <c r="Y15" s="3632" t="s">
        <v>1689</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3"/>
      <c r="M16" s="2488"/>
      <c r="N16" s="2488"/>
      <c r="O16" s="2488"/>
      <c r="P16" s="3640"/>
      <c r="Q16" s="1263"/>
      <c r="R16" s="667"/>
      <c r="S16" s="668"/>
      <c r="T16" s="667"/>
      <c r="U16" s="668"/>
      <c r="V16" s="667"/>
      <c r="W16" s="668"/>
      <c r="X16" s="1265"/>
      <c r="Y16" s="3633"/>
      <c r="Z16" s="1264"/>
      <c r="AA16" s="1264">
        <v>1</v>
      </c>
      <c r="AB16" s="1264">
        <v>1</v>
      </c>
      <c r="AC16" s="1264">
        <v>1</v>
      </c>
    </row>
    <row r="17" spans="1:29" ht="85.5">
      <c r="A17" s="367"/>
      <c r="B17" s="390" t="s">
        <v>1257</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3"/>
      <c r="M17" s="2488"/>
      <c r="N17" s="2488"/>
      <c r="O17" s="2488"/>
      <c r="P17" s="3640"/>
      <c r="Q17" s="1263" t="str">
        <f>B17</f>
        <v>交通便捷度</v>
      </c>
      <c r="R17" s="667" t="s">
        <v>14</v>
      </c>
      <c r="S17" s="668">
        <f>F17</f>
        <v>100</v>
      </c>
      <c r="T17" s="667" t="s">
        <v>14</v>
      </c>
      <c r="U17" s="668">
        <f>H17</f>
        <v>100</v>
      </c>
      <c r="V17" s="667" t="s">
        <v>14</v>
      </c>
      <c r="W17" s="668">
        <f>J17</f>
        <v>100</v>
      </c>
      <c r="X17" s="1265"/>
      <c r="Y17" s="3633"/>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3"/>
      <c r="M18" s="2488"/>
      <c r="N18" s="2488"/>
      <c r="O18" s="2488"/>
      <c r="P18" s="3640"/>
      <c r="Q18" s="1263"/>
      <c r="R18" s="667"/>
      <c r="S18" s="668"/>
      <c r="T18" s="667"/>
      <c r="U18" s="668"/>
      <c r="V18" s="667"/>
      <c r="W18" s="668"/>
      <c r="X18" s="1265"/>
      <c r="Y18" s="3633"/>
      <c r="Z18" s="1264"/>
      <c r="AA18" s="1264">
        <v>1</v>
      </c>
      <c r="AB18" s="1264">
        <v>1</v>
      </c>
      <c r="AC18" s="1264">
        <v>1</v>
      </c>
    </row>
    <row r="19" spans="1:29" ht="42.75">
      <c r="A19" s="367"/>
      <c r="B19" s="390" t="s">
        <v>1776</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3"/>
      <c r="M19" s="2488"/>
      <c r="N19" s="2488"/>
      <c r="O19" s="2488"/>
      <c r="P19" s="3640"/>
      <c r="Q19" s="1263" t="str">
        <f>B19</f>
        <v>公共配套设施</v>
      </c>
      <c r="R19" s="667" t="s">
        <v>14</v>
      </c>
      <c r="S19" s="668">
        <f>F19</f>
        <v>100</v>
      </c>
      <c r="T19" s="667" t="s">
        <v>14</v>
      </c>
      <c r="U19" s="668">
        <f>H19</f>
        <v>100</v>
      </c>
      <c r="V19" s="667" t="s">
        <v>14</v>
      </c>
      <c r="W19" s="668">
        <f>J19</f>
        <v>100</v>
      </c>
      <c r="X19" s="1265"/>
      <c r="Y19" s="3633"/>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3"/>
      <c r="M20" s="2488"/>
      <c r="N20" s="2488"/>
      <c r="O20" s="2488"/>
      <c r="P20" s="3640"/>
      <c r="Q20" s="1263"/>
      <c r="R20" s="667"/>
      <c r="S20" s="668"/>
      <c r="T20" s="667"/>
      <c r="U20" s="668"/>
      <c r="V20" s="667"/>
      <c r="W20" s="668"/>
      <c r="X20" s="1265"/>
      <c r="Y20" s="3633"/>
      <c r="Z20" s="1264"/>
      <c r="AA20" s="1264">
        <v>1</v>
      </c>
      <c r="AB20" s="1264">
        <v>1</v>
      </c>
      <c r="AC20" s="1264">
        <v>1</v>
      </c>
    </row>
    <row r="21" spans="1:29" ht="28.5">
      <c r="A21" s="367"/>
      <c r="B21" s="586" t="s">
        <v>1777</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3"/>
      <c r="M21" s="2488"/>
      <c r="N21" s="2488"/>
      <c r="O21" s="2488"/>
      <c r="P21" s="3640"/>
      <c r="Q21" s="1263" t="str">
        <f>B21</f>
        <v>基础设施水平</v>
      </c>
      <c r="R21" s="667" t="s">
        <v>14</v>
      </c>
      <c r="S21" s="668">
        <f>F21</f>
        <v>100</v>
      </c>
      <c r="T21" s="667" t="s">
        <v>14</v>
      </c>
      <c r="U21" s="668">
        <f>H21</f>
        <v>100</v>
      </c>
      <c r="V21" s="667" t="s">
        <v>14</v>
      </c>
      <c r="W21" s="668">
        <f>J21</f>
        <v>100</v>
      </c>
      <c r="X21" s="1265"/>
      <c r="Y21" s="3633"/>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3"/>
      <c r="M22" s="2488"/>
      <c r="N22" s="2488"/>
      <c r="O22" s="2488"/>
      <c r="P22" s="3640"/>
      <c r="Q22" s="1263"/>
      <c r="R22" s="667"/>
      <c r="S22" s="668"/>
      <c r="T22" s="667"/>
      <c r="U22" s="668"/>
      <c r="V22" s="667"/>
      <c r="W22" s="668"/>
      <c r="X22" s="1265"/>
      <c r="Y22" s="3633"/>
      <c r="Z22" s="1264"/>
      <c r="AA22" s="1264">
        <v>1</v>
      </c>
      <c r="AB22" s="1264">
        <v>1</v>
      </c>
      <c r="AC22" s="1264">
        <v>1</v>
      </c>
    </row>
    <row r="23" spans="1:29" ht="57">
      <c r="A23" s="367"/>
      <c r="B23" s="390" t="s">
        <v>1259</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3"/>
      <c r="M23" s="2488"/>
      <c r="N23" s="2488"/>
      <c r="O23" s="2488"/>
      <c r="P23" s="3640"/>
      <c r="Q23" s="1263" t="str">
        <f>B23</f>
        <v>自然及人文环境</v>
      </c>
      <c r="R23" s="667" t="s">
        <v>14</v>
      </c>
      <c r="S23" s="668">
        <f>F23</f>
        <v>100</v>
      </c>
      <c r="T23" s="667" t="s">
        <v>14</v>
      </c>
      <c r="U23" s="668">
        <f>H23</f>
        <v>100</v>
      </c>
      <c r="V23" s="667" t="s">
        <v>14</v>
      </c>
      <c r="W23" s="668">
        <f>J23</f>
        <v>100</v>
      </c>
      <c r="X23" s="1265"/>
      <c r="Y23" s="3633"/>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3"/>
      <c r="M24" s="2488"/>
      <c r="N24" s="2488"/>
      <c r="O24" s="2488"/>
      <c r="P24" s="3640"/>
      <c r="Q24" s="1263"/>
      <c r="R24" s="667"/>
      <c r="S24" s="668"/>
      <c r="T24" s="667"/>
      <c r="U24" s="668"/>
      <c r="V24" s="667"/>
      <c r="W24" s="668"/>
      <c r="X24" s="1265"/>
      <c r="Y24" s="3633"/>
      <c r="Z24" s="1264"/>
      <c r="AA24" s="1264">
        <v>1</v>
      </c>
      <c r="AB24" s="1264">
        <v>1</v>
      </c>
      <c r="AC24" s="1264">
        <v>1</v>
      </c>
    </row>
    <row r="25" spans="1:29" ht="15">
      <c r="A25" s="367"/>
      <c r="B25" s="364" t="s">
        <v>1778</v>
      </c>
      <c r="C25" s="542"/>
      <c r="D25" s="374">
        <v>100</v>
      </c>
      <c r="E25" s="542"/>
      <c r="F25" s="400">
        <f>SUMIF(86:86,E25,87:87)-SUMIF(86:86,C25,87:87)+100</f>
        <v>100</v>
      </c>
      <c r="G25" s="542"/>
      <c r="H25" s="374">
        <f>SUMIF(86:86,G25,87:87)-SUMIF(86:86,C25,87:87)+100</f>
        <v>100</v>
      </c>
      <c r="I25" s="542"/>
      <c r="J25" s="374">
        <f>SUMIF(86:86,I25,87:87)-SUMIF(86:86,C25,87:87)+100</f>
        <v>100</v>
      </c>
      <c r="K25" s="538"/>
      <c r="L25" s="2493"/>
      <c r="M25" s="2488"/>
      <c r="N25" s="2488"/>
      <c r="O25" s="2488"/>
      <c r="P25" s="3640"/>
      <c r="Q25" s="1263" t="str">
        <f t="shared" ref="Q25:Q46" si="11">B25</f>
        <v>临街状况</v>
      </c>
      <c r="R25" s="667" t="s">
        <v>14</v>
      </c>
      <c r="S25" s="668">
        <f>F25</f>
        <v>100</v>
      </c>
      <c r="T25" s="667" t="s">
        <v>14</v>
      </c>
      <c r="U25" s="668">
        <f>H25</f>
        <v>100</v>
      </c>
      <c r="V25" s="667" t="s">
        <v>14</v>
      </c>
      <c r="W25" s="668">
        <f>J25</f>
        <v>100</v>
      </c>
      <c r="X25" s="1265"/>
      <c r="Y25" s="3633"/>
      <c r="Z25" s="1264" t="str">
        <f>Q25</f>
        <v>临街状况</v>
      </c>
      <c r="AA25" s="1264">
        <f t="shared" si="3"/>
        <v>1</v>
      </c>
      <c r="AB25" s="1264">
        <f t="shared" si="4"/>
        <v>1</v>
      </c>
      <c r="AC25" s="1264">
        <f t="shared" si="5"/>
        <v>1</v>
      </c>
    </row>
    <row r="26" spans="1:29" ht="15">
      <c r="A26" s="367"/>
      <c r="B26" s="1066" t="s">
        <v>1779</v>
      </c>
      <c r="C26" s="373"/>
      <c r="D26" s="374">
        <v>100</v>
      </c>
      <c r="E26" s="373"/>
      <c r="F26" s="400">
        <f>SUMIF(88:88,E26,89:89)-SUMIF(88:88,C26,89:89)+100</f>
        <v>100</v>
      </c>
      <c r="G26" s="373"/>
      <c r="H26" s="374">
        <f>SUMIF(88:88,G26,89:89)-SUMIF(88:88,C26,89:89)+100</f>
        <v>100</v>
      </c>
      <c r="I26" s="373"/>
      <c r="J26" s="374">
        <f>SUMIF(88:88,I26,89:89)-SUMIF(88:88,C26,89:89)+100</f>
        <v>100</v>
      </c>
      <c r="K26" s="539"/>
      <c r="L26" s="2493"/>
      <c r="M26" s="2488"/>
      <c r="N26" s="2488"/>
      <c r="O26" s="2488"/>
      <c r="P26" s="3640"/>
      <c r="Q26" s="1263" t="str">
        <f t="shared" si="11"/>
        <v>平面位置/可视性</v>
      </c>
      <c r="R26" s="667" t="s">
        <v>14</v>
      </c>
      <c r="S26" s="668">
        <f>F26</f>
        <v>100</v>
      </c>
      <c r="T26" s="667" t="s">
        <v>14</v>
      </c>
      <c r="U26" s="668">
        <f>H26</f>
        <v>100</v>
      </c>
      <c r="V26" s="667" t="s">
        <v>14</v>
      </c>
      <c r="W26" s="668">
        <f>J26</f>
        <v>100</v>
      </c>
      <c r="X26" s="1265"/>
      <c r="Y26" s="3633"/>
      <c r="Z26" s="1264" t="str">
        <f>Q26</f>
        <v>平面位置/可视性</v>
      </c>
      <c r="AA26" s="1264">
        <f t="shared" si="3"/>
        <v>1</v>
      </c>
      <c r="AB26" s="1264">
        <f t="shared" si="4"/>
        <v>1</v>
      </c>
      <c r="AC26" s="1264">
        <f t="shared" si="5"/>
        <v>1</v>
      </c>
    </row>
    <row r="27" spans="1:29" s="102" customFormat="1" ht="15">
      <c r="A27" s="370"/>
      <c r="B27" s="390" t="s">
        <v>1780</v>
      </c>
      <c r="C27" s="1807"/>
      <c r="D27" s="401">
        <v>100</v>
      </c>
      <c r="E27" s="1807"/>
      <c r="F27" s="395">
        <f>SUMIF(90:90,E27,91:91)-SUMIF(90:90,C27,91:91)+100</f>
        <v>100</v>
      </c>
      <c r="G27" s="1807"/>
      <c r="H27" s="401">
        <f>SUMIF(90:90,G27,91:91)-SUMIF(90:90,C27,91:91)+100</f>
        <v>100</v>
      </c>
      <c r="I27" s="1807"/>
      <c r="J27" s="401">
        <f>SUMIF(90:90,I27,91:91)-SUMIF(90:90,C27,91:91)+100</f>
        <v>100</v>
      </c>
      <c r="K27" s="538"/>
      <c r="L27" s="2489"/>
      <c r="M27" s="2440"/>
      <c r="N27" s="2440"/>
      <c r="O27" s="2440"/>
      <c r="P27" s="3640"/>
      <c r="Q27" s="530" t="str">
        <f t="shared" si="11"/>
        <v>人流量</v>
      </c>
      <c r="R27" s="664" t="s">
        <v>14</v>
      </c>
      <c r="S27" s="665">
        <f>F27</f>
        <v>100</v>
      </c>
      <c r="T27" s="664" t="s">
        <v>14</v>
      </c>
      <c r="U27" s="665">
        <f>H27</f>
        <v>100</v>
      </c>
      <c r="V27" s="664" t="s">
        <v>14</v>
      </c>
      <c r="W27" s="665">
        <f>J27</f>
        <v>100</v>
      </c>
      <c r="X27" s="666"/>
      <c r="Y27" s="3633"/>
      <c r="Z27" s="50" t="str">
        <f>Q27</f>
        <v>人流量</v>
      </c>
      <c r="AA27" s="1264">
        <f>D27/F27</f>
        <v>1</v>
      </c>
      <c r="AB27" s="1264">
        <f>D27/H27</f>
        <v>1</v>
      </c>
      <c r="AC27" s="1264">
        <f>D27/J27</f>
        <v>1</v>
      </c>
    </row>
    <row r="28" spans="1:29" ht="15">
      <c r="A28" s="367"/>
      <c r="B28" s="364" t="s">
        <v>1781</v>
      </c>
      <c r="C28" s="542"/>
      <c r="D28" s="374">
        <v>100</v>
      </c>
      <c r="E28" s="542"/>
      <c r="F28" s="400">
        <f>SUMIF(92:92,E28,93:93)-SUMIF(92:92,C28,93:93)+100</f>
        <v>100</v>
      </c>
      <c r="G28" s="542"/>
      <c r="H28" s="374">
        <f>SUMIF(92:92,G28,93:93)-SUMIF(92:92,C28,93:93)+100</f>
        <v>100</v>
      </c>
      <c r="I28" s="542"/>
      <c r="J28" s="374">
        <f>SUMIF(92:92,I28,93:93)-SUMIF(92:92,C28,93:93)+100</f>
        <v>100</v>
      </c>
      <c r="K28" s="539"/>
      <c r="L28" s="2493"/>
      <c r="M28" s="2488"/>
      <c r="N28" s="2488"/>
      <c r="O28" s="2488"/>
      <c r="P28" s="3640"/>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633"/>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3"/>
      <c r="M29" s="2488"/>
      <c r="N29" s="2488"/>
      <c r="O29" s="2488"/>
      <c r="P29" s="3640"/>
      <c r="Q29" s="1263">
        <f t="shared" si="11"/>
        <v>111</v>
      </c>
      <c r="R29" s="667" t="s">
        <v>14</v>
      </c>
      <c r="S29" s="668">
        <f t="shared" si="12"/>
        <v>100</v>
      </c>
      <c r="T29" s="667" t="s">
        <v>14</v>
      </c>
      <c r="U29" s="668">
        <f t="shared" si="13"/>
        <v>100</v>
      </c>
      <c r="V29" s="667" t="s">
        <v>14</v>
      </c>
      <c r="W29" s="668">
        <f t="shared" si="14"/>
        <v>100</v>
      </c>
      <c r="X29" s="1265"/>
      <c r="Y29" s="3633"/>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3"/>
      <c r="M30" s="2488"/>
      <c r="N30" s="2488"/>
      <c r="O30" s="2488"/>
      <c r="P30" s="3640"/>
      <c r="Q30" s="1263">
        <f t="shared" si="11"/>
        <v>111</v>
      </c>
      <c r="R30" s="667" t="s">
        <v>14</v>
      </c>
      <c r="S30" s="668">
        <f t="shared" si="12"/>
        <v>100</v>
      </c>
      <c r="T30" s="667" t="s">
        <v>14</v>
      </c>
      <c r="U30" s="668">
        <f t="shared" si="13"/>
        <v>100</v>
      </c>
      <c r="V30" s="667" t="s">
        <v>14</v>
      </c>
      <c r="W30" s="668">
        <f t="shared" si="14"/>
        <v>100</v>
      </c>
      <c r="X30" s="1265"/>
      <c r="Y30" s="3633"/>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3"/>
      <c r="M31" s="2488"/>
      <c r="N31" s="2488"/>
      <c r="O31" s="2488"/>
      <c r="P31" s="3640"/>
      <c r="Q31" s="1263">
        <f t="shared" si="11"/>
        <v>111</v>
      </c>
      <c r="R31" s="667" t="s">
        <v>14</v>
      </c>
      <c r="S31" s="668">
        <f t="shared" si="12"/>
        <v>100</v>
      </c>
      <c r="T31" s="667" t="s">
        <v>14</v>
      </c>
      <c r="U31" s="668">
        <f t="shared" si="13"/>
        <v>100</v>
      </c>
      <c r="V31" s="667" t="s">
        <v>14</v>
      </c>
      <c r="W31" s="668">
        <f t="shared" si="14"/>
        <v>100</v>
      </c>
      <c r="X31" s="1265"/>
      <c r="Y31" s="3633"/>
      <c r="Z31" s="1264">
        <f t="shared" si="15"/>
        <v>111</v>
      </c>
      <c r="AA31" s="1264">
        <f t="shared" si="3"/>
        <v>1</v>
      </c>
      <c r="AB31" s="1264">
        <f t="shared" si="4"/>
        <v>1</v>
      </c>
      <c r="AC31" s="1264">
        <f t="shared" si="5"/>
        <v>1</v>
      </c>
    </row>
    <row r="32" spans="1:29" ht="15">
      <c r="A32" s="379" t="s">
        <v>1692</v>
      </c>
      <c r="B32" s="60" t="s">
        <v>1782</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3"/>
      <c r="M32" s="2488"/>
      <c r="N32" s="2488"/>
      <c r="O32" s="2488"/>
      <c r="P32" s="3634" t="s">
        <v>1694</v>
      </c>
      <c r="Q32" s="1263" t="str">
        <f t="shared" si="11"/>
        <v>商业类型</v>
      </c>
      <c r="R32" s="667" t="s">
        <v>14</v>
      </c>
      <c r="S32" s="668">
        <f t="shared" si="12"/>
        <v>100</v>
      </c>
      <c r="T32" s="667" t="s">
        <v>14</v>
      </c>
      <c r="U32" s="668">
        <f t="shared" si="13"/>
        <v>100</v>
      </c>
      <c r="V32" s="667" t="s">
        <v>14</v>
      </c>
      <c r="W32" s="668">
        <f t="shared" si="14"/>
        <v>100</v>
      </c>
      <c r="X32" s="1265"/>
      <c r="Y32" s="3637" t="s">
        <v>1694</v>
      </c>
      <c r="Z32" s="1264" t="str">
        <f t="shared" si="15"/>
        <v>商业类型</v>
      </c>
      <c r="AA32" s="1264">
        <f t="shared" si="3"/>
        <v>1</v>
      </c>
      <c r="AB32" s="1264">
        <f t="shared" si="4"/>
        <v>1</v>
      </c>
      <c r="AC32" s="1264">
        <f t="shared" si="5"/>
        <v>1</v>
      </c>
    </row>
    <row r="33" spans="1:29" s="408" customFormat="1" ht="15">
      <c r="A33" s="406"/>
      <c r="B33" s="364" t="s">
        <v>1695</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2"/>
      <c r="M33" s="2494"/>
      <c r="N33" s="2494"/>
      <c r="O33" s="2494"/>
      <c r="P33" s="3635"/>
      <c r="Q33" s="531" t="str">
        <f t="shared" si="11"/>
        <v>项目建筑规模</v>
      </c>
      <c r="R33" s="669" t="s">
        <v>14</v>
      </c>
      <c r="S33" s="670" t="e">
        <f t="shared" si="12"/>
        <v>#N/A</v>
      </c>
      <c r="T33" s="669" t="s">
        <v>14</v>
      </c>
      <c r="U33" s="670" t="e">
        <f t="shared" si="13"/>
        <v>#N/A</v>
      </c>
      <c r="V33" s="669" t="s">
        <v>14</v>
      </c>
      <c r="W33" s="670" t="e">
        <f t="shared" si="14"/>
        <v>#N/A</v>
      </c>
      <c r="X33" s="671"/>
      <c r="Y33" s="3637"/>
      <c r="Z33" s="672" t="str">
        <f t="shared" si="15"/>
        <v>项目建筑规模</v>
      </c>
      <c r="AA33" s="1264" t="e">
        <f t="shared" si="3"/>
        <v>#N/A</v>
      </c>
      <c r="AB33" s="1264" t="e">
        <f t="shared" si="4"/>
        <v>#N/A</v>
      </c>
      <c r="AC33" s="1264" t="e">
        <f t="shared" si="5"/>
        <v>#N/A</v>
      </c>
    </row>
    <row r="34" spans="1:29" ht="15">
      <c r="A34" s="409"/>
      <c r="B34" s="364" t="s">
        <v>1696</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3"/>
      <c r="M34" s="2488"/>
      <c r="N34" s="2488"/>
      <c r="O34" s="2488"/>
      <c r="P34" s="3635"/>
      <c r="Q34" s="1263" t="str">
        <f t="shared" si="11"/>
        <v>建筑结构</v>
      </c>
      <c r="R34" s="667" t="s">
        <v>14</v>
      </c>
      <c r="S34" s="668">
        <f t="shared" si="12"/>
        <v>100</v>
      </c>
      <c r="T34" s="667" t="s">
        <v>14</v>
      </c>
      <c r="U34" s="668">
        <f t="shared" si="13"/>
        <v>100</v>
      </c>
      <c r="V34" s="667" t="s">
        <v>14</v>
      </c>
      <c r="W34" s="668">
        <f t="shared" si="14"/>
        <v>100</v>
      </c>
      <c r="X34" s="1265"/>
      <c r="Y34" s="3637"/>
      <c r="Z34" s="1264" t="str">
        <f t="shared" si="15"/>
        <v>建筑结构</v>
      </c>
      <c r="AA34" s="1264">
        <f t="shared" si="3"/>
        <v>1</v>
      </c>
      <c r="AB34" s="1264">
        <f t="shared" si="4"/>
        <v>1</v>
      </c>
      <c r="AC34" s="1264">
        <f t="shared" si="5"/>
        <v>1</v>
      </c>
    </row>
    <row r="35" spans="1:29" ht="15">
      <c r="A35" s="409"/>
      <c r="B35" s="364" t="s">
        <v>1783</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3"/>
      <c r="M35" s="2488"/>
      <c r="N35" s="2488"/>
      <c r="O35" s="2488"/>
      <c r="P35" s="3635"/>
      <c r="Q35" s="1263" t="str">
        <f t="shared" si="11"/>
        <v>公共部分装修</v>
      </c>
      <c r="R35" s="667" t="s">
        <v>14</v>
      </c>
      <c r="S35" s="668">
        <f t="shared" si="12"/>
        <v>100</v>
      </c>
      <c r="T35" s="667" t="s">
        <v>14</v>
      </c>
      <c r="U35" s="668">
        <f t="shared" si="13"/>
        <v>100</v>
      </c>
      <c r="V35" s="667" t="s">
        <v>14</v>
      </c>
      <c r="W35" s="668">
        <f t="shared" si="14"/>
        <v>100</v>
      </c>
      <c r="X35" s="1265"/>
      <c r="Y35" s="3637"/>
      <c r="Z35" s="1264" t="str">
        <f t="shared" si="15"/>
        <v>公共部分装修</v>
      </c>
      <c r="AA35" s="1264">
        <f t="shared" si="3"/>
        <v>1</v>
      </c>
      <c r="AB35" s="1264">
        <f t="shared" si="4"/>
        <v>1</v>
      </c>
      <c r="AC35" s="1264">
        <f t="shared" si="5"/>
        <v>1</v>
      </c>
    </row>
    <row r="36" spans="1:29" ht="15">
      <c r="A36" s="409"/>
      <c r="B36" s="364" t="s">
        <v>1784</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3"/>
      <c r="M36" s="2488"/>
      <c r="N36" s="2488"/>
      <c r="O36" s="2488"/>
      <c r="P36" s="3635"/>
      <c r="Q36" s="1263" t="str">
        <f t="shared" si="11"/>
        <v>成新度</v>
      </c>
      <c r="R36" s="667" t="s">
        <v>14</v>
      </c>
      <c r="S36" s="668" t="e">
        <f t="shared" si="12"/>
        <v>#N/A</v>
      </c>
      <c r="T36" s="667" t="s">
        <v>14</v>
      </c>
      <c r="U36" s="668" t="e">
        <f t="shared" si="13"/>
        <v>#N/A</v>
      </c>
      <c r="V36" s="667" t="s">
        <v>14</v>
      </c>
      <c r="W36" s="668" t="e">
        <f t="shared" si="14"/>
        <v>#N/A</v>
      </c>
      <c r="X36" s="1265"/>
      <c r="Y36" s="3637"/>
      <c r="Z36" s="1264" t="str">
        <f t="shared" si="15"/>
        <v>成新度</v>
      </c>
      <c r="AA36" s="1264" t="e">
        <f t="shared" si="3"/>
        <v>#N/A</v>
      </c>
      <c r="AB36" s="1264" t="e">
        <f t="shared" si="4"/>
        <v>#N/A</v>
      </c>
      <c r="AC36" s="1264" t="e">
        <f t="shared" si="5"/>
        <v>#N/A</v>
      </c>
    </row>
    <row r="37" spans="1:29" s="102" customFormat="1" ht="15">
      <c r="A37" s="410"/>
      <c r="B37" s="364" t="s">
        <v>1785</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9"/>
      <c r="M37" s="2440"/>
      <c r="N37" s="2440"/>
      <c r="O37" s="2440"/>
      <c r="P37" s="3635"/>
      <c r="Q37" s="530" t="str">
        <f t="shared" si="11"/>
        <v>市政基础设施</v>
      </c>
      <c r="R37" s="664" t="s">
        <v>14</v>
      </c>
      <c r="S37" s="665">
        <f t="shared" si="12"/>
        <v>100</v>
      </c>
      <c r="T37" s="664" t="s">
        <v>14</v>
      </c>
      <c r="U37" s="665">
        <f t="shared" si="13"/>
        <v>100</v>
      </c>
      <c r="V37" s="664" t="s">
        <v>14</v>
      </c>
      <c r="W37" s="665">
        <f t="shared" si="14"/>
        <v>100</v>
      </c>
      <c r="X37" s="666"/>
      <c r="Y37" s="3637"/>
      <c r="Z37" s="50" t="str">
        <f t="shared" si="15"/>
        <v>市政基础设施</v>
      </c>
      <c r="AA37" s="50">
        <f t="shared" si="3"/>
        <v>1</v>
      </c>
      <c r="AB37" s="50">
        <f t="shared" si="4"/>
        <v>1</v>
      </c>
      <c r="AC37" s="50">
        <f t="shared" si="5"/>
        <v>1</v>
      </c>
    </row>
    <row r="38" spans="1:29" ht="15">
      <c r="A38" s="409"/>
      <c r="B38" s="364" t="s">
        <v>1786</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3"/>
      <c r="M38" s="2488"/>
      <c r="N38" s="2488"/>
      <c r="O38" s="2488"/>
      <c r="P38" s="3635" t="s">
        <v>1694</v>
      </c>
      <c r="Q38" s="1263" t="str">
        <f t="shared" si="11"/>
        <v>业态</v>
      </c>
      <c r="R38" s="667" t="s">
        <v>14</v>
      </c>
      <c r="S38" s="668">
        <f t="shared" si="12"/>
        <v>100</v>
      </c>
      <c r="T38" s="667" t="s">
        <v>14</v>
      </c>
      <c r="U38" s="668">
        <f t="shared" si="13"/>
        <v>100</v>
      </c>
      <c r="V38" s="667" t="s">
        <v>14</v>
      </c>
      <c r="W38" s="668">
        <f t="shared" si="14"/>
        <v>100</v>
      </c>
      <c r="X38" s="1265"/>
      <c r="Y38" s="3637" t="s">
        <v>1694</v>
      </c>
      <c r="Z38" s="1264" t="str">
        <f t="shared" si="15"/>
        <v>业态</v>
      </c>
      <c r="AA38" s="1264">
        <f t="shared" si="3"/>
        <v>1</v>
      </c>
      <c r="AB38" s="1264">
        <f t="shared" si="4"/>
        <v>1</v>
      </c>
      <c r="AC38" s="1264">
        <f t="shared" si="5"/>
        <v>1</v>
      </c>
    </row>
    <row r="39" spans="1:29" ht="15">
      <c r="A39" s="409"/>
      <c r="B39" s="364" t="s">
        <v>1787</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3"/>
      <c r="M39" s="2488"/>
      <c r="N39" s="2488"/>
      <c r="O39" s="2488"/>
      <c r="P39" s="3635"/>
      <c r="Q39" s="1263" t="str">
        <f t="shared" si="11"/>
        <v>层高</v>
      </c>
      <c r="R39" s="667" t="s">
        <v>14</v>
      </c>
      <c r="S39" s="668">
        <f t="shared" si="12"/>
        <v>100</v>
      </c>
      <c r="T39" s="667" t="s">
        <v>14</v>
      </c>
      <c r="U39" s="668">
        <f t="shared" si="13"/>
        <v>100</v>
      </c>
      <c r="V39" s="667" t="s">
        <v>14</v>
      </c>
      <c r="W39" s="668">
        <f t="shared" si="14"/>
        <v>100</v>
      </c>
      <c r="X39" s="1265"/>
      <c r="Y39" s="3637"/>
      <c r="Z39" s="1264" t="str">
        <f t="shared" si="15"/>
        <v>层高</v>
      </c>
      <c r="AA39" s="1264">
        <f t="shared" si="3"/>
        <v>1</v>
      </c>
      <c r="AB39" s="1264">
        <f t="shared" si="4"/>
        <v>1</v>
      </c>
      <c r="AC39" s="1264">
        <f t="shared" si="5"/>
        <v>1</v>
      </c>
    </row>
    <row r="40" spans="1:29" ht="15">
      <c r="A40" s="409"/>
      <c r="B40" s="364" t="s">
        <v>1788</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3"/>
      <c r="M40" s="2488"/>
      <c r="N40" s="2488"/>
      <c r="O40" s="2488"/>
      <c r="P40" s="3635"/>
      <c r="Q40" s="1263" t="str">
        <f t="shared" si="11"/>
        <v>单套建筑面积</v>
      </c>
      <c r="R40" s="667" t="s">
        <v>14</v>
      </c>
      <c r="S40" s="668">
        <f t="shared" si="12"/>
        <v>100</v>
      </c>
      <c r="T40" s="667" t="s">
        <v>14</v>
      </c>
      <c r="U40" s="668">
        <f t="shared" si="13"/>
        <v>100</v>
      </c>
      <c r="V40" s="667" t="s">
        <v>14</v>
      </c>
      <c r="W40" s="668">
        <f t="shared" si="14"/>
        <v>100</v>
      </c>
      <c r="X40" s="1265"/>
      <c r="Y40" s="3637"/>
      <c r="Z40" s="1264" t="str">
        <f t="shared" si="15"/>
        <v>单套建筑面积</v>
      </c>
      <c r="AA40" s="1264">
        <f t="shared" si="3"/>
        <v>1</v>
      </c>
      <c r="AB40" s="1264">
        <f t="shared" si="4"/>
        <v>1</v>
      </c>
      <c r="AC40" s="1264">
        <f t="shared" si="5"/>
        <v>1</v>
      </c>
    </row>
    <row r="41" spans="1:29" s="408" customFormat="1" ht="15">
      <c r="A41" s="406"/>
      <c r="B41" s="400" t="s">
        <v>1789</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2"/>
      <c r="M41" s="2494"/>
      <c r="N41" s="2494"/>
      <c r="O41" s="2494"/>
      <c r="P41" s="3635"/>
      <c r="Q41" s="531" t="str">
        <f t="shared" si="11"/>
        <v>进深比</v>
      </c>
      <c r="R41" s="669" t="s">
        <v>14</v>
      </c>
      <c r="S41" s="670">
        <f t="shared" si="12"/>
        <v>100</v>
      </c>
      <c r="T41" s="669" t="s">
        <v>14</v>
      </c>
      <c r="U41" s="670">
        <f t="shared" si="13"/>
        <v>100</v>
      </c>
      <c r="V41" s="669" t="s">
        <v>14</v>
      </c>
      <c r="W41" s="670">
        <f t="shared" si="14"/>
        <v>100</v>
      </c>
      <c r="X41" s="671"/>
      <c r="Y41" s="3637"/>
      <c r="Z41" s="672" t="str">
        <f t="shared" si="15"/>
        <v>进深比</v>
      </c>
      <c r="AA41" s="1264">
        <f t="shared" si="3"/>
        <v>1</v>
      </c>
      <c r="AB41" s="1264">
        <f t="shared" si="4"/>
        <v>1</v>
      </c>
      <c r="AC41" s="1264">
        <f t="shared" si="5"/>
        <v>1</v>
      </c>
    </row>
    <row r="42" spans="1:29" ht="15">
      <c r="A42" s="409"/>
      <c r="B42" s="364" t="s">
        <v>1790</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3"/>
      <c r="M42" s="2488"/>
      <c r="N42" s="2488"/>
      <c r="O42" s="2488"/>
      <c r="P42" s="3635"/>
      <c r="Q42" s="1263" t="str">
        <f t="shared" si="11"/>
        <v>内部装修</v>
      </c>
      <c r="R42" s="667" t="s">
        <v>14</v>
      </c>
      <c r="S42" s="668">
        <f t="shared" si="12"/>
        <v>100</v>
      </c>
      <c r="T42" s="667" t="s">
        <v>14</v>
      </c>
      <c r="U42" s="668">
        <f t="shared" si="13"/>
        <v>100</v>
      </c>
      <c r="V42" s="667" t="s">
        <v>14</v>
      </c>
      <c r="W42" s="668">
        <f t="shared" si="14"/>
        <v>100</v>
      </c>
      <c r="X42" s="1265"/>
      <c r="Y42" s="3637"/>
      <c r="Z42" s="1264" t="str">
        <f t="shared" si="15"/>
        <v>内部装修</v>
      </c>
      <c r="AA42" s="1264">
        <f t="shared" si="3"/>
        <v>1</v>
      </c>
      <c r="AB42" s="1264">
        <f t="shared" si="4"/>
        <v>1</v>
      </c>
      <c r="AC42" s="1264">
        <f t="shared" si="5"/>
        <v>1</v>
      </c>
    </row>
    <row r="43" spans="1:29" ht="15">
      <c r="A43" s="409"/>
      <c r="B43" s="364" t="s">
        <v>1705</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3"/>
      <c r="M43" s="2488"/>
      <c r="N43" s="2488"/>
      <c r="O43" s="2488"/>
      <c r="P43" s="3635"/>
      <c r="Q43" s="1263" t="str">
        <f t="shared" si="11"/>
        <v>内部装修维护情况</v>
      </c>
      <c r="R43" s="667" t="s">
        <v>14</v>
      </c>
      <c r="S43" s="668">
        <f t="shared" si="12"/>
        <v>100</v>
      </c>
      <c r="T43" s="667" t="s">
        <v>14</v>
      </c>
      <c r="U43" s="668">
        <f t="shared" si="13"/>
        <v>100</v>
      </c>
      <c r="V43" s="667" t="s">
        <v>14</v>
      </c>
      <c r="W43" s="668">
        <f t="shared" si="14"/>
        <v>100</v>
      </c>
      <c r="X43" s="1265"/>
      <c r="Y43" s="3637"/>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9"/>
      <c r="M44" s="2440"/>
      <c r="N44" s="2440"/>
      <c r="O44" s="2440"/>
      <c r="P44" s="3635"/>
      <c r="Q44" s="530">
        <f t="shared" si="11"/>
        <v>111</v>
      </c>
      <c r="R44" s="664" t="s">
        <v>14</v>
      </c>
      <c r="S44" s="665">
        <f t="shared" si="12"/>
        <v>100</v>
      </c>
      <c r="T44" s="664" t="s">
        <v>14</v>
      </c>
      <c r="U44" s="665">
        <f t="shared" si="13"/>
        <v>100</v>
      </c>
      <c r="V44" s="664" t="s">
        <v>14</v>
      </c>
      <c r="W44" s="665">
        <f t="shared" si="14"/>
        <v>100</v>
      </c>
      <c r="X44" s="666"/>
      <c r="Y44" s="3637"/>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3"/>
      <c r="M45" s="2488"/>
      <c r="N45" s="2488"/>
      <c r="O45" s="2488"/>
      <c r="P45" s="3635"/>
      <c r="Q45" s="1263">
        <f t="shared" si="11"/>
        <v>111</v>
      </c>
      <c r="R45" s="667" t="s">
        <v>14</v>
      </c>
      <c r="S45" s="668">
        <f t="shared" si="12"/>
        <v>100</v>
      </c>
      <c r="T45" s="667" t="s">
        <v>14</v>
      </c>
      <c r="U45" s="668">
        <f t="shared" si="13"/>
        <v>100</v>
      </c>
      <c r="V45" s="667" t="s">
        <v>14</v>
      </c>
      <c r="W45" s="668">
        <f t="shared" si="14"/>
        <v>100</v>
      </c>
      <c r="X45" s="1265"/>
      <c r="Y45" s="3637"/>
      <c r="Z45" s="1264">
        <f t="shared" si="15"/>
        <v>111</v>
      </c>
      <c r="AA45" s="1264">
        <f t="shared" si="3"/>
        <v>1</v>
      </c>
      <c r="AB45" s="1264">
        <f t="shared" si="4"/>
        <v>1</v>
      </c>
      <c r="AC45" s="1264">
        <f t="shared" si="5"/>
        <v>1</v>
      </c>
    </row>
    <row r="46" spans="1:29" ht="15.75"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3"/>
      <c r="M46" s="2488"/>
      <c r="N46" s="2488"/>
      <c r="O46" s="2488"/>
      <c r="P46" s="3636"/>
      <c r="Q46" s="1263">
        <f t="shared" si="11"/>
        <v>111</v>
      </c>
      <c r="R46" s="667" t="s">
        <v>14</v>
      </c>
      <c r="S46" s="668">
        <f t="shared" si="12"/>
        <v>100</v>
      </c>
      <c r="T46" s="667" t="s">
        <v>14</v>
      </c>
      <c r="U46" s="668">
        <f t="shared" si="13"/>
        <v>100</v>
      </c>
      <c r="V46" s="667" t="s">
        <v>14</v>
      </c>
      <c r="W46" s="668">
        <f t="shared" si="14"/>
        <v>100</v>
      </c>
      <c r="X46" s="1265"/>
      <c r="Y46" s="3638"/>
      <c r="Z46" s="1264">
        <f t="shared" si="15"/>
        <v>111</v>
      </c>
      <c r="AA46" s="1264">
        <f t="shared" si="3"/>
        <v>1</v>
      </c>
      <c r="AB46" s="1264">
        <f t="shared" si="4"/>
        <v>1</v>
      </c>
      <c r="AC46" s="1264">
        <f t="shared" si="5"/>
        <v>1</v>
      </c>
    </row>
    <row r="47" spans="1:29" ht="15">
      <c r="A47" s="416" t="s">
        <v>1706</v>
      </c>
      <c r="B47" s="417"/>
      <c r="C47" s="1081" t="s">
        <v>0</v>
      </c>
      <c r="D47" s="418"/>
      <c r="E47" s="419"/>
      <c r="F47" s="420"/>
      <c r="G47" s="421"/>
      <c r="H47" s="422"/>
      <c r="I47" s="419"/>
      <c r="J47" s="422"/>
      <c r="K47" s="674"/>
      <c r="L47" s="2495"/>
      <c r="M47" s="2488"/>
      <c r="N47" s="2488"/>
      <c r="O47" s="2488"/>
      <c r="P47" s="3631" t="str">
        <f>A47</f>
        <v>成交单价（元/平方米）</v>
      </c>
      <c r="Q47" s="3631"/>
      <c r="R47" s="3626">
        <f>E47</f>
        <v>0</v>
      </c>
      <c r="S47" s="3626"/>
      <c r="T47" s="3626">
        <f>G47</f>
        <v>0</v>
      </c>
      <c r="U47" s="3626"/>
      <c r="V47" s="3626">
        <f>I47</f>
        <v>0</v>
      </c>
      <c r="W47" s="3626"/>
      <c r="X47" s="385"/>
      <c r="Y47" s="673"/>
      <c r="Z47" s="385"/>
      <c r="AA47" s="385"/>
      <c r="AB47" s="385"/>
      <c r="AC47" s="385"/>
    </row>
    <row r="48" spans="1:29" ht="15.75" thickBot="1">
      <c r="A48" s="423" t="s">
        <v>1791</v>
      </c>
      <c r="B48" s="424"/>
      <c r="C48" s="1082" t="e">
        <f>R49</f>
        <v>#DIV/0!</v>
      </c>
      <c r="D48" s="2141" t="s">
        <v>2136</v>
      </c>
      <c r="E48" s="1083" t="e">
        <f>R48</f>
        <v>#DIV/0!</v>
      </c>
      <c r="F48" s="2142"/>
      <c r="G48" s="1082" t="e">
        <f>T48</f>
        <v>#DIV/0!</v>
      </c>
      <c r="H48" s="2142"/>
      <c r="I48" s="1083" t="e">
        <f>V48</f>
        <v>#DIV/0!</v>
      </c>
      <c r="J48" s="2142"/>
      <c r="K48" s="2144">
        <f>F48+H48+J48</f>
        <v>0</v>
      </c>
      <c r="L48" s="2495"/>
      <c r="M48" s="2488"/>
      <c r="N48" s="2488"/>
      <c r="O48" s="2488"/>
      <c r="P48" s="3631" t="str">
        <f>A48</f>
        <v>比较价值（元/平方米）</v>
      </c>
      <c r="Q48" s="3631"/>
      <c r="R48" s="3626" t="e">
        <f>IF(F1="售价",ROUND(PRODUCT(R47,AA7:AA46),0),ROUND(PRODUCT(R47,AA7:AA46),1))</f>
        <v>#DIV/0!</v>
      </c>
      <c r="S48" s="3626"/>
      <c r="T48" s="3626" t="e">
        <f>IF(F1="售价",ROUND(PRODUCT(T47,AB7:AB46),0),ROUND(PRODUCT(T47,AB7:AB46),1))</f>
        <v>#DIV/0!</v>
      </c>
      <c r="U48" s="3626"/>
      <c r="V48" s="3626" t="e">
        <f>IF(F1="售价",ROUND(PRODUCT(V47,AC7:AC46),0),ROUND(PRODUCT(V47,AC7:AC46),1))</f>
        <v>#DIV/0!</v>
      </c>
      <c r="W48" s="3626"/>
      <c r="X48" s="385"/>
      <c r="Y48" s="385"/>
      <c r="Z48" s="385"/>
      <c r="AA48" s="385"/>
      <c r="AB48" s="385"/>
      <c r="AC48" s="385"/>
    </row>
    <row r="49" spans="1:29" ht="15.75" thickBot="1">
      <c r="A49" s="427" t="s">
        <v>1792</v>
      </c>
      <c r="B49" s="428"/>
      <c r="C49" s="351" t="e">
        <f>R49</f>
        <v>#DIV/0!</v>
      </c>
      <c r="D49" s="351"/>
      <c r="E49" s="351"/>
      <c r="F49" s="351"/>
      <c r="G49" s="351"/>
      <c r="H49" s="351"/>
      <c r="I49" s="351"/>
      <c r="J49" s="351"/>
      <c r="K49" s="675"/>
      <c r="L49" s="2495"/>
      <c r="M49" s="2488"/>
      <c r="N49" s="2488"/>
      <c r="O49" s="2488"/>
      <c r="P49" s="3628" t="str">
        <f>A49</f>
        <v>估价对象XX用房的比较价值（楼面单价，元/平方米）</v>
      </c>
      <c r="Q49" s="3629"/>
      <c r="R49" s="3630" t="e">
        <f>IF(F1="售价",ROUND(IF(D48="简单平均",AVERAGE(R48:V48),R48*F48+T48*H48+V48*J48),0),ROUND(IF(D48="简单平均",AVERAGE(R48:V48),R48*F48+T48*H48+V48*J48),1))</f>
        <v>#DIV/0!</v>
      </c>
      <c r="S49" s="3630"/>
      <c r="T49" s="3630"/>
      <c r="U49" s="3630"/>
      <c r="V49" s="3630"/>
      <c r="W49" s="3630"/>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c r="P50" s="2506"/>
      <c r="Q50" s="2488"/>
      <c r="R50" s="2488"/>
      <c r="S50" s="2488"/>
      <c r="T50" s="2488"/>
      <c r="U50" s="2488"/>
      <c r="V50" s="2488"/>
      <c r="W50" s="2488"/>
      <c r="X50" s="2488"/>
      <c r="Y50" s="2488"/>
      <c r="Z50" s="2488"/>
      <c r="AA50" s="2488"/>
      <c r="AB50" s="2488"/>
      <c r="AC50" s="2488"/>
    </row>
    <row r="51" spans="1:29">
      <c r="A51" s="2488"/>
      <c r="B51" s="2488"/>
      <c r="C51" s="2488"/>
      <c r="D51" s="2488"/>
      <c r="E51" s="2488"/>
      <c r="F51" s="2488"/>
      <c r="G51" s="2488"/>
      <c r="H51" s="2488"/>
      <c r="I51" s="2488"/>
      <c r="J51" s="2488"/>
      <c r="K51" s="2500"/>
      <c r="L51" s="2496"/>
      <c r="M51" s="2488"/>
      <c r="N51" s="2488"/>
      <c r="O51" s="2488"/>
      <c r="P51" s="2506"/>
      <c r="Q51" s="2488"/>
      <c r="R51" s="2488"/>
      <c r="S51" s="2488"/>
      <c r="T51" s="2488"/>
      <c r="U51" s="2488"/>
      <c r="V51" s="2488"/>
      <c r="W51" s="2488"/>
      <c r="X51" s="2488"/>
      <c r="Y51" s="2488"/>
      <c r="Z51" s="2488"/>
      <c r="AA51" s="2488"/>
      <c r="AB51" s="2488"/>
      <c r="AC51" s="2488"/>
    </row>
    <row r="52" spans="1:29" ht="13.5" customHeight="1">
      <c r="A52" s="2488"/>
      <c r="B52" s="2488"/>
      <c r="C52" s="432" t="s">
        <v>1793</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c r="P52" s="2506"/>
      <c r="Q52" s="2488"/>
      <c r="R52" s="2488"/>
      <c r="S52" s="2488"/>
      <c r="T52" s="2488"/>
      <c r="U52" s="2488"/>
      <c r="V52" s="2488"/>
      <c r="W52" s="2488"/>
      <c r="X52" s="2488"/>
      <c r="Y52" s="2488"/>
      <c r="Z52" s="2488"/>
      <c r="AA52" s="2488"/>
      <c r="AB52" s="2488"/>
      <c r="AC52" s="2488"/>
    </row>
    <row r="53" spans="1:29" ht="13.5" customHeight="1">
      <c r="A53" s="2488"/>
      <c r="B53" s="2488"/>
      <c r="C53" s="432" t="s">
        <v>1794</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c r="P53" s="2506"/>
      <c r="Q53" s="2488"/>
      <c r="R53" s="2488"/>
      <c r="S53" s="2488"/>
      <c r="T53" s="2488"/>
      <c r="U53" s="2488"/>
      <c r="V53" s="2488"/>
      <c r="W53" s="2488"/>
      <c r="X53" s="2488"/>
      <c r="Y53" s="2488"/>
      <c r="Z53" s="2488"/>
      <c r="AA53" s="2488"/>
      <c r="AB53" s="2488"/>
      <c r="AC53" s="2488"/>
    </row>
    <row r="54" spans="1:29" s="437" customFormat="1" ht="13.5" customHeight="1">
      <c r="A54" s="2498"/>
      <c r="B54" s="2498"/>
      <c r="C54" s="432" t="s">
        <v>1795</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2507"/>
      <c r="Q54" s="2498"/>
      <c r="R54" s="2498"/>
      <c r="S54" s="2498"/>
      <c r="T54" s="2498"/>
      <c r="U54" s="2498"/>
      <c r="V54" s="2498"/>
      <c r="W54" s="2498"/>
      <c r="X54" s="2498"/>
      <c r="Y54" s="2498"/>
      <c r="Z54" s="2498"/>
      <c r="AA54" s="2498"/>
      <c r="AB54" s="2498"/>
      <c r="AC54" s="2498"/>
    </row>
    <row r="55" spans="1:29" s="437" customFormat="1">
      <c r="A55" s="2498"/>
      <c r="B55" s="2501"/>
      <c r="C55" s="2502"/>
      <c r="D55" s="2498"/>
      <c r="E55" s="2498"/>
      <c r="F55" s="2498"/>
      <c r="G55" s="2498"/>
      <c r="H55" s="2498"/>
      <c r="I55" s="2498"/>
      <c r="J55" s="2498"/>
      <c r="K55" s="2503"/>
      <c r="L55" s="2497"/>
      <c r="M55" s="2498"/>
      <c r="N55" s="2498"/>
      <c r="O55" s="2498"/>
      <c r="P55" s="2507"/>
      <c r="Q55" s="2498"/>
      <c r="R55" s="2498"/>
      <c r="S55" s="2498"/>
      <c r="T55" s="2498"/>
      <c r="U55" s="2498"/>
      <c r="V55" s="2498"/>
      <c r="W55" s="2498"/>
      <c r="X55" s="2498"/>
      <c r="Y55" s="2498"/>
      <c r="Z55" s="2498"/>
      <c r="AA55" s="2498"/>
      <c r="AB55" s="2498"/>
      <c r="AC55" s="2498"/>
    </row>
    <row r="56" spans="1:29">
      <c r="A56" s="2488"/>
      <c r="B56" s="2501"/>
      <c r="C56" s="2502"/>
      <c r="D56" s="2488"/>
      <c r="E56" s="2488"/>
      <c r="F56" s="2488"/>
      <c r="G56" s="2488"/>
      <c r="H56" s="2488"/>
      <c r="I56" s="2488"/>
      <c r="J56" s="2488"/>
      <c r="K56" s="2500"/>
      <c r="L56" s="2496"/>
      <c r="M56" s="2488"/>
      <c r="N56" s="2488"/>
      <c r="O56" s="2488"/>
      <c r="P56" s="2506"/>
      <c r="Q56" s="2488"/>
      <c r="R56" s="2488"/>
      <c r="S56" s="2488"/>
      <c r="T56" s="2488"/>
      <c r="U56" s="2488"/>
      <c r="V56" s="2488"/>
      <c r="W56" s="2488"/>
      <c r="X56" s="2488"/>
      <c r="Y56" s="2488"/>
      <c r="Z56" s="2488"/>
      <c r="AA56" s="2488"/>
      <c r="AB56" s="2488"/>
      <c r="AC56" s="2488"/>
    </row>
    <row r="57" spans="1:29" ht="21.75" thickBot="1">
      <c r="A57" s="658" t="s">
        <v>1796</v>
      </c>
      <c r="B57" s="385"/>
      <c r="C57" s="659"/>
      <c r="D57" s="659"/>
      <c r="E57" s="659"/>
      <c r="F57" s="660"/>
      <c r="G57" s="660"/>
      <c r="H57" s="659"/>
      <c r="I57" s="659"/>
      <c r="J57" s="659"/>
      <c r="K57" s="661"/>
      <c r="L57" s="888"/>
      <c r="M57" s="886"/>
      <c r="N57" s="886"/>
      <c r="O57" s="886"/>
      <c r="P57" s="2508"/>
      <c r="Q57" s="2509"/>
      <c r="R57" s="2488"/>
      <c r="S57" s="2488"/>
      <c r="T57" s="2488"/>
      <c r="U57" s="2488"/>
      <c r="V57" s="2488"/>
      <c r="W57" s="2488"/>
      <c r="X57" s="2488"/>
      <c r="Y57" s="2488"/>
      <c r="Z57" s="2488"/>
      <c r="AA57" s="2488"/>
      <c r="AB57" s="2488"/>
      <c r="AC57" s="2488"/>
    </row>
    <row r="58" spans="1:29" s="442" customFormat="1" ht="15">
      <c r="A58" s="440" t="s">
        <v>1677</v>
      </c>
      <c r="B58" s="441"/>
      <c r="C58" s="1103" t="str">
        <f>YEAR(C7)&amp;"-"&amp;MONTH(C7)</f>
        <v>2025-7</v>
      </c>
      <c r="D58" s="1104">
        <f>EDATE(C58,-1)</f>
        <v>45809</v>
      </c>
      <c r="E58" s="1104">
        <f t="shared" ref="E58:N58" si="16">EDATE(D58,-1)</f>
        <v>45778</v>
      </c>
      <c r="F58" s="1104">
        <f t="shared" si="16"/>
        <v>45748</v>
      </c>
      <c r="G58" s="1104">
        <f t="shared" si="16"/>
        <v>45717</v>
      </c>
      <c r="H58" s="1104">
        <f t="shared" si="16"/>
        <v>45689</v>
      </c>
      <c r="I58" s="1104">
        <f t="shared" si="16"/>
        <v>45658</v>
      </c>
      <c r="J58" s="1104">
        <f t="shared" si="16"/>
        <v>45627</v>
      </c>
      <c r="K58" s="1104">
        <f t="shared" si="16"/>
        <v>45597</v>
      </c>
      <c r="L58" s="1104">
        <f t="shared" si="16"/>
        <v>45566</v>
      </c>
      <c r="M58" s="1104">
        <f t="shared" si="16"/>
        <v>45536</v>
      </c>
      <c r="N58" s="1104">
        <f t="shared" si="16"/>
        <v>45505</v>
      </c>
      <c r="O58" s="1104">
        <f>EDATE(N58,-1)</f>
        <v>45474</v>
      </c>
      <c r="P58" s="2510"/>
      <c r="Q58" s="2511"/>
      <c r="R58" s="2511"/>
      <c r="S58" s="2511"/>
      <c r="T58" s="2511"/>
      <c r="U58" s="2511"/>
      <c r="V58" s="2511"/>
      <c r="W58" s="2511"/>
      <c r="X58" s="2511"/>
      <c r="Y58" s="2511"/>
      <c r="Z58" s="2511"/>
      <c r="AA58" s="2511"/>
      <c r="AB58" s="2511"/>
      <c r="AC58" s="2511"/>
    </row>
    <row r="59" spans="1:29" s="102" customFormat="1" ht="15">
      <c r="A59" s="443"/>
      <c r="B59" s="444"/>
      <c r="C59" s="1102">
        <v>100</v>
      </c>
      <c r="D59" s="446"/>
      <c r="E59" s="446"/>
      <c r="F59" s="446"/>
      <c r="G59" s="446"/>
      <c r="H59" s="446"/>
      <c r="I59" s="446"/>
      <c r="J59" s="446"/>
      <c r="K59" s="446"/>
      <c r="L59" s="446"/>
      <c r="M59" s="447"/>
      <c r="N59" s="446"/>
      <c r="O59" s="447"/>
      <c r="P59" s="2512"/>
      <c r="Q59" s="2440"/>
      <c r="R59" s="2440"/>
      <c r="S59" s="2440"/>
      <c r="T59" s="2440"/>
      <c r="U59" s="2440"/>
      <c r="V59" s="2440"/>
      <c r="W59" s="2440"/>
      <c r="X59" s="2440"/>
      <c r="Y59" s="2440"/>
      <c r="Z59" s="2440"/>
      <c r="AA59" s="2440"/>
      <c r="AB59" s="2440"/>
      <c r="AC59" s="2440"/>
    </row>
    <row r="60" spans="1:29" s="102" customFormat="1" ht="15.75" thickBot="1">
      <c r="A60" s="449" t="s">
        <v>1714</v>
      </c>
      <c r="B60" s="450"/>
      <c r="C60" s="451"/>
      <c r="D60" s="452"/>
      <c r="E60" s="452"/>
      <c r="F60" s="452"/>
      <c r="G60" s="452"/>
      <c r="H60" s="452"/>
      <c r="I60" s="452"/>
      <c r="J60" s="452"/>
      <c r="K60" s="452"/>
      <c r="L60" s="452"/>
      <c r="M60" s="453"/>
      <c r="N60" s="452"/>
      <c r="O60" s="453"/>
      <c r="P60" s="2512"/>
      <c r="Q60" s="2509"/>
      <c r="R60" s="2440"/>
      <c r="S60" s="2440"/>
      <c r="T60" s="2440"/>
      <c r="U60" s="2440"/>
      <c r="V60" s="2440"/>
      <c r="W60" s="2440"/>
      <c r="X60" s="2440"/>
      <c r="Y60" s="2440"/>
      <c r="Z60" s="2440"/>
      <c r="AA60" s="2440"/>
      <c r="AB60" s="2440"/>
      <c r="AC60" s="2440"/>
    </row>
    <row r="61" spans="1:29" s="102" customFormat="1" ht="15">
      <c r="A61" s="455" t="s">
        <v>1679</v>
      </c>
      <c r="B61" s="444"/>
      <c r="C61" s="456" t="s">
        <v>1774</v>
      </c>
      <c r="D61" s="31"/>
      <c r="E61" s="31"/>
      <c r="F61" s="31"/>
      <c r="G61" s="31"/>
      <c r="H61" s="31"/>
      <c r="I61" s="31"/>
      <c r="J61" s="31"/>
      <c r="K61" s="31"/>
      <c r="L61" s="457"/>
      <c r="M61" s="458"/>
      <c r="N61" s="2521"/>
      <c r="O61" s="2521"/>
      <c r="P61" s="2513"/>
      <c r="Q61" s="2509"/>
      <c r="R61" s="2440"/>
      <c r="S61" s="2440"/>
      <c r="T61" s="2440"/>
      <c r="U61" s="2440"/>
      <c r="V61" s="2440"/>
      <c r="W61" s="2440"/>
      <c r="X61" s="2440"/>
      <c r="Y61" s="2440"/>
      <c r="Z61" s="2440"/>
      <c r="AA61" s="2440"/>
      <c r="AB61" s="2440"/>
      <c r="AC61" s="2440"/>
    </row>
    <row r="62" spans="1:29" s="102" customFormat="1" ht="15.75" thickBot="1">
      <c r="A62" s="455"/>
      <c r="B62" s="444"/>
      <c r="C62" s="445">
        <v>100</v>
      </c>
      <c r="D62" s="446"/>
      <c r="E62" s="446"/>
      <c r="F62" s="446"/>
      <c r="G62" s="446"/>
      <c r="H62" s="446"/>
      <c r="I62" s="446"/>
      <c r="J62" s="446"/>
      <c r="K62" s="446"/>
      <c r="L62" s="446"/>
      <c r="M62" s="448"/>
      <c r="N62" s="2521"/>
      <c r="O62" s="2521"/>
      <c r="P62" s="2512"/>
      <c r="Q62" s="2509"/>
      <c r="R62" s="2440"/>
      <c r="S62" s="2440"/>
      <c r="T62" s="2440"/>
      <c r="U62" s="2440"/>
      <c r="V62" s="2440"/>
      <c r="W62" s="2440"/>
      <c r="X62" s="2440"/>
      <c r="Y62" s="2440"/>
      <c r="Z62" s="2440"/>
      <c r="AA62" s="2440"/>
      <c r="AB62" s="2440"/>
      <c r="AC62" s="2440"/>
    </row>
    <row r="63" spans="1:29">
      <c r="A63" s="379" t="s">
        <v>1717</v>
      </c>
      <c r="B63" s="460" t="s">
        <v>1683</v>
      </c>
      <c r="C63" s="461">
        <f>C9</f>
        <v>0</v>
      </c>
      <c r="D63" s="462"/>
      <c r="E63" s="462"/>
      <c r="F63" s="462"/>
      <c r="G63" s="462"/>
      <c r="H63" s="462"/>
      <c r="I63" s="462"/>
      <c r="J63" s="462"/>
      <c r="K63" s="463"/>
      <c r="L63" s="464"/>
      <c r="M63" s="465"/>
      <c r="N63" s="2522"/>
      <c r="O63" s="2522"/>
      <c r="P63" s="2514"/>
      <c r="Q63" s="2509"/>
      <c r="R63" s="2488"/>
      <c r="S63" s="2488"/>
      <c r="T63" s="2488"/>
      <c r="U63" s="2488"/>
      <c r="V63" s="2488"/>
      <c r="W63" s="2488"/>
      <c r="X63" s="2488"/>
      <c r="Y63" s="2488"/>
      <c r="Z63" s="2488"/>
      <c r="AA63" s="2488"/>
      <c r="AB63" s="2488"/>
      <c r="AC63" s="2488"/>
    </row>
    <row r="64" spans="1:29" ht="15.75" thickBot="1">
      <c r="A64" s="367"/>
      <c r="B64" s="466"/>
      <c r="C64" s="467">
        <v>100</v>
      </c>
      <c r="D64" s="467"/>
      <c r="E64" s="467"/>
      <c r="F64" s="467"/>
      <c r="G64" s="467"/>
      <c r="H64" s="467"/>
      <c r="I64" s="467"/>
      <c r="J64" s="467"/>
      <c r="K64" s="467"/>
      <c r="L64" s="467"/>
      <c r="M64" s="468"/>
      <c r="N64" s="2523"/>
      <c r="O64" s="2523"/>
      <c r="P64" s="2514"/>
      <c r="Q64" s="2509"/>
      <c r="R64" s="2488"/>
      <c r="S64" s="2488"/>
      <c r="T64" s="2488"/>
      <c r="U64" s="2488"/>
      <c r="V64" s="2488"/>
      <c r="W64" s="2488"/>
      <c r="X64" s="2488"/>
      <c r="Y64" s="2488"/>
      <c r="Z64" s="2488"/>
      <c r="AA64" s="2488"/>
      <c r="AB64" s="2488"/>
      <c r="AC64" s="2488"/>
    </row>
    <row r="65" spans="1:29" ht="27.75" thickTop="1">
      <c r="A65" s="367"/>
      <c r="B65" s="469" t="s">
        <v>1686</v>
      </c>
      <c r="C65" s="513"/>
      <c r="D65" s="513"/>
      <c r="E65" s="513"/>
      <c r="F65" s="513"/>
      <c r="G65" s="513"/>
      <c r="H65" s="513"/>
      <c r="I65" s="513"/>
      <c r="J65" s="513"/>
      <c r="K65" s="514"/>
      <c r="L65" s="515"/>
      <c r="M65" s="516"/>
      <c r="N65" s="2522"/>
      <c r="O65" s="2522"/>
      <c r="P65" s="2514"/>
      <c r="Q65" s="2509"/>
      <c r="R65" s="2488"/>
      <c r="S65" s="2488"/>
      <c r="T65" s="2488"/>
      <c r="U65" s="2488"/>
      <c r="V65" s="2488"/>
      <c r="W65" s="2488"/>
      <c r="X65" s="2488"/>
      <c r="Y65" s="2488"/>
      <c r="Z65" s="2488"/>
      <c r="AA65" s="2488"/>
      <c r="AB65" s="2488"/>
      <c r="AC65" s="2488"/>
    </row>
    <row r="66" spans="1:29" ht="15.75" thickBot="1">
      <c r="A66" s="367"/>
      <c r="B66" s="474"/>
      <c r="C66" s="467"/>
      <c r="D66" s="467"/>
      <c r="E66" s="467"/>
      <c r="F66" s="467"/>
      <c r="G66" s="467"/>
      <c r="H66" s="467"/>
      <c r="I66" s="467"/>
      <c r="J66" s="467"/>
      <c r="K66" s="467"/>
      <c r="L66" s="467"/>
      <c r="M66" s="468"/>
      <c r="N66" s="2523"/>
      <c r="O66" s="2523"/>
      <c r="P66" s="2514"/>
      <c r="Q66" s="2509"/>
      <c r="R66" s="2488"/>
      <c r="S66" s="2488"/>
      <c r="T66" s="2488"/>
      <c r="U66" s="2488"/>
      <c r="V66" s="2488"/>
      <c r="W66" s="2488"/>
      <c r="X66" s="2488"/>
      <c r="Y66" s="2488"/>
      <c r="Z66" s="2488"/>
      <c r="AA66" s="2488"/>
      <c r="AB66" s="2488"/>
      <c r="AC66" s="2488"/>
    </row>
    <row r="67" spans="1:29" ht="15.75" thickTop="1">
      <c r="A67" s="367"/>
      <c r="B67" s="477" t="s">
        <v>1687</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3"/>
      <c r="O67" s="2523"/>
      <c r="P67" s="2514"/>
      <c r="Q67" s="2509"/>
      <c r="R67" s="2488"/>
      <c r="S67" s="2488"/>
      <c r="T67" s="2488"/>
      <c r="U67" s="2488"/>
      <c r="V67" s="2488"/>
      <c r="W67" s="2488"/>
      <c r="X67" s="2488"/>
      <c r="Y67" s="2488"/>
      <c r="Z67" s="2488"/>
      <c r="AA67" s="2488"/>
      <c r="AB67" s="2488"/>
      <c r="AC67" s="2488"/>
    </row>
    <row r="68" spans="1:29" ht="15">
      <c r="A68" s="367"/>
      <c r="B68" s="479"/>
      <c r="C68" s="480"/>
      <c r="D68" s="480"/>
      <c r="E68" s="480"/>
      <c r="F68" s="480"/>
      <c r="G68" s="480"/>
      <c r="H68" s="480"/>
      <c r="I68" s="480"/>
      <c r="J68" s="480"/>
      <c r="K68" s="481"/>
      <c r="L68" s="482"/>
      <c r="M68" s="483"/>
      <c r="N68" s="2522"/>
      <c r="O68" s="2522"/>
      <c r="P68" s="2514"/>
      <c r="Q68" s="2509"/>
      <c r="R68" s="2488"/>
      <c r="S68" s="2488"/>
      <c r="T68" s="2488"/>
      <c r="U68" s="2488"/>
      <c r="V68" s="2488"/>
      <c r="W68" s="2488"/>
      <c r="X68" s="2488"/>
      <c r="Y68" s="2488"/>
      <c r="Z68" s="2488"/>
      <c r="AA68" s="2488"/>
      <c r="AB68" s="2488"/>
      <c r="AC68" s="2488"/>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3"/>
      <c r="O69" s="2523"/>
      <c r="P69" s="2514"/>
      <c r="Q69" s="2509"/>
      <c r="R69" s="2488"/>
      <c r="S69" s="2488"/>
      <c r="T69" s="2488"/>
      <c r="U69" s="2488"/>
      <c r="V69" s="2488"/>
      <c r="W69" s="2488"/>
      <c r="X69" s="2488"/>
      <c r="Y69" s="2488"/>
      <c r="Z69" s="2488"/>
      <c r="AA69" s="2488"/>
      <c r="AB69" s="2488"/>
      <c r="AC69" s="2488"/>
    </row>
    <row r="70" spans="1:29" s="408" customFormat="1" ht="15.75" thickTop="1">
      <c r="A70" s="484"/>
      <c r="B70" s="469">
        <f>B12</f>
        <v>111</v>
      </c>
      <c r="C70" s="485"/>
      <c r="D70" s="485"/>
      <c r="E70" s="485"/>
      <c r="F70" s="485"/>
      <c r="G70" s="485"/>
      <c r="H70" s="486"/>
      <c r="I70" s="486"/>
      <c r="J70" s="486"/>
      <c r="K70" s="486"/>
      <c r="L70" s="487"/>
      <c r="M70" s="488"/>
      <c r="N70" s="2524"/>
      <c r="O70" s="2524"/>
      <c r="P70" s="2515"/>
      <c r="Q70" s="2516"/>
      <c r="R70" s="2494"/>
      <c r="S70" s="2494"/>
      <c r="T70" s="2494"/>
      <c r="U70" s="2494"/>
      <c r="V70" s="2494"/>
      <c r="W70" s="2494"/>
      <c r="X70" s="2494"/>
      <c r="Y70" s="2494"/>
      <c r="Z70" s="2494"/>
      <c r="AA70" s="2494"/>
      <c r="AB70" s="2494"/>
      <c r="AC70" s="2494"/>
    </row>
    <row r="71" spans="1:29" s="408" customFormat="1" ht="15.75" thickBot="1">
      <c r="A71" s="484"/>
      <c r="B71" s="474"/>
      <c r="C71" s="491"/>
      <c r="D71" s="467"/>
      <c r="E71" s="467"/>
      <c r="F71" s="467"/>
      <c r="G71" s="467"/>
      <c r="H71" s="467"/>
      <c r="I71" s="467"/>
      <c r="J71" s="467"/>
      <c r="K71" s="467"/>
      <c r="L71" s="467"/>
      <c r="M71" s="468"/>
      <c r="N71" s="2523"/>
      <c r="O71" s="2523"/>
      <c r="P71" s="2515"/>
      <c r="Q71" s="2516"/>
      <c r="R71" s="2494"/>
      <c r="S71" s="2494"/>
      <c r="T71" s="2494"/>
      <c r="U71" s="2494"/>
      <c r="V71" s="2494"/>
      <c r="W71" s="2494"/>
      <c r="X71" s="2494"/>
      <c r="Y71" s="2494"/>
      <c r="Z71" s="2494"/>
      <c r="AA71" s="2494"/>
      <c r="AB71" s="2494"/>
      <c r="AC71" s="2494"/>
    </row>
    <row r="72" spans="1:29" s="408" customFormat="1" ht="15.75" thickTop="1">
      <c r="A72" s="484"/>
      <c r="B72" s="469">
        <f>B13</f>
        <v>111</v>
      </c>
      <c r="C72" s="485"/>
      <c r="D72" s="485"/>
      <c r="E72" s="485"/>
      <c r="F72" s="485"/>
      <c r="G72" s="485"/>
      <c r="H72" s="486"/>
      <c r="I72" s="486"/>
      <c r="J72" s="486"/>
      <c r="K72" s="486"/>
      <c r="L72" s="487"/>
      <c r="M72" s="488"/>
      <c r="N72" s="2524"/>
      <c r="O72" s="2524"/>
      <c r="P72" s="2517"/>
      <c r="Q72" s="2518"/>
      <c r="R72" s="2494"/>
      <c r="S72" s="2494"/>
      <c r="T72" s="2494"/>
      <c r="U72" s="2494"/>
      <c r="V72" s="2494"/>
      <c r="W72" s="2494"/>
      <c r="X72" s="2494"/>
      <c r="Y72" s="2494"/>
      <c r="Z72" s="2494"/>
      <c r="AA72" s="2494"/>
      <c r="AB72" s="2494"/>
      <c r="AC72" s="2494"/>
    </row>
    <row r="73" spans="1:29" s="408" customFormat="1" ht="15.75" thickBot="1">
      <c r="A73" s="484"/>
      <c r="B73" s="474"/>
      <c r="C73" s="491"/>
      <c r="D73" s="467"/>
      <c r="E73" s="467"/>
      <c r="F73" s="467"/>
      <c r="G73" s="491"/>
      <c r="H73" s="493"/>
      <c r="I73" s="493"/>
      <c r="J73" s="493"/>
      <c r="K73" s="493"/>
      <c r="L73" s="493"/>
      <c r="M73" s="494"/>
      <c r="N73" s="2524"/>
      <c r="O73" s="2524"/>
      <c r="P73" s="2515"/>
      <c r="Q73" s="2516"/>
      <c r="R73" s="2494"/>
      <c r="S73" s="2494"/>
      <c r="T73" s="2494"/>
      <c r="U73" s="2494"/>
      <c r="V73" s="2494"/>
      <c r="W73" s="2494"/>
      <c r="X73" s="2494"/>
      <c r="Y73" s="2494"/>
      <c r="Z73" s="2494"/>
      <c r="AA73" s="2494"/>
      <c r="AB73" s="2494"/>
      <c r="AC73" s="2494"/>
    </row>
    <row r="74" spans="1:29" s="408" customFormat="1" ht="15.75" thickTop="1">
      <c r="A74" s="484"/>
      <c r="B74" s="477">
        <f>B14</f>
        <v>111</v>
      </c>
      <c r="C74" s="485"/>
      <c r="D74" s="485"/>
      <c r="E74" s="485"/>
      <c r="F74" s="485"/>
      <c r="G74" s="31"/>
      <c r="H74" s="495"/>
      <c r="I74" s="495"/>
      <c r="J74" s="495"/>
      <c r="K74" s="495"/>
      <c r="L74" s="496"/>
      <c r="M74" s="497"/>
      <c r="N74" s="2524"/>
      <c r="O74" s="2524"/>
      <c r="P74" s="2519"/>
      <c r="Q74" s="2516"/>
      <c r="R74" s="2494"/>
      <c r="S74" s="2494"/>
      <c r="T74" s="2494"/>
      <c r="U74" s="2494"/>
      <c r="V74" s="2494"/>
      <c r="W74" s="2494"/>
      <c r="X74" s="2494"/>
      <c r="Y74" s="2494"/>
      <c r="Z74" s="2494"/>
      <c r="AA74" s="2494"/>
      <c r="AB74" s="2494"/>
      <c r="AC74" s="2494"/>
    </row>
    <row r="75" spans="1:29" s="408" customFormat="1" ht="15.75" thickBot="1">
      <c r="A75" s="499"/>
      <c r="B75" s="500"/>
      <c r="C75" s="501"/>
      <c r="D75" s="501"/>
      <c r="E75" s="501"/>
      <c r="F75" s="501"/>
      <c r="G75" s="501"/>
      <c r="H75" s="502"/>
      <c r="I75" s="502"/>
      <c r="J75" s="502"/>
      <c r="K75" s="502"/>
      <c r="L75" s="502"/>
      <c r="M75" s="503"/>
      <c r="N75" s="2524"/>
      <c r="O75" s="2524"/>
      <c r="P75" s="2515"/>
      <c r="Q75" s="2516"/>
      <c r="R75" s="2494"/>
      <c r="S75" s="2494"/>
      <c r="T75" s="2494"/>
      <c r="U75" s="2494"/>
      <c r="V75" s="2494"/>
      <c r="W75" s="2494"/>
      <c r="X75" s="2494"/>
      <c r="Y75" s="2494"/>
      <c r="Z75" s="2494"/>
      <c r="AA75" s="2494"/>
      <c r="AB75" s="2494"/>
      <c r="AC75" s="2494"/>
    </row>
    <row r="76" spans="1:29">
      <c r="A76" s="379" t="s">
        <v>1688</v>
      </c>
      <c r="B76" s="460" t="s">
        <v>1718</v>
      </c>
      <c r="C76" s="504" t="s">
        <v>1719</v>
      </c>
      <c r="D76" s="504" t="s">
        <v>1720</v>
      </c>
      <c r="E76" s="504" t="s">
        <v>1721</v>
      </c>
      <c r="F76" s="504" t="s">
        <v>1722</v>
      </c>
      <c r="G76" s="504" t="s">
        <v>1723</v>
      </c>
      <c r="H76" s="461"/>
      <c r="I76" s="461"/>
      <c r="J76" s="461"/>
      <c r="K76" s="505"/>
      <c r="L76" s="506"/>
      <c r="M76" s="507"/>
      <c r="N76" s="2522"/>
      <c r="O76" s="2522"/>
      <c r="P76" s="2520"/>
      <c r="Q76" s="2509"/>
      <c r="R76" s="2488"/>
      <c r="S76" s="2488"/>
      <c r="T76" s="2488"/>
      <c r="U76" s="2488"/>
      <c r="V76" s="2488"/>
      <c r="W76" s="2488"/>
      <c r="X76" s="2488"/>
      <c r="Y76" s="2488"/>
      <c r="Z76" s="2488"/>
      <c r="AA76" s="2488"/>
      <c r="AB76" s="2488"/>
      <c r="AC76" s="2488"/>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23"/>
      <c r="O77" s="2523"/>
      <c r="P77" s="2514"/>
      <c r="Q77" s="2509"/>
      <c r="R77" s="2488"/>
      <c r="S77" s="2488"/>
      <c r="T77" s="2488"/>
      <c r="U77" s="2488"/>
      <c r="V77" s="2488"/>
      <c r="W77" s="2488"/>
      <c r="X77" s="2488"/>
      <c r="Y77" s="2488"/>
      <c r="Z77" s="2488"/>
      <c r="AA77" s="2488"/>
      <c r="AB77" s="2488"/>
      <c r="AC77" s="2488"/>
    </row>
    <row r="78" spans="1:29" ht="15.75" thickTop="1">
      <c r="A78" s="367"/>
      <c r="B78" s="469" t="s">
        <v>1724</v>
      </c>
      <c r="C78" s="509" t="s">
        <v>1719</v>
      </c>
      <c r="D78" s="509" t="s">
        <v>1720</v>
      </c>
      <c r="E78" s="509" t="s">
        <v>1721</v>
      </c>
      <c r="F78" s="509" t="s">
        <v>1722</v>
      </c>
      <c r="G78" s="509" t="s">
        <v>1723</v>
      </c>
      <c r="H78" s="470"/>
      <c r="I78" s="470"/>
      <c r="J78" s="470"/>
      <c r="K78" s="471"/>
      <c r="L78" s="472"/>
      <c r="M78" s="473"/>
      <c r="N78" s="2522"/>
      <c r="O78" s="2522"/>
      <c r="P78" s="2514"/>
      <c r="Q78" s="2509"/>
      <c r="R78" s="2488"/>
      <c r="S78" s="2488"/>
      <c r="T78" s="2488"/>
      <c r="U78" s="2488"/>
      <c r="V78" s="2488"/>
      <c r="W78" s="2488"/>
      <c r="X78" s="2488"/>
      <c r="Y78" s="2488"/>
      <c r="Z78" s="2488"/>
      <c r="AA78" s="2488"/>
      <c r="AB78" s="2488"/>
      <c r="AC78" s="2488"/>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3"/>
      <c r="O79" s="2523"/>
      <c r="P79" s="2514"/>
      <c r="Q79" s="2509"/>
      <c r="R79" s="2488"/>
      <c r="S79" s="2488"/>
      <c r="T79" s="2488"/>
      <c r="U79" s="2488"/>
      <c r="V79" s="2488"/>
      <c r="W79" s="2488"/>
      <c r="X79" s="2488"/>
      <c r="Y79" s="2488"/>
      <c r="Z79" s="2488"/>
      <c r="AA79" s="2488"/>
      <c r="AB79" s="2488"/>
      <c r="AC79" s="2488"/>
    </row>
    <row r="80" spans="1:29" ht="15.75" thickTop="1">
      <c r="A80" s="367"/>
      <c r="B80" s="469" t="s">
        <v>1725</v>
      </c>
      <c r="C80" s="509" t="s">
        <v>1719</v>
      </c>
      <c r="D80" s="509" t="s">
        <v>1720</v>
      </c>
      <c r="E80" s="509" t="s">
        <v>1721</v>
      </c>
      <c r="F80" s="509" t="s">
        <v>1722</v>
      </c>
      <c r="G80" s="509" t="s">
        <v>1723</v>
      </c>
      <c r="H80" s="470"/>
      <c r="I80" s="470"/>
      <c r="J80" s="470"/>
      <c r="K80" s="471"/>
      <c r="L80" s="472"/>
      <c r="M80" s="473"/>
      <c r="N80" s="2522"/>
      <c r="O80" s="2522"/>
      <c r="P80" s="2514"/>
      <c r="Q80" s="2509"/>
      <c r="R80" s="2488"/>
      <c r="S80" s="2488"/>
      <c r="T80" s="2488"/>
      <c r="U80" s="2488"/>
      <c r="V80" s="2488"/>
      <c r="W80" s="2488"/>
      <c r="X80" s="2488"/>
      <c r="Y80" s="2488"/>
      <c r="Z80" s="2488"/>
      <c r="AA80" s="2488"/>
      <c r="AB80" s="2488"/>
      <c r="AC80" s="2488"/>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3"/>
      <c r="O81" s="2523"/>
      <c r="P81" s="2514"/>
      <c r="Q81" s="2509"/>
      <c r="R81" s="2488"/>
      <c r="S81" s="2488"/>
      <c r="T81" s="2488"/>
      <c r="U81" s="2488"/>
      <c r="V81" s="2488"/>
      <c r="W81" s="2488"/>
      <c r="X81" s="2488"/>
      <c r="Y81" s="2488"/>
      <c r="Z81" s="2488"/>
      <c r="AA81" s="2488"/>
      <c r="AB81" s="2488"/>
      <c r="AC81" s="2488"/>
    </row>
    <row r="82" spans="1:29" ht="15.75" thickTop="1">
      <c r="A82" s="367"/>
      <c r="B82" s="477" t="s">
        <v>1777</v>
      </c>
      <c r="C82" s="581" t="s">
        <v>1797</v>
      </c>
      <c r="D82" s="581" t="s">
        <v>1798</v>
      </c>
      <c r="E82" s="581" t="s">
        <v>1799</v>
      </c>
      <c r="F82" s="581" t="s">
        <v>1800</v>
      </c>
      <c r="G82" s="581" t="s">
        <v>1801</v>
      </c>
      <c r="H82" s="470"/>
      <c r="I82" s="470"/>
      <c r="J82" s="470"/>
      <c r="K82" s="470"/>
      <c r="L82" s="470"/>
      <c r="M82" s="1063"/>
      <c r="N82" s="2523"/>
      <c r="O82" s="2523"/>
      <c r="P82" s="2514"/>
      <c r="Q82" s="2509"/>
      <c r="R82" s="2488"/>
      <c r="S82" s="2488"/>
      <c r="T82" s="2488"/>
      <c r="U82" s="2488"/>
      <c r="V82" s="2488"/>
      <c r="W82" s="2488"/>
      <c r="X82" s="2488"/>
      <c r="Y82" s="2488"/>
      <c r="Z82" s="2488"/>
      <c r="AA82" s="2488"/>
      <c r="AB82" s="2488"/>
      <c r="AC82" s="2488"/>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3"/>
      <c r="O83" s="2523"/>
      <c r="P83" s="2514"/>
      <c r="Q83" s="2509"/>
      <c r="R83" s="2488"/>
      <c r="S83" s="2488"/>
      <c r="T83" s="2488"/>
      <c r="U83" s="2488"/>
      <c r="V83" s="2488"/>
      <c r="W83" s="2488"/>
      <c r="X83" s="2488"/>
      <c r="Y83" s="2488"/>
      <c r="Z83" s="2488"/>
      <c r="AA83" s="2488"/>
      <c r="AB83" s="2488"/>
      <c r="AC83" s="2488"/>
    </row>
    <row r="84" spans="1:29" ht="15.75" thickTop="1">
      <c r="A84" s="367"/>
      <c r="B84" s="469" t="s">
        <v>1731</v>
      </c>
      <c r="C84" s="509" t="s">
        <v>1719</v>
      </c>
      <c r="D84" s="509" t="s">
        <v>1720</v>
      </c>
      <c r="E84" s="509" t="s">
        <v>1721</v>
      </c>
      <c r="F84" s="509" t="s">
        <v>1722</v>
      </c>
      <c r="G84" s="509" t="s">
        <v>1723</v>
      </c>
      <c r="H84" s="470"/>
      <c r="I84" s="470"/>
      <c r="J84" s="470"/>
      <c r="K84" s="471"/>
      <c r="L84" s="472"/>
      <c r="M84" s="473"/>
      <c r="N84" s="2522"/>
      <c r="O84" s="2522"/>
      <c r="P84" s="2514"/>
      <c r="Q84" s="2509"/>
      <c r="R84" s="2488"/>
      <c r="S84" s="2488"/>
      <c r="T84" s="2488"/>
      <c r="U84" s="2488"/>
      <c r="V84" s="2488"/>
      <c r="W84" s="2488"/>
      <c r="X84" s="2488"/>
      <c r="Y84" s="2488"/>
      <c r="Z84" s="2488"/>
      <c r="AA84" s="2488"/>
      <c r="AB84" s="2488"/>
      <c r="AC84" s="2488"/>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3"/>
      <c r="O85" s="2523"/>
      <c r="P85" s="2514"/>
      <c r="Q85" s="2509"/>
      <c r="R85" s="2488"/>
      <c r="S85" s="2488"/>
      <c r="T85" s="2488"/>
      <c r="U85" s="2488"/>
      <c r="V85" s="2488"/>
      <c r="W85" s="2488"/>
      <c r="X85" s="2488"/>
      <c r="Y85" s="2488"/>
      <c r="Z85" s="2488"/>
      <c r="AA85" s="2488"/>
      <c r="AB85" s="2488"/>
      <c r="AC85" s="2488"/>
    </row>
    <row r="86" spans="1:29" s="102" customFormat="1" ht="15.75" thickTop="1">
      <c r="A86" s="370"/>
      <c r="B86" s="469" t="s">
        <v>1802</v>
      </c>
      <c r="C86" s="485"/>
      <c r="D86" s="485"/>
      <c r="E86" s="485"/>
      <c r="F86" s="485"/>
      <c r="G86" s="485"/>
      <c r="H86" s="485"/>
      <c r="I86" s="485"/>
      <c r="J86" s="485"/>
      <c r="K86" s="485"/>
      <c r="L86" s="510"/>
      <c r="M86" s="511"/>
      <c r="N86" s="2521"/>
      <c r="O86" s="2521"/>
      <c r="P86" s="2514"/>
      <c r="Q86" s="2509"/>
      <c r="R86" s="2440"/>
      <c r="S86" s="2440"/>
      <c r="T86" s="2440"/>
      <c r="U86" s="2440"/>
      <c r="V86" s="2440"/>
      <c r="W86" s="2440"/>
      <c r="X86" s="2440"/>
      <c r="Y86" s="2440"/>
      <c r="Z86" s="2440"/>
      <c r="AA86" s="2440"/>
      <c r="AB86" s="2440"/>
      <c r="AC86" s="2440"/>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3"/>
      <c r="O87" s="2523"/>
      <c r="P87" s="2514"/>
      <c r="Q87" s="2509"/>
      <c r="R87" s="2440"/>
      <c r="S87" s="2440"/>
      <c r="T87" s="2440"/>
      <c r="U87" s="2440"/>
      <c r="V87" s="2440"/>
      <c r="W87" s="2440"/>
      <c r="X87" s="2440"/>
      <c r="Y87" s="2440"/>
      <c r="Z87" s="2440"/>
      <c r="AA87" s="2440"/>
      <c r="AB87" s="2440"/>
      <c r="AC87" s="2440"/>
    </row>
    <row r="88" spans="1:29" s="102" customFormat="1" ht="15.75" thickTop="1">
      <c r="A88" s="370"/>
      <c r="B88" s="469" t="str">
        <f>B26</f>
        <v>平面位置/可视性</v>
      </c>
      <c r="C88" s="485"/>
      <c r="D88" s="485"/>
      <c r="E88" s="485"/>
      <c r="F88" s="1780"/>
      <c r="G88" s="485"/>
      <c r="H88" s="485"/>
      <c r="I88" s="485"/>
      <c r="J88" s="485"/>
      <c r="K88" s="485"/>
      <c r="L88" s="485"/>
      <c r="M88" s="511"/>
      <c r="N88" s="2521"/>
      <c r="O88" s="2521"/>
      <c r="P88" s="2514"/>
      <c r="Q88" s="2509"/>
      <c r="R88" s="2440"/>
      <c r="S88" s="2440"/>
      <c r="T88" s="2440"/>
      <c r="U88" s="2440"/>
      <c r="V88" s="2440"/>
      <c r="W88" s="2440"/>
      <c r="X88" s="2440"/>
      <c r="Y88" s="2440"/>
      <c r="Z88" s="2440"/>
      <c r="AA88" s="2440"/>
      <c r="AB88" s="2440"/>
      <c r="AC88" s="2440"/>
    </row>
    <row r="89" spans="1:29" s="102" customFormat="1" ht="15.75" thickBot="1">
      <c r="A89" s="370"/>
      <c r="B89" s="474"/>
      <c r="C89" s="491"/>
      <c r="D89" s="467"/>
      <c r="E89" s="467"/>
      <c r="F89" s="467"/>
      <c r="G89" s="467"/>
      <c r="H89" s="467"/>
      <c r="I89" s="467"/>
      <c r="J89" s="467"/>
      <c r="K89" s="467"/>
      <c r="L89" s="467"/>
      <c r="M89" s="467"/>
      <c r="N89" s="2523"/>
      <c r="O89" s="2523"/>
      <c r="P89" s="2514"/>
      <c r="Q89" s="2509"/>
      <c r="R89" s="2440"/>
      <c r="S89" s="2440"/>
      <c r="T89" s="2440"/>
      <c r="U89" s="2440"/>
      <c r="V89" s="2440"/>
      <c r="W89" s="2440"/>
      <c r="X89" s="2440"/>
      <c r="Y89" s="2440"/>
      <c r="Z89" s="2440"/>
      <c r="AA89" s="2440"/>
      <c r="AB89" s="2440"/>
      <c r="AC89" s="2440"/>
    </row>
    <row r="90" spans="1:29" s="408" customFormat="1" ht="15.75" thickTop="1">
      <c r="A90" s="484"/>
      <c r="B90" s="469" t="str">
        <f>B27</f>
        <v>人流量</v>
      </c>
      <c r="C90" s="485"/>
      <c r="D90" s="485"/>
      <c r="E90" s="485"/>
      <c r="F90" s="485"/>
      <c r="G90" s="485"/>
      <c r="H90" s="486"/>
      <c r="I90" s="486"/>
      <c r="J90" s="486"/>
      <c r="K90" s="486"/>
      <c r="L90" s="487"/>
      <c r="M90" s="488"/>
      <c r="N90" s="2524"/>
      <c r="O90" s="2524"/>
      <c r="P90" s="2515"/>
      <c r="Q90" s="2516"/>
      <c r="R90" s="2494"/>
      <c r="S90" s="2494"/>
      <c r="T90" s="2494"/>
      <c r="U90" s="2494"/>
      <c r="V90" s="2494"/>
      <c r="W90" s="2494"/>
      <c r="X90" s="2494"/>
      <c r="Y90" s="2494"/>
      <c r="Z90" s="2494"/>
      <c r="AA90" s="2494"/>
      <c r="AB90" s="2494"/>
      <c r="AC90" s="2494"/>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4"/>
      <c r="O91" s="2524"/>
      <c r="P91" s="2515"/>
      <c r="Q91" s="2516"/>
      <c r="R91" s="2494"/>
      <c r="S91" s="2494"/>
      <c r="T91" s="2494"/>
      <c r="U91" s="2494"/>
      <c r="V91" s="2494"/>
      <c r="W91" s="2494"/>
      <c r="X91" s="2494"/>
      <c r="Y91" s="2494"/>
      <c r="Z91" s="2494"/>
      <c r="AA91" s="2494"/>
      <c r="AB91" s="2494"/>
      <c r="AC91" s="2494"/>
    </row>
    <row r="92" spans="1:29" ht="15.75" thickTop="1">
      <c r="A92" s="367"/>
      <c r="B92" s="469" t="str">
        <f>B28</f>
        <v>楼层</v>
      </c>
      <c r="C92" s="485"/>
      <c r="D92" s="485"/>
      <c r="E92" s="485"/>
      <c r="F92" s="485"/>
      <c r="G92" s="485"/>
      <c r="H92" s="485"/>
      <c r="I92" s="485"/>
      <c r="J92" s="485"/>
      <c r="K92" s="485"/>
      <c r="L92" s="510"/>
      <c r="M92" s="511"/>
      <c r="N92" s="2522"/>
      <c r="O92" s="2522"/>
      <c r="P92" s="2514"/>
      <c r="Q92" s="2509"/>
      <c r="R92" s="2488"/>
      <c r="S92" s="2488"/>
      <c r="T92" s="2488"/>
      <c r="U92" s="2488"/>
      <c r="V92" s="2488"/>
      <c r="W92" s="2488"/>
      <c r="X92" s="2488"/>
      <c r="Y92" s="2488"/>
      <c r="Z92" s="2488"/>
      <c r="AA92" s="2488"/>
      <c r="AB92" s="2488"/>
      <c r="AC92" s="2488"/>
    </row>
    <row r="93" spans="1:29" ht="15.75" thickBot="1">
      <c r="A93" s="367"/>
      <c r="B93" s="474"/>
      <c r="C93" s="467"/>
      <c r="D93" s="467"/>
      <c r="E93" s="467"/>
      <c r="F93" s="467"/>
      <c r="G93" s="467"/>
      <c r="H93" s="467"/>
      <c r="I93" s="467"/>
      <c r="J93" s="467"/>
      <c r="K93" s="467"/>
      <c r="L93" s="467"/>
      <c r="M93" s="468"/>
      <c r="N93" s="2523"/>
      <c r="O93" s="2523"/>
      <c r="P93" s="2514"/>
      <c r="Q93" s="2509"/>
      <c r="R93" s="2488"/>
      <c r="S93" s="2488"/>
      <c r="T93" s="2488"/>
      <c r="U93" s="2488"/>
      <c r="V93" s="2488"/>
      <c r="W93" s="2488"/>
      <c r="X93" s="2488"/>
      <c r="Y93" s="2488"/>
      <c r="Z93" s="2488"/>
      <c r="AA93" s="2488"/>
      <c r="AB93" s="2488"/>
      <c r="AC93" s="2488"/>
    </row>
    <row r="94" spans="1:29" ht="15.75" thickTop="1">
      <c r="A94" s="367"/>
      <c r="B94" s="469">
        <f>B29</f>
        <v>111</v>
      </c>
      <c r="C94" s="485"/>
      <c r="D94" s="485"/>
      <c r="E94" s="485"/>
      <c r="F94" s="485"/>
      <c r="G94" s="513"/>
      <c r="H94" s="513"/>
      <c r="I94" s="513"/>
      <c r="J94" s="513"/>
      <c r="K94" s="514"/>
      <c r="L94" s="515"/>
      <c r="M94" s="516"/>
      <c r="N94" s="2522"/>
      <c r="O94" s="2522"/>
      <c r="P94" s="2514"/>
      <c r="Q94" s="2509"/>
      <c r="R94" s="2488"/>
      <c r="S94" s="2488"/>
      <c r="T94" s="2488"/>
      <c r="U94" s="2488"/>
      <c r="V94" s="2488"/>
      <c r="W94" s="2488"/>
      <c r="X94" s="2488"/>
      <c r="Y94" s="2488"/>
      <c r="Z94" s="2488"/>
      <c r="AA94" s="2488"/>
      <c r="AB94" s="2488"/>
      <c r="AC94" s="2488"/>
    </row>
    <row r="95" spans="1:29" ht="15.75" thickBot="1">
      <c r="A95" s="367"/>
      <c r="B95" s="474"/>
      <c r="C95" s="491"/>
      <c r="D95" s="467"/>
      <c r="E95" s="467"/>
      <c r="F95" s="467"/>
      <c r="G95" s="467"/>
      <c r="H95" s="467"/>
      <c r="I95" s="467"/>
      <c r="J95" s="467"/>
      <c r="K95" s="467"/>
      <c r="L95" s="467"/>
      <c r="M95" s="468"/>
      <c r="N95" s="2523"/>
      <c r="O95" s="2523"/>
      <c r="P95" s="2514"/>
      <c r="Q95" s="2509"/>
      <c r="R95" s="2488"/>
      <c r="S95" s="2488"/>
      <c r="T95" s="2488"/>
      <c r="U95" s="2488"/>
      <c r="V95" s="2488"/>
      <c r="W95" s="2488"/>
      <c r="X95" s="2488"/>
      <c r="Y95" s="2488"/>
      <c r="Z95" s="2488"/>
      <c r="AA95" s="2488"/>
      <c r="AB95" s="2488"/>
      <c r="AC95" s="2488"/>
    </row>
    <row r="96" spans="1:29" ht="15.75" thickTop="1">
      <c r="A96" s="367"/>
      <c r="B96" s="469">
        <f>B30</f>
        <v>111</v>
      </c>
      <c r="C96" s="485"/>
      <c r="D96" s="485"/>
      <c r="E96" s="485"/>
      <c r="F96" s="485"/>
      <c r="G96" s="513"/>
      <c r="H96" s="513"/>
      <c r="I96" s="513"/>
      <c r="J96" s="513"/>
      <c r="K96" s="514"/>
      <c r="L96" s="515"/>
      <c r="M96" s="516"/>
      <c r="N96" s="2522"/>
      <c r="O96" s="2522"/>
      <c r="P96" s="2514"/>
      <c r="Q96" s="2509"/>
      <c r="R96" s="2488"/>
      <c r="S96" s="2488"/>
      <c r="T96" s="2488"/>
      <c r="U96" s="2488"/>
      <c r="V96" s="2488"/>
      <c r="W96" s="2488"/>
      <c r="X96" s="2488"/>
      <c r="Y96" s="2488"/>
      <c r="Z96" s="2488"/>
      <c r="AA96" s="2488"/>
      <c r="AB96" s="2488"/>
      <c r="AC96" s="2488"/>
    </row>
    <row r="97" spans="1:29" ht="15.75" thickBot="1">
      <c r="A97" s="367"/>
      <c r="B97" s="474"/>
      <c r="C97" s="491"/>
      <c r="D97" s="467"/>
      <c r="E97" s="467"/>
      <c r="F97" s="467"/>
      <c r="G97" s="467"/>
      <c r="H97" s="467"/>
      <c r="I97" s="467"/>
      <c r="J97" s="467"/>
      <c r="K97" s="467"/>
      <c r="L97" s="467"/>
      <c r="M97" s="468"/>
      <c r="N97" s="2523"/>
      <c r="O97" s="2523"/>
      <c r="P97" s="2514"/>
      <c r="Q97" s="2509"/>
      <c r="R97" s="2488"/>
      <c r="S97" s="2488"/>
      <c r="T97" s="2488"/>
      <c r="U97" s="2488"/>
      <c r="V97" s="2488"/>
      <c r="W97" s="2488"/>
      <c r="X97" s="2488"/>
      <c r="Y97" s="2488"/>
      <c r="Z97" s="2488"/>
      <c r="AA97" s="2488"/>
      <c r="AB97" s="2488"/>
      <c r="AC97" s="2488"/>
    </row>
    <row r="98" spans="1:29" ht="15.75" thickTop="1">
      <c r="A98" s="367"/>
      <c r="B98" s="477">
        <f>B31</f>
        <v>111</v>
      </c>
      <c r="C98" s="485"/>
      <c r="D98" s="485"/>
      <c r="E98" s="485"/>
      <c r="F98" s="485"/>
      <c r="G98" s="517"/>
      <c r="H98" s="517"/>
      <c r="I98" s="517"/>
      <c r="J98" s="517"/>
      <c r="K98" s="518"/>
      <c r="L98" s="519"/>
      <c r="M98" s="520"/>
      <c r="N98" s="2522"/>
      <c r="O98" s="2522"/>
      <c r="P98" s="2514"/>
      <c r="Q98" s="2509"/>
      <c r="R98" s="2488"/>
      <c r="S98" s="2488"/>
      <c r="T98" s="2488"/>
      <c r="U98" s="2488"/>
      <c r="V98" s="2488"/>
      <c r="W98" s="2488"/>
      <c r="X98" s="2488"/>
      <c r="Y98" s="2488"/>
      <c r="Z98" s="2488"/>
      <c r="AA98" s="2488"/>
      <c r="AB98" s="2488"/>
      <c r="AC98" s="2488"/>
    </row>
    <row r="99" spans="1:29" ht="15.75" thickBot="1">
      <c r="A99" s="375"/>
      <c r="B99" s="500"/>
      <c r="C99" s="501"/>
      <c r="D99" s="501"/>
      <c r="E99" s="501"/>
      <c r="F99" s="501"/>
      <c r="G99" s="521"/>
      <c r="H99" s="521"/>
      <c r="I99" s="521"/>
      <c r="J99" s="521"/>
      <c r="K99" s="521"/>
      <c r="L99" s="521"/>
      <c r="M99" s="522"/>
      <c r="N99" s="2523"/>
      <c r="O99" s="2523"/>
      <c r="P99" s="2514"/>
      <c r="Q99" s="2509"/>
      <c r="R99" s="2488"/>
      <c r="S99" s="2488"/>
      <c r="T99" s="2488"/>
      <c r="U99" s="2488"/>
      <c r="V99" s="2488"/>
      <c r="W99" s="2488"/>
      <c r="X99" s="2488"/>
      <c r="Y99" s="2488"/>
      <c r="Z99" s="2488"/>
      <c r="AA99" s="2488"/>
      <c r="AB99" s="2488"/>
      <c r="AC99" s="2488"/>
    </row>
    <row r="100" spans="1:29">
      <c r="A100" s="379" t="s">
        <v>1692</v>
      </c>
      <c r="B100" s="460" t="s">
        <v>1803</v>
      </c>
      <c r="C100" s="462"/>
      <c r="D100" s="462"/>
      <c r="E100" s="462"/>
      <c r="F100" s="462"/>
      <c r="G100" s="462"/>
      <c r="H100" s="462"/>
      <c r="I100" s="462"/>
      <c r="J100" s="462"/>
      <c r="K100" s="463"/>
      <c r="L100" s="464"/>
      <c r="M100" s="465"/>
      <c r="N100" s="2522"/>
      <c r="O100" s="2522"/>
      <c r="P100" s="2514"/>
      <c r="Q100" s="2509"/>
      <c r="R100" s="2488"/>
      <c r="S100" s="2488"/>
      <c r="T100" s="2488"/>
      <c r="U100" s="2488"/>
      <c r="V100" s="2488"/>
      <c r="W100" s="2488"/>
      <c r="X100" s="2488"/>
      <c r="Y100" s="2488"/>
      <c r="Z100" s="2488"/>
      <c r="AA100" s="2488"/>
      <c r="AB100" s="2488"/>
      <c r="AC100" s="2488"/>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3"/>
      <c r="O101" s="2523"/>
      <c r="P101" s="2514"/>
      <c r="Q101" s="2509"/>
      <c r="R101" s="2488"/>
      <c r="S101" s="2488"/>
      <c r="T101" s="2488"/>
      <c r="U101" s="2488"/>
      <c r="V101" s="2488"/>
      <c r="W101" s="2488"/>
      <c r="X101" s="2488"/>
      <c r="Y101" s="2488"/>
      <c r="Z101" s="2488"/>
      <c r="AA101" s="2488"/>
      <c r="AB101" s="2488"/>
      <c r="AC101" s="2488"/>
    </row>
    <row r="102" spans="1:29" ht="15.75" thickTop="1">
      <c r="A102" s="367"/>
      <c r="B102" s="469" t="s">
        <v>1735</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21"/>
      <c r="O102" s="2521"/>
      <c r="P102" s="2514"/>
      <c r="Q102" s="2509"/>
      <c r="R102" s="2488"/>
      <c r="S102" s="2488"/>
      <c r="T102" s="2488"/>
      <c r="U102" s="2488"/>
      <c r="V102" s="2488"/>
      <c r="W102" s="2488"/>
      <c r="X102" s="2488"/>
      <c r="Y102" s="2488"/>
      <c r="Z102" s="2488"/>
      <c r="AA102" s="2488"/>
      <c r="AB102" s="2488"/>
      <c r="AC102" s="2488"/>
    </row>
    <row r="103" spans="1:29" s="408" customFormat="1">
      <c r="A103" s="406"/>
      <c r="B103" s="523"/>
      <c r="C103" s="6"/>
      <c r="D103" s="6"/>
      <c r="E103" s="6"/>
      <c r="F103" s="6"/>
      <c r="G103" s="6"/>
      <c r="H103" s="6"/>
      <c r="I103" s="6"/>
      <c r="J103" s="524"/>
      <c r="K103" s="524"/>
      <c r="L103" s="525"/>
      <c r="M103" s="526"/>
      <c r="N103" s="2524"/>
      <c r="O103" s="2524"/>
      <c r="P103" s="2515"/>
      <c r="Q103" s="2516"/>
      <c r="R103" s="2494"/>
      <c r="S103" s="2494"/>
      <c r="T103" s="2494"/>
      <c r="U103" s="2494"/>
      <c r="V103" s="2494"/>
      <c r="W103" s="2494"/>
      <c r="X103" s="2494"/>
      <c r="Y103" s="2494"/>
      <c r="Z103" s="2494"/>
      <c r="AA103" s="2494"/>
      <c r="AB103" s="2494"/>
      <c r="AC103" s="2494"/>
    </row>
    <row r="104" spans="1:29" s="408" customFormat="1" ht="15.75" thickBot="1">
      <c r="A104" s="484"/>
      <c r="B104" s="474"/>
      <c r="C104" s="491"/>
      <c r="D104" s="467"/>
      <c r="E104" s="467"/>
      <c r="F104" s="467"/>
      <c r="G104" s="467"/>
      <c r="H104" s="467"/>
      <c r="I104" s="467"/>
      <c r="J104" s="467"/>
      <c r="K104" s="467"/>
      <c r="L104" s="467"/>
      <c r="M104" s="468"/>
      <c r="N104" s="2523"/>
      <c r="O104" s="2523"/>
      <c r="P104" s="2515"/>
      <c r="Q104" s="2516"/>
      <c r="R104" s="2494"/>
      <c r="S104" s="2494"/>
      <c r="T104" s="2494"/>
      <c r="U104" s="2494"/>
      <c r="V104" s="2494"/>
      <c r="W104" s="2494"/>
      <c r="X104" s="2494"/>
      <c r="Y104" s="2494"/>
      <c r="Z104" s="2494"/>
      <c r="AA104" s="2494"/>
      <c r="AB104" s="2494"/>
      <c r="AC104" s="2494"/>
    </row>
    <row r="105" spans="1:29" ht="15" thickTop="1">
      <c r="A105" s="409"/>
      <c r="B105" s="469" t="s">
        <v>1736</v>
      </c>
      <c r="C105" s="485"/>
      <c r="D105" s="485"/>
      <c r="E105" s="513"/>
      <c r="F105" s="513"/>
      <c r="G105" s="513"/>
      <c r="H105" s="513"/>
      <c r="I105" s="513"/>
      <c r="J105" s="513"/>
      <c r="K105" s="514"/>
      <c r="L105" s="515"/>
      <c r="M105" s="516"/>
      <c r="N105" s="2522"/>
      <c r="O105" s="2522"/>
      <c r="P105" s="2514"/>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3"/>
      <c r="O106" s="2523"/>
      <c r="P106" s="2514"/>
      <c r="Q106" s="2509"/>
      <c r="R106" s="2488"/>
      <c r="S106" s="2488"/>
      <c r="T106" s="2488"/>
      <c r="U106" s="2488"/>
      <c r="V106" s="2488"/>
      <c r="W106" s="2488"/>
      <c r="X106" s="2488"/>
      <c r="Y106" s="2488"/>
      <c r="Z106" s="2488"/>
      <c r="AA106" s="2488"/>
      <c r="AB106" s="2488"/>
      <c r="AC106" s="2488"/>
    </row>
    <row r="107" spans="1:29" ht="15" thickTop="1">
      <c r="A107" s="409"/>
      <c r="B107" s="469" t="s">
        <v>1738</v>
      </c>
      <c r="C107" s="485"/>
      <c r="D107" s="485"/>
      <c r="E107" s="485"/>
      <c r="F107" s="513"/>
      <c r="G107" s="513"/>
      <c r="H107" s="513"/>
      <c r="I107" s="513"/>
      <c r="J107" s="513"/>
      <c r="K107" s="514"/>
      <c r="L107" s="515"/>
      <c r="M107" s="516"/>
      <c r="N107" s="2522"/>
      <c r="O107" s="2522"/>
      <c r="P107" s="2514"/>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3"/>
      <c r="O108" s="2523"/>
      <c r="P108" s="2514"/>
      <c r="Q108" s="2509"/>
      <c r="R108" s="2488"/>
      <c r="S108" s="2488"/>
      <c r="T108" s="2488"/>
      <c r="U108" s="2488"/>
      <c r="V108" s="2488"/>
      <c r="W108" s="2488"/>
      <c r="X108" s="2488"/>
      <c r="Y108" s="2488"/>
      <c r="Z108" s="2488"/>
      <c r="AA108" s="2488"/>
      <c r="AB108" s="2488"/>
      <c r="AC108" s="2488"/>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2"/>
      <c r="O109" s="2522"/>
      <c r="P109" s="2514"/>
      <c r="Q109" s="2509"/>
      <c r="R109" s="2488"/>
      <c r="S109" s="2488"/>
      <c r="T109" s="2488"/>
      <c r="U109" s="2488"/>
      <c r="V109" s="2488"/>
      <c r="W109" s="2488"/>
      <c r="X109" s="2488"/>
      <c r="Y109" s="2488"/>
      <c r="Z109" s="2488"/>
      <c r="AA109" s="2488"/>
      <c r="AB109" s="2488"/>
      <c r="AC109" s="2488"/>
    </row>
    <row r="110" spans="1:29">
      <c r="A110" s="409"/>
      <c r="B110" s="477"/>
      <c r="C110" s="530">
        <v>0.5</v>
      </c>
      <c r="D110" s="530">
        <v>0.6</v>
      </c>
      <c r="E110" s="530">
        <v>0.7</v>
      </c>
      <c r="F110" s="530">
        <v>0.8</v>
      </c>
      <c r="G110" s="530">
        <v>0.9</v>
      </c>
      <c r="H110" s="530">
        <v>1.0001</v>
      </c>
      <c r="I110" s="548"/>
      <c r="J110" s="548"/>
      <c r="K110" s="549"/>
      <c r="L110" s="550"/>
      <c r="M110" s="551"/>
      <c r="N110" s="2522"/>
      <c r="O110" s="2522"/>
      <c r="P110" s="2514"/>
      <c r="Q110" s="2509"/>
      <c r="R110" s="2488"/>
      <c r="S110" s="2488"/>
      <c r="T110" s="2488"/>
      <c r="U110" s="2488"/>
      <c r="V110" s="2488"/>
      <c r="W110" s="2488"/>
      <c r="X110" s="2488"/>
      <c r="Y110" s="2488"/>
      <c r="Z110" s="2488"/>
      <c r="AA110" s="2488"/>
      <c r="AB110" s="2488"/>
      <c r="AC110" s="2488"/>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3"/>
      <c r="O111" s="2523"/>
      <c r="P111" s="2514"/>
      <c r="Q111" s="2509"/>
      <c r="R111" s="2488"/>
      <c r="S111" s="2488"/>
      <c r="T111" s="2488"/>
      <c r="U111" s="2488"/>
      <c r="V111" s="2488"/>
      <c r="W111" s="2488"/>
      <c r="X111" s="2488"/>
      <c r="Y111" s="2488"/>
      <c r="Z111" s="2488"/>
      <c r="AA111" s="2488"/>
      <c r="AB111" s="2488"/>
      <c r="AC111" s="2488"/>
    </row>
    <row r="112" spans="1:29" s="408" customFormat="1" ht="15" thickTop="1">
      <c r="A112" s="406"/>
      <c r="B112" s="469" t="s">
        <v>1740</v>
      </c>
      <c r="C112" s="485"/>
      <c r="D112" s="485"/>
      <c r="E112" s="485"/>
      <c r="F112" s="485"/>
      <c r="G112" s="485"/>
      <c r="H112" s="513"/>
      <c r="I112" s="513"/>
      <c r="J112" s="513"/>
      <c r="K112" s="514"/>
      <c r="L112" s="515"/>
      <c r="M112" s="516"/>
      <c r="N112" s="2524"/>
      <c r="O112" s="2524"/>
      <c r="P112" s="2515"/>
      <c r="Q112" s="2516"/>
      <c r="R112" s="2494"/>
      <c r="S112" s="2494"/>
      <c r="T112" s="2494"/>
      <c r="U112" s="2494"/>
      <c r="V112" s="2494"/>
      <c r="W112" s="2494"/>
      <c r="X112" s="2494"/>
      <c r="Y112" s="2494"/>
      <c r="Z112" s="2494"/>
      <c r="AA112" s="2494"/>
      <c r="AB112" s="2494"/>
      <c r="AC112" s="2494"/>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4"/>
      <c r="O113" s="2524"/>
      <c r="P113" s="2515"/>
      <c r="Q113" s="2516"/>
      <c r="R113" s="2494"/>
      <c r="S113" s="2494"/>
      <c r="T113" s="2494"/>
      <c r="U113" s="2494"/>
      <c r="V113" s="2494"/>
      <c r="W113" s="2494"/>
      <c r="X113" s="2494"/>
      <c r="Y113" s="2494"/>
      <c r="Z113" s="2494"/>
      <c r="AA113" s="2494"/>
      <c r="AB113" s="2494"/>
      <c r="AC113" s="2494"/>
    </row>
    <row r="114" spans="1:29" ht="15" thickTop="1">
      <c r="A114" s="409"/>
      <c r="B114" s="469" t="s">
        <v>1804</v>
      </c>
      <c r="C114" s="485"/>
      <c r="D114" s="485"/>
      <c r="E114" s="513"/>
      <c r="F114" s="513"/>
      <c r="G114" s="513"/>
      <c r="H114" s="513"/>
      <c r="I114" s="513"/>
      <c r="J114" s="513"/>
      <c r="K114" s="514"/>
      <c r="L114" s="515"/>
      <c r="M114" s="516"/>
      <c r="N114" s="2522"/>
      <c r="O114" s="2522"/>
      <c r="P114" s="2514"/>
      <c r="Q114" s="2509"/>
      <c r="R114" s="2488"/>
      <c r="S114" s="2488"/>
      <c r="T114" s="2488"/>
      <c r="U114" s="2488"/>
      <c r="V114" s="2488"/>
      <c r="W114" s="2488"/>
      <c r="X114" s="2488"/>
      <c r="Y114" s="2488"/>
      <c r="Z114" s="2488"/>
      <c r="AA114" s="2488"/>
      <c r="AB114" s="2488"/>
      <c r="AC114" s="2488"/>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14"/>
      <c r="Q115" s="2509"/>
      <c r="R115" s="2488"/>
      <c r="S115" s="2488"/>
      <c r="T115" s="2488"/>
      <c r="U115" s="2488"/>
      <c r="V115" s="2488"/>
      <c r="W115" s="2488"/>
      <c r="X115" s="2488"/>
      <c r="Y115" s="2488"/>
      <c r="Z115" s="2488"/>
      <c r="AA115" s="2488"/>
      <c r="AB115" s="2488"/>
      <c r="AC115" s="2488"/>
    </row>
    <row r="116" spans="1:29" ht="15" thickTop="1">
      <c r="A116" s="409"/>
      <c r="B116" s="469" t="s">
        <v>1805</v>
      </c>
      <c r="C116" s="485"/>
      <c r="D116" s="485"/>
      <c r="E116" s="485"/>
      <c r="F116" s="485"/>
      <c r="G116" s="485"/>
      <c r="H116" s="513"/>
      <c r="I116" s="513"/>
      <c r="J116" s="513"/>
      <c r="K116" s="514"/>
      <c r="L116" s="515"/>
      <c r="M116" s="516"/>
      <c r="N116" s="2522"/>
      <c r="O116" s="2522"/>
      <c r="P116" s="2514"/>
      <c r="Q116" s="2509"/>
      <c r="R116" s="2488"/>
      <c r="S116" s="2488"/>
      <c r="T116" s="2488"/>
      <c r="U116" s="2488"/>
      <c r="V116" s="2488"/>
      <c r="W116" s="2488"/>
      <c r="X116" s="2488"/>
      <c r="Y116" s="2488"/>
      <c r="Z116" s="2488"/>
      <c r="AA116" s="2488"/>
      <c r="AB116" s="2488"/>
      <c r="AC116" s="2488"/>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3"/>
      <c r="O117" s="2523"/>
      <c r="P117" s="2514"/>
      <c r="Q117" s="2509"/>
      <c r="R117" s="2488"/>
      <c r="S117" s="2488"/>
      <c r="T117" s="2488"/>
      <c r="U117" s="2488"/>
      <c r="V117" s="2488"/>
      <c r="W117" s="2488"/>
      <c r="X117" s="2488"/>
      <c r="Y117" s="2488"/>
      <c r="Z117" s="2488"/>
      <c r="AA117" s="2488"/>
      <c r="AB117" s="2488"/>
      <c r="AC117" s="2488"/>
    </row>
    <row r="118" spans="1:29" ht="15" thickTop="1">
      <c r="A118" s="409"/>
      <c r="B118" s="469" t="s">
        <v>1806</v>
      </c>
      <c r="C118" s="552"/>
      <c r="D118" s="552"/>
      <c r="E118" s="552"/>
      <c r="F118" s="552"/>
      <c r="G118" s="552"/>
      <c r="H118" s="486"/>
      <c r="I118" s="486"/>
      <c r="J118" s="486"/>
      <c r="K118" s="486"/>
      <c r="L118" s="487"/>
      <c r="M118" s="488"/>
      <c r="N118" s="2522"/>
      <c r="O118" s="2522"/>
      <c r="P118" s="2514"/>
      <c r="Q118" s="2509"/>
      <c r="R118" s="2488"/>
      <c r="S118" s="2488"/>
      <c r="T118" s="2488"/>
      <c r="U118" s="2488"/>
      <c r="V118" s="2488"/>
      <c r="W118" s="2488"/>
      <c r="X118" s="2488"/>
      <c r="Y118" s="2488"/>
      <c r="Z118" s="2488"/>
      <c r="AA118" s="2488"/>
      <c r="AB118" s="2488"/>
      <c r="AC118" s="2488"/>
    </row>
    <row r="119" spans="1:29" ht="15.75" thickBot="1">
      <c r="A119" s="367"/>
      <c r="B119" s="474"/>
      <c r="C119" s="491"/>
      <c r="D119" s="467"/>
      <c r="E119" s="467"/>
      <c r="F119" s="467"/>
      <c r="G119" s="467"/>
      <c r="H119" s="467"/>
      <c r="I119" s="467"/>
      <c r="J119" s="467"/>
      <c r="K119" s="467"/>
      <c r="L119" s="467"/>
      <c r="M119" s="468"/>
      <c r="N119" s="2523"/>
      <c r="O119" s="2523"/>
      <c r="P119" s="2514"/>
      <c r="Q119" s="2509"/>
      <c r="R119" s="2488"/>
      <c r="S119" s="2488"/>
      <c r="T119" s="2488"/>
      <c r="U119" s="2488"/>
      <c r="V119" s="2488"/>
      <c r="W119" s="2488"/>
      <c r="X119" s="2488"/>
      <c r="Y119" s="2488"/>
      <c r="Z119" s="2488"/>
      <c r="AA119" s="2488"/>
      <c r="AB119" s="2488"/>
      <c r="AC119" s="2488"/>
    </row>
    <row r="120" spans="1:29" s="408" customFormat="1" ht="15" thickTop="1">
      <c r="A120" s="406"/>
      <c r="B120" s="469" t="s">
        <v>1807</v>
      </c>
      <c r="C120" s="513"/>
      <c r="D120" s="513"/>
      <c r="E120" s="513"/>
      <c r="F120" s="513"/>
      <c r="G120" s="486"/>
      <c r="H120" s="486"/>
      <c r="I120" s="486"/>
      <c r="J120" s="486"/>
      <c r="K120" s="486"/>
      <c r="L120" s="487"/>
      <c r="M120" s="488"/>
      <c r="N120" s="2524"/>
      <c r="O120" s="2524"/>
      <c r="P120" s="2515"/>
      <c r="Q120" s="2516"/>
      <c r="R120" s="2494"/>
      <c r="S120" s="2494"/>
      <c r="T120" s="2494"/>
      <c r="U120" s="2494"/>
      <c r="V120" s="2494"/>
      <c r="W120" s="2494"/>
      <c r="X120" s="2494"/>
      <c r="Y120" s="2494"/>
      <c r="Z120" s="2494"/>
      <c r="AA120" s="2494"/>
      <c r="AB120" s="2494"/>
      <c r="AC120" s="2494"/>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4"/>
      <c r="O121" s="2524"/>
      <c r="P121" s="2515"/>
      <c r="Q121" s="2516"/>
      <c r="R121" s="2494"/>
      <c r="S121" s="2494"/>
      <c r="T121" s="2494"/>
      <c r="U121" s="2494"/>
      <c r="V121" s="2494"/>
      <c r="W121" s="2494"/>
      <c r="X121" s="2494"/>
      <c r="Y121" s="2494"/>
      <c r="Z121" s="2494"/>
      <c r="AA121" s="2494"/>
      <c r="AB121" s="2494"/>
      <c r="AC121" s="2494"/>
    </row>
    <row r="122" spans="1:29" ht="15" thickTop="1">
      <c r="A122" s="409"/>
      <c r="B122" s="469" t="s">
        <v>1742</v>
      </c>
      <c r="C122" s="485"/>
      <c r="D122" s="485"/>
      <c r="E122" s="485"/>
      <c r="F122" s="513"/>
      <c r="G122" s="513"/>
      <c r="H122" s="513"/>
      <c r="I122" s="513"/>
      <c r="J122" s="513"/>
      <c r="K122" s="514"/>
      <c r="L122" s="515"/>
      <c r="M122" s="516"/>
      <c r="N122" s="2522"/>
      <c r="O122" s="2522"/>
      <c r="P122" s="2514"/>
      <c r="Q122" s="2509"/>
      <c r="R122" s="2488"/>
      <c r="S122" s="2488"/>
      <c r="T122" s="2488"/>
      <c r="U122" s="2488"/>
      <c r="V122" s="2488"/>
      <c r="W122" s="2488"/>
      <c r="X122" s="2488"/>
      <c r="Y122" s="2488"/>
      <c r="Z122" s="2488"/>
      <c r="AA122" s="2488"/>
      <c r="AB122" s="2488"/>
      <c r="AC122" s="2488"/>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3"/>
      <c r="O123" s="2523"/>
      <c r="P123" s="2514"/>
      <c r="Q123" s="2509"/>
      <c r="R123" s="2488"/>
      <c r="S123" s="2488"/>
      <c r="T123" s="2488"/>
      <c r="U123" s="2488"/>
      <c r="V123" s="2488"/>
      <c r="W123" s="2488"/>
      <c r="X123" s="2488"/>
      <c r="Y123" s="2488"/>
      <c r="Z123" s="2488"/>
      <c r="AA123" s="2488"/>
      <c r="AB123" s="2488"/>
      <c r="AC123" s="2488"/>
    </row>
    <row r="124" spans="1:29" ht="15" thickTop="1">
      <c r="A124" s="409"/>
      <c r="B124" s="469" t="s">
        <v>1743</v>
      </c>
      <c r="C124" s="509" t="s">
        <v>1719</v>
      </c>
      <c r="D124" s="509" t="s">
        <v>1720</v>
      </c>
      <c r="E124" s="509" t="s">
        <v>1721</v>
      </c>
      <c r="F124" s="509" t="s">
        <v>1722</v>
      </c>
      <c r="G124" s="509" t="s">
        <v>1723</v>
      </c>
      <c r="H124" s="470"/>
      <c r="I124" s="470"/>
      <c r="J124" s="470"/>
      <c r="K124" s="471"/>
      <c r="L124" s="472"/>
      <c r="M124" s="473"/>
      <c r="N124" s="2522"/>
      <c r="O124" s="2522"/>
      <c r="P124" s="2515"/>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3"/>
      <c r="O125" s="2523"/>
      <c r="P125" s="2514"/>
      <c r="Q125" s="2509"/>
      <c r="R125" s="2488"/>
      <c r="S125" s="2488"/>
      <c r="T125" s="2488"/>
      <c r="U125" s="2488"/>
      <c r="V125" s="2488"/>
      <c r="W125" s="2488"/>
      <c r="X125" s="2488"/>
      <c r="Y125" s="2488"/>
      <c r="Z125" s="2488"/>
      <c r="AA125" s="2488"/>
      <c r="AB125" s="2488"/>
      <c r="AC125" s="2488"/>
    </row>
    <row r="126" spans="1:29" s="408" customFormat="1" ht="15" thickTop="1">
      <c r="A126" s="406"/>
      <c r="B126" s="469">
        <f>B44</f>
        <v>111</v>
      </c>
      <c r="C126" s="485"/>
      <c r="D126" s="485"/>
      <c r="E126" s="485"/>
      <c r="F126" s="485"/>
      <c r="G126" s="485"/>
      <c r="H126" s="486"/>
      <c r="I126" s="486"/>
      <c r="J126" s="486"/>
      <c r="K126" s="486"/>
      <c r="L126" s="487"/>
      <c r="M126" s="488"/>
      <c r="N126" s="2524"/>
      <c r="O126" s="2524"/>
      <c r="P126" s="2515"/>
      <c r="Q126" s="2516"/>
      <c r="R126" s="2494"/>
      <c r="S126" s="2494"/>
      <c r="T126" s="2494"/>
      <c r="U126" s="2494"/>
      <c r="V126" s="2494"/>
      <c r="W126" s="2494"/>
      <c r="X126" s="2494"/>
      <c r="Y126" s="2494"/>
      <c r="Z126" s="2494"/>
      <c r="AA126" s="2494"/>
      <c r="AB126" s="2494"/>
      <c r="AC126" s="2494"/>
    </row>
    <row r="127" spans="1:29" s="408" customFormat="1" ht="15.75" thickBot="1">
      <c r="A127" s="484"/>
      <c r="B127" s="474"/>
      <c r="C127" s="491"/>
      <c r="D127" s="467"/>
      <c r="E127" s="467"/>
      <c r="F127" s="467"/>
      <c r="G127" s="491"/>
      <c r="H127" s="493"/>
      <c r="I127" s="493"/>
      <c r="J127" s="493"/>
      <c r="K127" s="493"/>
      <c r="L127" s="493"/>
      <c r="M127" s="494"/>
      <c r="N127" s="2524"/>
      <c r="O127" s="2524"/>
      <c r="P127" s="2515"/>
      <c r="Q127" s="2516"/>
      <c r="R127" s="2494"/>
      <c r="S127" s="2494"/>
      <c r="T127" s="2494"/>
      <c r="U127" s="2494"/>
      <c r="V127" s="2494"/>
      <c r="W127" s="2494"/>
      <c r="X127" s="2494"/>
      <c r="Y127" s="2494"/>
      <c r="Z127" s="2494"/>
      <c r="AA127" s="2494"/>
      <c r="AB127" s="2494"/>
      <c r="AC127" s="2494"/>
    </row>
    <row r="128" spans="1:29" ht="15" thickTop="1">
      <c r="A128" s="409"/>
      <c r="B128" s="469">
        <f>B45</f>
        <v>111</v>
      </c>
      <c r="C128" s="485"/>
      <c r="D128" s="485"/>
      <c r="E128" s="485"/>
      <c r="F128" s="485"/>
      <c r="G128" s="513"/>
      <c r="H128" s="513"/>
      <c r="I128" s="513"/>
      <c r="J128" s="513"/>
      <c r="K128" s="514"/>
      <c r="L128" s="515"/>
      <c r="M128" s="516"/>
      <c r="N128" s="2522"/>
      <c r="O128" s="2522"/>
      <c r="P128" s="2514"/>
      <c r="Q128" s="2509"/>
      <c r="R128" s="2488"/>
      <c r="S128" s="2488"/>
      <c r="T128" s="2488"/>
      <c r="U128" s="2488"/>
      <c r="V128" s="2488"/>
      <c r="W128" s="2488"/>
      <c r="X128" s="2488"/>
      <c r="Y128" s="2488"/>
      <c r="Z128" s="2488"/>
      <c r="AA128" s="2488"/>
      <c r="AB128" s="2488"/>
      <c r="AC128" s="2488"/>
    </row>
    <row r="129" spans="1:29" ht="15.75" thickBot="1">
      <c r="A129" s="367"/>
      <c r="B129" s="474"/>
      <c r="C129" s="491"/>
      <c r="D129" s="467"/>
      <c r="E129" s="467"/>
      <c r="F129" s="467"/>
      <c r="G129" s="467"/>
      <c r="H129" s="467"/>
      <c r="I129" s="467"/>
      <c r="J129" s="467"/>
      <c r="K129" s="467"/>
      <c r="L129" s="467"/>
      <c r="M129" s="468"/>
      <c r="N129" s="2523"/>
      <c r="O129" s="2523"/>
      <c r="P129" s="2514"/>
      <c r="Q129" s="2509"/>
      <c r="R129" s="2488"/>
      <c r="S129" s="2488"/>
      <c r="T129" s="2488"/>
      <c r="U129" s="2488"/>
      <c r="V129" s="2488"/>
      <c r="W129" s="2488"/>
      <c r="X129" s="2488"/>
      <c r="Y129" s="2488"/>
      <c r="Z129" s="2488"/>
      <c r="AA129" s="2488"/>
      <c r="AB129" s="2488"/>
      <c r="AC129" s="2488"/>
    </row>
    <row r="130" spans="1:29" ht="15" thickTop="1">
      <c r="A130" s="409"/>
      <c r="B130" s="477">
        <f>B46</f>
        <v>111</v>
      </c>
      <c r="C130" s="485"/>
      <c r="D130" s="485"/>
      <c r="E130" s="485"/>
      <c r="F130" s="485"/>
      <c r="G130" s="517"/>
      <c r="H130" s="517"/>
      <c r="I130" s="517"/>
      <c r="J130" s="517"/>
      <c r="K130" s="31"/>
      <c r="L130" s="457"/>
      <c r="M130" s="520"/>
      <c r="N130" s="2522"/>
      <c r="O130" s="2522"/>
      <c r="P130" s="2514"/>
      <c r="Q130" s="2509"/>
      <c r="R130" s="2488"/>
      <c r="S130" s="2488"/>
      <c r="T130" s="2488"/>
      <c r="U130" s="2488"/>
      <c r="V130" s="2488"/>
      <c r="W130" s="2488"/>
      <c r="X130" s="2488"/>
      <c r="Y130" s="2488"/>
      <c r="Z130" s="2488"/>
      <c r="AA130" s="2488"/>
      <c r="AB130" s="2488"/>
      <c r="AC130" s="2488"/>
    </row>
    <row r="131" spans="1:29" ht="15.75" thickBot="1">
      <c r="A131" s="375"/>
      <c r="B131" s="500"/>
      <c r="C131" s="501"/>
      <c r="D131" s="501"/>
      <c r="E131" s="501"/>
      <c r="F131" s="501"/>
      <c r="G131" s="521"/>
      <c r="H131" s="521"/>
      <c r="I131" s="521"/>
      <c r="J131" s="521"/>
      <c r="K131" s="521"/>
      <c r="L131" s="521"/>
      <c r="M131" s="522"/>
      <c r="N131" s="2523"/>
      <c r="O131" s="2523"/>
      <c r="P131" s="2514"/>
      <c r="Q131" s="2509"/>
      <c r="R131" s="2488"/>
      <c r="S131" s="2488"/>
      <c r="T131" s="2488"/>
      <c r="U131" s="2488"/>
      <c r="V131" s="2488"/>
      <c r="W131" s="2488"/>
      <c r="X131" s="2488"/>
      <c r="Y131" s="2488"/>
      <c r="Z131" s="2488"/>
      <c r="AA131" s="2488"/>
      <c r="AB131" s="2488"/>
      <c r="AC131" s="2488"/>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52">
    <cfRule type="expression" dxfId="114" priority="16" stopIfTrue="1">
      <formula>$F$52="超过30%"</formula>
    </cfRule>
  </conditionalFormatting>
  <conditionalFormatting sqref="E53">
    <cfRule type="expression" dxfId="113" priority="15" stopIfTrue="1">
      <formula>$F$53="超过20%"</formula>
    </cfRule>
  </conditionalFormatting>
  <conditionalFormatting sqref="E54">
    <cfRule type="expression" dxfId="112" priority="14" stopIfTrue="1">
      <formula>$F$54="超过30%"</formula>
    </cfRule>
  </conditionalFormatting>
  <conditionalFormatting sqref="F7:F46 H7:H46 J7:J46">
    <cfRule type="cellIs" dxfId="111" priority="1" operator="notEqual">
      <formula>100</formula>
    </cfRule>
  </conditionalFormatting>
  <conditionalFormatting sqref="F48">
    <cfRule type="expression" dxfId="110" priority="4">
      <formula>$D$48="简单平均"</formula>
    </cfRule>
  </conditionalFormatting>
  <conditionalFormatting sqref="F52:F54 H52:H54">
    <cfRule type="containsText" dxfId="109" priority="17" stopIfTrue="1" operator="containsText" text="超过">
      <formula>NOT(ISERROR(SEARCH("超过",F52)))</formula>
    </cfRule>
  </conditionalFormatting>
  <conditionalFormatting sqref="G52">
    <cfRule type="expression" dxfId="108" priority="12" stopIfTrue="1">
      <formula>$H$52="超过30%"</formula>
    </cfRule>
  </conditionalFormatting>
  <conditionalFormatting sqref="G53">
    <cfRule type="expression" dxfId="107" priority="11" stopIfTrue="1">
      <formula>$H$53="超过20%"</formula>
    </cfRule>
  </conditionalFormatting>
  <conditionalFormatting sqref="G54">
    <cfRule type="expression" dxfId="106" priority="13" stopIfTrue="1">
      <formula>$H$54="超过30%"</formula>
    </cfRule>
  </conditionalFormatting>
  <conditionalFormatting sqref="H48">
    <cfRule type="expression" dxfId="105" priority="3">
      <formula>$D$48="简单平均"</formula>
    </cfRule>
  </conditionalFormatting>
  <conditionalFormatting sqref="I52">
    <cfRule type="expression" dxfId="104" priority="7" stopIfTrue="1">
      <formula>$J$52="超过30%"</formula>
    </cfRule>
  </conditionalFormatting>
  <conditionalFormatting sqref="I53">
    <cfRule type="expression" dxfId="103" priority="6" stopIfTrue="1">
      <formula>$J$53="超过20%"</formula>
    </cfRule>
  </conditionalFormatting>
  <conditionalFormatting sqref="I54">
    <cfRule type="expression" dxfId="102" priority="5" stopIfTrue="1">
      <formula>$J$54="超过30%"</formula>
    </cfRule>
  </conditionalFormatting>
  <conditionalFormatting sqref="J48">
    <cfRule type="expression" dxfId="101" priority="2">
      <formula>$D$48="简单平均"</formula>
    </cfRule>
  </conditionalFormatting>
  <conditionalFormatting sqref="J52:J54">
    <cfRule type="containsText" dxfId="100" priority="8" stopIfTrue="1" operator="containsText" text="超过">
      <formula>NOT(ISERROR(SEARCH("超过",J52)))</formula>
    </cfRule>
  </conditionalFormatting>
  <dataValidations count="25">
    <dataValidation type="list" allowBlank="1" showInputMessage="1" showErrorMessage="1" sqref="D1" xr:uid="{00000000-0002-0000-1900-000000000000}">
      <formula1>项目类型</formula1>
    </dataValidation>
    <dataValidation type="list" allowBlank="1" showInputMessage="1" showErrorMessage="1" sqref="C43 E43 G43 I43" xr:uid="{00000000-0002-0000-1900-000001000000}">
      <formula1>内部装修维护情况</formula1>
    </dataValidation>
    <dataValidation type="list" allowBlank="1" showInputMessage="1" showErrorMessage="1" sqref="E20 I20 G20 C20" xr:uid="{00000000-0002-0000-1900-000002000000}">
      <formula1>公共配套设施</formula1>
    </dataValidation>
    <dataValidation type="list" allowBlank="1" showInputMessage="1" showErrorMessage="1" sqref="E18 G18 I18 C18" xr:uid="{00000000-0002-0000-1900-000003000000}">
      <formula1>交通便捷度</formula1>
    </dataValidation>
    <dataValidation type="list" allowBlank="1" showInputMessage="1" showErrorMessage="1" sqref="E24 G24 I24 C24" xr:uid="{00000000-0002-0000-1900-000004000000}">
      <formula1>环境</formula1>
    </dataValidation>
    <dataValidation type="list" allowBlank="1" showInputMessage="1" showErrorMessage="1" sqref="C25 E25 G25 I25" xr:uid="{00000000-0002-0000-1900-000005000000}">
      <formula1>商业临街状况</formula1>
    </dataValidation>
    <dataValidation type="list" allowBlank="1" showInputMessage="1" showErrorMessage="1" sqref="C27 E27 G27 I27" xr:uid="{00000000-0002-0000-1900-000006000000}">
      <formula1>商业人流量</formula1>
    </dataValidation>
    <dataValidation type="list" allowBlank="1" showInputMessage="1" showErrorMessage="1" sqref="C28 E28 G28 I28" xr:uid="{00000000-0002-0000-1900-000007000000}">
      <formula1>商业楼层</formula1>
    </dataValidation>
    <dataValidation type="list" allowBlank="1" showInputMessage="1" showErrorMessage="1" sqref="C32 E32 G32 I32" xr:uid="{00000000-0002-0000-1900-000008000000}">
      <formula1>商业类型</formula1>
    </dataValidation>
    <dataValidation type="list" allowBlank="1" showInputMessage="1" showErrorMessage="1" sqref="C34 E34 G34 I34" xr:uid="{00000000-0002-0000-1900-000009000000}">
      <formula1>商业建筑结构</formula1>
    </dataValidation>
    <dataValidation type="list" allowBlank="1" showInputMessage="1" showErrorMessage="1" sqref="C35 E35 G35 I35" xr:uid="{00000000-0002-0000-1900-00000A000000}">
      <formula1>商业公共部分装修</formula1>
    </dataValidation>
    <dataValidation type="list" allowBlank="1" showInputMessage="1" showErrorMessage="1" sqref="C37 E37 G37 I37" xr:uid="{00000000-0002-0000-1900-00000B000000}">
      <formula1>商业基础设施水平</formula1>
    </dataValidation>
    <dataValidation type="list" allowBlank="1" showInputMessage="1" showErrorMessage="1" sqref="C41 E41 G41 I41" xr:uid="{00000000-0002-0000-1900-00000C000000}">
      <formula1>商业进深比</formula1>
    </dataValidation>
    <dataValidation type="list" allowBlank="1" showInputMessage="1" showErrorMessage="1" sqref="C42 E42 G42 I42" xr:uid="{00000000-0002-0000-1900-00000D000000}">
      <formula1>商业内部装修</formula1>
    </dataValidation>
    <dataValidation type="list" allowBlank="1" showInputMessage="1" showErrorMessage="1" sqref="E9 G9 I9" xr:uid="{00000000-0002-0000-1900-00000E000000}">
      <formula1>商业用途</formula1>
    </dataValidation>
    <dataValidation type="list" allowBlank="1" showInputMessage="1" showErrorMessage="1" sqref="C38 E38 G38 I38" xr:uid="{00000000-0002-0000-1900-00000F000000}">
      <formula1>商业业态</formula1>
    </dataValidation>
    <dataValidation type="list" allowBlank="1" showInputMessage="1" showErrorMessage="1" sqref="C39 E39 G39 I39" xr:uid="{00000000-0002-0000-1900-000010000000}">
      <formula1>商业层高</formula1>
    </dataValidation>
    <dataValidation type="list" allowBlank="1" showInputMessage="1" showErrorMessage="1" sqref="C8 E8 G8 I8" xr:uid="{00000000-0002-0000-1900-000011000000}">
      <formula1>商业交易情况</formula1>
    </dataValidation>
    <dataValidation type="list" allowBlank="1" showInputMessage="1" showErrorMessage="1" sqref="C16 E16 G16 I16" xr:uid="{00000000-0002-0000-1900-000012000000}">
      <formula1>商业繁华度</formula1>
    </dataValidation>
    <dataValidation type="list" allowBlank="1" showInputMessage="1" showErrorMessage="1" sqref="C22 E22 G22 I22" xr:uid="{00000000-0002-0000-1900-000013000000}">
      <formula1>基础设施水平</formula1>
    </dataValidation>
    <dataValidation type="list" allowBlank="1" showInputMessage="1" showErrorMessage="1" sqref="F1" xr:uid="{00000000-0002-0000-1900-000014000000}">
      <formula1>"售价,租金"</formula1>
    </dataValidation>
    <dataValidation type="list" allowBlank="1" showInputMessage="1" showErrorMessage="1" sqref="C2" xr:uid="{00000000-0002-0000-1900-000015000000}">
      <formula1>"需扣减承租人权益,——"</formula1>
    </dataValidation>
    <dataValidation type="list" allowBlank="1" showInputMessage="1" showErrorMessage="1" sqref="F2" xr:uid="{00000000-0002-0000-1900-000016000000}">
      <formula1>估价方法</formula1>
    </dataValidation>
    <dataValidation type="list" allowBlank="1" showInputMessage="1" showErrorMessage="1" sqref="D48" xr:uid="{00000000-0002-0000-1900-000017000000}">
      <formula1>"简单平均,加权平均"</formula1>
    </dataValidation>
    <dataValidation type="list" allowBlank="1" showInputMessage="1" showErrorMessage="1" sqref="E1" xr:uid="{00000000-0002-0000-19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1658</v>
      </c>
      <c r="B1" s="1808" t="s">
        <v>1808</v>
      </c>
      <c r="C1" s="1141" t="s">
        <v>1660</v>
      </c>
      <c r="D1" s="1142"/>
      <c r="E1" s="3132"/>
      <c r="F1" s="1735"/>
      <c r="G1" s="1152" t="s">
        <v>1765</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1460</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1461</v>
      </c>
      <c r="F2" s="1739"/>
      <c r="G2" s="855"/>
      <c r="H2" s="855"/>
      <c r="I2" s="855"/>
      <c r="J2" s="855"/>
      <c r="K2" s="855"/>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1462</v>
      </c>
      <c r="B3" s="536">
        <f>IF(C2="——",C50,ROUND(B2*10000/D3,0))</f>
        <v>0</v>
      </c>
      <c r="C3" s="344" t="s">
        <v>1766</v>
      </c>
      <c r="D3" s="343">
        <f>IF(D1="",'数据-汇总表'!E3,SUMIF('数据-汇总表'!$C19:$C33,D1,'数据-汇总表'!$E19:$E33))</f>
        <v>449.18</v>
      </c>
      <c r="E3" s="1805"/>
      <c r="F3" s="856"/>
      <c r="G3" s="855"/>
      <c r="H3" s="855"/>
      <c r="I3" s="855"/>
      <c r="J3" s="855"/>
      <c r="K3" s="857"/>
      <c r="L3" s="2504"/>
      <c r="M3" s="2505"/>
      <c r="N3" s="2505"/>
      <c r="O3" s="2505"/>
      <c r="P3" s="341"/>
      <c r="Q3" s="341"/>
      <c r="R3" s="341"/>
      <c r="S3" s="341"/>
      <c r="T3" s="341"/>
      <c r="U3" s="341"/>
      <c r="V3" s="341"/>
      <c r="W3" s="341"/>
      <c r="X3" s="341"/>
      <c r="Y3" s="341"/>
      <c r="Z3" s="341"/>
      <c r="AA3" s="341"/>
      <c r="AB3" s="341"/>
      <c r="AC3" s="663"/>
    </row>
    <row r="4" spans="1:29" ht="15">
      <c r="A4" s="345" t="s">
        <v>1767</v>
      </c>
      <c r="B4" s="346"/>
      <c r="C4" s="3614" t="s">
        <v>1768</v>
      </c>
      <c r="D4" s="3615"/>
      <c r="E4" s="3616" t="s">
        <v>1769</v>
      </c>
      <c r="F4" s="3617"/>
      <c r="G4" s="3614" t="s">
        <v>1770</v>
      </c>
      <c r="H4" s="3615"/>
      <c r="I4" s="3614" t="s">
        <v>1771</v>
      </c>
      <c r="J4" s="3615"/>
      <c r="K4" s="537" t="s">
        <v>1772</v>
      </c>
      <c r="L4" s="2487"/>
      <c r="M4" s="2488"/>
      <c r="N4" s="2488"/>
      <c r="O4" s="2488"/>
      <c r="P4" s="3647" t="s">
        <v>1773</v>
      </c>
      <c r="Q4" s="3648"/>
      <c r="R4" s="3642" t="s">
        <v>1769</v>
      </c>
      <c r="S4" s="3643"/>
      <c r="T4" s="3642" t="s">
        <v>1770</v>
      </c>
      <c r="U4" s="3643"/>
      <c r="V4" s="3651" t="s">
        <v>1771</v>
      </c>
      <c r="W4" s="3651"/>
      <c r="X4" s="1809"/>
      <c r="Y4" s="3642" t="s">
        <v>1773</v>
      </c>
      <c r="Z4" s="3643"/>
      <c r="AA4" s="3641" t="s">
        <v>1769</v>
      </c>
      <c r="AB4" s="3641" t="s">
        <v>1770</v>
      </c>
      <c r="AC4" s="3644" t="s">
        <v>1771</v>
      </c>
    </row>
    <row r="5" spans="1:29" ht="15">
      <c r="A5" s="348"/>
      <c r="B5" s="349"/>
      <c r="C5" s="3607" t="s">
        <v>1671</v>
      </c>
      <c r="D5" s="3608"/>
      <c r="E5" s="3605" t="s">
        <v>1672</v>
      </c>
      <c r="F5" s="3606"/>
      <c r="G5" s="3607" t="s">
        <v>1673</v>
      </c>
      <c r="H5" s="3608"/>
      <c r="I5" s="3607" t="s">
        <v>1674</v>
      </c>
      <c r="J5" s="3608"/>
      <c r="K5" s="537"/>
      <c r="L5" s="2487"/>
      <c r="M5" s="2488"/>
      <c r="N5" s="2488"/>
      <c r="O5" s="2488"/>
      <c r="P5" s="3649"/>
      <c r="Q5" s="3621"/>
      <c r="R5" s="3603"/>
      <c r="S5" s="3604"/>
      <c r="T5" s="3603"/>
      <c r="U5" s="3604"/>
      <c r="V5" s="3626"/>
      <c r="W5" s="3626"/>
      <c r="X5" s="1265"/>
      <c r="Y5" s="3603"/>
      <c r="Z5" s="3604"/>
      <c r="AA5" s="3597"/>
      <c r="AB5" s="3597"/>
      <c r="AC5" s="3645"/>
    </row>
    <row r="6" spans="1:29" ht="15.75" thickBot="1">
      <c r="A6" s="350"/>
      <c r="B6" s="351"/>
      <c r="C6" s="3609" t="s">
        <v>1675</v>
      </c>
      <c r="D6" s="3610"/>
      <c r="E6" s="3611" t="s">
        <v>1675</v>
      </c>
      <c r="F6" s="3612"/>
      <c r="G6" s="3609" t="s">
        <v>1675</v>
      </c>
      <c r="H6" s="3610"/>
      <c r="I6" s="3609" t="s">
        <v>1675</v>
      </c>
      <c r="J6" s="3610"/>
      <c r="K6" s="537" t="s">
        <v>1676</v>
      </c>
      <c r="L6" s="2487"/>
      <c r="M6" s="2488"/>
      <c r="N6" s="2488"/>
      <c r="O6" s="2488"/>
      <c r="P6" s="3650"/>
      <c r="Q6" s="3623"/>
      <c r="R6" s="3603"/>
      <c r="S6" s="3604"/>
      <c r="T6" s="3624"/>
      <c r="U6" s="3625"/>
      <c r="V6" s="3626"/>
      <c r="W6" s="3626"/>
      <c r="X6" s="1265"/>
      <c r="Y6" s="3624"/>
      <c r="Z6" s="3625"/>
      <c r="AA6" s="3598"/>
      <c r="AB6" s="3598"/>
      <c r="AC6" s="3646"/>
    </row>
    <row r="7" spans="1:29" s="102" customFormat="1" ht="15.75" thickBot="1">
      <c r="A7" s="352" t="s">
        <v>1677</v>
      </c>
      <c r="B7" s="353"/>
      <c r="C7" s="354">
        <f>'数据-取费表'!B2</f>
        <v>45839</v>
      </c>
      <c r="D7" s="355">
        <v>100</v>
      </c>
      <c r="E7" s="356"/>
      <c r="F7" s="357">
        <f>SUMIF(59:59,YEAR(E7)&amp;"-"&amp;MONTH(E7),60:60)</f>
        <v>0</v>
      </c>
      <c r="G7" s="356"/>
      <c r="H7" s="355">
        <f>SUMIF(59:59,YEAR(G7)&amp;"-"&amp;MONTH(G7),60:60)</f>
        <v>0</v>
      </c>
      <c r="I7" s="356"/>
      <c r="J7" s="355">
        <f>SUMIF(59:59,YEAR(I7)&amp;"-"&amp;MONTH(I7),60:60)</f>
        <v>0</v>
      </c>
      <c r="K7" s="38"/>
      <c r="L7" s="2489"/>
      <c r="M7" s="2440"/>
      <c r="N7" s="2440"/>
      <c r="O7" s="2440"/>
      <c r="P7" s="3652" t="s">
        <v>1678</v>
      </c>
      <c r="Q7" s="3627"/>
      <c r="R7" s="664" t="s">
        <v>14</v>
      </c>
      <c r="S7" s="665">
        <f t="shared" ref="S7:S15" si="0">F7</f>
        <v>0</v>
      </c>
      <c r="T7" s="664" t="s">
        <v>14</v>
      </c>
      <c r="U7" s="665">
        <f t="shared" ref="U7:U15" si="1">H7</f>
        <v>0</v>
      </c>
      <c r="V7" s="664" t="s">
        <v>14</v>
      </c>
      <c r="W7" s="665">
        <f t="shared" ref="W7:W15" si="2">J7</f>
        <v>0</v>
      </c>
      <c r="X7" s="666"/>
      <c r="Y7" s="3599" t="s">
        <v>1678</v>
      </c>
      <c r="Z7" s="3600"/>
      <c r="AA7" s="50" t="e">
        <f>D7/F7</f>
        <v>#DIV/0!</v>
      </c>
      <c r="AB7" s="50" t="e">
        <f>D7/H7</f>
        <v>#DIV/0!</v>
      </c>
      <c r="AC7" s="802" t="e">
        <f>D7/J7</f>
        <v>#DIV/0!</v>
      </c>
    </row>
    <row r="8" spans="1:29" s="102" customFormat="1" ht="15.75" thickBot="1">
      <c r="A8" s="352" t="s">
        <v>1679</v>
      </c>
      <c r="B8" s="353"/>
      <c r="C8" s="358"/>
      <c r="D8" s="355">
        <v>100</v>
      </c>
      <c r="E8" s="358"/>
      <c r="F8" s="357">
        <f>SUMIF(62:62,E8,63:63)-SUMIF(62:62,C8,63:63)+100</f>
        <v>100</v>
      </c>
      <c r="G8" s="358"/>
      <c r="H8" s="355">
        <f>SUMIF(62:62,G8,63:63)-SUMIF(62:62,C8,63:63)+100</f>
        <v>100</v>
      </c>
      <c r="I8" s="358"/>
      <c r="J8" s="355">
        <f>SUMIF(62:62,I8,63:63)-SUMIF(62:62,C8,63:63)+100</f>
        <v>100</v>
      </c>
      <c r="K8" s="38"/>
      <c r="L8" s="2489"/>
      <c r="M8" s="2440"/>
      <c r="N8" s="2440"/>
      <c r="O8" s="2440"/>
      <c r="P8" s="3652" t="s">
        <v>1681</v>
      </c>
      <c r="Q8" s="3600"/>
      <c r="R8" s="664" t="s">
        <v>14</v>
      </c>
      <c r="S8" s="665">
        <f t="shared" si="0"/>
        <v>100</v>
      </c>
      <c r="T8" s="664" t="s">
        <v>14</v>
      </c>
      <c r="U8" s="665">
        <f t="shared" si="1"/>
        <v>100</v>
      </c>
      <c r="V8" s="664" t="s">
        <v>14</v>
      </c>
      <c r="W8" s="665">
        <f t="shared" si="2"/>
        <v>100</v>
      </c>
      <c r="X8" s="666"/>
      <c r="Y8" s="3599" t="s">
        <v>1681</v>
      </c>
      <c r="Z8" s="3600"/>
      <c r="AA8" s="50">
        <f t="shared" ref="AA8:AA47" si="3">D8/F8</f>
        <v>1</v>
      </c>
      <c r="AB8" s="50">
        <f t="shared" ref="AB8:AB47" si="4">D8/H8</f>
        <v>1</v>
      </c>
      <c r="AC8" s="802">
        <f t="shared" ref="AC8:AC47" si="5">D8/J8</f>
        <v>1</v>
      </c>
    </row>
    <row r="9" spans="1:29" s="102" customFormat="1">
      <c r="A9" s="359" t="s">
        <v>1682</v>
      </c>
      <c r="B9" s="60" t="s">
        <v>1683</v>
      </c>
      <c r="C9" s="360"/>
      <c r="D9" s="59">
        <v>100</v>
      </c>
      <c r="E9" s="362"/>
      <c r="F9" s="59">
        <f>SUMIF(64:64,E9,65:65)-SUMIF(64:64,C9,65:65)+100</f>
        <v>100</v>
      </c>
      <c r="G9" s="361"/>
      <c r="H9" s="59">
        <f>SUMIF(64:64,G9,65:65)-SUMIF(64:64,C9,65:65)+100</f>
        <v>100</v>
      </c>
      <c r="I9" s="361"/>
      <c r="J9" s="59">
        <f>SUMIF(64:64,I9,65:65)-SUMIF(64:64,C9,65:65)+100</f>
        <v>100</v>
      </c>
      <c r="K9" s="38"/>
      <c r="L9" s="2489"/>
      <c r="M9" s="2440"/>
      <c r="N9" s="2440"/>
      <c r="O9" s="2440"/>
      <c r="P9" s="3613" t="s">
        <v>1684</v>
      </c>
      <c r="Q9" s="530" t="str">
        <f t="shared" ref="Q9:Q15" si="6">B9</f>
        <v>用途</v>
      </c>
      <c r="R9" s="664" t="s">
        <v>14</v>
      </c>
      <c r="S9" s="665">
        <f t="shared" si="0"/>
        <v>100</v>
      </c>
      <c r="T9" s="664" t="s">
        <v>14</v>
      </c>
      <c r="U9" s="665">
        <f t="shared" si="1"/>
        <v>100</v>
      </c>
      <c r="V9" s="664" t="s">
        <v>14</v>
      </c>
      <c r="W9" s="665">
        <f t="shared" si="2"/>
        <v>100</v>
      </c>
      <c r="X9" s="666"/>
      <c r="Y9" s="3543" t="s">
        <v>1685</v>
      </c>
      <c r="Z9" s="50" t="str">
        <f t="shared" ref="Z9:Z15" si="7">Q9</f>
        <v>用途</v>
      </c>
      <c r="AA9" s="50">
        <f t="shared" si="3"/>
        <v>1</v>
      </c>
      <c r="AB9" s="50">
        <f t="shared" si="4"/>
        <v>1</v>
      </c>
      <c r="AC9" s="802">
        <f t="shared" si="5"/>
        <v>1</v>
      </c>
    </row>
    <row r="10" spans="1:29" s="366" customFormat="1" ht="27">
      <c r="A10" s="363"/>
      <c r="B10" s="364" t="s">
        <v>1686</v>
      </c>
      <c r="C10" s="3133"/>
      <c r="D10" s="119">
        <v>100</v>
      </c>
      <c r="E10" s="3133"/>
      <c r="F10" s="119">
        <f>SUMIF(66:66,E10,67:67)-SUMIF(66:66,C10,67:67)+100</f>
        <v>100</v>
      </c>
      <c r="G10" s="3134"/>
      <c r="H10" s="119">
        <f>SUMIF(66:66,G10,67:67)-SUMIF(66:66,C10,67:67)+100</f>
        <v>100</v>
      </c>
      <c r="I10" s="3133"/>
      <c r="J10" s="119">
        <f>SUMIF(66:66,I10,67:67)-SUMIF(66:66,C10,67:67)+100</f>
        <v>100</v>
      </c>
      <c r="K10" s="38"/>
      <c r="L10" s="2490"/>
      <c r="M10" s="2491"/>
      <c r="N10" s="2491"/>
      <c r="O10" s="2491"/>
      <c r="P10" s="3613"/>
      <c r="Q10" s="530" t="str">
        <f t="shared" si="6"/>
        <v>土地使用年限（年）</v>
      </c>
      <c r="R10" s="664" t="s">
        <v>14</v>
      </c>
      <c r="S10" s="665">
        <f t="shared" si="0"/>
        <v>100</v>
      </c>
      <c r="T10" s="664" t="s">
        <v>14</v>
      </c>
      <c r="U10" s="665">
        <f t="shared" si="1"/>
        <v>100</v>
      </c>
      <c r="V10" s="664" t="s">
        <v>14</v>
      </c>
      <c r="W10" s="665">
        <f t="shared" si="2"/>
        <v>100</v>
      </c>
      <c r="X10" s="666"/>
      <c r="Y10" s="3543"/>
      <c r="Z10" s="50" t="str">
        <f t="shared" si="7"/>
        <v>土地使用年限（年）</v>
      </c>
      <c r="AA10" s="50">
        <f t="shared" si="3"/>
        <v>1</v>
      </c>
      <c r="AB10" s="50">
        <f t="shared" si="4"/>
        <v>1</v>
      </c>
      <c r="AC10" s="802">
        <f t="shared" si="5"/>
        <v>1</v>
      </c>
    </row>
    <row r="11" spans="1:29" ht="15">
      <c r="A11" s="367"/>
      <c r="B11" s="364" t="s">
        <v>1687</v>
      </c>
      <c r="C11" s="368"/>
      <c r="D11" s="119">
        <v>100</v>
      </c>
      <c r="E11" s="368"/>
      <c r="F11" s="119">
        <f>LOOKUP(E11,69:69,70:70)-LOOKUP(C11,69:69,70:70)+100</f>
        <v>100</v>
      </c>
      <c r="G11" s="369"/>
      <c r="H11" s="119">
        <f>LOOKUP(G11,69:69,70:70)-LOOKUP(C11,69:69,70:70)+100</f>
        <v>100</v>
      </c>
      <c r="I11" s="368"/>
      <c r="J11" s="119">
        <f>LOOKUP(I11,69:69,70:70)-LOOKUP(C11,69:69,70:70)+100</f>
        <v>100</v>
      </c>
      <c r="K11" s="538"/>
      <c r="L11" s="2492"/>
      <c r="M11" s="2488"/>
      <c r="N11" s="2488"/>
      <c r="O11" s="2488"/>
      <c r="P11" s="3613"/>
      <c r="Q11" s="530" t="str">
        <f t="shared" si="6"/>
        <v>容积率</v>
      </c>
      <c r="R11" s="664" t="s">
        <v>14</v>
      </c>
      <c r="S11" s="665">
        <f t="shared" si="0"/>
        <v>100</v>
      </c>
      <c r="T11" s="664" t="s">
        <v>14</v>
      </c>
      <c r="U11" s="665">
        <f t="shared" si="1"/>
        <v>100</v>
      </c>
      <c r="V11" s="664" t="s">
        <v>14</v>
      </c>
      <c r="W11" s="665">
        <f t="shared" si="2"/>
        <v>100</v>
      </c>
      <c r="X11" s="666"/>
      <c r="Y11" s="3543"/>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9"/>
      <c r="M12" s="2440"/>
      <c r="N12" s="2440"/>
      <c r="O12" s="2440"/>
      <c r="P12" s="3613"/>
      <c r="Q12" s="530">
        <f t="shared" si="6"/>
        <v>111</v>
      </c>
      <c r="R12" s="664" t="s">
        <v>14</v>
      </c>
      <c r="S12" s="665">
        <f t="shared" si="0"/>
        <v>100</v>
      </c>
      <c r="T12" s="664" t="s">
        <v>14</v>
      </c>
      <c r="U12" s="665">
        <f t="shared" si="1"/>
        <v>100</v>
      </c>
      <c r="V12" s="664" t="s">
        <v>14</v>
      </c>
      <c r="W12" s="665">
        <f t="shared" si="2"/>
        <v>100</v>
      </c>
      <c r="X12" s="666"/>
      <c r="Y12" s="3543"/>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3"/>
      <c r="M13" s="2488"/>
      <c r="N13" s="2488"/>
      <c r="O13" s="2488"/>
      <c r="P13" s="3613"/>
      <c r="Q13" s="530">
        <f t="shared" si="6"/>
        <v>111</v>
      </c>
      <c r="R13" s="664" t="s">
        <v>14</v>
      </c>
      <c r="S13" s="665">
        <f t="shared" si="0"/>
        <v>100</v>
      </c>
      <c r="T13" s="664" t="s">
        <v>14</v>
      </c>
      <c r="U13" s="665">
        <f t="shared" si="1"/>
        <v>100</v>
      </c>
      <c r="V13" s="664" t="s">
        <v>14</v>
      </c>
      <c r="W13" s="665">
        <f t="shared" si="2"/>
        <v>100</v>
      </c>
      <c r="X13" s="666"/>
      <c r="Y13" s="3543"/>
      <c r="Z13" s="50">
        <f t="shared" si="7"/>
        <v>111</v>
      </c>
      <c r="AA13" s="50">
        <f t="shared" si="3"/>
        <v>1</v>
      </c>
      <c r="AB13" s="50">
        <f t="shared" si="4"/>
        <v>1</v>
      </c>
      <c r="AC13" s="802">
        <f t="shared" si="5"/>
        <v>1</v>
      </c>
    </row>
    <row r="14" spans="1:29" ht="15.75"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3"/>
      <c r="M14" s="2488"/>
      <c r="N14" s="2488"/>
      <c r="O14" s="2488"/>
      <c r="P14" s="3613"/>
      <c r="Q14" s="530">
        <f t="shared" si="6"/>
        <v>111</v>
      </c>
      <c r="R14" s="664" t="s">
        <v>14</v>
      </c>
      <c r="S14" s="665">
        <f t="shared" si="0"/>
        <v>100</v>
      </c>
      <c r="T14" s="664" t="s">
        <v>14</v>
      </c>
      <c r="U14" s="665">
        <f t="shared" si="1"/>
        <v>100</v>
      </c>
      <c r="V14" s="664" t="s">
        <v>14</v>
      </c>
      <c r="W14" s="665">
        <f t="shared" si="2"/>
        <v>100</v>
      </c>
      <c r="X14" s="666"/>
      <c r="Y14" s="3543"/>
      <c r="Z14" s="50">
        <f t="shared" si="7"/>
        <v>111</v>
      </c>
      <c r="AA14" s="50">
        <f t="shared" si="3"/>
        <v>1</v>
      </c>
      <c r="AB14" s="50">
        <f t="shared" si="4"/>
        <v>1</v>
      </c>
      <c r="AC14" s="802">
        <f t="shared" si="5"/>
        <v>1</v>
      </c>
    </row>
    <row r="15" spans="1:29" ht="71.25">
      <c r="A15" s="379" t="s">
        <v>1688</v>
      </c>
      <c r="B15" s="554" t="s">
        <v>1809</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3"/>
      <c r="M15" s="2488"/>
      <c r="N15" s="2488"/>
      <c r="O15" s="2488"/>
      <c r="P15" s="3639" t="s">
        <v>1689</v>
      </c>
      <c r="Q15" s="1263" t="str">
        <f t="shared" si="6"/>
        <v>办公集聚程度</v>
      </c>
      <c r="R15" s="667" t="s">
        <v>14</v>
      </c>
      <c r="S15" s="668">
        <f t="shared" si="0"/>
        <v>100</v>
      </c>
      <c r="T15" s="667" t="s">
        <v>14</v>
      </c>
      <c r="U15" s="668">
        <f t="shared" si="1"/>
        <v>100</v>
      </c>
      <c r="V15" s="667" t="s">
        <v>14</v>
      </c>
      <c r="W15" s="668">
        <f t="shared" si="2"/>
        <v>100</v>
      </c>
      <c r="X15" s="1265"/>
      <c r="Y15" s="3632" t="s">
        <v>1689</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3"/>
      <c r="M16" s="2488"/>
      <c r="N16" s="2488"/>
      <c r="O16" s="2488"/>
      <c r="P16" s="3640"/>
      <c r="Q16" s="1263"/>
      <c r="R16" s="667"/>
      <c r="S16" s="668"/>
      <c r="T16" s="667"/>
      <c r="U16" s="668"/>
      <c r="V16" s="667"/>
      <c r="W16" s="668"/>
      <c r="X16" s="1265"/>
      <c r="Y16" s="3633"/>
      <c r="Z16" s="1264"/>
      <c r="AA16" s="1264">
        <v>1</v>
      </c>
      <c r="AB16" s="1264">
        <v>1</v>
      </c>
      <c r="AC16" s="1812">
        <v>1</v>
      </c>
    </row>
    <row r="17" spans="1:29" ht="71.25">
      <c r="A17" s="367"/>
      <c r="B17" s="556" t="s">
        <v>1257</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3"/>
      <c r="M17" s="2488"/>
      <c r="N17" s="2488"/>
      <c r="O17" s="2488"/>
      <c r="P17" s="3640"/>
      <c r="Q17" s="1263" t="str">
        <f>B17</f>
        <v>交通便捷度</v>
      </c>
      <c r="R17" s="667" t="s">
        <v>14</v>
      </c>
      <c r="S17" s="668">
        <f>F17</f>
        <v>100</v>
      </c>
      <c r="T17" s="667" t="s">
        <v>14</v>
      </c>
      <c r="U17" s="668">
        <f>H17</f>
        <v>100</v>
      </c>
      <c r="V17" s="667" t="s">
        <v>14</v>
      </c>
      <c r="W17" s="668">
        <f>J17</f>
        <v>100</v>
      </c>
      <c r="X17" s="1265"/>
      <c r="Y17" s="3633"/>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3"/>
      <c r="M18" s="2488"/>
      <c r="N18" s="2488"/>
      <c r="O18" s="2488"/>
      <c r="P18" s="3640"/>
      <c r="Q18" s="1263"/>
      <c r="R18" s="667"/>
      <c r="S18" s="668"/>
      <c r="T18" s="667"/>
      <c r="U18" s="668"/>
      <c r="V18" s="667"/>
      <c r="W18" s="668"/>
      <c r="X18" s="1265"/>
      <c r="Y18" s="3633"/>
      <c r="Z18" s="1264"/>
      <c r="AA18" s="1264">
        <v>1</v>
      </c>
      <c r="AB18" s="1264">
        <v>1</v>
      </c>
      <c r="AC18" s="1812">
        <v>1</v>
      </c>
    </row>
    <row r="19" spans="1:29" ht="42.75">
      <c r="A19" s="367"/>
      <c r="B19" s="556" t="s">
        <v>1810</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3"/>
      <c r="M19" s="2488"/>
      <c r="N19" s="2488"/>
      <c r="O19" s="2488"/>
      <c r="P19" s="3640"/>
      <c r="Q19" s="1263" t="str">
        <f>B19</f>
        <v>公共配套设施</v>
      </c>
      <c r="R19" s="667" t="s">
        <v>14</v>
      </c>
      <c r="S19" s="668">
        <f>F19</f>
        <v>100</v>
      </c>
      <c r="T19" s="667" t="s">
        <v>14</v>
      </c>
      <c r="U19" s="668">
        <f>H19</f>
        <v>100</v>
      </c>
      <c r="V19" s="667" t="s">
        <v>14</v>
      </c>
      <c r="W19" s="668">
        <f>J19</f>
        <v>100</v>
      </c>
      <c r="X19" s="1265"/>
      <c r="Y19" s="3633"/>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3"/>
      <c r="M20" s="2488"/>
      <c r="N20" s="2488"/>
      <c r="O20" s="2488"/>
      <c r="P20" s="3640"/>
      <c r="Q20" s="1263"/>
      <c r="R20" s="667"/>
      <c r="S20" s="668"/>
      <c r="T20" s="667"/>
      <c r="U20" s="668"/>
      <c r="V20" s="667"/>
      <c r="W20" s="668"/>
      <c r="X20" s="1265"/>
      <c r="Y20" s="3633"/>
      <c r="Z20" s="1264"/>
      <c r="AA20" s="1264">
        <v>1</v>
      </c>
      <c r="AB20" s="1264">
        <v>1</v>
      </c>
      <c r="AC20" s="1812">
        <v>1</v>
      </c>
    </row>
    <row r="21" spans="1:29" ht="28.5">
      <c r="A21" s="367"/>
      <c r="B21" s="557" t="s">
        <v>1811</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3"/>
      <c r="M21" s="2488"/>
      <c r="N21" s="2488"/>
      <c r="O21" s="2488"/>
      <c r="P21" s="3640"/>
      <c r="Q21" s="1263" t="str">
        <f>B21</f>
        <v>基础设施水平</v>
      </c>
      <c r="R21" s="667" t="s">
        <v>14</v>
      </c>
      <c r="S21" s="668">
        <f>F21</f>
        <v>100</v>
      </c>
      <c r="T21" s="667" t="s">
        <v>14</v>
      </c>
      <c r="U21" s="668">
        <f>H21</f>
        <v>100</v>
      </c>
      <c r="V21" s="667" t="s">
        <v>14</v>
      </c>
      <c r="W21" s="668">
        <f>J21</f>
        <v>100</v>
      </c>
      <c r="X21" s="1265"/>
      <c r="Y21" s="3633"/>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3"/>
      <c r="M22" s="2488"/>
      <c r="N22" s="2488"/>
      <c r="O22" s="2488"/>
      <c r="P22" s="3640"/>
      <c r="Q22" s="1263"/>
      <c r="R22" s="667"/>
      <c r="S22" s="668"/>
      <c r="T22" s="667"/>
      <c r="U22" s="668"/>
      <c r="V22" s="667"/>
      <c r="W22" s="668"/>
      <c r="X22" s="1265"/>
      <c r="Y22" s="3633"/>
      <c r="Z22" s="1264"/>
      <c r="AA22" s="1264">
        <v>1</v>
      </c>
      <c r="AB22" s="1264">
        <v>1</v>
      </c>
      <c r="AC22" s="1812">
        <v>1</v>
      </c>
    </row>
    <row r="23" spans="1:29" ht="42.75">
      <c r="A23" s="367"/>
      <c r="B23" s="556" t="s">
        <v>1812</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3"/>
      <c r="M23" s="2488"/>
      <c r="N23" s="2488"/>
      <c r="O23" s="2488"/>
      <c r="P23" s="3640"/>
      <c r="Q23" s="1263" t="str">
        <f>B23</f>
        <v>环境质量</v>
      </c>
      <c r="R23" s="667" t="s">
        <v>14</v>
      </c>
      <c r="S23" s="668">
        <f>F23</f>
        <v>100</v>
      </c>
      <c r="T23" s="667" t="s">
        <v>14</v>
      </c>
      <c r="U23" s="668">
        <f>H23</f>
        <v>100</v>
      </c>
      <c r="V23" s="667" t="s">
        <v>14</v>
      </c>
      <c r="W23" s="668">
        <f>J23</f>
        <v>100</v>
      </c>
      <c r="X23" s="1265"/>
      <c r="Y23" s="3633"/>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3"/>
      <c r="M24" s="2488"/>
      <c r="N24" s="2488"/>
      <c r="O24" s="2488"/>
      <c r="P24" s="3640"/>
      <c r="Q24" s="1263"/>
      <c r="R24" s="667"/>
      <c r="S24" s="668"/>
      <c r="T24" s="667"/>
      <c r="U24" s="668"/>
      <c r="V24" s="667"/>
      <c r="W24" s="668"/>
      <c r="X24" s="1265"/>
      <c r="Y24" s="3633"/>
      <c r="Z24" s="1264"/>
      <c r="AA24" s="1264">
        <v>1</v>
      </c>
      <c r="AB24" s="1264">
        <v>1</v>
      </c>
      <c r="AC24" s="1812">
        <v>1</v>
      </c>
    </row>
    <row r="25" spans="1:29" ht="27">
      <c r="A25" s="348"/>
      <c r="B25" s="556" t="s">
        <v>1813</v>
      </c>
      <c r="C25" s="1762"/>
      <c r="D25" s="374">
        <v>100</v>
      </c>
      <c r="E25" s="373"/>
      <c r="F25" s="374">
        <f>SUMIF(87:87,E26,88:88)-SUMIF(87:87,C26,88:88)+100</f>
        <v>100</v>
      </c>
      <c r="G25" s="1762"/>
      <c r="H25" s="374">
        <f>SUMIF(87:87,G26,88:88)-SUMIF(87:87,C26,88:88)+100</f>
        <v>100</v>
      </c>
      <c r="I25" s="373"/>
      <c r="J25" s="374">
        <f>SUMIF(87:87,I26,88:88)-SUMIF(87:87,C26,88:88)+100</f>
        <v>100</v>
      </c>
      <c r="K25" s="540"/>
      <c r="L25" s="2493"/>
      <c r="M25" s="2488"/>
      <c r="N25" s="2488"/>
      <c r="O25" s="2488"/>
      <c r="P25" s="3640"/>
      <c r="Q25" s="1263" t="str">
        <f>B25</f>
        <v>毗邻道路的类型与等级</v>
      </c>
      <c r="R25" s="667" t="s">
        <v>14</v>
      </c>
      <c r="S25" s="668">
        <f>F25</f>
        <v>100</v>
      </c>
      <c r="T25" s="667" t="s">
        <v>14</v>
      </c>
      <c r="U25" s="668">
        <f>H25</f>
        <v>100</v>
      </c>
      <c r="V25" s="667" t="s">
        <v>14</v>
      </c>
      <c r="W25" s="668">
        <f>J25</f>
        <v>100</v>
      </c>
      <c r="X25" s="1265"/>
      <c r="Y25" s="3633"/>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3"/>
      <c r="M26" s="2488"/>
      <c r="N26" s="2488"/>
      <c r="O26" s="2488"/>
      <c r="P26" s="3640"/>
      <c r="Q26" s="1263"/>
      <c r="R26" s="667"/>
      <c r="S26" s="668"/>
      <c r="T26" s="667"/>
      <c r="U26" s="668"/>
      <c r="V26" s="667"/>
      <c r="W26" s="668"/>
      <c r="X26" s="1265"/>
      <c r="Y26" s="3633"/>
      <c r="Z26" s="1264"/>
      <c r="AA26" s="1264">
        <v>1</v>
      </c>
      <c r="AB26" s="1264">
        <v>1</v>
      </c>
      <c r="AC26" s="1812">
        <v>1</v>
      </c>
    </row>
    <row r="27" spans="1:29" ht="15">
      <c r="A27" s="367"/>
      <c r="B27" s="401" t="s">
        <v>1781</v>
      </c>
      <c r="C27" s="558"/>
      <c r="D27" s="374">
        <v>100</v>
      </c>
      <c r="E27" s="542"/>
      <c r="F27" s="374">
        <f>SUMIF(89:89,E27,90:90)-SUMIF(89:89,C27,90:90)+100</f>
        <v>100</v>
      </c>
      <c r="G27" s="558"/>
      <c r="H27" s="374">
        <f>SUMIF(89:89,G27,90:90)-SUMIF(89:89,C27,90:90)+100</f>
        <v>100</v>
      </c>
      <c r="I27" s="542"/>
      <c r="J27" s="374">
        <f>SUMIF(89:89,I27,90:90)-SUMIF(89:89,C27,90:90)+100</f>
        <v>100</v>
      </c>
      <c r="K27" s="538"/>
      <c r="L27" s="2493"/>
      <c r="M27" s="2488"/>
      <c r="N27" s="2488"/>
      <c r="O27" s="2488"/>
      <c r="P27" s="3640"/>
      <c r="Q27" s="1263" t="str">
        <f t="shared" ref="Q27:Q47" si="11">B27</f>
        <v>楼层</v>
      </c>
      <c r="R27" s="667" t="s">
        <v>14</v>
      </c>
      <c r="S27" s="668">
        <f>F27</f>
        <v>100</v>
      </c>
      <c r="T27" s="667" t="s">
        <v>14</v>
      </c>
      <c r="U27" s="668">
        <f>H27</f>
        <v>100</v>
      </c>
      <c r="V27" s="667" t="s">
        <v>14</v>
      </c>
      <c r="W27" s="668">
        <f>J27</f>
        <v>100</v>
      </c>
      <c r="X27" s="1265"/>
      <c r="Y27" s="3633"/>
      <c r="Z27" s="1264" t="str">
        <f>Q27</f>
        <v>楼层</v>
      </c>
      <c r="AA27" s="1264">
        <f t="shared" si="3"/>
        <v>1</v>
      </c>
      <c r="AB27" s="1264">
        <f t="shared" si="4"/>
        <v>1</v>
      </c>
      <c r="AC27" s="1812">
        <f t="shared" si="5"/>
        <v>1</v>
      </c>
    </row>
    <row r="28" spans="1:29" s="102" customFormat="1" ht="15">
      <c r="A28" s="370"/>
      <c r="B28" s="556" t="s">
        <v>1814</v>
      </c>
      <c r="C28" s="1815"/>
      <c r="D28" s="401">
        <v>100</v>
      </c>
      <c r="E28" s="1807"/>
      <c r="F28" s="401">
        <f>SUMIF(91:91,E28,92:92)-SUMIF(91:91,C28,92:92)+100</f>
        <v>100</v>
      </c>
      <c r="G28" s="1815"/>
      <c r="H28" s="401">
        <f>SUMIF(91:91,G28,92:92)-SUMIF(91:91,C28,92:92)+100</f>
        <v>100</v>
      </c>
      <c r="I28" s="1807"/>
      <c r="J28" s="401">
        <f>SUMIF(91:91,I28,92:92)-SUMIF(91:91,C28,92:92)+100</f>
        <v>100</v>
      </c>
      <c r="K28" s="538"/>
      <c r="L28" s="2489"/>
      <c r="M28" s="2440"/>
      <c r="N28" s="2440"/>
      <c r="O28" s="2440"/>
      <c r="P28" s="3640"/>
      <c r="Q28" s="530" t="str">
        <f t="shared" si="11"/>
        <v>朝向</v>
      </c>
      <c r="R28" s="664" t="s">
        <v>14</v>
      </c>
      <c r="S28" s="665">
        <f>F28</f>
        <v>100</v>
      </c>
      <c r="T28" s="664" t="s">
        <v>14</v>
      </c>
      <c r="U28" s="665">
        <f>H28</f>
        <v>100</v>
      </c>
      <c r="V28" s="664" t="s">
        <v>14</v>
      </c>
      <c r="W28" s="665">
        <f>J28</f>
        <v>100</v>
      </c>
      <c r="X28" s="666"/>
      <c r="Y28" s="3633"/>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3"/>
      <c r="M29" s="2488"/>
      <c r="N29" s="2488"/>
      <c r="O29" s="2488"/>
      <c r="P29" s="3640"/>
      <c r="Q29" s="1263">
        <f t="shared" si="11"/>
        <v>111</v>
      </c>
      <c r="R29" s="667" t="s">
        <v>14</v>
      </c>
      <c r="S29" s="668">
        <f t="shared" ref="S29:S47" si="12">F29</f>
        <v>100</v>
      </c>
      <c r="T29" s="667" t="s">
        <v>14</v>
      </c>
      <c r="U29" s="668">
        <f t="shared" ref="U29:U47" si="13">H29</f>
        <v>100</v>
      </c>
      <c r="V29" s="667" t="s">
        <v>14</v>
      </c>
      <c r="W29" s="668">
        <f t="shared" ref="W29:W47" si="14">J29</f>
        <v>100</v>
      </c>
      <c r="X29" s="1265"/>
      <c r="Y29" s="3633"/>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3"/>
      <c r="M30" s="2488"/>
      <c r="N30" s="2488"/>
      <c r="O30" s="2488"/>
      <c r="P30" s="3640"/>
      <c r="Q30" s="1263">
        <f t="shared" si="11"/>
        <v>111</v>
      </c>
      <c r="R30" s="667" t="s">
        <v>14</v>
      </c>
      <c r="S30" s="668">
        <f t="shared" si="12"/>
        <v>100</v>
      </c>
      <c r="T30" s="667" t="s">
        <v>14</v>
      </c>
      <c r="U30" s="668">
        <f t="shared" si="13"/>
        <v>100</v>
      </c>
      <c r="V30" s="667" t="s">
        <v>14</v>
      </c>
      <c r="W30" s="668">
        <f t="shared" si="14"/>
        <v>100</v>
      </c>
      <c r="X30" s="1265"/>
      <c r="Y30" s="3633"/>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3"/>
      <c r="M31" s="2488"/>
      <c r="N31" s="2488"/>
      <c r="O31" s="2488"/>
      <c r="P31" s="3640"/>
      <c r="Q31" s="1263">
        <f t="shared" si="11"/>
        <v>111</v>
      </c>
      <c r="R31" s="667" t="s">
        <v>14</v>
      </c>
      <c r="S31" s="668">
        <f t="shared" si="12"/>
        <v>100</v>
      </c>
      <c r="T31" s="667" t="s">
        <v>14</v>
      </c>
      <c r="U31" s="668">
        <f t="shared" si="13"/>
        <v>100</v>
      </c>
      <c r="V31" s="667" t="s">
        <v>14</v>
      </c>
      <c r="W31" s="668">
        <f t="shared" si="14"/>
        <v>100</v>
      </c>
      <c r="X31" s="1265"/>
      <c r="Y31" s="3633"/>
      <c r="Z31" s="1264">
        <f t="shared" si="15"/>
        <v>111</v>
      </c>
      <c r="AA31" s="1264">
        <f t="shared" si="3"/>
        <v>1</v>
      </c>
      <c r="AB31" s="1264">
        <f t="shared" si="4"/>
        <v>1</v>
      </c>
      <c r="AC31" s="1812">
        <f t="shared" si="5"/>
        <v>1</v>
      </c>
    </row>
    <row r="32" spans="1:29" ht="15.75"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3"/>
      <c r="M32" s="2488"/>
      <c r="N32" s="2488"/>
      <c r="O32" s="2488"/>
      <c r="P32" s="3640"/>
      <c r="Q32" s="1263">
        <f t="shared" si="11"/>
        <v>111</v>
      </c>
      <c r="R32" s="667" t="s">
        <v>14</v>
      </c>
      <c r="S32" s="668">
        <f t="shared" si="12"/>
        <v>100</v>
      </c>
      <c r="T32" s="667" t="s">
        <v>14</v>
      </c>
      <c r="U32" s="668">
        <f t="shared" si="13"/>
        <v>100</v>
      </c>
      <c r="V32" s="667" t="s">
        <v>14</v>
      </c>
      <c r="W32" s="668">
        <f t="shared" si="14"/>
        <v>100</v>
      </c>
      <c r="X32" s="1265"/>
      <c r="Y32" s="3633"/>
      <c r="Z32" s="1264">
        <f t="shared" si="15"/>
        <v>111</v>
      </c>
      <c r="AA32" s="1264">
        <f t="shared" si="3"/>
        <v>1</v>
      </c>
      <c r="AB32" s="1264">
        <f t="shared" si="4"/>
        <v>1</v>
      </c>
      <c r="AC32" s="1812">
        <f t="shared" si="5"/>
        <v>1</v>
      </c>
    </row>
    <row r="33" spans="1:29" ht="15">
      <c r="A33" s="379" t="s">
        <v>1692</v>
      </c>
      <c r="B33" s="60" t="s">
        <v>1815</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3"/>
      <c r="M33" s="2488"/>
      <c r="N33" s="2488"/>
      <c r="O33" s="2488"/>
      <c r="P33" s="3634" t="s">
        <v>1694</v>
      </c>
      <c r="Q33" s="1263" t="str">
        <f t="shared" si="11"/>
        <v>建筑类型</v>
      </c>
      <c r="R33" s="667" t="s">
        <v>14</v>
      </c>
      <c r="S33" s="668">
        <f t="shared" si="12"/>
        <v>100</v>
      </c>
      <c r="T33" s="667" t="s">
        <v>14</v>
      </c>
      <c r="U33" s="668">
        <f t="shared" si="13"/>
        <v>100</v>
      </c>
      <c r="V33" s="667" t="s">
        <v>14</v>
      </c>
      <c r="W33" s="668">
        <f t="shared" si="14"/>
        <v>100</v>
      </c>
      <c r="X33" s="1265"/>
      <c r="Y33" s="3637" t="s">
        <v>1694</v>
      </c>
      <c r="Z33" s="1264" t="str">
        <f t="shared" si="15"/>
        <v>建筑类型</v>
      </c>
      <c r="AA33" s="1264">
        <f t="shared" si="3"/>
        <v>1</v>
      </c>
      <c r="AB33" s="1264">
        <f t="shared" si="4"/>
        <v>1</v>
      </c>
      <c r="AC33" s="1812">
        <f t="shared" si="5"/>
        <v>1</v>
      </c>
    </row>
    <row r="34" spans="1:29" s="408" customFormat="1" ht="15">
      <c r="A34" s="406"/>
      <c r="B34" s="364" t="s">
        <v>1695</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2"/>
      <c r="M34" s="2494"/>
      <c r="N34" s="2494"/>
      <c r="O34" s="2494"/>
      <c r="P34" s="3635"/>
      <c r="Q34" s="531" t="str">
        <f t="shared" si="11"/>
        <v>项目建筑规模</v>
      </c>
      <c r="R34" s="669" t="s">
        <v>14</v>
      </c>
      <c r="S34" s="670" t="e">
        <f t="shared" si="12"/>
        <v>#N/A</v>
      </c>
      <c r="T34" s="669" t="s">
        <v>14</v>
      </c>
      <c r="U34" s="670" t="e">
        <f t="shared" si="13"/>
        <v>#N/A</v>
      </c>
      <c r="V34" s="669" t="s">
        <v>14</v>
      </c>
      <c r="W34" s="670" t="e">
        <f t="shared" si="14"/>
        <v>#N/A</v>
      </c>
      <c r="X34" s="671"/>
      <c r="Y34" s="3637"/>
      <c r="Z34" s="672" t="str">
        <f t="shared" si="15"/>
        <v>项目建筑规模</v>
      </c>
      <c r="AA34" s="1264" t="e">
        <f t="shared" si="3"/>
        <v>#N/A</v>
      </c>
      <c r="AB34" s="1264" t="e">
        <f t="shared" si="4"/>
        <v>#N/A</v>
      </c>
      <c r="AC34" s="1812" t="e">
        <f t="shared" si="5"/>
        <v>#N/A</v>
      </c>
    </row>
    <row r="35" spans="1:29" ht="15">
      <c r="A35" s="409"/>
      <c r="B35" s="364" t="s">
        <v>1696</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3"/>
      <c r="M35" s="2488"/>
      <c r="N35" s="2488"/>
      <c r="O35" s="2488"/>
      <c r="P35" s="3635"/>
      <c r="Q35" s="1263" t="str">
        <f t="shared" si="11"/>
        <v>建筑结构</v>
      </c>
      <c r="R35" s="667" t="s">
        <v>14</v>
      </c>
      <c r="S35" s="668">
        <f t="shared" si="12"/>
        <v>100</v>
      </c>
      <c r="T35" s="667" t="s">
        <v>14</v>
      </c>
      <c r="U35" s="668">
        <f t="shared" si="13"/>
        <v>100</v>
      </c>
      <c r="V35" s="667" t="s">
        <v>14</v>
      </c>
      <c r="W35" s="668">
        <f t="shared" si="14"/>
        <v>100</v>
      </c>
      <c r="X35" s="1265"/>
      <c r="Y35" s="3637"/>
      <c r="Z35" s="1264" t="str">
        <f t="shared" si="15"/>
        <v>建筑结构</v>
      </c>
      <c r="AA35" s="1264">
        <f t="shared" si="3"/>
        <v>1</v>
      </c>
      <c r="AB35" s="1264">
        <f t="shared" si="4"/>
        <v>1</v>
      </c>
      <c r="AC35" s="1812">
        <f t="shared" si="5"/>
        <v>1</v>
      </c>
    </row>
    <row r="36" spans="1:29" ht="15">
      <c r="A36" s="409"/>
      <c r="B36" s="364" t="s">
        <v>1783</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3"/>
      <c r="M36" s="2488"/>
      <c r="N36" s="2488"/>
      <c r="O36" s="2488"/>
      <c r="P36" s="3635"/>
      <c r="Q36" s="1263" t="str">
        <f t="shared" si="11"/>
        <v>公共部分装修</v>
      </c>
      <c r="R36" s="667" t="s">
        <v>14</v>
      </c>
      <c r="S36" s="668">
        <f t="shared" si="12"/>
        <v>100</v>
      </c>
      <c r="T36" s="667" t="s">
        <v>14</v>
      </c>
      <c r="U36" s="668">
        <f t="shared" si="13"/>
        <v>100</v>
      </c>
      <c r="V36" s="667" t="s">
        <v>14</v>
      </c>
      <c r="W36" s="668">
        <f t="shared" si="14"/>
        <v>100</v>
      </c>
      <c r="X36" s="1265"/>
      <c r="Y36" s="3637"/>
      <c r="Z36" s="1264" t="str">
        <f t="shared" si="15"/>
        <v>公共部分装修</v>
      </c>
      <c r="AA36" s="1264">
        <f t="shared" si="3"/>
        <v>1</v>
      </c>
      <c r="AB36" s="1264">
        <f t="shared" si="4"/>
        <v>1</v>
      </c>
      <c r="AC36" s="1812">
        <f t="shared" si="5"/>
        <v>1</v>
      </c>
    </row>
    <row r="37" spans="1:29" ht="15">
      <c r="A37" s="409"/>
      <c r="B37" s="364" t="s">
        <v>1784</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3"/>
      <c r="M37" s="2488"/>
      <c r="N37" s="2488"/>
      <c r="O37" s="2488"/>
      <c r="P37" s="3635"/>
      <c r="Q37" s="1263" t="str">
        <f t="shared" si="11"/>
        <v>成新度</v>
      </c>
      <c r="R37" s="667" t="s">
        <v>14</v>
      </c>
      <c r="S37" s="668" t="e">
        <f t="shared" si="12"/>
        <v>#N/A</v>
      </c>
      <c r="T37" s="667" t="s">
        <v>14</v>
      </c>
      <c r="U37" s="668" t="e">
        <f t="shared" si="13"/>
        <v>#N/A</v>
      </c>
      <c r="V37" s="667" t="s">
        <v>14</v>
      </c>
      <c r="W37" s="668" t="e">
        <f t="shared" si="14"/>
        <v>#N/A</v>
      </c>
      <c r="X37" s="1265"/>
      <c r="Y37" s="3637"/>
      <c r="Z37" s="1264" t="str">
        <f t="shared" si="15"/>
        <v>成新度</v>
      </c>
      <c r="AA37" s="1264" t="e">
        <f t="shared" si="3"/>
        <v>#N/A</v>
      </c>
      <c r="AB37" s="1264" t="e">
        <f t="shared" si="4"/>
        <v>#N/A</v>
      </c>
      <c r="AC37" s="1812" t="e">
        <f t="shared" si="5"/>
        <v>#N/A</v>
      </c>
    </row>
    <row r="38" spans="1:29" s="102" customFormat="1" ht="15">
      <c r="A38" s="410"/>
      <c r="B38" s="364" t="s">
        <v>1816</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9"/>
      <c r="M38" s="2440"/>
      <c r="N38" s="2440"/>
      <c r="O38" s="2440"/>
      <c r="P38" s="3635"/>
      <c r="Q38" s="530" t="str">
        <f t="shared" si="11"/>
        <v>写字楼等级</v>
      </c>
      <c r="R38" s="664" t="s">
        <v>14</v>
      </c>
      <c r="S38" s="665">
        <f t="shared" si="12"/>
        <v>100</v>
      </c>
      <c r="T38" s="664" t="s">
        <v>14</v>
      </c>
      <c r="U38" s="665">
        <f t="shared" si="13"/>
        <v>100</v>
      </c>
      <c r="V38" s="664" t="s">
        <v>14</v>
      </c>
      <c r="W38" s="665">
        <f t="shared" si="14"/>
        <v>100</v>
      </c>
      <c r="X38" s="666"/>
      <c r="Y38" s="3637"/>
      <c r="Z38" s="50" t="str">
        <f t="shared" si="15"/>
        <v>写字楼等级</v>
      </c>
      <c r="AA38" s="50">
        <f t="shared" si="3"/>
        <v>1</v>
      </c>
      <c r="AB38" s="50">
        <f t="shared" si="4"/>
        <v>1</v>
      </c>
      <c r="AC38" s="802">
        <f t="shared" si="5"/>
        <v>1</v>
      </c>
    </row>
    <row r="39" spans="1:29" ht="15">
      <c r="A39" s="409"/>
      <c r="B39" s="364" t="s">
        <v>1817</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3"/>
      <c r="M39" s="2488"/>
      <c r="N39" s="2488"/>
      <c r="O39" s="2488"/>
      <c r="P39" s="3635" t="s">
        <v>1694</v>
      </c>
      <c r="Q39" s="1263" t="str">
        <f t="shared" si="11"/>
        <v>物业管理</v>
      </c>
      <c r="R39" s="667" t="s">
        <v>14</v>
      </c>
      <c r="S39" s="668">
        <f t="shared" si="12"/>
        <v>100</v>
      </c>
      <c r="T39" s="667" t="s">
        <v>14</v>
      </c>
      <c r="U39" s="668">
        <f t="shared" si="13"/>
        <v>100</v>
      </c>
      <c r="V39" s="667" t="s">
        <v>14</v>
      </c>
      <c r="W39" s="668">
        <f t="shared" si="14"/>
        <v>100</v>
      </c>
      <c r="X39" s="1265"/>
      <c r="Y39" s="3637" t="s">
        <v>1694</v>
      </c>
      <c r="Z39" s="1264" t="str">
        <f t="shared" si="15"/>
        <v>物业管理</v>
      </c>
      <c r="AA39" s="1264">
        <f t="shared" si="3"/>
        <v>1</v>
      </c>
      <c r="AB39" s="1264">
        <f t="shared" si="4"/>
        <v>1</v>
      </c>
      <c r="AC39" s="1812">
        <f t="shared" si="5"/>
        <v>1</v>
      </c>
    </row>
    <row r="40" spans="1:29" ht="15">
      <c r="A40" s="409"/>
      <c r="B40" s="364" t="s">
        <v>1785</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3"/>
      <c r="M40" s="2488"/>
      <c r="N40" s="2488"/>
      <c r="O40" s="2488"/>
      <c r="P40" s="3635"/>
      <c r="Q40" s="1263" t="str">
        <f t="shared" si="11"/>
        <v>市政基础设施</v>
      </c>
      <c r="R40" s="667" t="s">
        <v>14</v>
      </c>
      <c r="S40" s="668">
        <f t="shared" si="12"/>
        <v>100</v>
      </c>
      <c r="T40" s="667" t="s">
        <v>14</v>
      </c>
      <c r="U40" s="668">
        <f t="shared" si="13"/>
        <v>100</v>
      </c>
      <c r="V40" s="667" t="s">
        <v>14</v>
      </c>
      <c r="W40" s="668">
        <f t="shared" si="14"/>
        <v>100</v>
      </c>
      <c r="X40" s="1265"/>
      <c r="Y40" s="3637"/>
      <c r="Z40" s="1264" t="str">
        <f t="shared" si="15"/>
        <v>市政基础设施</v>
      </c>
      <c r="AA40" s="1264">
        <f t="shared" si="3"/>
        <v>1</v>
      </c>
      <c r="AB40" s="1264">
        <f t="shared" si="4"/>
        <v>1</v>
      </c>
      <c r="AC40" s="1812">
        <f t="shared" si="5"/>
        <v>1</v>
      </c>
    </row>
    <row r="41" spans="1:29" ht="15">
      <c r="A41" s="409"/>
      <c r="B41" s="364" t="s">
        <v>1787</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3"/>
      <c r="M41" s="2488"/>
      <c r="N41" s="2488"/>
      <c r="O41" s="2488"/>
      <c r="P41" s="3635"/>
      <c r="Q41" s="1263" t="str">
        <f t="shared" si="11"/>
        <v>层高</v>
      </c>
      <c r="R41" s="667" t="s">
        <v>14</v>
      </c>
      <c r="S41" s="668">
        <f t="shared" si="12"/>
        <v>100</v>
      </c>
      <c r="T41" s="667" t="s">
        <v>14</v>
      </c>
      <c r="U41" s="668">
        <f t="shared" si="13"/>
        <v>100</v>
      </c>
      <c r="V41" s="667" t="s">
        <v>14</v>
      </c>
      <c r="W41" s="668">
        <f t="shared" si="14"/>
        <v>100</v>
      </c>
      <c r="X41" s="1265"/>
      <c r="Y41" s="3637"/>
      <c r="Z41" s="1264" t="str">
        <f t="shared" si="15"/>
        <v>层高</v>
      </c>
      <c r="AA41" s="1264">
        <f t="shared" si="3"/>
        <v>1</v>
      </c>
      <c r="AB41" s="1264">
        <f t="shared" si="4"/>
        <v>1</v>
      </c>
      <c r="AC41" s="1812">
        <f t="shared" si="5"/>
        <v>1</v>
      </c>
    </row>
    <row r="42" spans="1:29" s="408" customFormat="1" ht="15">
      <c r="A42" s="406"/>
      <c r="B42" s="400" t="s">
        <v>1818</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2"/>
      <c r="M42" s="2494"/>
      <c r="N42" s="2494"/>
      <c r="O42" s="2494"/>
      <c r="P42" s="3635"/>
      <c r="Q42" s="531" t="str">
        <f t="shared" si="11"/>
        <v>单套建筑面积</v>
      </c>
      <c r="R42" s="669" t="s">
        <v>14</v>
      </c>
      <c r="S42" s="670">
        <f t="shared" si="12"/>
        <v>100</v>
      </c>
      <c r="T42" s="669" t="s">
        <v>14</v>
      </c>
      <c r="U42" s="670">
        <f t="shared" si="13"/>
        <v>100</v>
      </c>
      <c r="V42" s="669" t="s">
        <v>14</v>
      </c>
      <c r="W42" s="670">
        <f t="shared" si="14"/>
        <v>100</v>
      </c>
      <c r="X42" s="671"/>
      <c r="Y42" s="3637"/>
      <c r="Z42" s="672" t="str">
        <f t="shared" si="15"/>
        <v>单套建筑面积</v>
      </c>
      <c r="AA42" s="1264">
        <f t="shared" si="3"/>
        <v>1</v>
      </c>
      <c r="AB42" s="1264">
        <f t="shared" si="4"/>
        <v>1</v>
      </c>
      <c r="AC42" s="1812">
        <f t="shared" si="5"/>
        <v>1</v>
      </c>
    </row>
    <row r="43" spans="1:29" ht="15">
      <c r="A43" s="409"/>
      <c r="B43" s="364" t="s">
        <v>1790</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3"/>
      <c r="M43" s="2488"/>
      <c r="N43" s="2488"/>
      <c r="O43" s="2488"/>
      <c r="P43" s="3635"/>
      <c r="Q43" s="1263" t="str">
        <f t="shared" si="11"/>
        <v>内部装修</v>
      </c>
      <c r="R43" s="667" t="s">
        <v>14</v>
      </c>
      <c r="S43" s="668">
        <f t="shared" si="12"/>
        <v>100</v>
      </c>
      <c r="T43" s="667" t="s">
        <v>14</v>
      </c>
      <c r="U43" s="668">
        <f t="shared" si="13"/>
        <v>100</v>
      </c>
      <c r="V43" s="667" t="s">
        <v>14</v>
      </c>
      <c r="W43" s="668">
        <f t="shared" si="14"/>
        <v>100</v>
      </c>
      <c r="X43" s="1265"/>
      <c r="Y43" s="3637"/>
      <c r="Z43" s="1264" t="str">
        <f t="shared" si="15"/>
        <v>内部装修</v>
      </c>
      <c r="AA43" s="1264">
        <f t="shared" si="3"/>
        <v>1</v>
      </c>
      <c r="AB43" s="1264">
        <f t="shared" si="4"/>
        <v>1</v>
      </c>
      <c r="AC43" s="1812">
        <f t="shared" si="5"/>
        <v>1</v>
      </c>
    </row>
    <row r="44" spans="1:29" ht="15">
      <c r="A44" s="409"/>
      <c r="B44" s="364" t="s">
        <v>1705</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3"/>
      <c r="M44" s="2488"/>
      <c r="N44" s="2488"/>
      <c r="O44" s="2488"/>
      <c r="P44" s="3635"/>
      <c r="Q44" s="1263" t="str">
        <f t="shared" si="11"/>
        <v>内部装修维护情况</v>
      </c>
      <c r="R44" s="667" t="s">
        <v>14</v>
      </c>
      <c r="S44" s="668">
        <f t="shared" si="12"/>
        <v>100</v>
      </c>
      <c r="T44" s="667" t="s">
        <v>14</v>
      </c>
      <c r="U44" s="668">
        <f t="shared" si="13"/>
        <v>100</v>
      </c>
      <c r="V44" s="667" t="s">
        <v>14</v>
      </c>
      <c r="W44" s="668">
        <f t="shared" si="14"/>
        <v>100</v>
      </c>
      <c r="X44" s="1265"/>
      <c r="Y44" s="3637"/>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9"/>
      <c r="M45" s="2440"/>
      <c r="N45" s="2440"/>
      <c r="O45" s="2440"/>
      <c r="P45" s="3635"/>
      <c r="Q45" s="530">
        <f t="shared" si="11"/>
        <v>111</v>
      </c>
      <c r="R45" s="664" t="s">
        <v>14</v>
      </c>
      <c r="S45" s="665">
        <f t="shared" si="12"/>
        <v>100</v>
      </c>
      <c r="T45" s="664" t="s">
        <v>14</v>
      </c>
      <c r="U45" s="665">
        <f t="shared" si="13"/>
        <v>100</v>
      </c>
      <c r="V45" s="664" t="s">
        <v>14</v>
      </c>
      <c r="W45" s="665">
        <f t="shared" si="14"/>
        <v>100</v>
      </c>
      <c r="X45" s="666"/>
      <c r="Y45" s="3637"/>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3"/>
      <c r="M46" s="2488"/>
      <c r="N46" s="2488"/>
      <c r="O46" s="2488"/>
      <c r="P46" s="3635"/>
      <c r="Q46" s="1263">
        <f t="shared" si="11"/>
        <v>111</v>
      </c>
      <c r="R46" s="667" t="s">
        <v>14</v>
      </c>
      <c r="S46" s="668">
        <f t="shared" si="12"/>
        <v>100</v>
      </c>
      <c r="T46" s="667" t="s">
        <v>14</v>
      </c>
      <c r="U46" s="668">
        <f t="shared" si="13"/>
        <v>100</v>
      </c>
      <c r="V46" s="667" t="s">
        <v>14</v>
      </c>
      <c r="W46" s="668">
        <f t="shared" si="14"/>
        <v>100</v>
      </c>
      <c r="X46" s="1265"/>
      <c r="Y46" s="3637"/>
      <c r="Z46" s="1264">
        <f t="shared" si="15"/>
        <v>111</v>
      </c>
      <c r="AA46" s="1264">
        <f t="shared" si="3"/>
        <v>1</v>
      </c>
      <c r="AB46" s="1264">
        <f t="shared" si="4"/>
        <v>1</v>
      </c>
      <c r="AC46" s="1812">
        <f t="shared" si="5"/>
        <v>1</v>
      </c>
    </row>
    <row r="47" spans="1:29" ht="15.75"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3"/>
      <c r="M47" s="2488"/>
      <c r="N47" s="2488"/>
      <c r="O47" s="2488"/>
      <c r="P47" s="3636"/>
      <c r="Q47" s="1263">
        <f t="shared" si="11"/>
        <v>111</v>
      </c>
      <c r="R47" s="667" t="s">
        <v>14</v>
      </c>
      <c r="S47" s="668">
        <f t="shared" si="12"/>
        <v>100</v>
      </c>
      <c r="T47" s="667" t="s">
        <v>14</v>
      </c>
      <c r="U47" s="668">
        <f t="shared" si="13"/>
        <v>100</v>
      </c>
      <c r="V47" s="667" t="s">
        <v>14</v>
      </c>
      <c r="W47" s="668">
        <f t="shared" si="14"/>
        <v>100</v>
      </c>
      <c r="X47" s="1265"/>
      <c r="Y47" s="3638"/>
      <c r="Z47" s="1264">
        <f t="shared" si="15"/>
        <v>111</v>
      </c>
      <c r="AA47" s="1264">
        <f t="shared" si="3"/>
        <v>1</v>
      </c>
      <c r="AB47" s="1264">
        <f t="shared" si="4"/>
        <v>1</v>
      </c>
      <c r="AC47" s="1812">
        <f t="shared" si="5"/>
        <v>1</v>
      </c>
    </row>
    <row r="48" spans="1:29" ht="15">
      <c r="A48" s="416" t="s">
        <v>1706</v>
      </c>
      <c r="B48" s="417"/>
      <c r="C48" s="1081" t="s">
        <v>0</v>
      </c>
      <c r="D48" s="418"/>
      <c r="E48" s="419"/>
      <c r="F48" s="420"/>
      <c r="G48" s="421"/>
      <c r="H48" s="422"/>
      <c r="I48" s="419"/>
      <c r="J48" s="422"/>
      <c r="K48" s="674"/>
      <c r="L48" s="2495"/>
      <c r="M48" s="2488"/>
      <c r="N48" s="2488"/>
      <c r="O48" s="2488"/>
      <c r="P48" s="3613" t="str">
        <f>A48</f>
        <v>成交单价（元/平方米）</v>
      </c>
      <c r="Q48" s="3631"/>
      <c r="R48" s="3626">
        <f>E48</f>
        <v>0</v>
      </c>
      <c r="S48" s="3626"/>
      <c r="T48" s="3626">
        <f>G48</f>
        <v>0</v>
      </c>
      <c r="U48" s="3626"/>
      <c r="V48" s="3626">
        <f>I48</f>
        <v>0</v>
      </c>
      <c r="W48" s="3626"/>
      <c r="X48" s="385"/>
      <c r="Y48" s="673"/>
      <c r="Z48" s="385"/>
      <c r="AA48" s="385"/>
      <c r="AB48" s="385"/>
      <c r="AC48" s="555"/>
    </row>
    <row r="49" spans="1:29" ht="15.75" thickBot="1">
      <c r="A49" s="423" t="s">
        <v>1791</v>
      </c>
      <c r="B49" s="424"/>
      <c r="C49" s="1082" t="e">
        <f>R50</f>
        <v>#DIV/0!</v>
      </c>
      <c r="D49" s="2141" t="s">
        <v>2136</v>
      </c>
      <c r="E49" s="1083" t="e">
        <f>R49</f>
        <v>#DIV/0!</v>
      </c>
      <c r="F49" s="2142"/>
      <c r="G49" s="1082" t="e">
        <f>T49</f>
        <v>#DIV/0!</v>
      </c>
      <c r="H49" s="2142"/>
      <c r="I49" s="1083" t="e">
        <f>V49</f>
        <v>#DIV/0!</v>
      </c>
      <c r="J49" s="2142"/>
      <c r="K49" s="2144">
        <f>F49+H49+J49</f>
        <v>0</v>
      </c>
      <c r="L49" s="2495"/>
      <c r="M49" s="2488"/>
      <c r="N49" s="2488"/>
      <c r="O49" s="2488"/>
      <c r="P49" s="3613" t="str">
        <f>A49</f>
        <v>比较价值（元/平方米）</v>
      </c>
      <c r="Q49" s="3631"/>
      <c r="R49" s="3626" t="e">
        <f>IF(F1="售价",ROUND(PRODUCT(R48,AA7:AA47),0),ROUND(PRODUCT(R48,AA7:AA47),1))</f>
        <v>#DIV/0!</v>
      </c>
      <c r="S49" s="3626"/>
      <c r="T49" s="3626" t="e">
        <f>IF(F1="售价",ROUND(PRODUCT(T48,AB7:AB47),0),ROUND(PRODUCT(T48,AB7:AB47),1))</f>
        <v>#DIV/0!</v>
      </c>
      <c r="U49" s="3626"/>
      <c r="V49" s="3626" t="e">
        <f>IF(F1="售价",ROUND(PRODUCT(V48,AC7:AC47),0),ROUND(PRODUCT(V48,AC7:AC47),1))</f>
        <v>#DIV/0!</v>
      </c>
      <c r="W49" s="3626"/>
      <c r="X49" s="385"/>
      <c r="Y49" s="385"/>
      <c r="Z49" s="385"/>
      <c r="AA49" s="385"/>
      <c r="AB49" s="385"/>
      <c r="AC49" s="555"/>
    </row>
    <row r="50" spans="1:29" ht="15.75" thickBot="1">
      <c r="A50" s="427" t="s">
        <v>1792</v>
      </c>
      <c r="B50" s="428"/>
      <c r="C50" s="351" t="e">
        <f>R50</f>
        <v>#DIV/0!</v>
      </c>
      <c r="D50" s="351"/>
      <c r="E50" s="351"/>
      <c r="F50" s="351"/>
      <c r="G50" s="351"/>
      <c r="H50" s="351"/>
      <c r="I50" s="351"/>
      <c r="J50" s="429"/>
      <c r="K50" s="675"/>
      <c r="L50" s="2495"/>
      <c r="M50" s="2488"/>
      <c r="N50" s="2488"/>
      <c r="O50" s="2488"/>
      <c r="P50" s="3653" t="str">
        <f>A50</f>
        <v>估价对象XX用房的比较价值（楼面单价，元/平方米）</v>
      </c>
      <c r="Q50" s="3654"/>
      <c r="R50" s="3655" t="e">
        <f>IF(F1="售价",ROUND(IF(D49="简单平均",AVERAGE(R49:V49),R49*F49+T49*H49+V49*J49),0),ROUND(IF(D49="简单平均",AVERAGE(R49:V49),R49*F49+T49*H49+V49*J49),1))</f>
        <v>#DIV/0!</v>
      </c>
      <c r="S50" s="3655"/>
      <c r="T50" s="3655"/>
      <c r="U50" s="3655"/>
      <c r="V50" s="3655"/>
      <c r="W50" s="3655"/>
      <c r="X50" s="1798"/>
      <c r="Y50" s="1798"/>
      <c r="Z50" s="1798"/>
      <c r="AA50" s="1798"/>
      <c r="AB50" s="1798"/>
      <c r="AC50" s="1799"/>
    </row>
    <row r="51" spans="1:29">
      <c r="A51" s="2488"/>
      <c r="B51" s="2488"/>
      <c r="C51" s="2488"/>
      <c r="D51" s="2488"/>
      <c r="E51" s="2488"/>
      <c r="F51" s="2488"/>
      <c r="G51" s="2499"/>
      <c r="H51" s="2488"/>
      <c r="I51" s="2488"/>
      <c r="J51" s="2488"/>
      <c r="K51" s="2500"/>
      <c r="L51" s="2496"/>
      <c r="M51" s="2488"/>
      <c r="N51" s="2488"/>
      <c r="O51" s="2488"/>
      <c r="P51" s="2525"/>
      <c r="Q51" s="2488"/>
      <c r="R51" s="2488"/>
      <c r="S51" s="2488"/>
      <c r="T51" s="2488"/>
      <c r="U51" s="2488"/>
      <c r="V51" s="2488"/>
      <c r="W51" s="2488"/>
      <c r="X51" s="2488"/>
      <c r="Y51" s="2488"/>
      <c r="Z51" s="2488"/>
      <c r="AA51" s="2488"/>
      <c r="AB51" s="2488"/>
      <c r="AC51" s="2488"/>
    </row>
    <row r="52" spans="1:29">
      <c r="A52" s="2488"/>
      <c r="B52" s="2488"/>
      <c r="C52" s="2488"/>
      <c r="D52" s="2488"/>
      <c r="E52" s="2488"/>
      <c r="F52" s="2488"/>
      <c r="G52" s="2488"/>
      <c r="H52" s="2488"/>
      <c r="I52" s="2488"/>
      <c r="J52" s="2488"/>
      <c r="K52" s="2500"/>
      <c r="L52" s="2496"/>
      <c r="M52" s="2488"/>
      <c r="N52" s="2488"/>
      <c r="O52" s="2488"/>
      <c r="P52" s="2525"/>
      <c r="Q52" s="2488"/>
      <c r="R52" s="2488"/>
      <c r="S52" s="2488"/>
      <c r="T52" s="2488"/>
      <c r="U52" s="2488"/>
      <c r="V52" s="2488"/>
      <c r="W52" s="2488"/>
      <c r="X52" s="2488"/>
      <c r="Y52" s="2488"/>
      <c r="Z52" s="2488"/>
      <c r="AA52" s="2488"/>
      <c r="AB52" s="2488"/>
      <c r="AC52" s="2488"/>
    </row>
    <row r="53" spans="1:29" ht="13.5" customHeight="1">
      <c r="A53" s="2488"/>
      <c r="B53" s="2488"/>
      <c r="C53" s="432" t="s">
        <v>1793</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500"/>
      <c r="L53" s="2496"/>
      <c r="M53" s="2488"/>
      <c r="N53" s="2488"/>
      <c r="O53" s="2488"/>
      <c r="P53" s="2525"/>
      <c r="Q53" s="2488"/>
      <c r="R53" s="2488"/>
      <c r="S53" s="2488"/>
      <c r="T53" s="2488"/>
      <c r="U53" s="2488"/>
      <c r="V53" s="2488"/>
      <c r="W53" s="2488"/>
      <c r="X53" s="2488"/>
      <c r="Y53" s="2488"/>
      <c r="Z53" s="2488"/>
      <c r="AA53" s="2488"/>
      <c r="AB53" s="2488"/>
      <c r="AC53" s="2488"/>
    </row>
    <row r="54" spans="1:29" ht="13.5" customHeight="1">
      <c r="A54" s="2488"/>
      <c r="B54" s="2488"/>
      <c r="C54" s="432" t="s">
        <v>1794</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500"/>
      <c r="L54" s="2496"/>
      <c r="M54" s="2488"/>
      <c r="N54" s="2488"/>
      <c r="O54" s="2488"/>
      <c r="P54" s="2525"/>
      <c r="Q54" s="2488"/>
      <c r="R54" s="2488"/>
      <c r="S54" s="2488"/>
      <c r="T54" s="2488"/>
      <c r="U54" s="2488"/>
      <c r="V54" s="2488"/>
      <c r="W54" s="2488"/>
      <c r="X54" s="2488"/>
      <c r="Y54" s="2488"/>
      <c r="Z54" s="2488"/>
      <c r="AA54" s="2488"/>
      <c r="AB54" s="2488"/>
      <c r="AC54" s="2488"/>
    </row>
    <row r="55" spans="1:29" s="437" customFormat="1" ht="13.5" customHeight="1">
      <c r="A55" s="2498"/>
      <c r="B55" s="2498"/>
      <c r="C55" s="432" t="s">
        <v>1795</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3"/>
      <c r="L55" s="2497"/>
      <c r="M55" s="2498"/>
      <c r="N55" s="2498"/>
      <c r="O55" s="2498"/>
      <c r="P55" s="2526"/>
      <c r="Q55" s="2498"/>
      <c r="R55" s="2498"/>
      <c r="S55" s="2498"/>
      <c r="T55" s="2498"/>
      <c r="U55" s="2498"/>
      <c r="V55" s="2498"/>
      <c r="W55" s="2498"/>
      <c r="X55" s="2498"/>
      <c r="Y55" s="2498"/>
      <c r="Z55" s="2498"/>
      <c r="AA55" s="2498"/>
      <c r="AB55" s="2498"/>
      <c r="AC55" s="2498"/>
    </row>
    <row r="56" spans="1:29" s="437" customFormat="1">
      <c r="A56" s="2498"/>
      <c r="B56" s="2501"/>
      <c r="C56" s="2502"/>
      <c r="D56" s="2498"/>
      <c r="E56" s="2498"/>
      <c r="F56" s="2498"/>
      <c r="G56" s="2498"/>
      <c r="H56" s="2498"/>
      <c r="I56" s="2498"/>
      <c r="J56" s="2498"/>
      <c r="K56" s="2503"/>
      <c r="L56" s="2497"/>
      <c r="M56" s="2498"/>
      <c r="N56" s="2498"/>
      <c r="O56" s="2498"/>
      <c r="P56" s="2526"/>
      <c r="Q56" s="2498"/>
      <c r="R56" s="2498"/>
      <c r="S56" s="2498"/>
      <c r="T56" s="2498"/>
      <c r="U56" s="2498"/>
      <c r="V56" s="2498"/>
      <c r="W56" s="2498"/>
      <c r="X56" s="2498"/>
      <c r="Y56" s="2498"/>
      <c r="Z56" s="2498"/>
      <c r="AA56" s="2498"/>
      <c r="AB56" s="2498"/>
      <c r="AC56" s="2498"/>
    </row>
    <row r="57" spans="1:29">
      <c r="A57" s="2488"/>
      <c r="B57" s="2501"/>
      <c r="C57" s="2502"/>
      <c r="D57" s="2488"/>
      <c r="E57" s="2488"/>
      <c r="F57" s="2488"/>
      <c r="G57" s="2488"/>
      <c r="H57" s="2488"/>
      <c r="I57" s="2488"/>
      <c r="J57" s="2488"/>
      <c r="K57" s="2500"/>
      <c r="L57" s="2496"/>
      <c r="M57" s="2488"/>
      <c r="N57" s="2488"/>
      <c r="O57" s="2488"/>
      <c r="P57" s="2525"/>
      <c r="Q57" s="2488"/>
      <c r="R57" s="2488"/>
      <c r="S57" s="2488"/>
      <c r="T57" s="2488"/>
      <c r="U57" s="2488"/>
      <c r="V57" s="2488"/>
      <c r="W57" s="2488"/>
      <c r="X57" s="2488"/>
      <c r="Y57" s="2488"/>
      <c r="Z57" s="2488"/>
      <c r="AA57" s="2488"/>
      <c r="AB57" s="2488"/>
      <c r="AC57" s="2488"/>
    </row>
    <row r="58" spans="1:29" ht="21.75" thickBot="1">
      <c r="A58" s="658" t="s">
        <v>1796</v>
      </c>
      <c r="B58" s="385"/>
      <c r="C58" s="659"/>
      <c r="D58" s="659"/>
      <c r="E58" s="659"/>
      <c r="F58" s="660"/>
      <c r="G58" s="660"/>
      <c r="H58" s="659"/>
      <c r="I58" s="659"/>
      <c r="J58" s="659"/>
      <c r="K58" s="661"/>
      <c r="L58" s="888"/>
      <c r="M58" s="886"/>
      <c r="N58" s="2538"/>
      <c r="O58" s="2538"/>
      <c r="P58" s="2527"/>
      <c r="Q58" s="2509"/>
      <c r="R58" s="2488"/>
      <c r="S58" s="2488"/>
      <c r="T58" s="2488"/>
      <c r="U58" s="2488"/>
      <c r="V58" s="2488"/>
      <c r="W58" s="2488"/>
      <c r="X58" s="2488"/>
      <c r="Y58" s="2488"/>
      <c r="Z58" s="2488"/>
      <c r="AA58" s="2488"/>
      <c r="AB58" s="2488"/>
      <c r="AC58" s="2488"/>
    </row>
    <row r="59" spans="1:29" s="442" customFormat="1" ht="15">
      <c r="A59" s="440" t="s">
        <v>1677</v>
      </c>
      <c r="B59" s="441"/>
      <c r="C59" s="1103" t="str">
        <f>YEAR(C7)&amp;"-"&amp;MONTH(C7)</f>
        <v>2025-7</v>
      </c>
      <c r="D59" s="1104">
        <f>EDATE(C59,-1)</f>
        <v>45809</v>
      </c>
      <c r="E59" s="1104">
        <f>EDATE(D59,-1)</f>
        <v>45778</v>
      </c>
      <c r="F59" s="1104">
        <f t="shared" ref="F59:O59" si="16">EDATE(E59,-1)</f>
        <v>45748</v>
      </c>
      <c r="G59" s="1104">
        <f t="shared" si="16"/>
        <v>45717</v>
      </c>
      <c r="H59" s="1104">
        <f t="shared" si="16"/>
        <v>45689</v>
      </c>
      <c r="I59" s="1104">
        <f t="shared" si="16"/>
        <v>45658</v>
      </c>
      <c r="J59" s="1104">
        <f t="shared" si="16"/>
        <v>45627</v>
      </c>
      <c r="K59" s="1104">
        <f t="shared" si="16"/>
        <v>45597</v>
      </c>
      <c r="L59" s="1104">
        <f t="shared" si="16"/>
        <v>45566</v>
      </c>
      <c r="M59" s="1104">
        <f t="shared" si="16"/>
        <v>45536</v>
      </c>
      <c r="N59" s="1104">
        <f t="shared" si="16"/>
        <v>45505</v>
      </c>
      <c r="O59" s="1104">
        <f t="shared" si="16"/>
        <v>45474</v>
      </c>
      <c r="P59" s="2528"/>
      <c r="Q59" s="2511"/>
      <c r="R59" s="2511"/>
      <c r="S59" s="2511"/>
      <c r="T59" s="2511"/>
      <c r="U59" s="2511"/>
      <c r="V59" s="2511"/>
      <c r="W59" s="2511"/>
      <c r="X59" s="2511"/>
      <c r="Y59" s="2511"/>
      <c r="Z59" s="2511"/>
      <c r="AA59" s="2511"/>
      <c r="AB59" s="2511"/>
      <c r="AC59" s="2511"/>
    </row>
    <row r="60" spans="1:29" s="102" customFormat="1" ht="15">
      <c r="A60" s="443"/>
      <c r="B60" s="444"/>
      <c r="C60" s="1102">
        <v>100</v>
      </c>
      <c r="D60" s="446"/>
      <c r="E60" s="446"/>
      <c r="F60" s="446"/>
      <c r="G60" s="446"/>
      <c r="H60" s="446"/>
      <c r="I60" s="446"/>
      <c r="J60" s="446"/>
      <c r="K60" s="446"/>
      <c r="L60" s="446"/>
      <c r="M60" s="447"/>
      <c r="N60" s="446"/>
      <c r="O60" s="447"/>
      <c r="P60" s="2529"/>
      <c r="Q60" s="2440"/>
      <c r="R60" s="2440"/>
      <c r="S60" s="2440"/>
      <c r="T60" s="2440"/>
      <c r="U60" s="2440"/>
      <c r="V60" s="2440"/>
      <c r="W60" s="2440"/>
      <c r="X60" s="2440"/>
      <c r="Y60" s="2440"/>
      <c r="Z60" s="2440"/>
      <c r="AA60" s="2440"/>
      <c r="AB60" s="2440"/>
      <c r="AC60" s="2440"/>
    </row>
    <row r="61" spans="1:29" s="102" customFormat="1" ht="15.75" thickBot="1">
      <c r="A61" s="449" t="s">
        <v>1714</v>
      </c>
      <c r="B61" s="450"/>
      <c r="C61" s="451"/>
      <c r="D61" s="452"/>
      <c r="E61" s="452"/>
      <c r="F61" s="452"/>
      <c r="G61" s="452"/>
      <c r="H61" s="452"/>
      <c r="I61" s="452"/>
      <c r="J61" s="452"/>
      <c r="K61" s="452"/>
      <c r="L61" s="452"/>
      <c r="M61" s="453"/>
      <c r="N61" s="452"/>
      <c r="O61" s="453"/>
      <c r="P61" s="2529"/>
      <c r="Q61" s="2509"/>
      <c r="R61" s="2440"/>
      <c r="S61" s="2440"/>
      <c r="T61" s="2440"/>
      <c r="U61" s="2440"/>
      <c r="V61" s="2440"/>
      <c r="W61" s="2440"/>
      <c r="X61" s="2440"/>
      <c r="Y61" s="2440"/>
      <c r="Z61" s="2440"/>
      <c r="AA61" s="2440"/>
      <c r="AB61" s="2440"/>
      <c r="AC61" s="2440"/>
    </row>
    <row r="62" spans="1:29" s="102" customFormat="1" ht="15">
      <c r="A62" s="455" t="s">
        <v>1679</v>
      </c>
      <c r="B62" s="444"/>
      <c r="C62" s="456" t="s">
        <v>1774</v>
      </c>
      <c r="D62" s="31"/>
      <c r="E62" s="31"/>
      <c r="F62" s="31"/>
      <c r="G62" s="31"/>
      <c r="H62" s="31"/>
      <c r="I62" s="31"/>
      <c r="J62" s="31"/>
      <c r="K62" s="31"/>
      <c r="L62" s="457"/>
      <c r="M62" s="458"/>
      <c r="N62" s="2521"/>
      <c r="O62" s="2521"/>
      <c r="P62" s="2530"/>
      <c r="Q62" s="2509"/>
      <c r="R62" s="2440"/>
      <c r="S62" s="2440"/>
      <c r="T62" s="2440"/>
      <c r="U62" s="2440"/>
      <c r="V62" s="2440"/>
      <c r="W62" s="2440"/>
      <c r="X62" s="2440"/>
      <c r="Y62" s="2440"/>
      <c r="Z62" s="2440"/>
      <c r="AA62" s="2440"/>
      <c r="AB62" s="2440"/>
      <c r="AC62" s="2440"/>
    </row>
    <row r="63" spans="1:29" s="102" customFormat="1" ht="15.75" thickBot="1">
      <c r="A63" s="455"/>
      <c r="B63" s="444"/>
      <c r="C63" s="445">
        <v>100</v>
      </c>
      <c r="D63" s="446"/>
      <c r="E63" s="446"/>
      <c r="F63" s="446"/>
      <c r="G63" s="446"/>
      <c r="H63" s="446"/>
      <c r="I63" s="446"/>
      <c r="J63" s="446"/>
      <c r="K63" s="446"/>
      <c r="L63" s="446"/>
      <c r="M63" s="448"/>
      <c r="N63" s="2521"/>
      <c r="O63" s="2521"/>
      <c r="P63" s="2529"/>
      <c r="Q63" s="2509"/>
      <c r="R63" s="2440"/>
      <c r="S63" s="2440"/>
      <c r="T63" s="2440"/>
      <c r="U63" s="2440"/>
      <c r="V63" s="2440"/>
      <c r="W63" s="2440"/>
      <c r="X63" s="2440"/>
      <c r="Y63" s="2440"/>
      <c r="Z63" s="2440"/>
      <c r="AA63" s="2440"/>
      <c r="AB63" s="2440"/>
      <c r="AC63" s="2440"/>
    </row>
    <row r="64" spans="1:29">
      <c r="A64" s="379" t="s">
        <v>1717</v>
      </c>
      <c r="B64" s="460" t="s">
        <v>1683</v>
      </c>
      <c r="C64" s="461">
        <f>C9</f>
        <v>0</v>
      </c>
      <c r="D64" s="462"/>
      <c r="E64" s="462"/>
      <c r="F64" s="462"/>
      <c r="G64" s="462"/>
      <c r="H64" s="462"/>
      <c r="I64" s="462"/>
      <c r="J64" s="462"/>
      <c r="K64" s="463"/>
      <c r="L64" s="464"/>
      <c r="M64" s="465"/>
      <c r="N64" s="2522"/>
      <c r="O64" s="2522"/>
      <c r="P64" s="2531"/>
      <c r="Q64" s="2509"/>
      <c r="R64" s="2488"/>
      <c r="S64" s="2488"/>
      <c r="T64" s="2488"/>
      <c r="U64" s="2488"/>
      <c r="V64" s="2488"/>
      <c r="W64" s="2488"/>
      <c r="X64" s="2488"/>
      <c r="Y64" s="2488"/>
      <c r="Z64" s="2488"/>
      <c r="AA64" s="2488"/>
      <c r="AB64" s="2488"/>
      <c r="AC64" s="2488"/>
    </row>
    <row r="65" spans="1:29" ht="15.75" thickBot="1">
      <c r="A65" s="367"/>
      <c r="B65" s="466"/>
      <c r="C65" s="467">
        <v>100</v>
      </c>
      <c r="D65" s="467"/>
      <c r="E65" s="467"/>
      <c r="F65" s="467"/>
      <c r="G65" s="467"/>
      <c r="H65" s="467"/>
      <c r="I65" s="467"/>
      <c r="J65" s="467"/>
      <c r="K65" s="467"/>
      <c r="L65" s="467"/>
      <c r="M65" s="468"/>
      <c r="N65" s="2523"/>
      <c r="O65" s="2523"/>
      <c r="P65" s="2531"/>
      <c r="Q65" s="2509"/>
      <c r="R65" s="2488"/>
      <c r="S65" s="2488"/>
      <c r="T65" s="2488"/>
      <c r="U65" s="2488"/>
      <c r="V65" s="2488"/>
      <c r="W65" s="2488"/>
      <c r="X65" s="2488"/>
      <c r="Y65" s="2488"/>
      <c r="Z65" s="2488"/>
      <c r="AA65" s="2488"/>
      <c r="AB65" s="2488"/>
      <c r="AC65" s="2488"/>
    </row>
    <row r="66" spans="1:29" ht="27.75" thickTop="1">
      <c r="A66" s="367"/>
      <c r="B66" s="469" t="s">
        <v>1686</v>
      </c>
      <c r="C66" s="513"/>
      <c r="D66" s="513"/>
      <c r="E66" s="513"/>
      <c r="F66" s="513"/>
      <c r="G66" s="513"/>
      <c r="H66" s="513"/>
      <c r="I66" s="513"/>
      <c r="J66" s="513"/>
      <c r="K66" s="514"/>
      <c r="L66" s="515"/>
      <c r="M66" s="516"/>
      <c r="N66" s="2522"/>
      <c r="O66" s="2522"/>
      <c r="P66" s="2531"/>
      <c r="Q66" s="2509"/>
      <c r="R66" s="2488"/>
      <c r="S66" s="2488"/>
      <c r="T66" s="2488"/>
      <c r="U66" s="2488"/>
      <c r="V66" s="2488"/>
      <c r="W66" s="2488"/>
      <c r="X66" s="2488"/>
      <c r="Y66" s="2488"/>
      <c r="Z66" s="2488"/>
      <c r="AA66" s="2488"/>
      <c r="AB66" s="2488"/>
      <c r="AC66" s="2488"/>
    </row>
    <row r="67" spans="1:29" ht="15.75" thickBot="1">
      <c r="A67" s="367"/>
      <c r="B67" s="474"/>
      <c r="C67" s="467"/>
      <c r="D67" s="467"/>
      <c r="E67" s="467"/>
      <c r="F67" s="467"/>
      <c r="G67" s="467"/>
      <c r="H67" s="467"/>
      <c r="I67" s="467"/>
      <c r="J67" s="467"/>
      <c r="K67" s="467"/>
      <c r="L67" s="467"/>
      <c r="M67" s="468"/>
      <c r="N67" s="2523"/>
      <c r="O67" s="2523"/>
      <c r="P67" s="2531"/>
      <c r="Q67" s="2509"/>
      <c r="R67" s="2488"/>
      <c r="S67" s="2488"/>
      <c r="T67" s="2488"/>
      <c r="U67" s="2488"/>
      <c r="V67" s="2488"/>
      <c r="W67" s="2488"/>
      <c r="X67" s="2488"/>
      <c r="Y67" s="2488"/>
      <c r="Z67" s="2488"/>
      <c r="AA67" s="2488"/>
      <c r="AB67" s="2488"/>
      <c r="AC67" s="2488"/>
    </row>
    <row r="68" spans="1:29" ht="15.75" thickTop="1">
      <c r="A68" s="367"/>
      <c r="B68" s="477" t="s">
        <v>1687</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3"/>
      <c r="O68" s="2523"/>
      <c r="P68" s="2531"/>
      <c r="Q68" s="2509"/>
      <c r="R68" s="2488"/>
      <c r="S68" s="2488"/>
      <c r="T68" s="2488"/>
      <c r="U68" s="2488"/>
      <c r="V68" s="2488"/>
      <c r="W68" s="2488"/>
      <c r="X68" s="2488"/>
      <c r="Y68" s="2488"/>
      <c r="Z68" s="2488"/>
      <c r="AA68" s="2488"/>
      <c r="AB68" s="2488"/>
      <c r="AC68" s="2488"/>
    </row>
    <row r="69" spans="1:29" ht="15">
      <c r="A69" s="367"/>
      <c r="B69" s="479"/>
      <c r="C69" s="480">
        <v>0</v>
      </c>
      <c r="D69" s="480">
        <v>3</v>
      </c>
      <c r="E69" s="480"/>
      <c r="F69" s="480"/>
      <c r="G69" s="480"/>
      <c r="H69" s="480"/>
      <c r="I69" s="480"/>
      <c r="J69" s="480"/>
      <c r="K69" s="481"/>
      <c r="L69" s="482"/>
      <c r="M69" s="483"/>
      <c r="N69" s="2522"/>
      <c r="O69" s="2522"/>
      <c r="P69" s="2531"/>
      <c r="Q69" s="2509"/>
      <c r="R69" s="2488"/>
      <c r="S69" s="2488"/>
      <c r="T69" s="2488"/>
      <c r="U69" s="2488"/>
      <c r="V69" s="2488"/>
      <c r="W69" s="2488"/>
      <c r="X69" s="2488"/>
      <c r="Y69" s="2488"/>
      <c r="Z69" s="2488"/>
      <c r="AA69" s="2488"/>
      <c r="AB69" s="2488"/>
      <c r="AC69" s="2488"/>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3"/>
      <c r="O70" s="2523"/>
      <c r="P70" s="2531"/>
      <c r="Q70" s="2509"/>
      <c r="R70" s="2488"/>
      <c r="S70" s="2488"/>
      <c r="T70" s="2488"/>
      <c r="U70" s="2488"/>
      <c r="V70" s="2488"/>
      <c r="W70" s="2488"/>
      <c r="X70" s="2488"/>
      <c r="Y70" s="2488"/>
      <c r="Z70" s="2488"/>
      <c r="AA70" s="2488"/>
      <c r="AB70" s="2488"/>
      <c r="AC70" s="2488"/>
    </row>
    <row r="71" spans="1:29" s="408" customFormat="1" ht="15.75" thickTop="1">
      <c r="A71" s="484"/>
      <c r="B71" s="469">
        <f>B12</f>
        <v>111</v>
      </c>
      <c r="C71" s="485"/>
      <c r="D71" s="485"/>
      <c r="E71" s="485"/>
      <c r="F71" s="485"/>
      <c r="G71" s="485"/>
      <c r="H71" s="486"/>
      <c r="I71" s="486"/>
      <c r="J71" s="486"/>
      <c r="K71" s="486"/>
      <c r="L71" s="487"/>
      <c r="M71" s="488"/>
      <c r="N71" s="2524"/>
      <c r="O71" s="2524"/>
      <c r="P71" s="2532"/>
      <c r="Q71" s="2516"/>
      <c r="R71" s="2494"/>
      <c r="S71" s="2494"/>
      <c r="T71" s="2494"/>
      <c r="U71" s="2494"/>
      <c r="V71" s="2494"/>
      <c r="W71" s="2494"/>
      <c r="X71" s="2494"/>
      <c r="Y71" s="2494"/>
      <c r="Z71" s="2494"/>
      <c r="AA71" s="2494"/>
      <c r="AB71" s="2494"/>
      <c r="AC71" s="2494"/>
    </row>
    <row r="72" spans="1:29" s="408" customFormat="1" ht="15.75" thickBot="1">
      <c r="A72" s="484"/>
      <c r="B72" s="474"/>
      <c r="C72" s="491"/>
      <c r="D72" s="467"/>
      <c r="E72" s="467"/>
      <c r="F72" s="467"/>
      <c r="G72" s="467"/>
      <c r="H72" s="467"/>
      <c r="I72" s="467"/>
      <c r="J72" s="467"/>
      <c r="K72" s="467"/>
      <c r="L72" s="467"/>
      <c r="M72" s="468"/>
      <c r="N72" s="2523"/>
      <c r="O72" s="2523"/>
      <c r="P72" s="2532"/>
      <c r="Q72" s="2516"/>
      <c r="R72" s="2494"/>
      <c r="S72" s="2494"/>
      <c r="T72" s="2494"/>
      <c r="U72" s="2494"/>
      <c r="V72" s="2494"/>
      <c r="W72" s="2494"/>
      <c r="X72" s="2494"/>
      <c r="Y72" s="2494"/>
      <c r="Z72" s="2494"/>
      <c r="AA72" s="2494"/>
      <c r="AB72" s="2494"/>
      <c r="AC72" s="2494"/>
    </row>
    <row r="73" spans="1:29" s="408" customFormat="1" ht="15.75" thickTop="1">
      <c r="A73" s="484"/>
      <c r="B73" s="469">
        <f>B13</f>
        <v>111</v>
      </c>
      <c r="C73" s="485"/>
      <c r="D73" s="485"/>
      <c r="E73" s="485"/>
      <c r="F73" s="485"/>
      <c r="G73" s="485"/>
      <c r="H73" s="486"/>
      <c r="I73" s="486"/>
      <c r="J73" s="486"/>
      <c r="K73" s="486"/>
      <c r="L73" s="487"/>
      <c r="M73" s="488"/>
      <c r="N73" s="2524"/>
      <c r="O73" s="2524"/>
      <c r="P73" s="2533"/>
      <c r="Q73" s="2518"/>
      <c r="R73" s="2494"/>
      <c r="S73" s="2494"/>
      <c r="T73" s="2494"/>
      <c r="U73" s="2494"/>
      <c r="V73" s="2494"/>
      <c r="W73" s="2494"/>
      <c r="X73" s="2494"/>
      <c r="Y73" s="2494"/>
      <c r="Z73" s="2494"/>
      <c r="AA73" s="2494"/>
      <c r="AB73" s="2494"/>
      <c r="AC73" s="2494"/>
    </row>
    <row r="74" spans="1:29" s="408" customFormat="1" ht="15.75" thickBot="1">
      <c r="A74" s="484"/>
      <c r="B74" s="474"/>
      <c r="C74" s="491"/>
      <c r="D74" s="491"/>
      <c r="E74" s="491"/>
      <c r="F74" s="491"/>
      <c r="G74" s="491"/>
      <c r="H74" s="493"/>
      <c r="I74" s="493"/>
      <c r="J74" s="493"/>
      <c r="K74" s="493"/>
      <c r="L74" s="493"/>
      <c r="M74" s="494"/>
      <c r="N74" s="2524"/>
      <c r="O74" s="2524"/>
      <c r="P74" s="2532"/>
      <c r="Q74" s="2516"/>
      <c r="R74" s="2494"/>
      <c r="S74" s="2494"/>
      <c r="T74" s="2494"/>
      <c r="U74" s="2494"/>
      <c r="V74" s="2494"/>
      <c r="W74" s="2494"/>
      <c r="X74" s="2494"/>
      <c r="Y74" s="2494"/>
      <c r="Z74" s="2494"/>
      <c r="AA74" s="2494"/>
      <c r="AB74" s="2494"/>
      <c r="AC74" s="2494"/>
    </row>
    <row r="75" spans="1:29" s="408" customFormat="1" ht="15.75" thickTop="1">
      <c r="A75" s="484"/>
      <c r="B75" s="477">
        <f>B14</f>
        <v>111</v>
      </c>
      <c r="C75" s="31"/>
      <c r="D75" s="31"/>
      <c r="E75" s="31"/>
      <c r="F75" s="31"/>
      <c r="G75" s="31"/>
      <c r="H75" s="495"/>
      <c r="I75" s="495"/>
      <c r="J75" s="495"/>
      <c r="K75" s="495"/>
      <c r="L75" s="496"/>
      <c r="M75" s="497"/>
      <c r="N75" s="2524"/>
      <c r="O75" s="2524"/>
      <c r="P75" s="2534"/>
      <c r="Q75" s="2516"/>
      <c r="R75" s="2494"/>
      <c r="S75" s="2494"/>
      <c r="T75" s="2494"/>
      <c r="U75" s="2494"/>
      <c r="V75" s="2494"/>
      <c r="W75" s="2494"/>
      <c r="X75" s="2494"/>
      <c r="Y75" s="2494"/>
      <c r="Z75" s="2494"/>
      <c r="AA75" s="2494"/>
      <c r="AB75" s="2494"/>
      <c r="AC75" s="2494"/>
    </row>
    <row r="76" spans="1:29" s="408" customFormat="1" ht="15.75" thickBot="1">
      <c r="A76" s="499"/>
      <c r="B76" s="500"/>
      <c r="C76" s="501"/>
      <c r="D76" s="501"/>
      <c r="E76" s="501"/>
      <c r="F76" s="501"/>
      <c r="G76" s="501"/>
      <c r="H76" s="502"/>
      <c r="I76" s="502"/>
      <c r="J76" s="502"/>
      <c r="K76" s="502"/>
      <c r="L76" s="502"/>
      <c r="M76" s="503"/>
      <c r="N76" s="2524"/>
      <c r="O76" s="2524"/>
      <c r="P76" s="2532"/>
      <c r="Q76" s="2516"/>
      <c r="R76" s="2494"/>
      <c r="S76" s="2494"/>
      <c r="T76" s="2494"/>
      <c r="U76" s="2494"/>
      <c r="V76" s="2494"/>
      <c r="W76" s="2494"/>
      <c r="X76" s="2494"/>
      <c r="Y76" s="2494"/>
      <c r="Z76" s="2494"/>
      <c r="AA76" s="2494"/>
      <c r="AB76" s="2494"/>
      <c r="AC76" s="2494"/>
    </row>
    <row r="77" spans="1:29">
      <c r="A77" s="379" t="s">
        <v>1688</v>
      </c>
      <c r="B77" s="460" t="s">
        <v>1819</v>
      </c>
      <c r="C77" s="504" t="s">
        <v>1719</v>
      </c>
      <c r="D77" s="504" t="s">
        <v>1720</v>
      </c>
      <c r="E77" s="504" t="s">
        <v>1721</v>
      </c>
      <c r="F77" s="504" t="s">
        <v>1722</v>
      </c>
      <c r="G77" s="504" t="s">
        <v>1723</v>
      </c>
      <c r="H77" s="461"/>
      <c r="I77" s="461"/>
      <c r="J77" s="461"/>
      <c r="K77" s="505"/>
      <c r="L77" s="506"/>
      <c r="M77" s="507"/>
      <c r="N77" s="2522"/>
      <c r="O77" s="2522"/>
      <c r="P77" s="2535"/>
      <c r="Q77" s="2509"/>
      <c r="R77" s="2488"/>
      <c r="S77" s="2488"/>
      <c r="T77" s="2488"/>
      <c r="U77" s="2488"/>
      <c r="V77" s="2488"/>
      <c r="W77" s="2488"/>
      <c r="X77" s="2488"/>
      <c r="Y77" s="2488"/>
      <c r="Z77" s="2488"/>
      <c r="AA77" s="2488"/>
      <c r="AB77" s="2488"/>
      <c r="AC77" s="2488"/>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3"/>
      <c r="O78" s="2523"/>
      <c r="P78" s="2531"/>
      <c r="Q78" s="2509"/>
      <c r="R78" s="2488"/>
      <c r="S78" s="2488"/>
      <c r="T78" s="2488"/>
      <c r="U78" s="2488"/>
      <c r="V78" s="2488"/>
      <c r="W78" s="2488"/>
      <c r="X78" s="2488"/>
      <c r="Y78" s="2488"/>
      <c r="Z78" s="2488"/>
      <c r="AA78" s="2488"/>
      <c r="AB78" s="2488"/>
      <c r="AC78" s="2488"/>
    </row>
    <row r="79" spans="1:29" ht="15.75" thickTop="1">
      <c r="A79" s="367"/>
      <c r="B79" s="469" t="s">
        <v>1724</v>
      </c>
      <c r="C79" s="509" t="s">
        <v>1719</v>
      </c>
      <c r="D79" s="509" t="s">
        <v>1720</v>
      </c>
      <c r="E79" s="509" t="s">
        <v>1721</v>
      </c>
      <c r="F79" s="509" t="s">
        <v>1722</v>
      </c>
      <c r="G79" s="509" t="s">
        <v>1723</v>
      </c>
      <c r="H79" s="470"/>
      <c r="I79" s="470"/>
      <c r="J79" s="470"/>
      <c r="K79" s="471"/>
      <c r="L79" s="472"/>
      <c r="M79" s="473"/>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3"/>
      <c r="O80" s="2523"/>
      <c r="P80" s="2531"/>
      <c r="Q80" s="2509"/>
      <c r="R80" s="2488"/>
      <c r="S80" s="2488"/>
      <c r="T80" s="2488"/>
      <c r="U80" s="2488"/>
      <c r="V80" s="2488"/>
      <c r="W80" s="2488"/>
      <c r="X80" s="2488"/>
      <c r="Y80" s="2488"/>
      <c r="Z80" s="2488"/>
      <c r="AA80" s="2488"/>
      <c r="AB80" s="2488"/>
      <c r="AC80" s="2488"/>
    </row>
    <row r="81" spans="1:29" ht="15.75" thickTop="1">
      <c r="A81" s="367"/>
      <c r="B81" s="469" t="s">
        <v>1725</v>
      </c>
      <c r="C81" s="509" t="s">
        <v>1719</v>
      </c>
      <c r="D81" s="509" t="s">
        <v>1720</v>
      </c>
      <c r="E81" s="509" t="s">
        <v>1721</v>
      </c>
      <c r="F81" s="509" t="s">
        <v>1722</v>
      </c>
      <c r="G81" s="509" t="s">
        <v>1723</v>
      </c>
      <c r="H81" s="470"/>
      <c r="I81" s="470"/>
      <c r="J81" s="470"/>
      <c r="K81" s="471"/>
      <c r="L81" s="472"/>
      <c r="M81" s="473"/>
      <c r="N81" s="2522"/>
      <c r="O81" s="2522"/>
      <c r="P81" s="2531"/>
      <c r="Q81" s="2509"/>
      <c r="R81" s="2488"/>
      <c r="S81" s="2488"/>
      <c r="T81" s="2488"/>
      <c r="U81" s="2488"/>
      <c r="V81" s="2488"/>
      <c r="W81" s="2488"/>
      <c r="X81" s="2488"/>
      <c r="Y81" s="2488"/>
      <c r="Z81" s="2488"/>
      <c r="AA81" s="2488"/>
      <c r="AB81" s="2488"/>
      <c r="AC81" s="2488"/>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3"/>
      <c r="O82" s="2523"/>
      <c r="P82" s="2531"/>
      <c r="Q82" s="2509"/>
      <c r="R82" s="2488"/>
      <c r="S82" s="2488"/>
      <c r="T82" s="2488"/>
      <c r="U82" s="2488"/>
      <c r="V82" s="2488"/>
      <c r="W82" s="2488"/>
      <c r="X82" s="2488"/>
      <c r="Y82" s="2488"/>
      <c r="Z82" s="2488"/>
      <c r="AA82" s="2488"/>
      <c r="AB82" s="2488"/>
      <c r="AC82" s="2488"/>
    </row>
    <row r="83" spans="1:29" ht="15.75" thickTop="1">
      <c r="A83" s="367"/>
      <c r="B83" s="477" t="s">
        <v>1811</v>
      </c>
      <c r="C83" s="581" t="s">
        <v>1797</v>
      </c>
      <c r="D83" s="581" t="s">
        <v>1798</v>
      </c>
      <c r="E83" s="581" t="s">
        <v>1799</v>
      </c>
      <c r="F83" s="581" t="s">
        <v>1800</v>
      </c>
      <c r="G83" s="581" t="s">
        <v>1801</v>
      </c>
      <c r="H83" s="470"/>
      <c r="I83" s="470"/>
      <c r="J83" s="470"/>
      <c r="K83" s="470"/>
      <c r="L83" s="470"/>
      <c r="M83" s="1063"/>
      <c r="N83" s="2523"/>
      <c r="O83" s="2523"/>
      <c r="P83" s="2531"/>
      <c r="Q83" s="2509"/>
      <c r="R83" s="2488"/>
      <c r="S83" s="2488"/>
      <c r="T83" s="2488"/>
      <c r="U83" s="2488"/>
      <c r="V83" s="2488"/>
      <c r="W83" s="2488"/>
      <c r="X83" s="2488"/>
      <c r="Y83" s="2488"/>
      <c r="Z83" s="2488"/>
      <c r="AA83" s="2488"/>
      <c r="AB83" s="2488"/>
      <c r="AC83" s="2488"/>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3"/>
      <c r="O84" s="2523"/>
      <c r="P84" s="2531"/>
      <c r="Q84" s="2509"/>
      <c r="R84" s="2488"/>
      <c r="S84" s="2488"/>
      <c r="T84" s="2488"/>
      <c r="U84" s="2488"/>
      <c r="V84" s="2488"/>
      <c r="W84" s="2488"/>
      <c r="X84" s="2488"/>
      <c r="Y84" s="2488"/>
      <c r="Z84" s="2488"/>
      <c r="AA84" s="2488"/>
      <c r="AB84" s="2488"/>
      <c r="AC84" s="2488"/>
    </row>
    <row r="85" spans="1:29" ht="15.75" thickTop="1">
      <c r="A85" s="367"/>
      <c r="B85" s="469" t="s">
        <v>1820</v>
      </c>
      <c r="C85" s="509" t="s">
        <v>1719</v>
      </c>
      <c r="D85" s="509" t="s">
        <v>1720</v>
      </c>
      <c r="E85" s="509" t="s">
        <v>1721</v>
      </c>
      <c r="F85" s="509" t="s">
        <v>1722</v>
      </c>
      <c r="G85" s="509" t="s">
        <v>1723</v>
      </c>
      <c r="H85" s="470"/>
      <c r="I85" s="470"/>
      <c r="J85" s="470"/>
      <c r="K85" s="471"/>
      <c r="L85" s="472"/>
      <c r="M85" s="473"/>
      <c r="N85" s="2522"/>
      <c r="O85" s="2522"/>
      <c r="P85" s="2531"/>
      <c r="Q85" s="2509"/>
      <c r="R85" s="2488"/>
      <c r="S85" s="2488"/>
      <c r="T85" s="2488"/>
      <c r="U85" s="2488"/>
      <c r="V85" s="2488"/>
      <c r="W85" s="2488"/>
      <c r="X85" s="2488"/>
      <c r="Y85" s="2488"/>
      <c r="Z85" s="2488"/>
      <c r="AA85" s="2488"/>
      <c r="AB85" s="2488"/>
      <c r="AC85" s="2488"/>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3"/>
      <c r="O86" s="2523"/>
      <c r="P86" s="2531"/>
      <c r="Q86" s="2509"/>
      <c r="R86" s="2488"/>
      <c r="S86" s="2488"/>
      <c r="T86" s="2488"/>
      <c r="U86" s="2488"/>
      <c r="V86" s="2488"/>
      <c r="W86" s="2488"/>
      <c r="X86" s="2488"/>
      <c r="Y86" s="2488"/>
      <c r="Z86" s="2488"/>
      <c r="AA86" s="2488"/>
      <c r="AB86" s="2488"/>
      <c r="AC86" s="2488"/>
    </row>
    <row r="87" spans="1:29" s="102" customFormat="1" ht="27.75" thickTop="1">
      <c r="A87" s="370"/>
      <c r="B87" s="469" t="s">
        <v>1821</v>
      </c>
      <c r="C87" s="485"/>
      <c r="D87" s="485"/>
      <c r="E87" s="485"/>
      <c r="F87" s="485"/>
      <c r="G87" s="485"/>
      <c r="H87" s="485"/>
      <c r="I87" s="485"/>
      <c r="J87" s="485"/>
      <c r="K87" s="485"/>
      <c r="L87" s="510"/>
      <c r="M87" s="511"/>
      <c r="N87" s="2521"/>
      <c r="O87" s="2521"/>
      <c r="P87" s="2531"/>
      <c r="Q87" s="2509"/>
      <c r="R87" s="2440"/>
      <c r="S87" s="2440"/>
      <c r="T87" s="2440"/>
      <c r="U87" s="2440"/>
      <c r="V87" s="2440"/>
      <c r="W87" s="2440"/>
      <c r="X87" s="2440"/>
      <c r="Y87" s="2440"/>
      <c r="Z87" s="2440"/>
      <c r="AA87" s="2440"/>
      <c r="AB87" s="2440"/>
      <c r="AC87" s="2440"/>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3"/>
      <c r="O88" s="2523"/>
      <c r="P88" s="2531"/>
      <c r="Q88" s="2509"/>
      <c r="R88" s="2440"/>
      <c r="S88" s="2440"/>
      <c r="T88" s="2440"/>
      <c r="U88" s="2440"/>
      <c r="V88" s="2440"/>
      <c r="W88" s="2440"/>
      <c r="X88" s="2440"/>
      <c r="Y88" s="2440"/>
      <c r="Z88" s="2440"/>
      <c r="AA88" s="2440"/>
      <c r="AB88" s="2440"/>
      <c r="AC88" s="2440"/>
    </row>
    <row r="89" spans="1:29" s="102" customFormat="1" ht="15.75" thickTop="1">
      <c r="A89" s="370"/>
      <c r="B89" s="469" t="str">
        <f>B27</f>
        <v>楼层</v>
      </c>
      <c r="C89" s="485"/>
      <c r="D89" s="485"/>
      <c r="E89" s="485"/>
      <c r="F89" s="1780"/>
      <c r="G89" s="485"/>
      <c r="H89" s="485"/>
      <c r="I89" s="485"/>
      <c r="J89" s="485"/>
      <c r="K89" s="485"/>
      <c r="L89" s="485"/>
      <c r="M89" s="511"/>
      <c r="N89" s="2521"/>
      <c r="O89" s="2521"/>
      <c r="P89" s="2531"/>
      <c r="Q89" s="2509"/>
      <c r="R89" s="2440"/>
      <c r="S89" s="2440"/>
      <c r="T89" s="2440"/>
      <c r="U89" s="2440"/>
      <c r="V89" s="2440"/>
      <c r="W89" s="2440"/>
      <c r="X89" s="2440"/>
      <c r="Y89" s="2440"/>
      <c r="Z89" s="2440"/>
      <c r="AA89" s="2440"/>
      <c r="AB89" s="2440"/>
      <c r="AC89" s="2440"/>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3"/>
      <c r="O90" s="2523"/>
      <c r="P90" s="2531"/>
      <c r="Q90" s="2509"/>
      <c r="R90" s="2440"/>
      <c r="S90" s="2440"/>
      <c r="T90" s="2440"/>
      <c r="U90" s="2440"/>
      <c r="V90" s="2440"/>
      <c r="W90" s="2440"/>
      <c r="X90" s="2440"/>
      <c r="Y90" s="2440"/>
      <c r="Z90" s="2440"/>
      <c r="AA90" s="2440"/>
      <c r="AB90" s="2440"/>
      <c r="AC90" s="2440"/>
    </row>
    <row r="91" spans="1:29" s="408" customFormat="1" ht="15.75" thickTop="1">
      <c r="A91" s="484"/>
      <c r="B91" s="469" t="str">
        <f>B28</f>
        <v>朝向</v>
      </c>
      <c r="C91" s="485"/>
      <c r="D91" s="485"/>
      <c r="E91" s="485"/>
      <c r="F91" s="485"/>
      <c r="G91" s="485"/>
      <c r="H91" s="486"/>
      <c r="I91" s="486"/>
      <c r="J91" s="486"/>
      <c r="K91" s="486"/>
      <c r="L91" s="487"/>
      <c r="M91" s="488"/>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4"/>
      <c r="O92" s="2524"/>
      <c r="P92" s="2532"/>
      <c r="Q92" s="2516"/>
      <c r="R92" s="2494"/>
      <c r="S92" s="2494"/>
      <c r="T92" s="2494"/>
      <c r="U92" s="2494"/>
      <c r="V92" s="2494"/>
      <c r="W92" s="2494"/>
      <c r="X92" s="2494"/>
      <c r="Y92" s="2494"/>
      <c r="Z92" s="2494"/>
      <c r="AA92" s="2494"/>
      <c r="AB92" s="2494"/>
      <c r="AC92" s="2494"/>
    </row>
    <row r="93" spans="1:29" ht="15.75" thickTop="1">
      <c r="A93" s="367"/>
      <c r="B93" s="469">
        <f>B29</f>
        <v>111</v>
      </c>
      <c r="C93" s="485"/>
      <c r="D93" s="485"/>
      <c r="E93" s="485"/>
      <c r="F93" s="485"/>
      <c r="G93" s="485"/>
      <c r="H93" s="485"/>
      <c r="I93" s="485"/>
      <c r="J93" s="485"/>
      <c r="K93" s="485"/>
      <c r="L93" s="510"/>
      <c r="M93" s="511"/>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91"/>
      <c r="D94" s="467"/>
      <c r="E94" s="467"/>
      <c r="F94" s="467"/>
      <c r="G94" s="467"/>
      <c r="H94" s="467"/>
      <c r="I94" s="467"/>
      <c r="J94" s="467"/>
      <c r="K94" s="467"/>
      <c r="L94" s="467"/>
      <c r="M94" s="468"/>
      <c r="N94" s="2523"/>
      <c r="O94" s="2523"/>
      <c r="P94" s="2531"/>
      <c r="Q94" s="2509"/>
      <c r="R94" s="2488"/>
      <c r="S94" s="2488"/>
      <c r="T94" s="2488"/>
      <c r="U94" s="2488"/>
      <c r="V94" s="2488"/>
      <c r="W94" s="2488"/>
      <c r="X94" s="2488"/>
      <c r="Y94" s="2488"/>
      <c r="Z94" s="2488"/>
      <c r="AA94" s="2488"/>
      <c r="AB94" s="2488"/>
      <c r="AC94" s="2488"/>
    </row>
    <row r="95" spans="1:29" ht="15.75" thickTop="1">
      <c r="A95" s="367"/>
      <c r="B95" s="469">
        <f>B30</f>
        <v>111</v>
      </c>
      <c r="C95" s="485"/>
      <c r="D95" s="485"/>
      <c r="E95" s="485"/>
      <c r="F95" s="485"/>
      <c r="G95" s="513"/>
      <c r="H95" s="513"/>
      <c r="I95" s="513"/>
      <c r="J95" s="513"/>
      <c r="K95" s="514"/>
      <c r="L95" s="515"/>
      <c r="M95" s="516"/>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91"/>
      <c r="D96" s="491"/>
      <c r="E96" s="491"/>
      <c r="F96" s="491"/>
      <c r="G96" s="467"/>
      <c r="H96" s="467"/>
      <c r="I96" s="467"/>
      <c r="J96" s="467"/>
      <c r="K96" s="467"/>
      <c r="L96" s="467"/>
      <c r="M96" s="468"/>
      <c r="N96" s="2523"/>
      <c r="O96" s="2523"/>
      <c r="P96" s="2531"/>
      <c r="Q96" s="2509"/>
      <c r="R96" s="2488"/>
      <c r="S96" s="2488"/>
      <c r="T96" s="2488"/>
      <c r="U96" s="2488"/>
      <c r="V96" s="2488"/>
      <c r="W96" s="2488"/>
      <c r="X96" s="2488"/>
      <c r="Y96" s="2488"/>
      <c r="Z96" s="2488"/>
      <c r="AA96" s="2488"/>
      <c r="AB96" s="2488"/>
      <c r="AC96" s="2488"/>
    </row>
    <row r="97" spans="1:29" ht="15.75" thickTop="1">
      <c r="A97" s="367"/>
      <c r="B97" s="469">
        <f>B31</f>
        <v>111</v>
      </c>
      <c r="C97" s="485"/>
      <c r="D97" s="485"/>
      <c r="E97" s="485"/>
      <c r="F97" s="485"/>
      <c r="G97" s="513"/>
      <c r="H97" s="513"/>
      <c r="I97" s="513"/>
      <c r="J97" s="513"/>
      <c r="K97" s="514"/>
      <c r="L97" s="515"/>
      <c r="M97" s="516"/>
      <c r="N97" s="2522"/>
      <c r="O97" s="2522"/>
      <c r="P97" s="2531"/>
      <c r="Q97" s="2509"/>
      <c r="R97" s="2488"/>
      <c r="S97" s="2488"/>
      <c r="T97" s="2488"/>
      <c r="U97" s="2488"/>
      <c r="V97" s="2488"/>
      <c r="W97" s="2488"/>
      <c r="X97" s="2488"/>
      <c r="Y97" s="2488"/>
      <c r="Z97" s="2488"/>
      <c r="AA97" s="2488"/>
      <c r="AB97" s="2488"/>
      <c r="AC97" s="2488"/>
    </row>
    <row r="98" spans="1:29" ht="15.75" thickBot="1">
      <c r="A98" s="367"/>
      <c r="B98" s="474"/>
      <c r="C98" s="491"/>
      <c r="D98" s="467"/>
      <c r="E98" s="467"/>
      <c r="F98" s="467"/>
      <c r="G98" s="467"/>
      <c r="H98" s="467"/>
      <c r="I98" s="467"/>
      <c r="J98" s="467"/>
      <c r="K98" s="467"/>
      <c r="L98" s="467"/>
      <c r="M98" s="468"/>
      <c r="N98" s="2523"/>
      <c r="O98" s="2523"/>
      <c r="P98" s="2531"/>
      <c r="Q98" s="2509"/>
      <c r="R98" s="2488"/>
      <c r="S98" s="2488"/>
      <c r="T98" s="2488"/>
      <c r="U98" s="2488"/>
      <c r="V98" s="2488"/>
      <c r="W98" s="2488"/>
      <c r="X98" s="2488"/>
      <c r="Y98" s="2488"/>
      <c r="Z98" s="2488"/>
      <c r="AA98" s="2488"/>
      <c r="AB98" s="2488"/>
      <c r="AC98" s="2488"/>
    </row>
    <row r="99" spans="1:29" ht="15.75" thickTop="1">
      <c r="A99" s="367"/>
      <c r="B99" s="477">
        <f>B32</f>
        <v>111</v>
      </c>
      <c r="C99" s="31"/>
      <c r="D99" s="31"/>
      <c r="E99" s="31"/>
      <c r="F99" s="31"/>
      <c r="G99" s="517"/>
      <c r="H99" s="517"/>
      <c r="I99" s="517"/>
      <c r="J99" s="517"/>
      <c r="K99" s="518"/>
      <c r="L99" s="519"/>
      <c r="M99" s="520"/>
      <c r="N99" s="2522"/>
      <c r="O99" s="2522"/>
      <c r="P99" s="2531"/>
      <c r="Q99" s="2509"/>
      <c r="R99" s="2488"/>
      <c r="S99" s="2488"/>
      <c r="T99" s="2488"/>
      <c r="U99" s="2488"/>
      <c r="V99" s="2488"/>
      <c r="W99" s="2488"/>
      <c r="X99" s="2488"/>
      <c r="Y99" s="2488"/>
      <c r="Z99" s="2488"/>
      <c r="AA99" s="2488"/>
      <c r="AB99" s="2488"/>
      <c r="AC99" s="2488"/>
    </row>
    <row r="100" spans="1:29" ht="15.75" thickBot="1">
      <c r="A100" s="375"/>
      <c r="B100" s="500"/>
      <c r="C100" s="501"/>
      <c r="D100" s="501"/>
      <c r="E100" s="501"/>
      <c r="F100" s="501"/>
      <c r="G100" s="521"/>
      <c r="H100" s="521"/>
      <c r="I100" s="521"/>
      <c r="J100" s="521"/>
      <c r="K100" s="521"/>
      <c r="L100" s="521"/>
      <c r="M100" s="522"/>
      <c r="N100" s="2523"/>
      <c r="O100" s="2523"/>
      <c r="P100" s="2531"/>
      <c r="Q100" s="2509"/>
      <c r="R100" s="2488"/>
      <c r="S100" s="2488"/>
      <c r="T100" s="2488"/>
      <c r="U100" s="2488"/>
      <c r="V100" s="2488"/>
      <c r="W100" s="2488"/>
      <c r="X100" s="2488"/>
      <c r="Y100" s="2488"/>
      <c r="Z100" s="2488"/>
      <c r="AA100" s="2488"/>
      <c r="AB100" s="2488"/>
      <c r="AC100" s="2488"/>
    </row>
    <row r="101" spans="1:29">
      <c r="A101" s="379" t="s">
        <v>1692</v>
      </c>
      <c r="B101" s="460" t="s">
        <v>1734</v>
      </c>
      <c r="C101" s="462"/>
      <c r="D101" s="462"/>
      <c r="E101" s="462"/>
      <c r="F101" s="462"/>
      <c r="G101" s="462"/>
      <c r="H101" s="462"/>
      <c r="I101" s="462"/>
      <c r="J101" s="462"/>
      <c r="K101" s="463"/>
      <c r="L101" s="464"/>
      <c r="M101" s="465"/>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3"/>
      <c r="O102" s="2523"/>
      <c r="P102" s="2531"/>
      <c r="Q102" s="2509"/>
      <c r="R102" s="2488"/>
      <c r="S102" s="2488"/>
      <c r="T102" s="2488"/>
      <c r="U102" s="2488"/>
      <c r="V102" s="2488"/>
      <c r="W102" s="2488"/>
      <c r="X102" s="2488"/>
      <c r="Y102" s="2488"/>
      <c r="Z102" s="2488"/>
      <c r="AA102" s="2488"/>
      <c r="AB102" s="2488"/>
      <c r="AC102" s="2488"/>
    </row>
    <row r="103" spans="1:29" ht="15.75" thickTop="1">
      <c r="A103" s="367"/>
      <c r="B103" s="469" t="s">
        <v>1735</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21"/>
      <c r="O103" s="2521"/>
      <c r="P103" s="2531"/>
      <c r="Q103" s="2509"/>
      <c r="R103" s="2488"/>
      <c r="S103" s="2488"/>
      <c r="T103" s="2488"/>
      <c r="U103" s="2488"/>
      <c r="V103" s="2488"/>
      <c r="W103" s="2488"/>
      <c r="X103" s="2488"/>
      <c r="Y103" s="2488"/>
      <c r="Z103" s="2488"/>
      <c r="AA103" s="2488"/>
      <c r="AB103" s="2488"/>
      <c r="AC103" s="2488"/>
    </row>
    <row r="104" spans="1:29" s="408" customFormat="1">
      <c r="A104" s="406"/>
      <c r="B104" s="523"/>
      <c r="C104" s="6"/>
      <c r="D104" s="6"/>
      <c r="E104" s="6"/>
      <c r="F104" s="6"/>
      <c r="G104" s="6"/>
      <c r="H104" s="6"/>
      <c r="I104" s="6"/>
      <c r="J104" s="524"/>
      <c r="K104" s="524"/>
      <c r="L104" s="525"/>
      <c r="M104" s="526"/>
      <c r="N104" s="2524"/>
      <c r="O104" s="2524"/>
      <c r="P104" s="2532"/>
      <c r="Q104" s="2516"/>
      <c r="R104" s="2494"/>
      <c r="S104" s="2494"/>
      <c r="T104" s="2494"/>
      <c r="U104" s="2494"/>
      <c r="V104" s="2494"/>
      <c r="W104" s="2494"/>
      <c r="X104" s="2494"/>
      <c r="Y104" s="2494"/>
      <c r="Z104" s="2494"/>
      <c r="AA104" s="2494"/>
      <c r="AB104" s="2494"/>
      <c r="AC104" s="2494"/>
    </row>
    <row r="105" spans="1:29" s="408" customFormat="1" ht="15.75" thickBot="1">
      <c r="A105" s="484"/>
      <c r="B105" s="474"/>
      <c r="C105" s="491"/>
      <c r="D105" s="467"/>
      <c r="E105" s="467"/>
      <c r="F105" s="467"/>
      <c r="G105" s="467"/>
      <c r="H105" s="467"/>
      <c r="I105" s="467"/>
      <c r="J105" s="467"/>
      <c r="K105" s="467"/>
      <c r="L105" s="467"/>
      <c r="M105" s="468"/>
      <c r="N105" s="2523"/>
      <c r="O105" s="2523"/>
      <c r="P105" s="2532"/>
      <c r="Q105" s="2516"/>
      <c r="R105" s="2494"/>
      <c r="S105" s="2494"/>
      <c r="T105" s="2494"/>
      <c r="U105" s="2494"/>
      <c r="V105" s="2494"/>
      <c r="W105" s="2494"/>
      <c r="X105" s="2494"/>
      <c r="Y105" s="2494"/>
      <c r="Z105" s="2494"/>
      <c r="AA105" s="2494"/>
      <c r="AB105" s="2494"/>
      <c r="AC105" s="2494"/>
    </row>
    <row r="106" spans="1:29" ht="15" thickTop="1">
      <c r="A106" s="409"/>
      <c r="B106" s="469" t="s">
        <v>1736</v>
      </c>
      <c r="C106" s="485"/>
      <c r="D106" s="485"/>
      <c r="E106" s="513"/>
      <c r="F106" s="513"/>
      <c r="G106" s="513"/>
      <c r="H106" s="513"/>
      <c r="I106" s="513"/>
      <c r="J106" s="513"/>
      <c r="K106" s="514"/>
      <c r="L106" s="515"/>
      <c r="M106" s="516"/>
      <c r="N106" s="2522"/>
      <c r="O106" s="2522"/>
      <c r="P106" s="2531"/>
      <c r="Q106" s="2509"/>
      <c r="R106" s="2488"/>
      <c r="S106" s="2488"/>
      <c r="T106" s="2488"/>
      <c r="U106" s="2488"/>
      <c r="V106" s="2488"/>
      <c r="W106" s="2488"/>
      <c r="X106" s="2488"/>
      <c r="Y106" s="2488"/>
      <c r="Z106" s="2488"/>
      <c r="AA106" s="2488"/>
      <c r="AB106" s="2488"/>
      <c r="AC106" s="2488"/>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3"/>
      <c r="O107" s="2523"/>
      <c r="P107" s="2531"/>
      <c r="Q107" s="2509"/>
      <c r="R107" s="2488"/>
      <c r="S107" s="2488"/>
      <c r="T107" s="2488"/>
      <c r="U107" s="2488"/>
      <c r="V107" s="2488"/>
      <c r="W107" s="2488"/>
      <c r="X107" s="2488"/>
      <c r="Y107" s="2488"/>
      <c r="Z107" s="2488"/>
      <c r="AA107" s="2488"/>
      <c r="AB107" s="2488"/>
      <c r="AC107" s="2488"/>
    </row>
    <row r="108" spans="1:29" ht="15" thickTop="1">
      <c r="A108" s="409"/>
      <c r="B108" s="469" t="s">
        <v>1738</v>
      </c>
      <c r="C108" s="485"/>
      <c r="D108" s="485"/>
      <c r="E108" s="485"/>
      <c r="F108" s="513"/>
      <c r="G108" s="513"/>
      <c r="H108" s="513"/>
      <c r="I108" s="513"/>
      <c r="J108" s="513"/>
      <c r="K108" s="514"/>
      <c r="L108" s="515"/>
      <c r="M108" s="516"/>
      <c r="N108" s="2522"/>
      <c r="O108" s="2522"/>
      <c r="P108" s="2531"/>
      <c r="Q108" s="2509"/>
      <c r="R108" s="2488"/>
      <c r="S108" s="2488"/>
      <c r="T108" s="2488"/>
      <c r="U108" s="2488"/>
      <c r="V108" s="2488"/>
      <c r="W108" s="2488"/>
      <c r="X108" s="2488"/>
      <c r="Y108" s="2488"/>
      <c r="Z108" s="2488"/>
      <c r="AA108" s="2488"/>
      <c r="AB108" s="2488"/>
      <c r="AC108" s="2488"/>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3"/>
      <c r="O109" s="2523"/>
      <c r="P109" s="2531"/>
      <c r="Q109" s="2509"/>
      <c r="R109" s="2488"/>
      <c r="S109" s="2488"/>
      <c r="T109" s="2488"/>
      <c r="U109" s="2488"/>
      <c r="V109" s="2488"/>
      <c r="W109" s="2488"/>
      <c r="X109" s="2488"/>
      <c r="Y109" s="2488"/>
      <c r="Z109" s="2488"/>
      <c r="AA109" s="2488"/>
      <c r="AB109" s="2488"/>
      <c r="AC109" s="2488"/>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2"/>
      <c r="O110" s="2522"/>
      <c r="P110" s="2531"/>
      <c r="Q110" s="2509"/>
      <c r="R110" s="2488"/>
      <c r="S110" s="2488"/>
      <c r="T110" s="2488"/>
      <c r="U110" s="2488"/>
      <c r="V110" s="2488"/>
      <c r="W110" s="2488"/>
      <c r="X110" s="2488"/>
      <c r="Y110" s="2488"/>
      <c r="Z110" s="2488"/>
      <c r="AA110" s="2488"/>
      <c r="AB110" s="2488"/>
      <c r="AC110" s="2488"/>
    </row>
    <row r="111" spans="1:29">
      <c r="A111" s="409"/>
      <c r="B111" s="477"/>
      <c r="C111" s="530">
        <v>0.5</v>
      </c>
      <c r="D111" s="530">
        <v>0.6</v>
      </c>
      <c r="E111" s="530">
        <v>0.7</v>
      </c>
      <c r="F111" s="530">
        <v>0.8</v>
      </c>
      <c r="G111" s="530">
        <v>0.9</v>
      </c>
      <c r="H111" s="530">
        <v>1.0001</v>
      </c>
      <c r="I111" s="548"/>
      <c r="J111" s="548"/>
      <c r="K111" s="549"/>
      <c r="L111" s="550"/>
      <c r="M111" s="551"/>
      <c r="N111" s="2522"/>
      <c r="O111" s="2522"/>
      <c r="P111" s="2531"/>
      <c r="Q111" s="2509"/>
      <c r="R111" s="2488"/>
      <c r="S111" s="2488"/>
      <c r="T111" s="2488"/>
      <c r="U111" s="2488"/>
      <c r="V111" s="2488"/>
      <c r="W111" s="2488"/>
      <c r="X111" s="2488"/>
      <c r="Y111" s="2488"/>
      <c r="Z111" s="2488"/>
      <c r="AA111" s="2488"/>
      <c r="AB111" s="2488"/>
      <c r="AC111" s="2488"/>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3"/>
      <c r="O112" s="2523"/>
      <c r="P112" s="2531"/>
      <c r="Q112" s="2509"/>
      <c r="R112" s="2488"/>
      <c r="S112" s="2488"/>
      <c r="T112" s="2488"/>
      <c r="U112" s="2488"/>
      <c r="V112" s="2488"/>
      <c r="W112" s="2488"/>
      <c r="X112" s="2488"/>
      <c r="Y112" s="2488"/>
      <c r="Z112" s="2488"/>
      <c r="AA112" s="2488"/>
      <c r="AB112" s="2488"/>
      <c r="AC112" s="2488"/>
    </row>
    <row r="113" spans="1:29" s="408" customFormat="1" ht="15" thickTop="1">
      <c r="A113" s="406"/>
      <c r="B113" s="469" t="s">
        <v>1822</v>
      </c>
      <c r="C113" s="485"/>
      <c r="D113" s="485"/>
      <c r="E113" s="485"/>
      <c r="F113" s="485"/>
      <c r="G113" s="485"/>
      <c r="H113" s="513"/>
      <c r="I113" s="513"/>
      <c r="J113" s="513"/>
      <c r="K113" s="514"/>
      <c r="L113" s="515"/>
      <c r="M113" s="516"/>
      <c r="N113" s="2524"/>
      <c r="O113" s="2524"/>
      <c r="P113" s="2532"/>
      <c r="Q113" s="2516"/>
      <c r="R113" s="2494"/>
      <c r="S113" s="2494"/>
      <c r="T113" s="2494"/>
      <c r="U113" s="2494"/>
      <c r="V113" s="2494"/>
      <c r="W113" s="2494"/>
      <c r="X113" s="2494"/>
      <c r="Y113" s="2494"/>
      <c r="Z113" s="2494"/>
      <c r="AA113" s="2494"/>
      <c r="AB113" s="2494"/>
      <c r="AC113" s="2494"/>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4"/>
      <c r="O114" s="2524"/>
      <c r="P114" s="2532"/>
      <c r="Q114" s="2516"/>
      <c r="R114" s="2494"/>
      <c r="S114" s="2494"/>
      <c r="T114" s="2494"/>
      <c r="U114" s="2494"/>
      <c r="V114" s="2494"/>
      <c r="W114" s="2494"/>
      <c r="X114" s="2494"/>
      <c r="Y114" s="2494"/>
      <c r="Z114" s="2494"/>
      <c r="AA114" s="2494"/>
      <c r="AB114" s="2494"/>
      <c r="AC114" s="2494"/>
    </row>
    <row r="115" spans="1:29" ht="15" thickTop="1">
      <c r="A115" s="409"/>
      <c r="B115" s="469" t="s">
        <v>1739</v>
      </c>
      <c r="C115" s="485"/>
      <c r="D115" s="485"/>
      <c r="E115" s="513"/>
      <c r="F115" s="513"/>
      <c r="G115" s="513"/>
      <c r="H115" s="513"/>
      <c r="I115" s="513"/>
      <c r="J115" s="513"/>
      <c r="K115" s="514"/>
      <c r="L115" s="515"/>
      <c r="M115" s="516"/>
      <c r="N115" s="2522"/>
      <c r="O115" s="2522"/>
      <c r="P115" s="2531"/>
      <c r="Q115" s="2509"/>
      <c r="R115" s="2488"/>
      <c r="S115" s="2488"/>
      <c r="T115" s="2488"/>
      <c r="U115" s="2488"/>
      <c r="V115" s="2488"/>
      <c r="W115" s="2488"/>
      <c r="X115" s="2488"/>
      <c r="Y115" s="2488"/>
      <c r="Z115" s="2488"/>
      <c r="AA115" s="2488"/>
      <c r="AB115" s="2488"/>
      <c r="AC115" s="2488"/>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3"/>
      <c r="O116" s="2523"/>
      <c r="P116" s="2531"/>
      <c r="Q116" s="2509"/>
      <c r="R116" s="2488"/>
      <c r="S116" s="2488"/>
      <c r="T116" s="2488"/>
      <c r="U116" s="2488"/>
      <c r="V116" s="2488"/>
      <c r="W116" s="2488"/>
      <c r="X116" s="2488"/>
      <c r="Y116" s="2488"/>
      <c r="Z116" s="2488"/>
      <c r="AA116" s="2488"/>
      <c r="AB116" s="2488"/>
      <c r="AC116" s="2488"/>
    </row>
    <row r="117" spans="1:29" ht="15" thickTop="1">
      <c r="A117" s="409"/>
      <c r="B117" s="469" t="s">
        <v>1740</v>
      </c>
      <c r="C117" s="485"/>
      <c r="D117" s="485"/>
      <c r="E117" s="485"/>
      <c r="F117" s="485"/>
      <c r="G117" s="485"/>
      <c r="H117" s="513"/>
      <c r="I117" s="513"/>
      <c r="J117" s="513"/>
      <c r="K117" s="514"/>
      <c r="L117" s="515"/>
      <c r="M117" s="516"/>
      <c r="N117" s="2522"/>
      <c r="O117" s="2522"/>
      <c r="P117" s="2531"/>
      <c r="Q117" s="2509"/>
      <c r="R117" s="2488"/>
      <c r="S117" s="2488"/>
      <c r="T117" s="2488"/>
      <c r="U117" s="2488"/>
      <c r="V117" s="2488"/>
      <c r="W117" s="2488"/>
      <c r="X117" s="2488"/>
      <c r="Y117" s="2488"/>
      <c r="Z117" s="2488"/>
      <c r="AA117" s="2488"/>
      <c r="AB117" s="2488"/>
      <c r="AC117" s="2488"/>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3"/>
      <c r="O118" s="2523"/>
      <c r="P118" s="2531"/>
      <c r="Q118" s="2509"/>
      <c r="R118" s="2488"/>
      <c r="S118" s="2488"/>
      <c r="T118" s="2488"/>
      <c r="U118" s="2488"/>
      <c r="V118" s="2488"/>
      <c r="W118" s="2488"/>
      <c r="X118" s="2488"/>
      <c r="Y118" s="2488"/>
      <c r="Z118" s="2488"/>
      <c r="AA118" s="2488"/>
      <c r="AB118" s="2488"/>
      <c r="AC118" s="2488"/>
    </row>
    <row r="119" spans="1:29" ht="15" thickTop="1">
      <c r="A119" s="409"/>
      <c r="B119" s="560" t="s">
        <v>1823</v>
      </c>
      <c r="C119" s="513"/>
      <c r="D119" s="513"/>
      <c r="E119" s="513"/>
      <c r="F119" s="513"/>
      <c r="G119" s="513"/>
      <c r="H119" s="513"/>
      <c r="I119" s="513"/>
      <c r="J119" s="513"/>
      <c r="K119" s="513"/>
      <c r="L119" s="1816"/>
      <c r="M119" s="1817"/>
      <c r="N119" s="2523"/>
      <c r="O119" s="2523"/>
      <c r="P119" s="2536"/>
      <c r="Q119" s="2537"/>
      <c r="R119" s="2488"/>
      <c r="S119" s="2488"/>
      <c r="T119" s="2488"/>
      <c r="U119" s="2488"/>
      <c r="V119" s="2488"/>
      <c r="W119" s="2488"/>
      <c r="X119" s="2488"/>
      <c r="Y119" s="2488"/>
      <c r="Z119" s="2488"/>
      <c r="AA119" s="2488"/>
      <c r="AB119" s="2488"/>
      <c r="AC119" s="2488"/>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3"/>
      <c r="O120" s="2523"/>
      <c r="P120" s="2531"/>
      <c r="Q120" s="2509"/>
      <c r="R120" s="2488"/>
      <c r="S120" s="2488"/>
      <c r="T120" s="2488"/>
      <c r="U120" s="2488"/>
      <c r="V120" s="2488"/>
      <c r="W120" s="2488"/>
      <c r="X120" s="2488"/>
      <c r="Y120" s="2488"/>
      <c r="Z120" s="2488"/>
      <c r="AA120" s="2488"/>
      <c r="AB120" s="2488"/>
      <c r="AC120" s="2488"/>
    </row>
    <row r="121" spans="1:29" s="408" customFormat="1" ht="15" thickTop="1">
      <c r="A121" s="406"/>
      <c r="B121" s="469" t="s">
        <v>1806</v>
      </c>
      <c r="C121" s="485"/>
      <c r="D121" s="485"/>
      <c r="E121" s="485"/>
      <c r="F121" s="513"/>
      <c r="G121" s="486"/>
      <c r="H121" s="486"/>
      <c r="I121" s="486"/>
      <c r="J121" s="486"/>
      <c r="K121" s="486"/>
      <c r="L121" s="487"/>
      <c r="M121" s="488"/>
      <c r="N121" s="2524"/>
      <c r="O121" s="2524"/>
      <c r="P121" s="2532"/>
      <c r="Q121" s="2516"/>
      <c r="R121" s="2494"/>
      <c r="S121" s="2494"/>
      <c r="T121" s="2494"/>
      <c r="U121" s="2494"/>
      <c r="V121" s="2494"/>
      <c r="W121" s="2494"/>
      <c r="X121" s="2494"/>
      <c r="Y121" s="2494"/>
      <c r="Z121" s="2494"/>
      <c r="AA121" s="2494"/>
      <c r="AB121" s="2494"/>
      <c r="AC121" s="2494"/>
    </row>
    <row r="122" spans="1:29" s="408" customFormat="1" ht="15.75" thickBot="1">
      <c r="A122" s="484"/>
      <c r="B122" s="466"/>
      <c r="C122" s="491"/>
      <c r="D122" s="491"/>
      <c r="E122" s="491"/>
      <c r="F122" s="491"/>
      <c r="G122" s="491"/>
      <c r="H122" s="491"/>
      <c r="I122" s="491"/>
      <c r="J122" s="491"/>
      <c r="K122" s="491"/>
      <c r="L122" s="491"/>
      <c r="M122" s="491"/>
      <c r="N122" s="2524"/>
      <c r="O122" s="2524"/>
      <c r="P122" s="2532"/>
      <c r="Q122" s="2516"/>
      <c r="R122" s="2494"/>
      <c r="S122" s="2494"/>
      <c r="T122" s="2494"/>
      <c r="U122" s="2494"/>
      <c r="V122" s="2494"/>
      <c r="W122" s="2494"/>
      <c r="X122" s="2494"/>
      <c r="Y122" s="2494"/>
      <c r="Z122" s="2494"/>
      <c r="AA122" s="2494"/>
      <c r="AB122" s="2494"/>
      <c r="AC122" s="2494"/>
    </row>
    <row r="123" spans="1:29" ht="15" thickTop="1">
      <c r="A123" s="409"/>
      <c r="B123" s="469" t="s">
        <v>1742</v>
      </c>
      <c r="C123" s="485"/>
      <c r="D123" s="485"/>
      <c r="E123" s="485"/>
      <c r="F123" s="513"/>
      <c r="G123" s="513"/>
      <c r="H123" s="513"/>
      <c r="I123" s="513"/>
      <c r="J123" s="513"/>
      <c r="K123" s="514"/>
      <c r="L123" s="515"/>
      <c r="M123" s="516"/>
      <c r="N123" s="2522"/>
      <c r="O123" s="2522"/>
      <c r="P123" s="2531"/>
      <c r="Q123" s="2509"/>
      <c r="R123" s="2488"/>
      <c r="S123" s="2488"/>
      <c r="T123" s="2488"/>
      <c r="U123" s="2488"/>
      <c r="V123" s="2488"/>
      <c r="W123" s="2488"/>
      <c r="X123" s="2488"/>
      <c r="Y123" s="2488"/>
      <c r="Z123" s="2488"/>
      <c r="AA123" s="2488"/>
      <c r="AB123" s="2488"/>
      <c r="AC123" s="2488"/>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3"/>
      <c r="O124" s="2523"/>
      <c r="P124" s="2531"/>
      <c r="Q124" s="2509"/>
      <c r="R124" s="2488"/>
      <c r="S124" s="2488"/>
      <c r="T124" s="2488"/>
      <c r="U124" s="2488"/>
      <c r="V124" s="2488"/>
      <c r="W124" s="2488"/>
      <c r="X124" s="2488"/>
      <c r="Y124" s="2488"/>
      <c r="Z124" s="2488"/>
      <c r="AA124" s="2488"/>
      <c r="AB124" s="2488"/>
      <c r="AC124" s="2488"/>
    </row>
    <row r="125" spans="1:29" ht="15" thickTop="1">
      <c r="A125" s="409"/>
      <c r="B125" s="469" t="s">
        <v>1743</v>
      </c>
      <c r="C125" s="509" t="s">
        <v>1719</v>
      </c>
      <c r="D125" s="509" t="s">
        <v>1720</v>
      </c>
      <c r="E125" s="509" t="s">
        <v>1721</v>
      </c>
      <c r="F125" s="509" t="s">
        <v>1722</v>
      </c>
      <c r="G125" s="509" t="s">
        <v>1723</v>
      </c>
      <c r="H125" s="470"/>
      <c r="I125" s="470"/>
      <c r="J125" s="470"/>
      <c r="K125" s="471"/>
      <c r="L125" s="472"/>
      <c r="M125" s="473"/>
      <c r="N125" s="2522"/>
      <c r="O125" s="2522"/>
      <c r="P125" s="2532"/>
      <c r="Q125" s="2509"/>
      <c r="R125" s="2488"/>
      <c r="S125" s="2488"/>
      <c r="T125" s="2488"/>
      <c r="U125" s="2488"/>
      <c r="V125" s="2488"/>
      <c r="W125" s="2488"/>
      <c r="X125" s="2488"/>
      <c r="Y125" s="2488"/>
      <c r="Z125" s="2488"/>
      <c r="AA125" s="2488"/>
      <c r="AB125" s="2488"/>
      <c r="AC125" s="2488"/>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3"/>
      <c r="O126" s="2523"/>
      <c r="P126" s="2531"/>
      <c r="Q126" s="2509"/>
      <c r="R126" s="2488"/>
      <c r="S126" s="2488"/>
      <c r="T126" s="2488"/>
      <c r="U126" s="2488"/>
      <c r="V126" s="2488"/>
      <c r="W126" s="2488"/>
      <c r="X126" s="2488"/>
      <c r="Y126" s="2488"/>
      <c r="Z126" s="2488"/>
      <c r="AA126" s="2488"/>
      <c r="AB126" s="2488"/>
      <c r="AC126" s="2488"/>
    </row>
    <row r="127" spans="1:29" s="408" customFormat="1" ht="15" thickTop="1">
      <c r="A127" s="406"/>
      <c r="B127" s="469">
        <f>B45</f>
        <v>111</v>
      </c>
      <c r="C127" s="485"/>
      <c r="D127" s="485"/>
      <c r="E127" s="485"/>
      <c r="F127" s="485"/>
      <c r="G127" s="485"/>
      <c r="H127" s="486"/>
      <c r="I127" s="486"/>
      <c r="J127" s="486"/>
      <c r="K127" s="486"/>
      <c r="L127" s="487"/>
      <c r="M127" s="488"/>
      <c r="N127" s="2524"/>
      <c r="O127" s="2524"/>
      <c r="P127" s="2532"/>
      <c r="Q127" s="2516"/>
      <c r="R127" s="2494"/>
      <c r="S127" s="2494"/>
      <c r="T127" s="2494"/>
      <c r="U127" s="2494"/>
      <c r="V127" s="2494"/>
      <c r="W127" s="2494"/>
      <c r="X127" s="2494"/>
      <c r="Y127" s="2494"/>
      <c r="Z127" s="2494"/>
      <c r="AA127" s="2494"/>
      <c r="AB127" s="2494"/>
      <c r="AC127" s="2494"/>
    </row>
    <row r="128" spans="1:29" s="408" customFormat="1" ht="15.75" thickBot="1">
      <c r="A128" s="484"/>
      <c r="B128" s="474"/>
      <c r="C128" s="491"/>
      <c r="D128" s="467"/>
      <c r="E128" s="467"/>
      <c r="F128" s="467"/>
      <c r="G128" s="491"/>
      <c r="H128" s="493"/>
      <c r="I128" s="493"/>
      <c r="J128" s="493"/>
      <c r="K128" s="493"/>
      <c r="L128" s="493"/>
      <c r="M128" s="494"/>
      <c r="N128" s="2524"/>
      <c r="O128" s="2524"/>
      <c r="P128" s="2532"/>
      <c r="Q128" s="2516"/>
      <c r="R128" s="2494"/>
      <c r="S128" s="2494"/>
      <c r="T128" s="2494"/>
      <c r="U128" s="2494"/>
      <c r="V128" s="2494"/>
      <c r="W128" s="2494"/>
      <c r="X128" s="2494"/>
      <c r="Y128" s="2494"/>
      <c r="Z128" s="2494"/>
      <c r="AA128" s="2494"/>
      <c r="AB128" s="2494"/>
      <c r="AC128" s="2494"/>
    </row>
    <row r="129" spans="1:29" ht="15" thickTop="1">
      <c r="A129" s="409"/>
      <c r="B129" s="469">
        <f>B46</f>
        <v>111</v>
      </c>
      <c r="C129" s="485"/>
      <c r="D129" s="485"/>
      <c r="E129" s="485"/>
      <c r="F129" s="485"/>
      <c r="G129" s="513"/>
      <c r="H129" s="513"/>
      <c r="I129" s="513"/>
      <c r="J129" s="513"/>
      <c r="K129" s="514"/>
      <c r="L129" s="515"/>
      <c r="M129" s="516"/>
      <c r="N129" s="2522"/>
      <c r="O129" s="2522"/>
      <c r="P129" s="2531"/>
      <c r="Q129" s="2509"/>
      <c r="R129" s="2488"/>
      <c r="S129" s="2488"/>
      <c r="T129" s="2488"/>
      <c r="U129" s="2488"/>
      <c r="V129" s="2488"/>
      <c r="W129" s="2488"/>
      <c r="X129" s="2488"/>
      <c r="Y129" s="2488"/>
      <c r="Z129" s="2488"/>
      <c r="AA129" s="2488"/>
      <c r="AB129" s="2488"/>
      <c r="AC129" s="2488"/>
    </row>
    <row r="130" spans="1:29" ht="15.75" thickBot="1">
      <c r="A130" s="367"/>
      <c r="B130" s="474"/>
      <c r="C130" s="491"/>
      <c r="D130" s="491"/>
      <c r="E130" s="491"/>
      <c r="F130" s="491"/>
      <c r="G130" s="467"/>
      <c r="H130" s="467"/>
      <c r="I130" s="467"/>
      <c r="J130" s="467"/>
      <c r="K130" s="467"/>
      <c r="L130" s="467"/>
      <c r="M130" s="468"/>
      <c r="N130" s="2523"/>
      <c r="O130" s="2523"/>
      <c r="P130" s="2531"/>
      <c r="Q130" s="2509"/>
      <c r="R130" s="2488"/>
      <c r="S130" s="2488"/>
      <c r="T130" s="2488"/>
      <c r="U130" s="2488"/>
      <c r="V130" s="2488"/>
      <c r="W130" s="2488"/>
      <c r="X130" s="2488"/>
      <c r="Y130" s="2488"/>
      <c r="Z130" s="2488"/>
      <c r="AA130" s="2488"/>
      <c r="AB130" s="2488"/>
      <c r="AC130" s="2488"/>
    </row>
    <row r="131" spans="1:29" ht="15" thickTop="1">
      <c r="A131" s="409"/>
      <c r="B131" s="477">
        <f>B47</f>
        <v>111</v>
      </c>
      <c r="C131" s="31"/>
      <c r="D131" s="31"/>
      <c r="E131" s="31"/>
      <c r="F131" s="31"/>
      <c r="G131" s="517"/>
      <c r="H131" s="517"/>
      <c r="I131" s="517"/>
      <c r="J131" s="517"/>
      <c r="K131" s="31"/>
      <c r="L131" s="457"/>
      <c r="M131" s="520"/>
      <c r="N131" s="2522"/>
      <c r="O131" s="2522"/>
      <c r="P131" s="2531"/>
      <c r="Q131" s="2509"/>
      <c r="R131" s="2488"/>
      <c r="S131" s="2488"/>
      <c r="T131" s="2488"/>
      <c r="U131" s="2488"/>
      <c r="V131" s="2488"/>
      <c r="W131" s="2488"/>
      <c r="X131" s="2488"/>
      <c r="Y131" s="2488"/>
      <c r="Z131" s="2488"/>
      <c r="AA131" s="2488"/>
      <c r="AB131" s="2488"/>
      <c r="AC131" s="2488"/>
    </row>
    <row r="132" spans="1:29" ht="15.75" thickBot="1">
      <c r="A132" s="375"/>
      <c r="B132" s="500"/>
      <c r="C132" s="501"/>
      <c r="D132" s="501"/>
      <c r="E132" s="501"/>
      <c r="F132" s="501"/>
      <c r="G132" s="521"/>
      <c r="H132" s="521"/>
      <c r="I132" s="521"/>
      <c r="J132" s="521"/>
      <c r="K132" s="521"/>
      <c r="L132" s="521"/>
      <c r="M132" s="522"/>
      <c r="N132" s="2523"/>
      <c r="O132" s="2523"/>
      <c r="P132" s="2531"/>
      <c r="Q132" s="2509"/>
      <c r="R132" s="2488"/>
      <c r="S132" s="2488"/>
      <c r="T132" s="2488"/>
      <c r="U132" s="2488"/>
      <c r="V132" s="2488"/>
      <c r="W132" s="2488"/>
      <c r="X132" s="2488"/>
      <c r="Y132" s="2488"/>
      <c r="Z132" s="2488"/>
      <c r="AA132" s="2488"/>
      <c r="AB132" s="2488"/>
      <c r="AC132" s="2488"/>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E53">
    <cfRule type="expression" dxfId="99" priority="16" stopIfTrue="1">
      <formula>$F$53="超过30%"</formula>
    </cfRule>
  </conditionalFormatting>
  <conditionalFormatting sqref="E54">
    <cfRule type="expression" dxfId="98" priority="15" stopIfTrue="1">
      <formula>$F$54="超过20%"</formula>
    </cfRule>
  </conditionalFormatting>
  <conditionalFormatting sqref="E55">
    <cfRule type="expression" dxfId="97" priority="14" stopIfTrue="1">
      <formula>$F$55="超过30%"</formula>
    </cfRule>
  </conditionalFormatting>
  <conditionalFormatting sqref="F7:F47 H7:H47 J7:J47">
    <cfRule type="cellIs" dxfId="96" priority="1" operator="notEqual">
      <formula>100</formula>
    </cfRule>
  </conditionalFormatting>
  <conditionalFormatting sqref="F49">
    <cfRule type="expression" dxfId="95" priority="4">
      <formula>$D$49="简单平均"</formula>
    </cfRule>
  </conditionalFormatting>
  <conditionalFormatting sqref="F53:F55 H53:H55">
    <cfRule type="containsText" dxfId="94" priority="17" stopIfTrue="1" operator="containsText" text="超过">
      <formula>NOT(ISERROR(SEARCH("超过",F53)))</formula>
    </cfRule>
  </conditionalFormatting>
  <conditionalFormatting sqref="G53">
    <cfRule type="expression" dxfId="93" priority="12" stopIfTrue="1">
      <formula>$H$53="超过30%"</formula>
    </cfRule>
  </conditionalFormatting>
  <conditionalFormatting sqref="G54">
    <cfRule type="expression" dxfId="92" priority="11" stopIfTrue="1">
      <formula>$H$54="超过20%"</formula>
    </cfRule>
  </conditionalFormatting>
  <conditionalFormatting sqref="G55">
    <cfRule type="expression" dxfId="91" priority="13" stopIfTrue="1">
      <formula>$H$55="超过30%"</formula>
    </cfRule>
  </conditionalFormatting>
  <conditionalFormatting sqref="H49">
    <cfRule type="expression" dxfId="90" priority="3">
      <formula>$D$49="简单平均"</formula>
    </cfRule>
  </conditionalFormatting>
  <conditionalFormatting sqref="I53">
    <cfRule type="expression" dxfId="89" priority="7" stopIfTrue="1">
      <formula>$J$53="超过30%"</formula>
    </cfRule>
  </conditionalFormatting>
  <conditionalFormatting sqref="I54">
    <cfRule type="expression" dxfId="88" priority="6" stopIfTrue="1">
      <formula>$J$53+$J$54="超过20%"</formula>
    </cfRule>
  </conditionalFormatting>
  <conditionalFormatting sqref="I55">
    <cfRule type="expression" dxfId="87" priority="5" stopIfTrue="1">
      <formula>$J$55="超过30%"</formula>
    </cfRule>
  </conditionalFormatting>
  <conditionalFormatting sqref="J49">
    <cfRule type="expression" dxfId="86" priority="2">
      <formula>$D$49="简单平均"</formula>
    </cfRule>
  </conditionalFormatting>
  <conditionalFormatting sqref="J53:J55">
    <cfRule type="containsText" dxfId="85" priority="8" stopIfTrue="1" operator="containsText" text="超过">
      <formula>NOT(ISERROR(SEARCH("超过",J53)))</formula>
    </cfRule>
  </conditionalFormatting>
  <dataValidations count="25">
    <dataValidation type="list" allowBlank="1" showInputMessage="1" showErrorMessage="1" sqref="C35 E35 G35 I35" xr:uid="{00000000-0002-0000-1A00-000000000000}">
      <formula1>办公建筑结构</formula1>
    </dataValidation>
    <dataValidation type="list" allowBlank="1" showInputMessage="1" showErrorMessage="1" sqref="E24 G24 I24 C24" xr:uid="{00000000-0002-0000-1A00-000001000000}">
      <formula1>环境</formula1>
    </dataValidation>
    <dataValidation type="list" allowBlank="1" showInputMessage="1" showErrorMessage="1" sqref="E18 G18 I18 C18" xr:uid="{00000000-0002-0000-1A00-000002000000}">
      <formula1>交通便捷度</formula1>
    </dataValidation>
    <dataValidation type="list" allowBlank="1" showInputMessage="1" showErrorMessage="1" sqref="E20 I20 G20 C20" xr:uid="{00000000-0002-0000-1A00-000003000000}">
      <formula1>公共配套设施</formula1>
    </dataValidation>
    <dataValidation type="list" allowBlank="1" showInputMessage="1" showErrorMessage="1" sqref="C44 E44 G44 I44" xr:uid="{00000000-0002-0000-1A00-000004000000}">
      <formula1>内部装修维护情况</formula1>
    </dataValidation>
    <dataValidation type="list" allowBlank="1" showInputMessage="1" showErrorMessage="1" sqref="D1" xr:uid="{00000000-0002-0000-1A00-000005000000}">
      <formula1>项目类型</formula1>
    </dataValidation>
    <dataValidation type="list" allowBlank="1" showInputMessage="1" showErrorMessage="1" sqref="E9 G9 I9" xr:uid="{00000000-0002-0000-1A00-000006000000}">
      <formula1>办公用途</formula1>
    </dataValidation>
    <dataValidation type="list" allowBlank="1" showInputMessage="1" showErrorMessage="1" sqref="C16 E16 G16 I16" xr:uid="{00000000-0002-0000-1A00-000007000000}">
      <formula1>办公集聚程度</formula1>
    </dataValidation>
    <dataValidation type="list" allowBlank="1" showInputMessage="1" showErrorMessage="1" sqref="G26 C26 E26 I26" xr:uid="{00000000-0002-0000-1A00-000008000000}">
      <formula1>办公道路级别</formula1>
    </dataValidation>
    <dataValidation type="list" allowBlank="1" showInputMessage="1" showErrorMessage="1" sqref="C28 E28 G28 I28" xr:uid="{00000000-0002-0000-1A00-000009000000}">
      <formula1>办公朝向</formula1>
    </dataValidation>
    <dataValidation type="list" allowBlank="1" showInputMessage="1" showErrorMessage="1" sqref="C27 E27 G27 I27" xr:uid="{00000000-0002-0000-1A00-00000A000000}">
      <formula1>办公楼层</formula1>
    </dataValidation>
    <dataValidation type="list" allowBlank="1" showInputMessage="1" showErrorMessage="1" sqref="C33 E33 G33 I33" xr:uid="{00000000-0002-0000-1A00-00000B000000}">
      <formula1>办公建筑类型</formula1>
    </dataValidation>
    <dataValidation type="list" allowBlank="1" showInputMessage="1" showErrorMessage="1" sqref="C36 E36 G36 I36" xr:uid="{00000000-0002-0000-1A00-00000C000000}">
      <formula1>办公公共部分装修</formula1>
    </dataValidation>
    <dataValidation type="list" allowBlank="1" showInputMessage="1" showErrorMessage="1" sqref="C38 E38 G38 I38" xr:uid="{00000000-0002-0000-1A00-00000D000000}">
      <formula1>写字楼等级</formula1>
    </dataValidation>
    <dataValidation type="list" allowBlank="1" showInputMessage="1" showErrorMessage="1" sqref="C39 E39 G39 I39" xr:uid="{00000000-0002-0000-1A00-00000E000000}">
      <formula1>办公物业管理</formula1>
    </dataValidation>
    <dataValidation type="list" allowBlank="1" showInputMessage="1" showErrorMessage="1" sqref="C40 E40 G40 I40" xr:uid="{00000000-0002-0000-1A00-00000F000000}">
      <formula1>办公基础设施水平</formula1>
    </dataValidation>
    <dataValidation type="list" allowBlank="1" showInputMessage="1" showErrorMessage="1" sqref="C41 E41 G41 I41" xr:uid="{00000000-0002-0000-1A00-000010000000}">
      <formula1>办公层高</formula1>
    </dataValidation>
    <dataValidation type="list" allowBlank="1" showInputMessage="1" showErrorMessage="1" sqref="C43 E43 G43 I43" xr:uid="{00000000-0002-0000-1A00-000011000000}">
      <formula1>办公内部装修</formula1>
    </dataValidation>
    <dataValidation type="list" allowBlank="1" showInputMessage="1" showErrorMessage="1" sqref="C8 E8 G8 I8" xr:uid="{00000000-0002-0000-1A00-000012000000}">
      <formula1>办公交易情况</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9"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1658</v>
      </c>
      <c r="B1" s="1808" t="s">
        <v>1824</v>
      </c>
      <c r="C1" s="1141" t="s">
        <v>1660</v>
      </c>
      <c r="D1" s="1142"/>
      <c r="E1" s="3132"/>
      <c r="F1" s="1735"/>
      <c r="G1" s="1152" t="s">
        <v>1765</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1460</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1461</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1462</v>
      </c>
      <c r="B3" s="536">
        <f>IF(C2="——",C43,ROUND(B2*10000/D3,0))</f>
        <v>0</v>
      </c>
      <c r="C3" s="344" t="s">
        <v>1766</v>
      </c>
      <c r="D3" s="343">
        <f>IF(D1="",'数据-汇总表'!E3,SUMIF('数据-汇总表'!$C19:$C33,D1,'数据-汇总表'!$E19:$E33))</f>
        <v>449.18</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1767</v>
      </c>
      <c r="B4" s="346"/>
      <c r="C4" s="3614" t="s">
        <v>1768</v>
      </c>
      <c r="D4" s="3615"/>
      <c r="E4" s="3616" t="s">
        <v>1769</v>
      </c>
      <c r="F4" s="3617"/>
      <c r="G4" s="3614" t="s">
        <v>1770</v>
      </c>
      <c r="H4" s="3615"/>
      <c r="I4" s="3614" t="s">
        <v>1771</v>
      </c>
      <c r="J4" s="3615"/>
      <c r="K4" s="537" t="s">
        <v>1772</v>
      </c>
      <c r="L4" s="860"/>
      <c r="M4" s="861"/>
      <c r="N4" s="861"/>
      <c r="O4" s="861"/>
      <c r="P4" s="3618" t="s">
        <v>1773</v>
      </c>
      <c r="Q4" s="3619"/>
      <c r="R4" s="3601" t="s">
        <v>1769</v>
      </c>
      <c r="S4" s="3602"/>
      <c r="T4" s="3601" t="s">
        <v>1770</v>
      </c>
      <c r="U4" s="3602"/>
      <c r="V4" s="3626" t="s">
        <v>1771</v>
      </c>
      <c r="W4" s="3626"/>
      <c r="X4" s="1265"/>
      <c r="Y4" s="3601" t="s">
        <v>1773</v>
      </c>
      <c r="Z4" s="3602"/>
      <c r="AA4" s="3596" t="s">
        <v>1769</v>
      </c>
      <c r="AB4" s="3597" t="s">
        <v>1770</v>
      </c>
      <c r="AC4" s="3596" t="s">
        <v>1771</v>
      </c>
    </row>
    <row r="5" spans="1:29" ht="15">
      <c r="A5" s="348"/>
      <c r="B5" s="349"/>
      <c r="C5" s="3607" t="s">
        <v>1671</v>
      </c>
      <c r="D5" s="3608"/>
      <c r="E5" s="3605" t="s">
        <v>1672</v>
      </c>
      <c r="F5" s="3606"/>
      <c r="G5" s="3607" t="s">
        <v>1673</v>
      </c>
      <c r="H5" s="3608"/>
      <c r="I5" s="3607" t="s">
        <v>1674</v>
      </c>
      <c r="J5" s="3608"/>
      <c r="K5" s="537"/>
      <c r="L5" s="860"/>
      <c r="M5" s="861"/>
      <c r="N5" s="861"/>
      <c r="O5" s="861"/>
      <c r="P5" s="3620"/>
      <c r="Q5" s="3621"/>
      <c r="R5" s="3603"/>
      <c r="S5" s="3604"/>
      <c r="T5" s="3603"/>
      <c r="U5" s="3604"/>
      <c r="V5" s="3626"/>
      <c r="W5" s="3626"/>
      <c r="X5" s="1265"/>
      <c r="Y5" s="3603"/>
      <c r="Z5" s="3604"/>
      <c r="AA5" s="3597"/>
      <c r="AB5" s="3597"/>
      <c r="AC5" s="3597"/>
    </row>
    <row r="6" spans="1:29" ht="15.75" thickBot="1">
      <c r="A6" s="350"/>
      <c r="B6" s="351"/>
      <c r="C6" s="3609" t="s">
        <v>1675</v>
      </c>
      <c r="D6" s="3610"/>
      <c r="E6" s="3611" t="s">
        <v>1675</v>
      </c>
      <c r="F6" s="3612"/>
      <c r="G6" s="3609" t="s">
        <v>1675</v>
      </c>
      <c r="H6" s="3610"/>
      <c r="I6" s="3609" t="s">
        <v>1675</v>
      </c>
      <c r="J6" s="3610"/>
      <c r="K6" s="537" t="s">
        <v>1676</v>
      </c>
      <c r="L6" s="860"/>
      <c r="M6" s="861"/>
      <c r="N6" s="861"/>
      <c r="O6" s="861"/>
      <c r="P6" s="3622"/>
      <c r="Q6" s="3623"/>
      <c r="R6" s="3603"/>
      <c r="S6" s="3604"/>
      <c r="T6" s="3624"/>
      <c r="U6" s="3625"/>
      <c r="V6" s="3626"/>
      <c r="W6" s="3626"/>
      <c r="X6" s="1265"/>
      <c r="Y6" s="3624"/>
      <c r="Z6" s="3625"/>
      <c r="AA6" s="3598"/>
      <c r="AB6" s="3598"/>
      <c r="AC6" s="3598"/>
    </row>
    <row r="7" spans="1:29" s="102" customFormat="1" ht="15.75" thickBot="1">
      <c r="A7" s="352" t="s">
        <v>1677</v>
      </c>
      <c r="B7" s="353"/>
      <c r="C7" s="354">
        <f>'数据-取费表'!B2</f>
        <v>45839</v>
      </c>
      <c r="D7" s="355">
        <v>100</v>
      </c>
      <c r="E7" s="356"/>
      <c r="F7" s="357">
        <f>SUMIF(52:52,YEAR(E7)&amp;"-"&amp;MONTH(E7),53:53)</f>
        <v>0</v>
      </c>
      <c r="G7" s="356"/>
      <c r="H7" s="355">
        <f>SUMIF(52:52,YEAR(G7)&amp;"-"&amp;MONTH(G7),53:53)</f>
        <v>0</v>
      </c>
      <c r="I7" s="356"/>
      <c r="J7" s="355">
        <f>SUMIF(52:52,YEAR(I7)&amp;"-"&amp;MONTH(I7),53:53)</f>
        <v>0</v>
      </c>
      <c r="K7" s="38"/>
      <c r="L7" s="862"/>
      <c r="M7" s="863"/>
      <c r="N7" s="863"/>
      <c r="O7" s="863"/>
      <c r="P7" s="3599" t="s">
        <v>1678</v>
      </c>
      <c r="Q7" s="3627"/>
      <c r="R7" s="664" t="s">
        <v>14</v>
      </c>
      <c r="S7" s="665">
        <f t="shared" ref="S7:S15" si="0">F7</f>
        <v>0</v>
      </c>
      <c r="T7" s="664" t="s">
        <v>14</v>
      </c>
      <c r="U7" s="665">
        <f t="shared" ref="U7:U15" si="1">H7</f>
        <v>0</v>
      </c>
      <c r="V7" s="664" t="s">
        <v>14</v>
      </c>
      <c r="W7" s="665">
        <f t="shared" ref="W7:W15" si="2">J7</f>
        <v>0</v>
      </c>
      <c r="X7" s="666"/>
      <c r="Y7" s="3599" t="s">
        <v>1678</v>
      </c>
      <c r="Z7" s="3600"/>
      <c r="AA7" s="50" t="e">
        <f>D7/F7</f>
        <v>#DIV/0!</v>
      </c>
      <c r="AB7" s="50" t="e">
        <f>D7/H7</f>
        <v>#DIV/0!</v>
      </c>
      <c r="AC7" s="50" t="e">
        <f>D7/J7</f>
        <v>#DIV/0!</v>
      </c>
    </row>
    <row r="8" spans="1:29" s="102" customFormat="1" ht="15.75" thickBot="1">
      <c r="A8" s="352" t="s">
        <v>1679</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599" t="s">
        <v>1681</v>
      </c>
      <c r="Q8" s="3600"/>
      <c r="R8" s="664" t="s">
        <v>14</v>
      </c>
      <c r="S8" s="665">
        <f t="shared" si="0"/>
        <v>100</v>
      </c>
      <c r="T8" s="664" t="s">
        <v>14</v>
      </c>
      <c r="U8" s="665">
        <f t="shared" si="1"/>
        <v>100</v>
      </c>
      <c r="V8" s="664" t="s">
        <v>14</v>
      </c>
      <c r="W8" s="665">
        <f t="shared" si="2"/>
        <v>100</v>
      </c>
      <c r="X8" s="666"/>
      <c r="Y8" s="3599" t="s">
        <v>1681</v>
      </c>
      <c r="Z8" s="3600"/>
      <c r="AA8" s="50">
        <f t="shared" ref="AA8:AA40" si="3">D8/F8</f>
        <v>1</v>
      </c>
      <c r="AB8" s="50">
        <f t="shared" ref="AB8:AB40" si="4">D8/H8</f>
        <v>1</v>
      </c>
      <c r="AC8" s="50">
        <f t="shared" ref="AC8:AC40" si="5">D8/J8</f>
        <v>1</v>
      </c>
    </row>
    <row r="9" spans="1:29" s="102" customFormat="1">
      <c r="A9" s="359" t="s">
        <v>1682</v>
      </c>
      <c r="B9" s="60" t="s">
        <v>1683</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631" t="s">
        <v>1684</v>
      </c>
      <c r="Q9" s="530" t="str">
        <f t="shared" ref="Q9:Q15" si="6">B9</f>
        <v>用途</v>
      </c>
      <c r="R9" s="664" t="s">
        <v>14</v>
      </c>
      <c r="S9" s="665">
        <f t="shared" si="0"/>
        <v>100</v>
      </c>
      <c r="T9" s="664" t="s">
        <v>14</v>
      </c>
      <c r="U9" s="665">
        <f t="shared" si="1"/>
        <v>100</v>
      </c>
      <c r="V9" s="664" t="s">
        <v>14</v>
      </c>
      <c r="W9" s="665">
        <f t="shared" si="2"/>
        <v>100</v>
      </c>
      <c r="X9" s="666"/>
      <c r="Y9" s="3543" t="s">
        <v>1685</v>
      </c>
      <c r="Z9" s="50" t="str">
        <f t="shared" ref="Z9:Z15" si="7">Q9</f>
        <v>用途</v>
      </c>
      <c r="AA9" s="50">
        <f t="shared" si="3"/>
        <v>1</v>
      </c>
      <c r="AB9" s="50">
        <f t="shared" si="4"/>
        <v>1</v>
      </c>
      <c r="AC9" s="50">
        <f t="shared" si="5"/>
        <v>1</v>
      </c>
    </row>
    <row r="10" spans="1:29" s="366" customFormat="1" ht="27">
      <c r="A10" s="363"/>
      <c r="B10" s="364" t="s">
        <v>1686</v>
      </c>
      <c r="C10" s="3133"/>
      <c r="D10" s="119">
        <v>100</v>
      </c>
      <c r="E10" s="3133"/>
      <c r="F10" s="119">
        <f>SUMIF(59:59,E10,60:60)-SUMIF(59:59,C10,60:60)+100</f>
        <v>100</v>
      </c>
      <c r="G10" s="3134"/>
      <c r="H10" s="119">
        <f>SUMIF(59:59,G10,60:60)-SUMIF(59:59,C10,60:60)+100</f>
        <v>100</v>
      </c>
      <c r="I10" s="3133"/>
      <c r="J10" s="119">
        <f>SUMIF(59:59,I10,60:60)-SUMIF(59:59,C10,60:60)+100</f>
        <v>100</v>
      </c>
      <c r="K10" s="38"/>
      <c r="L10" s="865"/>
      <c r="M10" s="866"/>
      <c r="N10" s="866"/>
      <c r="O10" s="867"/>
      <c r="P10" s="3631"/>
      <c r="Q10" s="530" t="str">
        <f t="shared" si="6"/>
        <v>土地使用年限（年）</v>
      </c>
      <c r="R10" s="664" t="s">
        <v>14</v>
      </c>
      <c r="S10" s="665">
        <f t="shared" si="0"/>
        <v>100</v>
      </c>
      <c r="T10" s="664" t="s">
        <v>14</v>
      </c>
      <c r="U10" s="665">
        <f t="shared" si="1"/>
        <v>100</v>
      </c>
      <c r="V10" s="664" t="s">
        <v>14</v>
      </c>
      <c r="W10" s="665">
        <f t="shared" si="2"/>
        <v>100</v>
      </c>
      <c r="X10" s="666"/>
      <c r="Y10" s="3543"/>
      <c r="Z10" s="50" t="str">
        <f t="shared" si="7"/>
        <v>土地使用年限（年）</v>
      </c>
      <c r="AA10" s="50">
        <f t="shared" si="3"/>
        <v>1</v>
      </c>
      <c r="AB10" s="50">
        <f t="shared" si="4"/>
        <v>1</v>
      </c>
      <c r="AC10" s="50">
        <f t="shared" si="5"/>
        <v>1</v>
      </c>
    </row>
    <row r="11" spans="1:29" ht="15">
      <c r="A11" s="367"/>
      <c r="B11" s="364" t="s">
        <v>1687</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631"/>
      <c r="Q11" s="530" t="str">
        <f t="shared" si="6"/>
        <v>容积率</v>
      </c>
      <c r="R11" s="664" t="s">
        <v>14</v>
      </c>
      <c r="S11" s="665">
        <f t="shared" si="0"/>
        <v>100</v>
      </c>
      <c r="T11" s="664" t="s">
        <v>14</v>
      </c>
      <c r="U11" s="665">
        <f t="shared" si="1"/>
        <v>100</v>
      </c>
      <c r="V11" s="664" t="s">
        <v>14</v>
      </c>
      <c r="W11" s="665">
        <f t="shared" si="2"/>
        <v>100</v>
      </c>
      <c r="X11" s="666"/>
      <c r="Y11" s="3543"/>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631"/>
      <c r="Q12" s="530">
        <f t="shared" si="6"/>
        <v>111</v>
      </c>
      <c r="R12" s="664" t="s">
        <v>14</v>
      </c>
      <c r="S12" s="665">
        <f t="shared" si="0"/>
        <v>100</v>
      </c>
      <c r="T12" s="664" t="s">
        <v>14</v>
      </c>
      <c r="U12" s="665">
        <f t="shared" si="1"/>
        <v>100</v>
      </c>
      <c r="V12" s="664" t="s">
        <v>14</v>
      </c>
      <c r="W12" s="665">
        <f t="shared" si="2"/>
        <v>100</v>
      </c>
      <c r="X12" s="666"/>
      <c r="Y12" s="3543"/>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631"/>
      <c r="Q13" s="530">
        <f t="shared" si="6"/>
        <v>111</v>
      </c>
      <c r="R13" s="664" t="s">
        <v>14</v>
      </c>
      <c r="S13" s="665">
        <f t="shared" si="0"/>
        <v>100</v>
      </c>
      <c r="T13" s="664" t="s">
        <v>14</v>
      </c>
      <c r="U13" s="665">
        <f t="shared" si="1"/>
        <v>100</v>
      </c>
      <c r="V13" s="664" t="s">
        <v>14</v>
      </c>
      <c r="W13" s="665">
        <f t="shared" si="2"/>
        <v>100</v>
      </c>
      <c r="X13" s="666"/>
      <c r="Y13" s="3543"/>
      <c r="Z13" s="50">
        <f t="shared" si="7"/>
        <v>111</v>
      </c>
      <c r="AA13" s="50">
        <f t="shared" si="3"/>
        <v>1</v>
      </c>
      <c r="AB13" s="50">
        <f t="shared" si="4"/>
        <v>1</v>
      </c>
      <c r="AC13" s="50">
        <f t="shared" si="5"/>
        <v>1</v>
      </c>
    </row>
    <row r="14" spans="1:29" ht="15.75"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631"/>
      <c r="Q14" s="530">
        <f t="shared" si="6"/>
        <v>111</v>
      </c>
      <c r="R14" s="664" t="s">
        <v>14</v>
      </c>
      <c r="S14" s="665">
        <f t="shared" si="0"/>
        <v>100</v>
      </c>
      <c r="T14" s="664" t="s">
        <v>14</v>
      </c>
      <c r="U14" s="665">
        <f t="shared" si="1"/>
        <v>100</v>
      </c>
      <c r="V14" s="664" t="s">
        <v>14</v>
      </c>
      <c r="W14" s="665">
        <f t="shared" si="2"/>
        <v>100</v>
      </c>
      <c r="X14" s="666"/>
      <c r="Y14" s="3543"/>
      <c r="Z14" s="50">
        <f t="shared" si="7"/>
        <v>111</v>
      </c>
      <c r="AA14" s="50">
        <f t="shared" si="3"/>
        <v>1</v>
      </c>
      <c r="AB14" s="50">
        <f t="shared" si="4"/>
        <v>1</v>
      </c>
      <c r="AC14" s="50">
        <f t="shared" si="5"/>
        <v>1</v>
      </c>
    </row>
    <row r="15" spans="1:29" ht="57">
      <c r="A15" s="379" t="s">
        <v>1688</v>
      </c>
      <c r="B15" s="58" t="s">
        <v>1825</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632" t="s">
        <v>1689</v>
      </c>
      <c r="Q15" s="1263" t="str">
        <f t="shared" si="6"/>
        <v>产业集聚程度</v>
      </c>
      <c r="R15" s="667" t="s">
        <v>14</v>
      </c>
      <c r="S15" s="668">
        <f t="shared" si="0"/>
        <v>100</v>
      </c>
      <c r="T15" s="667" t="s">
        <v>14</v>
      </c>
      <c r="U15" s="668">
        <f t="shared" si="1"/>
        <v>100</v>
      </c>
      <c r="V15" s="667" t="s">
        <v>14</v>
      </c>
      <c r="W15" s="668">
        <f t="shared" si="2"/>
        <v>100</v>
      </c>
      <c r="X15" s="1265"/>
      <c r="Y15" s="3632" t="s">
        <v>1689</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633"/>
      <c r="Q16" s="1263"/>
      <c r="R16" s="667"/>
      <c r="S16" s="668"/>
      <c r="T16" s="667"/>
      <c r="U16" s="668"/>
      <c r="V16" s="667"/>
      <c r="W16" s="668"/>
      <c r="X16" s="1265"/>
      <c r="Y16" s="3633"/>
      <c r="Z16" s="1264"/>
      <c r="AA16" s="1264">
        <v>1</v>
      </c>
      <c r="AB16" s="1264">
        <v>1</v>
      </c>
      <c r="AC16" s="1264">
        <v>1</v>
      </c>
    </row>
    <row r="17" spans="1:29" ht="85.5">
      <c r="A17" s="367"/>
      <c r="B17" s="390" t="s">
        <v>1257</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633"/>
      <c r="Q17" s="1263" t="str">
        <f>B17</f>
        <v>交通便捷度</v>
      </c>
      <c r="R17" s="667" t="s">
        <v>14</v>
      </c>
      <c r="S17" s="668">
        <f>F17</f>
        <v>100</v>
      </c>
      <c r="T17" s="667" t="s">
        <v>14</v>
      </c>
      <c r="U17" s="668">
        <f>H17</f>
        <v>100</v>
      </c>
      <c r="V17" s="667" t="s">
        <v>14</v>
      </c>
      <c r="W17" s="668">
        <f>J17</f>
        <v>100</v>
      </c>
      <c r="X17" s="1265"/>
      <c r="Y17" s="3633"/>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633"/>
      <c r="Q18" s="1263"/>
      <c r="R18" s="667"/>
      <c r="S18" s="668"/>
      <c r="T18" s="667"/>
      <c r="U18" s="668"/>
      <c r="V18" s="667"/>
      <c r="W18" s="668"/>
      <c r="X18" s="1265"/>
      <c r="Y18" s="3633"/>
      <c r="Z18" s="1264"/>
      <c r="AA18" s="1264">
        <v>1</v>
      </c>
      <c r="AB18" s="1264">
        <v>1</v>
      </c>
      <c r="AC18" s="1264">
        <v>1</v>
      </c>
    </row>
    <row r="19" spans="1:29" ht="42.75">
      <c r="A19" s="367"/>
      <c r="B19" s="390" t="s">
        <v>1810</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633"/>
      <c r="Q19" s="1263" t="str">
        <f>B19</f>
        <v>公共配套设施</v>
      </c>
      <c r="R19" s="667" t="s">
        <v>14</v>
      </c>
      <c r="S19" s="668">
        <f>F19</f>
        <v>100</v>
      </c>
      <c r="T19" s="667" t="s">
        <v>14</v>
      </c>
      <c r="U19" s="668">
        <f>H19</f>
        <v>100</v>
      </c>
      <c r="V19" s="667" t="s">
        <v>14</v>
      </c>
      <c r="W19" s="668">
        <f>J19</f>
        <v>100</v>
      </c>
      <c r="X19" s="1265"/>
      <c r="Y19" s="3633"/>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633"/>
      <c r="Q20" s="1263"/>
      <c r="R20" s="667"/>
      <c r="S20" s="668"/>
      <c r="T20" s="667"/>
      <c r="U20" s="668"/>
      <c r="V20" s="667"/>
      <c r="W20" s="668"/>
      <c r="X20" s="1265"/>
      <c r="Y20" s="3633"/>
      <c r="Z20" s="1264"/>
      <c r="AA20" s="1264">
        <v>1</v>
      </c>
      <c r="AB20" s="1264">
        <v>1</v>
      </c>
      <c r="AC20" s="1264">
        <v>1</v>
      </c>
    </row>
    <row r="21" spans="1:29" ht="28.5">
      <c r="A21" s="367"/>
      <c r="B21" s="586" t="s">
        <v>1811</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633"/>
      <c r="Q21" s="1263" t="str">
        <f>B21</f>
        <v>基础设施水平</v>
      </c>
      <c r="R21" s="667" t="s">
        <v>14</v>
      </c>
      <c r="S21" s="668">
        <f>F21</f>
        <v>100</v>
      </c>
      <c r="T21" s="667" t="s">
        <v>14</v>
      </c>
      <c r="U21" s="668">
        <f>H21</f>
        <v>100</v>
      </c>
      <c r="V21" s="667" t="s">
        <v>14</v>
      </c>
      <c r="W21" s="668">
        <f>J21</f>
        <v>100</v>
      </c>
      <c r="X21" s="1265"/>
      <c r="Y21" s="3633"/>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633"/>
      <c r="Q22" s="1263"/>
      <c r="R22" s="667"/>
      <c r="S22" s="668"/>
      <c r="T22" s="667"/>
      <c r="U22" s="668"/>
      <c r="V22" s="667"/>
      <c r="W22" s="668"/>
      <c r="X22" s="1265"/>
      <c r="Y22" s="3633"/>
      <c r="Z22" s="1264"/>
      <c r="AA22" s="1264">
        <v>1</v>
      </c>
      <c r="AB22" s="1264">
        <v>1</v>
      </c>
      <c r="AC22" s="1264">
        <v>1</v>
      </c>
    </row>
    <row r="23" spans="1:29" ht="71.25">
      <c r="A23" s="367"/>
      <c r="B23" s="390" t="s">
        <v>1812</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633"/>
      <c r="Q23" s="1263" t="str">
        <f>B23</f>
        <v>环境质量</v>
      </c>
      <c r="R23" s="667" t="s">
        <v>14</v>
      </c>
      <c r="S23" s="668">
        <f>F23</f>
        <v>100</v>
      </c>
      <c r="T23" s="667" t="s">
        <v>14</v>
      </c>
      <c r="U23" s="668">
        <f>H23</f>
        <v>100</v>
      </c>
      <c r="V23" s="667" t="s">
        <v>14</v>
      </c>
      <c r="W23" s="668">
        <f>J23</f>
        <v>100</v>
      </c>
      <c r="X23" s="1265"/>
      <c r="Y23" s="3633"/>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633"/>
      <c r="Q24" s="1263"/>
      <c r="R24" s="667"/>
      <c r="S24" s="668"/>
      <c r="T24" s="667"/>
      <c r="U24" s="668"/>
      <c r="V24" s="667"/>
      <c r="W24" s="668"/>
      <c r="X24" s="1265"/>
      <c r="Y24" s="3633"/>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633"/>
      <c r="Q25" s="1263">
        <f>B25</f>
        <v>111</v>
      </c>
      <c r="R25" s="667" t="s">
        <v>14</v>
      </c>
      <c r="S25" s="668">
        <f>F25</f>
        <v>100</v>
      </c>
      <c r="T25" s="667" t="s">
        <v>14</v>
      </c>
      <c r="U25" s="668">
        <f>H25</f>
        <v>100</v>
      </c>
      <c r="V25" s="667" t="s">
        <v>14</v>
      </c>
      <c r="W25" s="668">
        <f>J25</f>
        <v>100</v>
      </c>
      <c r="X25" s="1265"/>
      <c r="Y25" s="3633"/>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633"/>
      <c r="Q26" s="1263">
        <f t="shared" ref="Q26:Q40" si="11">B26</f>
        <v>111</v>
      </c>
      <c r="R26" s="667" t="s">
        <v>14</v>
      </c>
      <c r="S26" s="668">
        <f>F26</f>
        <v>100</v>
      </c>
      <c r="T26" s="667" t="s">
        <v>14</v>
      </c>
      <c r="U26" s="668">
        <f>H26</f>
        <v>100</v>
      </c>
      <c r="V26" s="667" t="s">
        <v>14</v>
      </c>
      <c r="W26" s="668">
        <f>J26</f>
        <v>100</v>
      </c>
      <c r="X26" s="1265"/>
      <c r="Y26" s="3633"/>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633"/>
      <c r="Q27" s="530">
        <f t="shared" si="11"/>
        <v>111</v>
      </c>
      <c r="R27" s="664" t="s">
        <v>14</v>
      </c>
      <c r="S27" s="665">
        <f>F27</f>
        <v>100</v>
      </c>
      <c r="T27" s="664" t="s">
        <v>14</v>
      </c>
      <c r="U27" s="665">
        <f>H27</f>
        <v>100</v>
      </c>
      <c r="V27" s="664" t="s">
        <v>14</v>
      </c>
      <c r="W27" s="665">
        <f>J27</f>
        <v>100</v>
      </c>
      <c r="X27" s="666"/>
      <c r="Y27" s="3633"/>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633"/>
      <c r="Q28" s="1263">
        <f t="shared" si="11"/>
        <v>111</v>
      </c>
      <c r="R28" s="667" t="s">
        <v>14</v>
      </c>
      <c r="S28" s="668">
        <f t="shared" ref="S28:S40" si="12">F28</f>
        <v>100</v>
      </c>
      <c r="T28" s="667" t="s">
        <v>14</v>
      </c>
      <c r="U28" s="668">
        <f t="shared" ref="U28:U40" si="13">H28</f>
        <v>100</v>
      </c>
      <c r="V28" s="667" t="s">
        <v>14</v>
      </c>
      <c r="W28" s="668">
        <f t="shared" ref="W28:W40" si="14">J28</f>
        <v>100</v>
      </c>
      <c r="X28" s="1265"/>
      <c r="Y28" s="3633"/>
      <c r="Z28" s="1264">
        <f t="shared" ref="Z28:Z40" si="15">Q28</f>
        <v>111</v>
      </c>
      <c r="AA28" s="1264">
        <f t="shared" si="3"/>
        <v>1</v>
      </c>
      <c r="AB28" s="1264">
        <f t="shared" si="4"/>
        <v>1</v>
      </c>
      <c r="AC28" s="1264">
        <f t="shared" si="5"/>
        <v>1</v>
      </c>
    </row>
    <row r="29" spans="1:29" ht="28.5">
      <c r="A29" s="404" t="s">
        <v>1692</v>
      </c>
      <c r="B29" s="60" t="s">
        <v>1815</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656" t="s">
        <v>1694</v>
      </c>
      <c r="Q29" s="1263" t="str">
        <f t="shared" si="11"/>
        <v>建筑类型</v>
      </c>
      <c r="R29" s="667" t="s">
        <v>14</v>
      </c>
      <c r="S29" s="668">
        <f t="shared" si="12"/>
        <v>100</v>
      </c>
      <c r="T29" s="667" t="s">
        <v>14</v>
      </c>
      <c r="U29" s="668">
        <f t="shared" si="13"/>
        <v>100</v>
      </c>
      <c r="V29" s="667" t="s">
        <v>14</v>
      </c>
      <c r="W29" s="668">
        <f t="shared" si="14"/>
        <v>100</v>
      </c>
      <c r="X29" s="1265"/>
      <c r="Y29" s="3637" t="s">
        <v>1694</v>
      </c>
      <c r="Z29" s="1264" t="str">
        <f t="shared" si="15"/>
        <v>建筑类型</v>
      </c>
      <c r="AA29" s="1264">
        <f t="shared" si="3"/>
        <v>1</v>
      </c>
      <c r="AB29" s="1264">
        <f t="shared" si="4"/>
        <v>1</v>
      </c>
      <c r="AC29" s="1264">
        <f t="shared" si="5"/>
        <v>1</v>
      </c>
    </row>
    <row r="30" spans="1:29" s="408" customFormat="1" ht="15">
      <c r="A30" s="406"/>
      <c r="B30" s="364" t="s">
        <v>1695</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637"/>
      <c r="Q30" s="531" t="str">
        <f t="shared" si="11"/>
        <v>项目建筑规模</v>
      </c>
      <c r="R30" s="669" t="s">
        <v>14</v>
      </c>
      <c r="S30" s="670" t="e">
        <f t="shared" si="12"/>
        <v>#N/A</v>
      </c>
      <c r="T30" s="669" t="s">
        <v>14</v>
      </c>
      <c r="U30" s="670" t="e">
        <f t="shared" si="13"/>
        <v>#N/A</v>
      </c>
      <c r="V30" s="669" t="s">
        <v>14</v>
      </c>
      <c r="W30" s="670" t="e">
        <f t="shared" si="14"/>
        <v>#N/A</v>
      </c>
      <c r="X30" s="671"/>
      <c r="Y30" s="3637"/>
      <c r="Z30" s="672" t="str">
        <f t="shared" si="15"/>
        <v>项目建筑规模</v>
      </c>
      <c r="AA30" s="1264" t="e">
        <f t="shared" si="3"/>
        <v>#N/A</v>
      </c>
      <c r="AB30" s="1264" t="e">
        <f t="shared" si="4"/>
        <v>#N/A</v>
      </c>
      <c r="AC30" s="1264" t="e">
        <f t="shared" si="5"/>
        <v>#N/A</v>
      </c>
    </row>
    <row r="31" spans="1:29" ht="15">
      <c r="A31" s="409"/>
      <c r="B31" s="364" t="s">
        <v>1696</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637"/>
      <c r="Q31" s="1263" t="str">
        <f t="shared" si="11"/>
        <v>建筑结构</v>
      </c>
      <c r="R31" s="667" t="s">
        <v>14</v>
      </c>
      <c r="S31" s="668">
        <f t="shared" si="12"/>
        <v>100</v>
      </c>
      <c r="T31" s="667" t="s">
        <v>14</v>
      </c>
      <c r="U31" s="668">
        <f t="shared" si="13"/>
        <v>100</v>
      </c>
      <c r="V31" s="667" t="s">
        <v>14</v>
      </c>
      <c r="W31" s="668">
        <f t="shared" si="14"/>
        <v>100</v>
      </c>
      <c r="X31" s="1265"/>
      <c r="Y31" s="3637"/>
      <c r="Z31" s="1264" t="str">
        <f t="shared" si="15"/>
        <v>建筑结构</v>
      </c>
      <c r="AA31" s="1264">
        <f t="shared" si="3"/>
        <v>1</v>
      </c>
      <c r="AB31" s="1264">
        <f t="shared" si="4"/>
        <v>1</v>
      </c>
      <c r="AC31" s="1264">
        <f t="shared" si="5"/>
        <v>1</v>
      </c>
    </row>
    <row r="32" spans="1:29" ht="15">
      <c r="A32" s="409"/>
      <c r="B32" s="364" t="s">
        <v>1783</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637"/>
      <c r="Q32" s="1263" t="str">
        <f t="shared" si="11"/>
        <v>公共部分装修</v>
      </c>
      <c r="R32" s="667" t="s">
        <v>14</v>
      </c>
      <c r="S32" s="668">
        <f t="shared" si="12"/>
        <v>100</v>
      </c>
      <c r="T32" s="667" t="s">
        <v>14</v>
      </c>
      <c r="U32" s="668">
        <f t="shared" si="13"/>
        <v>100</v>
      </c>
      <c r="V32" s="667" t="s">
        <v>14</v>
      </c>
      <c r="W32" s="668">
        <f t="shared" si="14"/>
        <v>100</v>
      </c>
      <c r="X32" s="1265"/>
      <c r="Y32" s="3637"/>
      <c r="Z32" s="1264" t="str">
        <f t="shared" si="15"/>
        <v>公共部分装修</v>
      </c>
      <c r="AA32" s="1264">
        <f t="shared" si="3"/>
        <v>1</v>
      </c>
      <c r="AB32" s="1264">
        <f t="shared" si="4"/>
        <v>1</v>
      </c>
      <c r="AC32" s="1264">
        <f t="shared" si="5"/>
        <v>1</v>
      </c>
    </row>
    <row r="33" spans="1:29" ht="15">
      <c r="A33" s="409"/>
      <c r="B33" s="364" t="s">
        <v>1784</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637"/>
      <c r="Q33" s="1263" t="str">
        <f t="shared" si="11"/>
        <v>成新度</v>
      </c>
      <c r="R33" s="667" t="s">
        <v>14</v>
      </c>
      <c r="S33" s="668" t="e">
        <f t="shared" si="12"/>
        <v>#N/A</v>
      </c>
      <c r="T33" s="667" t="s">
        <v>14</v>
      </c>
      <c r="U33" s="668" t="e">
        <f t="shared" si="13"/>
        <v>#N/A</v>
      </c>
      <c r="V33" s="667" t="s">
        <v>14</v>
      </c>
      <c r="W33" s="668" t="e">
        <f t="shared" si="14"/>
        <v>#N/A</v>
      </c>
      <c r="X33" s="1265"/>
      <c r="Y33" s="3637"/>
      <c r="Z33" s="1264" t="str">
        <f t="shared" si="15"/>
        <v>成新度</v>
      </c>
      <c r="AA33" s="1264" t="e">
        <f t="shared" si="3"/>
        <v>#N/A</v>
      </c>
      <c r="AB33" s="1264" t="e">
        <f t="shared" si="4"/>
        <v>#N/A</v>
      </c>
      <c r="AC33" s="1264" t="e">
        <f t="shared" si="5"/>
        <v>#N/A</v>
      </c>
    </row>
    <row r="34" spans="1:29" s="102" customFormat="1" ht="15">
      <c r="A34" s="410"/>
      <c r="B34" s="364" t="s">
        <v>1817</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637"/>
      <c r="Q34" s="530" t="str">
        <f t="shared" si="11"/>
        <v>物业管理</v>
      </c>
      <c r="R34" s="664" t="s">
        <v>14</v>
      </c>
      <c r="S34" s="665">
        <f t="shared" si="12"/>
        <v>100</v>
      </c>
      <c r="T34" s="664" t="s">
        <v>14</v>
      </c>
      <c r="U34" s="665">
        <f t="shared" si="13"/>
        <v>100</v>
      </c>
      <c r="V34" s="664" t="s">
        <v>14</v>
      </c>
      <c r="W34" s="665">
        <f t="shared" si="14"/>
        <v>100</v>
      </c>
      <c r="X34" s="666"/>
      <c r="Y34" s="3637"/>
      <c r="Z34" s="50" t="str">
        <f t="shared" si="15"/>
        <v>物业管理</v>
      </c>
      <c r="AA34" s="50">
        <f t="shared" si="3"/>
        <v>1</v>
      </c>
      <c r="AB34" s="50">
        <f t="shared" si="4"/>
        <v>1</v>
      </c>
      <c r="AC34" s="50">
        <f t="shared" si="5"/>
        <v>1</v>
      </c>
    </row>
    <row r="35" spans="1:29" ht="15">
      <c r="A35" s="409"/>
      <c r="B35" s="364" t="s">
        <v>1785</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637" t="s">
        <v>1694</v>
      </c>
      <c r="Q35" s="1263" t="str">
        <f t="shared" si="11"/>
        <v>市政基础设施</v>
      </c>
      <c r="R35" s="667" t="s">
        <v>14</v>
      </c>
      <c r="S35" s="668">
        <f t="shared" si="12"/>
        <v>100</v>
      </c>
      <c r="T35" s="667" t="s">
        <v>14</v>
      </c>
      <c r="U35" s="668">
        <f t="shared" si="13"/>
        <v>100</v>
      </c>
      <c r="V35" s="667" t="s">
        <v>14</v>
      </c>
      <c r="W35" s="668">
        <f t="shared" si="14"/>
        <v>100</v>
      </c>
      <c r="X35" s="1265"/>
      <c r="Y35" s="3637" t="s">
        <v>1694</v>
      </c>
      <c r="Z35" s="1264" t="str">
        <f t="shared" si="15"/>
        <v>市政基础设施</v>
      </c>
      <c r="AA35" s="1264">
        <f t="shared" si="3"/>
        <v>1</v>
      </c>
      <c r="AB35" s="1264">
        <f t="shared" si="4"/>
        <v>1</v>
      </c>
      <c r="AC35" s="1264">
        <f t="shared" si="5"/>
        <v>1</v>
      </c>
    </row>
    <row r="36" spans="1:29" ht="15">
      <c r="A36" s="409"/>
      <c r="B36" s="364" t="s">
        <v>1790</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637"/>
      <c r="Q36" s="1263" t="str">
        <f t="shared" si="11"/>
        <v>内部装修</v>
      </c>
      <c r="R36" s="667" t="s">
        <v>14</v>
      </c>
      <c r="S36" s="668">
        <f t="shared" si="12"/>
        <v>100</v>
      </c>
      <c r="T36" s="667" t="s">
        <v>14</v>
      </c>
      <c r="U36" s="668">
        <f t="shared" si="13"/>
        <v>100</v>
      </c>
      <c r="V36" s="667" t="s">
        <v>14</v>
      </c>
      <c r="W36" s="668">
        <f t="shared" si="14"/>
        <v>100</v>
      </c>
      <c r="X36" s="1265"/>
      <c r="Y36" s="3637"/>
      <c r="Z36" s="1264" t="str">
        <f t="shared" si="15"/>
        <v>内部装修</v>
      </c>
      <c r="AA36" s="1264">
        <f t="shared" si="3"/>
        <v>1</v>
      </c>
      <c r="AB36" s="1264">
        <f t="shared" si="4"/>
        <v>1</v>
      </c>
      <c r="AC36" s="1264">
        <f t="shared" si="5"/>
        <v>1</v>
      </c>
    </row>
    <row r="37" spans="1:29" ht="15">
      <c r="A37" s="409"/>
      <c r="B37" s="364" t="s">
        <v>1826</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637"/>
      <c r="Q37" s="1263" t="str">
        <f t="shared" si="11"/>
        <v>内部装修状况</v>
      </c>
      <c r="R37" s="667" t="s">
        <v>14</v>
      </c>
      <c r="S37" s="668">
        <f t="shared" si="12"/>
        <v>100</v>
      </c>
      <c r="T37" s="667" t="s">
        <v>14</v>
      </c>
      <c r="U37" s="668">
        <f t="shared" si="13"/>
        <v>100</v>
      </c>
      <c r="V37" s="667" t="s">
        <v>14</v>
      </c>
      <c r="W37" s="668">
        <f t="shared" si="14"/>
        <v>100</v>
      </c>
      <c r="X37" s="1265"/>
      <c r="Y37" s="3637"/>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637"/>
      <c r="Q38" s="531">
        <f t="shared" si="11"/>
        <v>111</v>
      </c>
      <c r="R38" s="669" t="s">
        <v>14</v>
      </c>
      <c r="S38" s="670">
        <f t="shared" si="12"/>
        <v>100</v>
      </c>
      <c r="T38" s="669" t="s">
        <v>14</v>
      </c>
      <c r="U38" s="670">
        <f t="shared" si="13"/>
        <v>100</v>
      </c>
      <c r="V38" s="669" t="s">
        <v>14</v>
      </c>
      <c r="W38" s="670">
        <f t="shared" si="14"/>
        <v>100</v>
      </c>
      <c r="X38" s="671"/>
      <c r="Y38" s="3637"/>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637"/>
      <c r="Q39" s="1263">
        <f t="shared" si="11"/>
        <v>111</v>
      </c>
      <c r="R39" s="667" t="s">
        <v>14</v>
      </c>
      <c r="S39" s="668">
        <f t="shared" si="12"/>
        <v>100</v>
      </c>
      <c r="T39" s="667" t="s">
        <v>14</v>
      </c>
      <c r="U39" s="668">
        <f t="shared" si="13"/>
        <v>100</v>
      </c>
      <c r="V39" s="667" t="s">
        <v>14</v>
      </c>
      <c r="W39" s="668">
        <f t="shared" si="14"/>
        <v>100</v>
      </c>
      <c r="X39" s="1265"/>
      <c r="Y39" s="3637"/>
      <c r="Z39" s="1264">
        <f t="shared" si="15"/>
        <v>111</v>
      </c>
      <c r="AA39" s="1264">
        <f t="shared" si="3"/>
        <v>1</v>
      </c>
      <c r="AB39" s="1264">
        <f t="shared" si="4"/>
        <v>1</v>
      </c>
      <c r="AC39" s="1264">
        <f t="shared" si="5"/>
        <v>1</v>
      </c>
    </row>
    <row r="40" spans="1:29" ht="15.75"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638"/>
      <c r="Q40" s="1263">
        <f t="shared" si="11"/>
        <v>111</v>
      </c>
      <c r="R40" s="667" t="s">
        <v>14</v>
      </c>
      <c r="S40" s="668">
        <f t="shared" si="12"/>
        <v>100</v>
      </c>
      <c r="T40" s="667" t="s">
        <v>14</v>
      </c>
      <c r="U40" s="668">
        <f t="shared" si="13"/>
        <v>100</v>
      </c>
      <c r="V40" s="667" t="s">
        <v>14</v>
      </c>
      <c r="W40" s="668">
        <f t="shared" si="14"/>
        <v>100</v>
      </c>
      <c r="X40" s="1265"/>
      <c r="Y40" s="3638"/>
      <c r="Z40" s="1264">
        <f t="shared" si="15"/>
        <v>111</v>
      </c>
      <c r="AA40" s="1264">
        <f t="shared" si="3"/>
        <v>1</v>
      </c>
      <c r="AB40" s="1264">
        <f t="shared" si="4"/>
        <v>1</v>
      </c>
      <c r="AC40" s="1264">
        <f t="shared" si="5"/>
        <v>1</v>
      </c>
    </row>
    <row r="41" spans="1:29" ht="15">
      <c r="A41" s="416" t="s">
        <v>1706</v>
      </c>
      <c r="B41" s="417"/>
      <c r="C41" s="1081" t="s">
        <v>0</v>
      </c>
      <c r="D41" s="418"/>
      <c r="E41" s="419"/>
      <c r="F41" s="420"/>
      <c r="G41" s="421"/>
      <c r="H41" s="422"/>
      <c r="I41" s="419"/>
      <c r="J41" s="422"/>
      <c r="K41" s="674"/>
      <c r="L41" s="873"/>
      <c r="M41" s="861"/>
      <c r="N41" s="861"/>
      <c r="O41" s="861"/>
      <c r="P41" s="3631" t="str">
        <f>A41</f>
        <v>成交单价（元/平方米）</v>
      </c>
      <c r="Q41" s="3631"/>
      <c r="R41" s="3626">
        <f>E41</f>
        <v>0</v>
      </c>
      <c r="S41" s="3626"/>
      <c r="T41" s="3626">
        <f>G41</f>
        <v>0</v>
      </c>
      <c r="U41" s="3626"/>
      <c r="V41" s="3626">
        <f>I41</f>
        <v>0</v>
      </c>
      <c r="W41" s="3626"/>
      <c r="X41" s="385"/>
      <c r="Y41" s="673"/>
      <c r="Z41" s="385"/>
      <c r="AA41" s="385"/>
      <c r="AB41" s="385"/>
      <c r="AC41" s="385"/>
    </row>
    <row r="42" spans="1:29" ht="15.75" thickBot="1">
      <c r="A42" s="423" t="s">
        <v>1791</v>
      </c>
      <c r="B42" s="424"/>
      <c r="C42" s="1082" t="e">
        <f>R43</f>
        <v>#DIV/0!</v>
      </c>
      <c r="D42" s="2141" t="s">
        <v>2136</v>
      </c>
      <c r="E42" s="1083" t="e">
        <f>R42</f>
        <v>#DIV/0!</v>
      </c>
      <c r="F42" s="2142"/>
      <c r="G42" s="1082" t="e">
        <f>T42</f>
        <v>#DIV/0!</v>
      </c>
      <c r="H42" s="2142"/>
      <c r="I42" s="1083" t="e">
        <f>V42</f>
        <v>#DIV/0!</v>
      </c>
      <c r="J42" s="2142"/>
      <c r="K42" s="2144">
        <f>F42+H42+J42</f>
        <v>0</v>
      </c>
      <c r="L42" s="873"/>
      <c r="M42" s="861"/>
      <c r="N42" s="861"/>
      <c r="O42" s="861"/>
      <c r="P42" s="3631" t="str">
        <f>A42</f>
        <v>比较价值（元/平方米）</v>
      </c>
      <c r="Q42" s="3631"/>
      <c r="R42" s="3626" t="e">
        <f>IF(F1="售价",ROUND(PRODUCT(R41,AA7:AA40),0),ROUND(PRODUCT(R41,AA7:AA40),1))</f>
        <v>#DIV/0!</v>
      </c>
      <c r="S42" s="3626"/>
      <c r="T42" s="3626" t="e">
        <f>IF(F1="售价",ROUND(PRODUCT(T41,AB7:AB40),0),ROUND(PRODUCT(T41,AB7:AB40),1))</f>
        <v>#DIV/0!</v>
      </c>
      <c r="U42" s="3626"/>
      <c r="V42" s="3626" t="e">
        <f>IF(F1="售价",ROUND(PRODUCT(V41,AC7:AC40),0),ROUND(PRODUCT(V41,AC7:AC40),1))</f>
        <v>#DIV/0!</v>
      </c>
      <c r="W42" s="3626"/>
      <c r="X42" s="385"/>
      <c r="Y42" s="385"/>
      <c r="Z42" s="385"/>
      <c r="AA42" s="385"/>
      <c r="AB42" s="385"/>
      <c r="AC42" s="385"/>
    </row>
    <row r="43" spans="1:29" ht="15.75" thickBot="1">
      <c r="A43" s="427" t="s">
        <v>1792</v>
      </c>
      <c r="B43" s="428"/>
      <c r="C43" s="351" t="e">
        <f>R43</f>
        <v>#DIV/0!</v>
      </c>
      <c r="D43" s="351"/>
      <c r="E43" s="351"/>
      <c r="F43" s="351"/>
      <c r="G43" s="351"/>
      <c r="H43" s="351"/>
      <c r="I43" s="351"/>
      <c r="J43" s="351"/>
      <c r="K43" s="675"/>
      <c r="L43" s="873"/>
      <c r="M43" s="861"/>
      <c r="N43" s="861"/>
      <c r="O43" s="861"/>
      <c r="P43" s="3628" t="str">
        <f>A43</f>
        <v>估价对象XX用房的比较价值（楼面单价，元/平方米）</v>
      </c>
      <c r="Q43" s="3629"/>
      <c r="R43" s="3630" t="e">
        <f>IF(F1="售价",ROUND(IF(D42="简单平均",AVERAGE(R42:V42),R42*F42+T42*H42+V42*J42),0),ROUND(IF(D42="简单平均",AVERAGE(R42:V42),R42*F42+T42*H42+V42*J42),1))</f>
        <v>#DIV/0!</v>
      </c>
      <c r="S43" s="3630"/>
      <c r="T43" s="3630"/>
      <c r="U43" s="3630"/>
      <c r="V43" s="3630"/>
      <c r="W43" s="3630"/>
      <c r="X43" s="385"/>
      <c r="Y43" s="385"/>
      <c r="Z43" s="385"/>
      <c r="AA43" s="385"/>
      <c r="AB43" s="385"/>
      <c r="AC43" s="385"/>
    </row>
    <row r="44" spans="1:29">
      <c r="A44" s="2488"/>
      <c r="B44" s="2488"/>
      <c r="C44" s="2488"/>
      <c r="D44" s="2488"/>
      <c r="E44" s="2488"/>
      <c r="F44" s="2488"/>
      <c r="G44" s="2499"/>
      <c r="H44" s="2488"/>
      <c r="I44" s="2488"/>
      <c r="J44" s="2488"/>
      <c r="K44" s="2500"/>
      <c r="L44" s="836"/>
      <c r="M44" s="861"/>
      <c r="N44" s="861"/>
      <c r="O44" s="861"/>
    </row>
    <row r="45" spans="1:29">
      <c r="A45" s="2488"/>
      <c r="B45" s="2488"/>
      <c r="C45" s="2488"/>
      <c r="D45" s="2488"/>
      <c r="E45" s="2488"/>
      <c r="F45" s="2488"/>
      <c r="G45" s="2488"/>
      <c r="H45" s="2488"/>
      <c r="I45" s="2488"/>
      <c r="J45" s="2488"/>
      <c r="K45" s="2500"/>
      <c r="L45" s="836"/>
      <c r="M45" s="861"/>
      <c r="N45" s="861"/>
      <c r="O45" s="861"/>
    </row>
    <row r="46" spans="1:29" ht="13.5" customHeight="1">
      <c r="A46" s="2488"/>
      <c r="B46" s="2488"/>
      <c r="C46" s="432" t="s">
        <v>1793</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836"/>
      <c r="M46" s="861"/>
      <c r="N46" s="861"/>
      <c r="O46" s="861"/>
    </row>
    <row r="47" spans="1:29" ht="13.5" customHeight="1">
      <c r="A47" s="2488"/>
      <c r="B47" s="2488"/>
      <c r="C47" s="432" t="s">
        <v>1794</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836"/>
      <c r="M47" s="861"/>
      <c r="N47" s="861"/>
      <c r="O47" s="861"/>
    </row>
    <row r="48" spans="1:29" s="437" customFormat="1" ht="13.5" customHeight="1">
      <c r="A48" s="2498"/>
      <c r="B48" s="2498"/>
      <c r="C48" s="432" t="s">
        <v>1795</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876"/>
      <c r="M48" s="874"/>
      <c r="N48" s="874"/>
      <c r="O48" s="874"/>
    </row>
    <row r="49" spans="1:17" s="437" customFormat="1">
      <c r="A49" s="2498"/>
      <c r="B49" s="2501"/>
      <c r="C49" s="2502"/>
      <c r="D49" s="2498"/>
      <c r="E49" s="2498"/>
      <c r="F49" s="2498"/>
      <c r="G49" s="2498"/>
      <c r="H49" s="2498"/>
      <c r="I49" s="2498"/>
      <c r="J49" s="2498"/>
      <c r="K49" s="2503"/>
      <c r="L49" s="876"/>
      <c r="M49" s="874"/>
      <c r="N49" s="874"/>
      <c r="O49" s="874"/>
    </row>
    <row r="50" spans="1:17">
      <c r="A50" s="2488"/>
      <c r="B50" s="2501"/>
      <c r="C50" s="2502"/>
      <c r="D50" s="2488"/>
      <c r="E50" s="2488"/>
      <c r="F50" s="2488"/>
      <c r="G50" s="2488"/>
      <c r="H50" s="2488"/>
      <c r="I50" s="2488"/>
      <c r="J50" s="2488"/>
      <c r="K50" s="2500"/>
      <c r="L50" s="836"/>
      <c r="M50" s="861"/>
      <c r="N50" s="861"/>
      <c r="O50" s="861"/>
    </row>
    <row r="51" spans="1:17" ht="21.75" thickBot="1">
      <c r="A51" s="658" t="s">
        <v>1796</v>
      </c>
      <c r="B51" s="385"/>
      <c r="C51" s="659"/>
      <c r="D51" s="659"/>
      <c r="E51" s="659"/>
      <c r="F51" s="660"/>
      <c r="G51" s="660"/>
      <c r="H51" s="659"/>
      <c r="I51" s="659"/>
      <c r="J51" s="659"/>
      <c r="K51" s="887"/>
      <c r="L51" s="888"/>
      <c r="M51" s="886"/>
      <c r="N51" s="886"/>
      <c r="O51" s="886"/>
      <c r="P51" s="438"/>
      <c r="Q51" s="439"/>
    </row>
    <row r="52" spans="1:17" s="442" customFormat="1" ht="15">
      <c r="A52" s="440" t="s">
        <v>1677</v>
      </c>
      <c r="B52" s="441"/>
      <c r="C52" s="1103" t="str">
        <f>YEAR(C7)&amp;"-"&amp;MONTH(C7)</f>
        <v>2025-7</v>
      </c>
      <c r="D52" s="1104">
        <f>EDATE(C52,-1)</f>
        <v>45809</v>
      </c>
      <c r="E52" s="1104">
        <f t="shared" ref="E52:O52" si="16">EDATE(D52,-1)</f>
        <v>45778</v>
      </c>
      <c r="F52" s="1104">
        <f t="shared" si="16"/>
        <v>45748</v>
      </c>
      <c r="G52" s="1104">
        <f t="shared" si="16"/>
        <v>45717</v>
      </c>
      <c r="H52" s="1104">
        <f t="shared" si="16"/>
        <v>45689</v>
      </c>
      <c r="I52" s="1104">
        <f t="shared" si="16"/>
        <v>45658</v>
      </c>
      <c r="J52" s="1104">
        <f t="shared" si="16"/>
        <v>45627</v>
      </c>
      <c r="K52" s="1104">
        <f t="shared" si="16"/>
        <v>45597</v>
      </c>
      <c r="L52" s="1104">
        <f t="shared" si="16"/>
        <v>45566</v>
      </c>
      <c r="M52" s="1104">
        <f t="shared" si="16"/>
        <v>45536</v>
      </c>
      <c r="N52" s="1104">
        <f t="shared" si="16"/>
        <v>45505</v>
      </c>
      <c r="O52" s="1104">
        <f t="shared" si="16"/>
        <v>45474</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1714</v>
      </c>
      <c r="B54" s="450"/>
      <c r="C54" s="451"/>
      <c r="D54" s="452"/>
      <c r="E54" s="452"/>
      <c r="F54" s="452"/>
      <c r="G54" s="452"/>
      <c r="H54" s="452"/>
      <c r="I54" s="452"/>
      <c r="J54" s="452"/>
      <c r="K54" s="452"/>
      <c r="L54" s="452"/>
      <c r="M54" s="453"/>
      <c r="N54" s="2539"/>
      <c r="O54" s="2540"/>
      <c r="P54" s="439"/>
      <c r="Q54" s="439"/>
    </row>
    <row r="55" spans="1:17" s="102" customFormat="1" ht="15">
      <c r="A55" s="455" t="s">
        <v>1679</v>
      </c>
      <c r="B55" s="444"/>
      <c r="C55" s="456" t="s">
        <v>1774</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1717</v>
      </c>
      <c r="B57" s="460" t="s">
        <v>1683</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1686</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1687</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1688</v>
      </c>
      <c r="B70" s="460" t="s">
        <v>1827</v>
      </c>
      <c r="C70" s="504" t="s">
        <v>1719</v>
      </c>
      <c r="D70" s="504" t="s">
        <v>1720</v>
      </c>
      <c r="E70" s="504" t="s">
        <v>1721</v>
      </c>
      <c r="F70" s="504" t="s">
        <v>1722</v>
      </c>
      <c r="G70" s="504" t="s">
        <v>1723</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1724</v>
      </c>
      <c r="C72" s="509" t="s">
        <v>1719</v>
      </c>
      <c r="D72" s="509" t="s">
        <v>1720</v>
      </c>
      <c r="E72" s="509" t="s">
        <v>1721</v>
      </c>
      <c r="F72" s="509" t="s">
        <v>1722</v>
      </c>
      <c r="G72" s="509" t="s">
        <v>1723</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1725</v>
      </c>
      <c r="C74" s="509" t="s">
        <v>1719</v>
      </c>
      <c r="D74" s="509" t="s">
        <v>1720</v>
      </c>
      <c r="E74" s="509" t="s">
        <v>1721</v>
      </c>
      <c r="F74" s="509" t="s">
        <v>1722</v>
      </c>
      <c r="G74" s="509" t="s">
        <v>1723</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1811</v>
      </c>
      <c r="C76" s="581" t="s">
        <v>1797</v>
      </c>
      <c r="D76" s="581" t="s">
        <v>1798</v>
      </c>
      <c r="E76" s="581" t="s">
        <v>1799</v>
      </c>
      <c r="F76" s="581" t="s">
        <v>1800</v>
      </c>
      <c r="G76" s="581" t="s">
        <v>1801</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1820</v>
      </c>
      <c r="C78" s="509" t="s">
        <v>1719</v>
      </c>
      <c r="D78" s="509" t="s">
        <v>1720</v>
      </c>
      <c r="E78" s="509" t="s">
        <v>1721</v>
      </c>
      <c r="F78" s="509" t="s">
        <v>1722</v>
      </c>
      <c r="G78" s="509" t="s">
        <v>1723</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1692</v>
      </c>
      <c r="B88" s="460" t="s">
        <v>1734</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1735</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1736</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1738</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1739</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1740</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1742</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1828</v>
      </c>
      <c r="C106" s="509" t="s">
        <v>1719</v>
      </c>
      <c r="D106" s="509" t="s">
        <v>1720</v>
      </c>
      <c r="E106" s="509" t="s">
        <v>1721</v>
      </c>
      <c r="F106" s="509" t="s">
        <v>1722</v>
      </c>
      <c r="G106" s="509" t="s">
        <v>1723</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E46">
    <cfRule type="expression" dxfId="84" priority="16" stopIfTrue="1">
      <formula>$F$46="超过30%"</formula>
    </cfRule>
  </conditionalFormatting>
  <conditionalFormatting sqref="E47">
    <cfRule type="expression" dxfId="83" priority="15" stopIfTrue="1">
      <formula>$F$47="超过20%"</formula>
    </cfRule>
  </conditionalFormatting>
  <conditionalFormatting sqref="E48">
    <cfRule type="expression" dxfId="82" priority="14" stopIfTrue="1">
      <formula>$F$48="超过30%"</formula>
    </cfRule>
  </conditionalFormatting>
  <conditionalFormatting sqref="F7:F40 H7:H40 J7:J40">
    <cfRule type="cellIs" dxfId="81" priority="1" operator="notEqual">
      <formula>100</formula>
    </cfRule>
  </conditionalFormatting>
  <conditionalFormatting sqref="F42">
    <cfRule type="expression" dxfId="80" priority="4">
      <formula>$D$42="简单平均"</formula>
    </cfRule>
  </conditionalFormatting>
  <conditionalFormatting sqref="F46:F48 H46:H48">
    <cfRule type="containsText" dxfId="79" priority="17" stopIfTrue="1" operator="containsText" text="超过">
      <formula>NOT(ISERROR(SEARCH("超过",F46)))</formula>
    </cfRule>
  </conditionalFormatting>
  <conditionalFormatting sqref="G46">
    <cfRule type="expression" dxfId="78" priority="12" stopIfTrue="1">
      <formula>$H$46="超过30%"</formula>
    </cfRule>
  </conditionalFormatting>
  <conditionalFormatting sqref="G47">
    <cfRule type="expression" dxfId="77" priority="11" stopIfTrue="1">
      <formula>$H$47="超过20%"</formula>
    </cfRule>
  </conditionalFormatting>
  <conditionalFormatting sqref="G48">
    <cfRule type="expression" dxfId="76" priority="13" stopIfTrue="1">
      <formula>$H$48="超过30%"</formula>
    </cfRule>
  </conditionalFormatting>
  <conditionalFormatting sqref="H42">
    <cfRule type="expression" dxfId="75" priority="3">
      <formula>$D$42="简单平均"</formula>
    </cfRule>
  </conditionalFormatting>
  <conditionalFormatting sqref="I46">
    <cfRule type="expression" dxfId="74" priority="7" stopIfTrue="1">
      <formula>$J$46="超过30%"</formula>
    </cfRule>
  </conditionalFormatting>
  <conditionalFormatting sqref="I47">
    <cfRule type="expression" dxfId="73" priority="6" stopIfTrue="1">
      <formula>$J$47="超过20%"</formula>
    </cfRule>
  </conditionalFormatting>
  <conditionalFormatting sqref="I48">
    <cfRule type="expression" dxfId="72" priority="5" stopIfTrue="1">
      <formula>$J$48="超过30%"</formula>
    </cfRule>
  </conditionalFormatting>
  <conditionalFormatting sqref="J42">
    <cfRule type="expression" dxfId="71" priority="2">
      <formula>$D$42="简单平均"</formula>
    </cfRule>
  </conditionalFormatting>
  <conditionalFormatting sqref="J46:J48">
    <cfRule type="containsText" dxfId="70" priority="8" stopIfTrue="1" operator="containsText" text="超过">
      <formula>NOT(ISERROR(SEARCH("超过",J46)))</formula>
    </cfRule>
  </conditionalFormatting>
  <dataValidations count="20">
    <dataValidation type="list" allowBlank="1" showInputMessage="1" showErrorMessage="1" sqref="D1" xr:uid="{00000000-0002-0000-1B00-000000000000}">
      <formula1>项目类型</formula1>
    </dataValidation>
    <dataValidation type="list" allowBlank="1" showInputMessage="1" showErrorMessage="1" sqref="C20 G20 E20 I20" xr:uid="{00000000-0002-0000-1B00-000001000000}">
      <formula1>公共配套设施</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4 G24 I24 C24" xr:uid="{00000000-0002-0000-1B00-000003000000}">
      <formula1>环境</formula1>
    </dataValidation>
    <dataValidation type="list" allowBlank="1" showInputMessage="1" showErrorMessage="1" sqref="C8 E8 G8 I8" xr:uid="{00000000-0002-0000-1B00-000004000000}">
      <formula1>工业交易情况</formula1>
    </dataValidation>
    <dataValidation type="list" allowBlank="1" showInputMessage="1" showErrorMessage="1" sqref="E9 G9 I9" xr:uid="{00000000-0002-0000-1B00-000005000000}">
      <formula1>工业用途</formula1>
    </dataValidation>
    <dataValidation type="list" allowBlank="1" showInputMessage="1" showErrorMessage="1" sqref="C29 E29 G29 I29" xr:uid="{00000000-0002-0000-1B00-000006000000}">
      <formula1>工业建筑类型</formula1>
    </dataValidation>
    <dataValidation type="list" allowBlank="1" showInputMessage="1" showErrorMessage="1" sqref="C31 E31 G31 I31" xr:uid="{00000000-0002-0000-1B00-000007000000}">
      <formula1>工业建筑结构</formula1>
    </dataValidation>
    <dataValidation type="list" allowBlank="1" showInputMessage="1" showErrorMessage="1" sqref="C32 E32 G32 I32" xr:uid="{00000000-0002-0000-1B00-000008000000}">
      <formula1>工业公共部分装修</formula1>
    </dataValidation>
    <dataValidation type="list" allowBlank="1" showInputMessage="1" showErrorMessage="1" sqref="C34 E34 G34 I34" xr:uid="{00000000-0002-0000-1B00-000009000000}">
      <formula1>工业物业管理</formula1>
    </dataValidation>
    <dataValidation type="list" allowBlank="1" showInputMessage="1" showErrorMessage="1" sqref="C35 E35 G35 I35" xr:uid="{00000000-0002-0000-1B00-00000A000000}">
      <formula1>工业基础设施水平</formula1>
    </dataValidation>
    <dataValidation type="list" allowBlank="1" showInputMessage="1" showErrorMessage="1" sqref="C36 E36 G36 I36" xr:uid="{00000000-0002-0000-1B00-00000B000000}">
      <formula1>工业内部装修</formula1>
    </dataValidation>
    <dataValidation type="list" allowBlank="1" showInputMessage="1" showErrorMessage="1" sqref="C37 E37 G37 I37" xr:uid="{00000000-0002-0000-1B00-00000C000000}">
      <formula1>内部装修维护情况</formula1>
    </dataValidation>
    <dataValidation type="list" allowBlank="1" showInputMessage="1" showErrorMessage="1" sqref="C16 E16 G16 I16" xr:uid="{00000000-0002-0000-1B00-00000D000000}">
      <formula1>产业集聚程度</formula1>
    </dataValidation>
    <dataValidation type="list" allowBlank="1" showInputMessage="1" showErrorMessage="1" sqref="C22 E22 G22 I22" xr:uid="{00000000-0002-0000-1B00-00000E000000}">
      <formula1>基础设施水平</formula1>
    </dataValidation>
    <dataValidation type="list" allowBlank="1" showInputMessage="1" showErrorMessage="1" sqref="F1" xr:uid="{00000000-0002-0000-1B00-00000F000000}">
      <formula1>"售价,租金"</formula1>
    </dataValidation>
    <dataValidation type="list" allowBlank="1" showInputMessage="1" showErrorMessage="1" sqref="C2" xr:uid="{00000000-0002-0000-1B00-000010000000}">
      <formula1>"需扣减承租人权益,——"</formula1>
    </dataValidation>
    <dataValidation type="list" allowBlank="1" showInputMessage="1" showErrorMessage="1" sqref="F2" xr:uid="{00000000-0002-0000-1B00-000011000000}">
      <formula1>估价方法</formula1>
    </dataValidation>
    <dataValidation type="list" allowBlank="1" showInputMessage="1" showErrorMessage="1" sqref="D42" xr:uid="{00000000-0002-0000-1B00-000012000000}">
      <formula1>"简单平均,加权平均"</formula1>
    </dataValidation>
    <dataValidation type="list" allowBlank="1" showInputMessage="1" showErrorMessage="1" sqref="E1" xr:uid="{00000000-0002-0000-1B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1829</v>
      </c>
      <c r="B1" s="1140" t="s">
        <v>3331</v>
      </c>
      <c r="C1" s="1141" t="s">
        <v>1660</v>
      </c>
      <c r="D1" s="1142"/>
      <c r="E1" s="3132"/>
      <c r="F1" s="1735"/>
      <c r="G1" s="1144" t="s">
        <v>1765</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1460</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1461</v>
      </c>
      <c r="F2" s="1739"/>
      <c r="G2" s="855"/>
      <c r="H2" s="855"/>
      <c r="I2" s="855"/>
      <c r="J2" s="855"/>
      <c r="K2" s="857"/>
      <c r="L2" s="2504"/>
      <c r="M2" s="2505"/>
      <c r="N2" s="2505"/>
      <c r="O2" s="2505"/>
      <c r="P2" s="1086"/>
      <c r="Q2" s="341"/>
      <c r="R2" s="341"/>
      <c r="S2" s="341"/>
      <c r="T2" s="341"/>
      <c r="U2" s="341"/>
      <c r="V2" s="341"/>
      <c r="W2" s="341"/>
      <c r="X2" s="341"/>
      <c r="Y2" s="341"/>
      <c r="Z2" s="341"/>
      <c r="AA2" s="341"/>
      <c r="AB2" s="341"/>
      <c r="AC2" s="663"/>
    </row>
    <row r="3" spans="1:29" s="342" customFormat="1" ht="28.5" customHeight="1" thickBot="1">
      <c r="A3" s="195" t="s">
        <v>1462</v>
      </c>
      <c r="B3" s="536" t="e">
        <f>IF(AND(C2="——",B37="元/平方米"),C39,ROUND(B2*10000/D3,0))</f>
        <v>#DIV/0!</v>
      </c>
      <c r="C3" s="344" t="s">
        <v>1766</v>
      </c>
      <c r="D3" s="343">
        <f>SUMIF('数据-汇总表'!$C19:$C33,D1,'数据-汇总表'!$E19:$E33)</f>
        <v>0</v>
      </c>
      <c r="E3" s="344" t="s">
        <v>1830</v>
      </c>
      <c r="F3" s="343">
        <f>SUMIF('数据-取费表'!A5:A15,D1,'数据-取费表'!AH5:AH15)</f>
        <v>0</v>
      </c>
      <c r="G3" s="855"/>
      <c r="H3" s="855"/>
      <c r="I3" s="855"/>
      <c r="J3" s="855"/>
      <c r="K3" s="857"/>
      <c r="L3" s="2504"/>
      <c r="M3" s="2505" t="e">
        <f ca="1">IF(C2="——",IF(B37="元/平方米",ROUND(C39*D3/10000,0),ROUND(F3*C39/10000,0)),IF(B37="元/平方米",ROUND(C39*D3/10000,0),ROUND(F3*C39/10000,0))-D2)</f>
        <v>#DIV/0!</v>
      </c>
      <c r="N3" s="2505"/>
      <c r="O3" s="2505"/>
      <c r="P3" s="1086"/>
      <c r="Q3" s="341"/>
      <c r="R3" s="341"/>
      <c r="S3" s="341"/>
      <c r="T3" s="341"/>
      <c r="U3" s="341"/>
      <c r="V3" s="341"/>
      <c r="W3" s="341"/>
      <c r="X3" s="341"/>
      <c r="Y3" s="341"/>
      <c r="Z3" s="341"/>
      <c r="AA3" s="341"/>
      <c r="AB3" s="676"/>
      <c r="AC3" s="663"/>
    </row>
    <row r="4" spans="1:29" ht="15">
      <c r="A4" s="345" t="s">
        <v>1767</v>
      </c>
      <c r="B4" s="346"/>
      <c r="C4" s="3614" t="s">
        <v>1768</v>
      </c>
      <c r="D4" s="3615"/>
      <c r="E4" s="3616" t="s">
        <v>1769</v>
      </c>
      <c r="F4" s="3617"/>
      <c r="G4" s="3614" t="s">
        <v>1770</v>
      </c>
      <c r="H4" s="3615"/>
      <c r="I4" s="3614" t="s">
        <v>1771</v>
      </c>
      <c r="J4" s="3615"/>
      <c r="K4" s="537" t="s">
        <v>1772</v>
      </c>
      <c r="L4" s="2487"/>
      <c r="M4" s="2488"/>
      <c r="N4" s="2488"/>
      <c r="O4" s="2488"/>
      <c r="P4" s="3618" t="s">
        <v>1773</v>
      </c>
      <c r="Q4" s="3619"/>
      <c r="R4" s="3601" t="s">
        <v>1769</v>
      </c>
      <c r="S4" s="3602"/>
      <c r="T4" s="3601" t="s">
        <v>1770</v>
      </c>
      <c r="U4" s="3602"/>
      <c r="V4" s="3626" t="s">
        <v>1771</v>
      </c>
      <c r="W4" s="3626"/>
      <c r="X4" s="1265"/>
      <c r="Y4" s="3601" t="s">
        <v>1773</v>
      </c>
      <c r="Z4" s="3602"/>
      <c r="AA4" s="3596" t="s">
        <v>1769</v>
      </c>
      <c r="AB4" s="3597" t="s">
        <v>1770</v>
      </c>
      <c r="AC4" s="3596" t="s">
        <v>1771</v>
      </c>
    </row>
    <row r="5" spans="1:29" ht="15">
      <c r="A5" s="348"/>
      <c r="B5" s="349"/>
      <c r="C5" s="3607" t="s">
        <v>1671</v>
      </c>
      <c r="D5" s="3608"/>
      <c r="E5" s="3605" t="s">
        <v>1672</v>
      </c>
      <c r="F5" s="3606"/>
      <c r="G5" s="3607" t="s">
        <v>1673</v>
      </c>
      <c r="H5" s="3608"/>
      <c r="I5" s="3607" t="s">
        <v>1674</v>
      </c>
      <c r="J5" s="3608"/>
      <c r="K5" s="537"/>
      <c r="L5" s="2487"/>
      <c r="M5" s="2488"/>
      <c r="N5" s="2488"/>
      <c r="O5" s="2488"/>
      <c r="P5" s="3620"/>
      <c r="Q5" s="3621"/>
      <c r="R5" s="3603"/>
      <c r="S5" s="3604"/>
      <c r="T5" s="3603"/>
      <c r="U5" s="3604"/>
      <c r="V5" s="3626"/>
      <c r="W5" s="3626"/>
      <c r="X5" s="1265"/>
      <c r="Y5" s="3603"/>
      <c r="Z5" s="3604"/>
      <c r="AA5" s="3597"/>
      <c r="AB5" s="3597"/>
      <c r="AC5" s="3597"/>
    </row>
    <row r="6" spans="1:29" ht="15.75" thickBot="1">
      <c r="A6" s="350"/>
      <c r="B6" s="351"/>
      <c r="C6" s="3609" t="s">
        <v>1675</v>
      </c>
      <c r="D6" s="3610"/>
      <c r="E6" s="3611" t="s">
        <v>1675</v>
      </c>
      <c r="F6" s="3612"/>
      <c r="G6" s="3609" t="s">
        <v>1675</v>
      </c>
      <c r="H6" s="3610"/>
      <c r="I6" s="3609" t="s">
        <v>1675</v>
      </c>
      <c r="J6" s="3610"/>
      <c r="K6" s="537" t="s">
        <v>1676</v>
      </c>
      <c r="L6" s="2487"/>
      <c r="M6" s="2488"/>
      <c r="N6" s="2488"/>
      <c r="O6" s="2488"/>
      <c r="P6" s="3622"/>
      <c r="Q6" s="3623"/>
      <c r="R6" s="3603"/>
      <c r="S6" s="3604"/>
      <c r="T6" s="3624"/>
      <c r="U6" s="3625"/>
      <c r="V6" s="3626"/>
      <c r="W6" s="3626"/>
      <c r="X6" s="1265"/>
      <c r="Y6" s="3624"/>
      <c r="Z6" s="3625"/>
      <c r="AA6" s="3598"/>
      <c r="AB6" s="3598"/>
      <c r="AC6" s="3598"/>
    </row>
    <row r="7" spans="1:29" s="102" customFormat="1" ht="15.75" thickBot="1">
      <c r="A7" s="352" t="s">
        <v>1677</v>
      </c>
      <c r="B7" s="353"/>
      <c r="C7" s="354">
        <f>'数据-取费表'!B2</f>
        <v>45839</v>
      </c>
      <c r="D7" s="355">
        <v>100</v>
      </c>
      <c r="E7" s="356"/>
      <c r="F7" s="357">
        <f>SUMIF(48:48,YEAR(E7)&amp;"-"&amp;MONTH(E7),49:49)</f>
        <v>0</v>
      </c>
      <c r="G7" s="356"/>
      <c r="H7" s="355">
        <f>SUMIF(48:48,YEAR(G7)&amp;"-"&amp;MONTH(G7),49:49)</f>
        <v>0</v>
      </c>
      <c r="I7" s="356"/>
      <c r="J7" s="355">
        <f>SUMIF(48:48,YEAR(I7)&amp;"-"&amp;MONTH(I7),49:49)</f>
        <v>0</v>
      </c>
      <c r="K7" s="38"/>
      <c r="L7" s="2489"/>
      <c r="M7" s="2440"/>
      <c r="N7" s="2440"/>
      <c r="O7" s="2440"/>
      <c r="P7" s="3599" t="s">
        <v>1678</v>
      </c>
      <c r="Q7" s="3627"/>
      <c r="R7" s="664" t="s">
        <v>14</v>
      </c>
      <c r="S7" s="665">
        <f t="shared" ref="S7:S14" si="0">F7</f>
        <v>0</v>
      </c>
      <c r="T7" s="664" t="s">
        <v>14</v>
      </c>
      <c r="U7" s="665">
        <f t="shared" ref="U7:U14" si="1">H7</f>
        <v>0</v>
      </c>
      <c r="V7" s="664" t="s">
        <v>14</v>
      </c>
      <c r="W7" s="665">
        <f t="shared" ref="W7:W14" si="2">J7</f>
        <v>0</v>
      </c>
      <c r="X7" s="666"/>
      <c r="Y7" s="3599" t="s">
        <v>1678</v>
      </c>
      <c r="Z7" s="3600"/>
      <c r="AA7" s="50" t="e">
        <f>D7/F7</f>
        <v>#DIV/0!</v>
      </c>
      <c r="AB7" s="50" t="e">
        <f>D7/H7</f>
        <v>#DIV/0!</v>
      </c>
      <c r="AC7" s="50" t="e">
        <f>D7/J7</f>
        <v>#DIV/0!</v>
      </c>
    </row>
    <row r="8" spans="1:29" s="102" customFormat="1" ht="15.75" thickBot="1">
      <c r="A8" s="352" t="s">
        <v>1679</v>
      </c>
      <c r="B8" s="353"/>
      <c r="C8" s="358"/>
      <c r="D8" s="355">
        <v>100</v>
      </c>
      <c r="E8" s="358"/>
      <c r="F8" s="357">
        <f>SUMIF(51:51,E8,52:52)-SUMIF(51:51,C8,52:52)+100</f>
        <v>100</v>
      </c>
      <c r="G8" s="358"/>
      <c r="H8" s="355">
        <f>SUMIF(51:51,G8,52:52)-SUMIF(51:51,C8,52:52)+100</f>
        <v>100</v>
      </c>
      <c r="I8" s="358"/>
      <c r="J8" s="355">
        <f>SUMIF(51:51,I8,52:52)-SUMIF(51:51,C8,52:52)+100</f>
        <v>100</v>
      </c>
      <c r="K8" s="38"/>
      <c r="L8" s="2489"/>
      <c r="M8" s="2440"/>
      <c r="N8" s="2440"/>
      <c r="O8" s="2440"/>
      <c r="P8" s="3599" t="s">
        <v>1681</v>
      </c>
      <c r="Q8" s="3600"/>
      <c r="R8" s="664" t="s">
        <v>14</v>
      </c>
      <c r="S8" s="665">
        <f t="shared" si="0"/>
        <v>100</v>
      </c>
      <c r="T8" s="664" t="s">
        <v>14</v>
      </c>
      <c r="U8" s="665">
        <f t="shared" si="1"/>
        <v>100</v>
      </c>
      <c r="V8" s="664" t="s">
        <v>14</v>
      </c>
      <c r="W8" s="665">
        <f t="shared" si="2"/>
        <v>100</v>
      </c>
      <c r="X8" s="666"/>
      <c r="Y8" s="3599" t="s">
        <v>1681</v>
      </c>
      <c r="Z8" s="3600"/>
      <c r="AA8" s="50">
        <f t="shared" ref="AA8:AA36" si="3">D8/F8</f>
        <v>1</v>
      </c>
      <c r="AB8" s="50">
        <f t="shared" ref="AB8:AB36" si="4">D8/H8</f>
        <v>1</v>
      </c>
      <c r="AC8" s="50">
        <f t="shared" ref="AC8:AC36" si="5">D8/J8</f>
        <v>1</v>
      </c>
    </row>
    <row r="9" spans="1:29" s="102" customFormat="1">
      <c r="A9" s="57" t="s">
        <v>1682</v>
      </c>
      <c r="B9" s="564" t="s">
        <v>1683</v>
      </c>
      <c r="C9" s="360"/>
      <c r="D9" s="59">
        <v>100</v>
      </c>
      <c r="E9" s="362"/>
      <c r="F9" s="59">
        <f>SUMIF(53:53,E9,54:54)-SUMIF(53:53,C9,54:54)+100</f>
        <v>100</v>
      </c>
      <c r="G9" s="361"/>
      <c r="H9" s="59">
        <f>SUMIF(53:53,G9,54:54)-SUMIF(53:53,C9,54:54)+100</f>
        <v>100</v>
      </c>
      <c r="I9" s="361"/>
      <c r="J9" s="59">
        <f>SUMIF(53:53,I9,54:54)-SUMIF(53:53,C9,54:54)+100</f>
        <v>100</v>
      </c>
      <c r="K9" s="38"/>
      <c r="L9" s="2489"/>
      <c r="M9" s="2440"/>
      <c r="N9" s="2440"/>
      <c r="O9" s="2440"/>
      <c r="P9" s="3631" t="s">
        <v>1684</v>
      </c>
      <c r="Q9" s="530" t="str">
        <f t="shared" ref="Q9:Q14" si="6">B9</f>
        <v>用途</v>
      </c>
      <c r="R9" s="664" t="s">
        <v>14</v>
      </c>
      <c r="S9" s="665">
        <f t="shared" si="0"/>
        <v>100</v>
      </c>
      <c r="T9" s="664" t="s">
        <v>14</v>
      </c>
      <c r="U9" s="665">
        <f t="shared" si="1"/>
        <v>100</v>
      </c>
      <c r="V9" s="664" t="s">
        <v>14</v>
      </c>
      <c r="W9" s="665">
        <f t="shared" si="2"/>
        <v>100</v>
      </c>
      <c r="X9" s="666"/>
      <c r="Y9" s="3543" t="s">
        <v>1685</v>
      </c>
      <c r="Z9" s="50" t="str">
        <f t="shared" ref="Z9:Z14" si="7">Q9</f>
        <v>用途</v>
      </c>
      <c r="AA9" s="50">
        <f t="shared" si="3"/>
        <v>1</v>
      </c>
      <c r="AB9" s="50">
        <f t="shared" si="4"/>
        <v>1</v>
      </c>
      <c r="AC9" s="50">
        <f t="shared" si="5"/>
        <v>1</v>
      </c>
    </row>
    <row r="10" spans="1:29" s="366" customFormat="1" ht="27">
      <c r="A10" s="565"/>
      <c r="B10" s="566" t="s">
        <v>1686</v>
      </c>
      <c r="C10" s="3133"/>
      <c r="D10" s="119">
        <v>100</v>
      </c>
      <c r="E10" s="3133"/>
      <c r="F10" s="119">
        <f>SUMIF(55:55,E10,56:56)-SUMIF(55:55,C10,56:56)+100</f>
        <v>100</v>
      </c>
      <c r="G10" s="3134"/>
      <c r="H10" s="119">
        <f>SUMIF(55:55,G10,56:56)-SUMIF(55:55,C10,56:56)+100</f>
        <v>100</v>
      </c>
      <c r="I10" s="3133"/>
      <c r="J10" s="119">
        <f>SUMIF(55:55,I10,56:56)-SUMIF(55:55,C10,56:56)+100</f>
        <v>100</v>
      </c>
      <c r="K10" s="38"/>
      <c r="L10" s="2490"/>
      <c r="M10" s="2491"/>
      <c r="N10" s="2491"/>
      <c r="O10" s="2491"/>
      <c r="P10" s="3631"/>
      <c r="Q10" s="530" t="str">
        <f t="shared" si="6"/>
        <v>土地使用年限（年）</v>
      </c>
      <c r="R10" s="664" t="s">
        <v>14</v>
      </c>
      <c r="S10" s="665">
        <f t="shared" si="0"/>
        <v>100</v>
      </c>
      <c r="T10" s="664" t="s">
        <v>14</v>
      </c>
      <c r="U10" s="665">
        <f t="shared" si="1"/>
        <v>100</v>
      </c>
      <c r="V10" s="664" t="s">
        <v>14</v>
      </c>
      <c r="W10" s="665">
        <f t="shared" si="2"/>
        <v>100</v>
      </c>
      <c r="X10" s="666"/>
      <c r="Y10" s="3543"/>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2"/>
      <c r="M11" s="2488"/>
      <c r="N11" s="2488"/>
      <c r="O11" s="2488"/>
      <c r="P11" s="3631"/>
      <c r="Q11" s="530">
        <f t="shared" si="6"/>
        <v>111</v>
      </c>
      <c r="R11" s="664" t="s">
        <v>14</v>
      </c>
      <c r="S11" s="665">
        <f t="shared" si="0"/>
        <v>100</v>
      </c>
      <c r="T11" s="664" t="s">
        <v>14</v>
      </c>
      <c r="U11" s="665">
        <f t="shared" si="1"/>
        <v>100</v>
      </c>
      <c r="V11" s="664" t="s">
        <v>14</v>
      </c>
      <c r="W11" s="665">
        <f t="shared" si="2"/>
        <v>100</v>
      </c>
      <c r="X11" s="666"/>
      <c r="Y11" s="3543"/>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9"/>
      <c r="M12" s="2440"/>
      <c r="N12" s="2440"/>
      <c r="O12" s="2440"/>
      <c r="P12" s="3631"/>
      <c r="Q12" s="530">
        <f t="shared" si="6"/>
        <v>111</v>
      </c>
      <c r="R12" s="664" t="s">
        <v>14</v>
      </c>
      <c r="S12" s="665">
        <f t="shared" si="0"/>
        <v>100</v>
      </c>
      <c r="T12" s="664" t="s">
        <v>14</v>
      </c>
      <c r="U12" s="665">
        <f t="shared" si="1"/>
        <v>100</v>
      </c>
      <c r="V12" s="664" t="s">
        <v>14</v>
      </c>
      <c r="W12" s="665">
        <f t="shared" si="2"/>
        <v>100</v>
      </c>
      <c r="X12" s="666"/>
      <c r="Y12" s="3543"/>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3"/>
      <c r="M13" s="2488"/>
      <c r="N13" s="2488"/>
      <c r="O13" s="2488"/>
      <c r="P13" s="3631"/>
      <c r="Q13" s="530">
        <f t="shared" si="6"/>
        <v>111</v>
      </c>
      <c r="R13" s="664" t="s">
        <v>14</v>
      </c>
      <c r="S13" s="665">
        <f t="shared" si="0"/>
        <v>100</v>
      </c>
      <c r="T13" s="664" t="s">
        <v>14</v>
      </c>
      <c r="U13" s="665">
        <f t="shared" si="1"/>
        <v>100</v>
      </c>
      <c r="V13" s="664" t="s">
        <v>14</v>
      </c>
      <c r="W13" s="665">
        <f t="shared" si="2"/>
        <v>100</v>
      </c>
      <c r="X13" s="666"/>
      <c r="Y13" s="3543"/>
      <c r="Z13" s="50">
        <f t="shared" si="7"/>
        <v>111</v>
      </c>
      <c r="AA13" s="50">
        <f t="shared" si="3"/>
        <v>1</v>
      </c>
      <c r="AB13" s="50">
        <f t="shared" si="4"/>
        <v>1</v>
      </c>
      <c r="AC13" s="50">
        <f t="shared" si="5"/>
        <v>1</v>
      </c>
    </row>
    <row r="14" spans="1:29" ht="85.5">
      <c r="A14" s="345" t="s">
        <v>1688</v>
      </c>
      <c r="B14" s="554" t="s">
        <v>1831</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3"/>
      <c r="M14" s="2488"/>
      <c r="N14" s="2488"/>
      <c r="O14" s="2488"/>
      <c r="P14" s="3632" t="s">
        <v>1689</v>
      </c>
      <c r="Q14" s="1263" t="str">
        <f t="shared" si="6"/>
        <v>交通便捷度</v>
      </c>
      <c r="R14" s="667" t="s">
        <v>14</v>
      </c>
      <c r="S14" s="668">
        <f t="shared" si="0"/>
        <v>100</v>
      </c>
      <c r="T14" s="667" t="s">
        <v>14</v>
      </c>
      <c r="U14" s="668">
        <f t="shared" si="1"/>
        <v>100</v>
      </c>
      <c r="V14" s="667" t="s">
        <v>14</v>
      </c>
      <c r="W14" s="668">
        <f t="shared" si="2"/>
        <v>100</v>
      </c>
      <c r="X14" s="1265"/>
      <c r="Y14" s="3632" t="s">
        <v>1689</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3"/>
      <c r="M15" s="2488"/>
      <c r="N15" s="2488"/>
      <c r="O15" s="2488"/>
      <c r="P15" s="3633"/>
      <c r="Q15" s="1263"/>
      <c r="R15" s="667"/>
      <c r="S15" s="668"/>
      <c r="T15" s="667"/>
      <c r="U15" s="668"/>
      <c r="V15" s="667"/>
      <c r="W15" s="668"/>
      <c r="X15" s="1265"/>
      <c r="Y15" s="3633"/>
      <c r="Z15" s="1264"/>
      <c r="AA15" s="1264">
        <v>1</v>
      </c>
      <c r="AB15" s="1264">
        <v>1</v>
      </c>
      <c r="AC15" s="1264">
        <v>1</v>
      </c>
    </row>
    <row r="16" spans="1:29" ht="42.75">
      <c r="A16" s="348"/>
      <c r="B16" s="556" t="s">
        <v>1810</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3"/>
      <c r="M16" s="2488"/>
      <c r="N16" s="2488"/>
      <c r="O16" s="2488"/>
      <c r="P16" s="3633"/>
      <c r="Q16" s="1263" t="str">
        <f>B16</f>
        <v>公共配套设施</v>
      </c>
      <c r="R16" s="667" t="s">
        <v>14</v>
      </c>
      <c r="S16" s="668">
        <f>F16</f>
        <v>100</v>
      </c>
      <c r="T16" s="667" t="s">
        <v>14</v>
      </c>
      <c r="U16" s="668">
        <f>H16</f>
        <v>100</v>
      </c>
      <c r="V16" s="667" t="s">
        <v>14</v>
      </c>
      <c r="W16" s="668">
        <f>J16</f>
        <v>100</v>
      </c>
      <c r="X16" s="1265"/>
      <c r="Y16" s="3633"/>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3"/>
      <c r="M17" s="2488"/>
      <c r="N17" s="2488"/>
      <c r="O17" s="2488"/>
      <c r="P17" s="3633"/>
      <c r="Q17" s="1263"/>
      <c r="R17" s="667"/>
      <c r="S17" s="668"/>
      <c r="T17" s="667"/>
      <c r="U17" s="668"/>
      <c r="V17" s="667"/>
      <c r="W17" s="668"/>
      <c r="X17" s="1265"/>
      <c r="Y17" s="3633"/>
      <c r="Z17" s="1264"/>
      <c r="AA17" s="1264">
        <v>1</v>
      </c>
      <c r="AB17" s="1264">
        <v>1</v>
      </c>
      <c r="AC17" s="1264">
        <v>1</v>
      </c>
    </row>
    <row r="18" spans="1:29" ht="28.5">
      <c r="A18" s="348"/>
      <c r="B18" s="557" t="s">
        <v>1811</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3"/>
      <c r="M18" s="2488"/>
      <c r="N18" s="2488"/>
      <c r="O18" s="2488"/>
      <c r="P18" s="3633"/>
      <c r="Q18" s="1263" t="str">
        <f>B18</f>
        <v>基础设施水平</v>
      </c>
      <c r="R18" s="667" t="s">
        <v>14</v>
      </c>
      <c r="S18" s="668">
        <f>F18</f>
        <v>100</v>
      </c>
      <c r="T18" s="667" t="s">
        <v>14</v>
      </c>
      <c r="U18" s="668">
        <f>H18</f>
        <v>100</v>
      </c>
      <c r="V18" s="667" t="s">
        <v>14</v>
      </c>
      <c r="W18" s="668">
        <f>J18</f>
        <v>100</v>
      </c>
      <c r="X18" s="1265"/>
      <c r="Y18" s="3633"/>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3"/>
      <c r="M19" s="2488"/>
      <c r="N19" s="2488"/>
      <c r="O19" s="2488"/>
      <c r="P19" s="3633"/>
      <c r="Q19" s="1263"/>
      <c r="R19" s="667"/>
      <c r="S19" s="668"/>
      <c r="T19" s="667"/>
      <c r="U19" s="668"/>
      <c r="V19" s="667"/>
      <c r="W19" s="668"/>
      <c r="X19" s="1265"/>
      <c r="Y19" s="3633"/>
      <c r="Z19" s="1264"/>
      <c r="AA19" s="1264">
        <v>1</v>
      </c>
      <c r="AB19" s="1264">
        <v>1</v>
      </c>
      <c r="AC19" s="1264">
        <v>1</v>
      </c>
    </row>
    <row r="20" spans="1:29" ht="57">
      <c r="A20" s="348"/>
      <c r="B20" s="556" t="s">
        <v>1832</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3"/>
      <c r="M20" s="2488"/>
      <c r="N20" s="2488"/>
      <c r="O20" s="2488"/>
      <c r="P20" s="3633"/>
      <c r="Q20" s="1263" t="str">
        <f>B20</f>
        <v>自然及人文环境</v>
      </c>
      <c r="R20" s="667" t="s">
        <v>14</v>
      </c>
      <c r="S20" s="668">
        <f>F20</f>
        <v>100</v>
      </c>
      <c r="T20" s="667" t="s">
        <v>14</v>
      </c>
      <c r="U20" s="668">
        <f>H20</f>
        <v>100</v>
      </c>
      <c r="V20" s="667" t="s">
        <v>14</v>
      </c>
      <c r="W20" s="668">
        <f>J20</f>
        <v>100</v>
      </c>
      <c r="X20" s="1265"/>
      <c r="Y20" s="3633"/>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3"/>
      <c r="M21" s="2488"/>
      <c r="N21" s="2488"/>
      <c r="O21" s="2488"/>
      <c r="P21" s="3633"/>
      <c r="Q21" s="1263"/>
      <c r="R21" s="667"/>
      <c r="S21" s="668"/>
      <c r="T21" s="667"/>
      <c r="U21" s="668"/>
      <c r="V21" s="667"/>
      <c r="W21" s="668"/>
      <c r="X21" s="1265"/>
      <c r="Y21" s="3633"/>
      <c r="Z21" s="1264"/>
      <c r="AA21" s="1264">
        <v>1</v>
      </c>
      <c r="AB21" s="1264">
        <v>1</v>
      </c>
      <c r="AC21" s="1264">
        <v>1</v>
      </c>
    </row>
    <row r="22" spans="1:29" ht="15">
      <c r="A22" s="348"/>
      <c r="B22" s="556" t="s">
        <v>1833</v>
      </c>
      <c r="C22" s="542"/>
      <c r="D22" s="389">
        <v>100</v>
      </c>
      <c r="E22" s="542"/>
      <c r="F22" s="400">
        <f>SUMIF(71:71,E22,72:72)-SUMIF(71:71,C22,72:72)+100</f>
        <v>100</v>
      </c>
      <c r="G22" s="542"/>
      <c r="H22" s="374">
        <f>SUMIF(71:71,G22,72:72)-SUMIF(71:71,C22,72:72)+100</f>
        <v>100</v>
      </c>
      <c r="I22" s="542"/>
      <c r="J22" s="374">
        <f>SUMIF(71:71,I22,72:72)-SUMIF(71:71,C22,72:72)+100</f>
        <v>100</v>
      </c>
      <c r="K22" s="538"/>
      <c r="L22" s="2493"/>
      <c r="M22" s="2488"/>
      <c r="N22" s="2488"/>
      <c r="O22" s="2488"/>
      <c r="P22" s="3633"/>
      <c r="Q22" s="1263" t="str">
        <f>B22</f>
        <v>楼层</v>
      </c>
      <c r="R22" s="667" t="s">
        <v>14</v>
      </c>
      <c r="S22" s="668">
        <f>F22</f>
        <v>100</v>
      </c>
      <c r="T22" s="667" t="s">
        <v>14</v>
      </c>
      <c r="U22" s="668">
        <f>H22</f>
        <v>100</v>
      </c>
      <c r="V22" s="667" t="s">
        <v>14</v>
      </c>
      <c r="W22" s="668">
        <f>J22</f>
        <v>100</v>
      </c>
      <c r="X22" s="1265"/>
      <c r="Y22" s="3633"/>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3"/>
      <c r="M23" s="2488"/>
      <c r="N23" s="2488"/>
      <c r="O23" s="2488"/>
      <c r="P23" s="3633"/>
      <c r="Q23" s="1263">
        <f>B23</f>
        <v>111</v>
      </c>
      <c r="R23" s="667" t="s">
        <v>14</v>
      </c>
      <c r="S23" s="668">
        <f>F23</f>
        <v>100</v>
      </c>
      <c r="T23" s="667" t="s">
        <v>14</v>
      </c>
      <c r="U23" s="668">
        <f>H23</f>
        <v>100</v>
      </c>
      <c r="V23" s="667" t="s">
        <v>14</v>
      </c>
      <c r="W23" s="668">
        <f>J23</f>
        <v>100</v>
      </c>
      <c r="X23" s="1265"/>
      <c r="Y23" s="3633"/>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3"/>
      <c r="M24" s="2488"/>
      <c r="N24" s="2488"/>
      <c r="O24" s="2488"/>
      <c r="P24" s="3633"/>
      <c r="Q24" s="1263">
        <f t="shared" ref="Q24:Q36" si="11">B24</f>
        <v>111</v>
      </c>
      <c r="R24" s="667" t="s">
        <v>14</v>
      </c>
      <c r="S24" s="668">
        <f>F24</f>
        <v>100</v>
      </c>
      <c r="T24" s="667" t="s">
        <v>14</v>
      </c>
      <c r="U24" s="668">
        <f>H24</f>
        <v>100</v>
      </c>
      <c r="V24" s="667" t="s">
        <v>14</v>
      </c>
      <c r="W24" s="668">
        <f>J24</f>
        <v>100</v>
      </c>
      <c r="X24" s="1265"/>
      <c r="Y24" s="3633"/>
      <c r="Z24" s="1264">
        <f>Q24</f>
        <v>111</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9"/>
      <c r="M25" s="2440"/>
      <c r="N25" s="2440"/>
      <c r="O25" s="2440"/>
      <c r="P25" s="3633"/>
      <c r="Q25" s="530">
        <f t="shared" si="11"/>
        <v>111</v>
      </c>
      <c r="R25" s="664" t="s">
        <v>14</v>
      </c>
      <c r="S25" s="665">
        <f>F25</f>
        <v>100</v>
      </c>
      <c r="T25" s="664" t="s">
        <v>14</v>
      </c>
      <c r="U25" s="665">
        <f>H25</f>
        <v>100</v>
      </c>
      <c r="V25" s="664" t="s">
        <v>14</v>
      </c>
      <c r="W25" s="665">
        <f>J25</f>
        <v>100</v>
      </c>
      <c r="X25" s="666"/>
      <c r="Y25" s="3633"/>
      <c r="Z25" s="50">
        <f>Q25</f>
        <v>111</v>
      </c>
      <c r="AA25" s="1264">
        <f>D25/F25</f>
        <v>1</v>
      </c>
      <c r="AB25" s="1264">
        <f>D25/H25</f>
        <v>1</v>
      </c>
      <c r="AC25" s="1264">
        <f>D25/J25</f>
        <v>1</v>
      </c>
    </row>
    <row r="26" spans="1:29" ht="28.5">
      <c r="A26" s="574" t="s">
        <v>1692</v>
      </c>
      <c r="B26" s="59" t="s">
        <v>1834</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3"/>
      <c r="M26" s="2488"/>
      <c r="N26" s="2488"/>
      <c r="O26" s="2488"/>
      <c r="P26" s="3656" t="s">
        <v>1694</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637" t="s">
        <v>1694</v>
      </c>
      <c r="Z26" s="1264" t="str">
        <f t="shared" ref="Z26:Z36" si="15">Q26</f>
        <v>配套类型</v>
      </c>
      <c r="AA26" s="1264" t="e">
        <f t="shared" si="3"/>
        <v>#DIV/0!</v>
      </c>
      <c r="AB26" s="1264" t="e">
        <f t="shared" si="4"/>
        <v>#DIV/0!</v>
      </c>
      <c r="AC26" s="1264" t="e">
        <f t="shared" si="5"/>
        <v>#DIV/0!</v>
      </c>
    </row>
    <row r="27" spans="1:29" s="408" customFormat="1" ht="15">
      <c r="A27" s="575"/>
      <c r="B27" s="119" t="s">
        <v>1835</v>
      </c>
      <c r="C27" s="576"/>
      <c r="D27" s="119">
        <v>100</v>
      </c>
      <c r="E27" s="576"/>
      <c r="F27" s="400">
        <f>SUMIF(81:81,E27,82:82)-SUMIF(81:81,C27,82:82)+100</f>
        <v>100</v>
      </c>
      <c r="G27" s="576"/>
      <c r="H27" s="374">
        <f>SUMIF(81:81,G27,82:82)-SUMIF(81:81,C27,82:82)+100</f>
        <v>100</v>
      </c>
      <c r="I27" s="576"/>
      <c r="J27" s="374">
        <f>SUMIF(81:81,I27,82:82)-SUMIF(81:81,C27,82:82)+100</f>
        <v>100</v>
      </c>
      <c r="K27" s="539"/>
      <c r="L27" s="2492"/>
      <c r="M27" s="2494"/>
      <c r="N27" s="2494"/>
      <c r="O27" s="2494"/>
      <c r="P27" s="3637"/>
      <c r="Q27" s="531" t="str">
        <f t="shared" si="11"/>
        <v>项目停车位配比</v>
      </c>
      <c r="R27" s="669" t="s">
        <v>14</v>
      </c>
      <c r="S27" s="670">
        <f t="shared" si="12"/>
        <v>100</v>
      </c>
      <c r="T27" s="669" t="s">
        <v>14</v>
      </c>
      <c r="U27" s="670">
        <f t="shared" si="13"/>
        <v>100</v>
      </c>
      <c r="V27" s="669" t="s">
        <v>14</v>
      </c>
      <c r="W27" s="670">
        <f t="shared" si="14"/>
        <v>100</v>
      </c>
      <c r="X27" s="671"/>
      <c r="Y27" s="3637"/>
      <c r="Z27" s="672" t="str">
        <f t="shared" si="15"/>
        <v>项目停车位配比</v>
      </c>
      <c r="AA27" s="1264">
        <f t="shared" si="3"/>
        <v>1</v>
      </c>
      <c r="AB27" s="1264">
        <f t="shared" si="4"/>
        <v>1</v>
      </c>
      <c r="AC27" s="1264">
        <f t="shared" si="5"/>
        <v>1</v>
      </c>
    </row>
    <row r="28" spans="1:29" ht="15">
      <c r="A28" s="577"/>
      <c r="B28" s="119" t="s">
        <v>1836</v>
      </c>
      <c r="C28" s="399"/>
      <c r="D28" s="374">
        <v>100</v>
      </c>
      <c r="E28" s="399"/>
      <c r="F28" s="400">
        <f>SUMIF(83:83,E28,84:84)-SUMIF(83:83,C28,84:84)+100</f>
        <v>100</v>
      </c>
      <c r="G28" s="399"/>
      <c r="H28" s="374">
        <f>SUMIF(83:83,G28,84:84)-SUMIF(83:83,C28,84:84)+100</f>
        <v>100</v>
      </c>
      <c r="I28" s="399"/>
      <c r="J28" s="374">
        <f>SUMIF(83:83,I28,84:84)-SUMIF(83:83,C28,84:84)+100</f>
        <v>100</v>
      </c>
      <c r="K28" s="538"/>
      <c r="L28" s="2493"/>
      <c r="M28" s="2488"/>
      <c r="N28" s="2488"/>
      <c r="O28" s="2488"/>
      <c r="P28" s="3637"/>
      <c r="Q28" s="1263" t="str">
        <f t="shared" si="11"/>
        <v>公共部分装修</v>
      </c>
      <c r="R28" s="667" t="s">
        <v>14</v>
      </c>
      <c r="S28" s="668">
        <f t="shared" si="12"/>
        <v>100</v>
      </c>
      <c r="T28" s="667" t="s">
        <v>14</v>
      </c>
      <c r="U28" s="668">
        <f t="shared" si="13"/>
        <v>100</v>
      </c>
      <c r="V28" s="667" t="s">
        <v>14</v>
      </c>
      <c r="W28" s="668">
        <f t="shared" si="14"/>
        <v>100</v>
      </c>
      <c r="X28" s="1265"/>
      <c r="Y28" s="3637"/>
      <c r="Z28" s="1264" t="str">
        <f t="shared" si="15"/>
        <v>公共部分装修</v>
      </c>
      <c r="AA28" s="1264">
        <f t="shared" si="3"/>
        <v>1</v>
      </c>
      <c r="AB28" s="1264">
        <f t="shared" si="4"/>
        <v>1</v>
      </c>
      <c r="AC28" s="1264">
        <f t="shared" si="5"/>
        <v>1</v>
      </c>
    </row>
    <row r="29" spans="1:29" ht="15">
      <c r="A29" s="577"/>
      <c r="B29" s="119" t="s">
        <v>1837</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3"/>
      <c r="M29" s="2488"/>
      <c r="N29" s="2488"/>
      <c r="O29" s="2488"/>
      <c r="P29" s="3637"/>
      <c r="Q29" s="1263" t="str">
        <f t="shared" si="11"/>
        <v>成新率</v>
      </c>
      <c r="R29" s="667" t="s">
        <v>14</v>
      </c>
      <c r="S29" s="668" t="e">
        <f t="shared" si="12"/>
        <v>#N/A</v>
      </c>
      <c r="T29" s="667" t="s">
        <v>14</v>
      </c>
      <c r="U29" s="668" t="e">
        <f t="shared" si="13"/>
        <v>#N/A</v>
      </c>
      <c r="V29" s="667" t="s">
        <v>14</v>
      </c>
      <c r="W29" s="668" t="e">
        <f t="shared" si="14"/>
        <v>#N/A</v>
      </c>
      <c r="X29" s="1265"/>
      <c r="Y29" s="3637"/>
      <c r="Z29" s="1264" t="str">
        <f t="shared" si="15"/>
        <v>成新率</v>
      </c>
      <c r="AA29" s="1264" t="e">
        <f t="shared" si="3"/>
        <v>#N/A</v>
      </c>
      <c r="AB29" s="1264" t="e">
        <f t="shared" si="4"/>
        <v>#N/A</v>
      </c>
      <c r="AC29" s="1264" t="e">
        <f t="shared" si="5"/>
        <v>#N/A</v>
      </c>
    </row>
    <row r="30" spans="1:29" ht="15">
      <c r="A30" s="577"/>
      <c r="B30" s="119" t="s">
        <v>1838</v>
      </c>
      <c r="C30" s="578"/>
      <c r="D30" s="374">
        <v>100</v>
      </c>
      <c r="E30" s="578"/>
      <c r="F30" s="400">
        <f>SUMIF(88:88,E30,89:89)-SUMIF(88:88,C30,89:89)+100</f>
        <v>100</v>
      </c>
      <c r="G30" s="578"/>
      <c r="H30" s="374">
        <f>SUMIF(88:88,E30,89:89)-SUMIF(88:88,C30,89:89)+100</f>
        <v>100</v>
      </c>
      <c r="I30" s="578"/>
      <c r="J30" s="374">
        <f>SUMIF(88:88,E30,89:89)-SUMIF(88:88,C30,89:89)+100</f>
        <v>100</v>
      </c>
      <c r="K30" s="538"/>
      <c r="L30" s="2493"/>
      <c r="M30" s="2488"/>
      <c r="N30" s="2488"/>
      <c r="O30" s="2488"/>
      <c r="P30" s="3637"/>
      <c r="Q30" s="1263" t="str">
        <f t="shared" si="11"/>
        <v>物业等级</v>
      </c>
      <c r="R30" s="667" t="s">
        <v>14</v>
      </c>
      <c r="S30" s="668">
        <f t="shared" si="12"/>
        <v>100</v>
      </c>
      <c r="T30" s="667" t="s">
        <v>14</v>
      </c>
      <c r="U30" s="668">
        <f t="shared" si="13"/>
        <v>100</v>
      </c>
      <c r="V30" s="667" t="s">
        <v>14</v>
      </c>
      <c r="W30" s="668">
        <f t="shared" si="14"/>
        <v>100</v>
      </c>
      <c r="X30" s="1265"/>
      <c r="Y30" s="3637"/>
      <c r="Z30" s="1264" t="str">
        <f t="shared" si="15"/>
        <v>物业等级</v>
      </c>
      <c r="AA30" s="1264">
        <f t="shared" si="3"/>
        <v>1</v>
      </c>
      <c r="AB30" s="1264">
        <f t="shared" si="4"/>
        <v>1</v>
      </c>
      <c r="AC30" s="1264">
        <f t="shared" si="5"/>
        <v>1</v>
      </c>
    </row>
    <row r="31" spans="1:29" s="102" customFormat="1" ht="15">
      <c r="A31" s="579"/>
      <c r="B31" s="119" t="s">
        <v>1839</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9"/>
      <c r="M31" s="2440"/>
      <c r="N31" s="2440"/>
      <c r="O31" s="2440"/>
      <c r="P31" s="3637"/>
      <c r="Q31" s="530" t="str">
        <f t="shared" si="11"/>
        <v>停车位面积</v>
      </c>
      <c r="R31" s="664" t="s">
        <v>14</v>
      </c>
      <c r="S31" s="665" t="e">
        <f t="shared" si="12"/>
        <v>#N/A</v>
      </c>
      <c r="T31" s="664" t="s">
        <v>14</v>
      </c>
      <c r="U31" s="665" t="e">
        <f t="shared" si="13"/>
        <v>#N/A</v>
      </c>
      <c r="V31" s="664" t="s">
        <v>14</v>
      </c>
      <c r="W31" s="665" t="e">
        <f t="shared" si="14"/>
        <v>#N/A</v>
      </c>
      <c r="X31" s="666"/>
      <c r="Y31" s="3637"/>
      <c r="Z31" s="50" t="str">
        <f t="shared" si="15"/>
        <v>停车位面积</v>
      </c>
      <c r="AA31" s="50" t="e">
        <f t="shared" si="3"/>
        <v>#N/A</v>
      </c>
      <c r="AB31" s="50" t="e">
        <f t="shared" si="4"/>
        <v>#N/A</v>
      </c>
      <c r="AC31" s="50" t="e">
        <f t="shared" si="5"/>
        <v>#N/A</v>
      </c>
    </row>
    <row r="32" spans="1:29" ht="15">
      <c r="A32" s="577"/>
      <c r="B32" s="119" t="s">
        <v>1840</v>
      </c>
      <c r="C32" s="399"/>
      <c r="D32" s="374">
        <v>100</v>
      </c>
      <c r="E32" s="399"/>
      <c r="F32" s="400">
        <f>SUMIF(93:93,E32,94:94)-SUMIF(93:93,C32,94:94)+100</f>
        <v>100</v>
      </c>
      <c r="G32" s="399"/>
      <c r="H32" s="374">
        <f>SUMIF(93:93,G32,94:94)-SUMIF(93:93,C32,94:94)+100</f>
        <v>100</v>
      </c>
      <c r="I32" s="399"/>
      <c r="J32" s="374">
        <f>SUMIF(93:93,I32,94:94)-SUMIF(93:93,C32,94:94)+100</f>
        <v>100</v>
      </c>
      <c r="K32" s="538"/>
      <c r="L32" s="2493"/>
      <c r="M32" s="2488"/>
      <c r="N32" s="2488"/>
      <c r="O32" s="2488"/>
      <c r="P32" s="3637" t="s">
        <v>1694</v>
      </c>
      <c r="Q32" s="1263" t="str">
        <f t="shared" si="11"/>
        <v>车位类型</v>
      </c>
      <c r="R32" s="667" t="s">
        <v>14</v>
      </c>
      <c r="S32" s="668">
        <f t="shared" si="12"/>
        <v>100</v>
      </c>
      <c r="T32" s="667" t="s">
        <v>14</v>
      </c>
      <c r="U32" s="668">
        <f t="shared" si="13"/>
        <v>100</v>
      </c>
      <c r="V32" s="667" t="s">
        <v>14</v>
      </c>
      <c r="W32" s="668">
        <f t="shared" si="14"/>
        <v>100</v>
      </c>
      <c r="X32" s="1265"/>
      <c r="Y32" s="3637" t="s">
        <v>1694</v>
      </c>
      <c r="Z32" s="1264" t="str">
        <f t="shared" si="15"/>
        <v>车位类型</v>
      </c>
      <c r="AA32" s="1264">
        <f t="shared" si="3"/>
        <v>1</v>
      </c>
      <c r="AB32" s="1264">
        <f t="shared" si="4"/>
        <v>1</v>
      </c>
      <c r="AC32" s="1264">
        <f t="shared" si="5"/>
        <v>1</v>
      </c>
    </row>
    <row r="33" spans="1:29" ht="15">
      <c r="A33" s="577"/>
      <c r="B33" s="119" t="s">
        <v>1841</v>
      </c>
      <c r="C33" s="399"/>
      <c r="D33" s="374">
        <v>100</v>
      </c>
      <c r="E33" s="399"/>
      <c r="F33" s="400">
        <f>SUMIF(95:95,E33,96:96)-SUMIF(95:95,C33,96:96)+100</f>
        <v>100</v>
      </c>
      <c r="G33" s="399"/>
      <c r="H33" s="374">
        <f>SUMIF(95:95,G33,96:96)-SUMIF(95:95,C33,96:96)+100</f>
        <v>100</v>
      </c>
      <c r="I33" s="399"/>
      <c r="J33" s="374">
        <f>SUMIF(95:95,I33,96:96)-SUMIF(95:95,C33,96:96)+100</f>
        <v>100</v>
      </c>
      <c r="K33" s="538"/>
      <c r="L33" s="2493"/>
      <c r="M33" s="2488"/>
      <c r="N33" s="2488"/>
      <c r="O33" s="2488"/>
      <c r="P33" s="3637"/>
      <c r="Q33" s="1263" t="str">
        <f t="shared" si="11"/>
        <v>是否直接入户</v>
      </c>
      <c r="R33" s="667" t="s">
        <v>14</v>
      </c>
      <c r="S33" s="668">
        <f t="shared" si="12"/>
        <v>100</v>
      </c>
      <c r="T33" s="667" t="s">
        <v>14</v>
      </c>
      <c r="U33" s="668">
        <f t="shared" si="13"/>
        <v>100</v>
      </c>
      <c r="V33" s="667" t="s">
        <v>14</v>
      </c>
      <c r="W33" s="668">
        <f t="shared" si="14"/>
        <v>100</v>
      </c>
      <c r="X33" s="1265"/>
      <c r="Y33" s="3637"/>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3"/>
      <c r="M34" s="2488"/>
      <c r="N34" s="2488"/>
      <c r="O34" s="2488"/>
      <c r="P34" s="3637"/>
      <c r="Q34" s="1263">
        <f t="shared" si="11"/>
        <v>111</v>
      </c>
      <c r="R34" s="667" t="s">
        <v>14</v>
      </c>
      <c r="S34" s="668">
        <f t="shared" si="12"/>
        <v>100</v>
      </c>
      <c r="T34" s="667" t="s">
        <v>14</v>
      </c>
      <c r="U34" s="668">
        <f t="shared" si="13"/>
        <v>100</v>
      </c>
      <c r="V34" s="667" t="s">
        <v>14</v>
      </c>
      <c r="W34" s="668">
        <f t="shared" si="14"/>
        <v>100</v>
      </c>
      <c r="X34" s="1265"/>
      <c r="Y34" s="3637"/>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2"/>
      <c r="M35" s="2494"/>
      <c r="N35" s="2494"/>
      <c r="O35" s="2494"/>
      <c r="P35" s="3637"/>
      <c r="Q35" s="531">
        <f t="shared" si="11"/>
        <v>111</v>
      </c>
      <c r="R35" s="669" t="s">
        <v>14</v>
      </c>
      <c r="S35" s="670">
        <f t="shared" si="12"/>
        <v>100</v>
      </c>
      <c r="T35" s="669" t="s">
        <v>14</v>
      </c>
      <c r="U35" s="670">
        <f t="shared" si="13"/>
        <v>100</v>
      </c>
      <c r="V35" s="669" t="s">
        <v>14</v>
      </c>
      <c r="W35" s="670">
        <f t="shared" si="14"/>
        <v>100</v>
      </c>
      <c r="X35" s="671"/>
      <c r="Y35" s="3637"/>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3"/>
      <c r="M36" s="2488"/>
      <c r="N36" s="2488"/>
      <c r="O36" s="2488"/>
      <c r="P36" s="3637"/>
      <c r="Q36" s="1263">
        <f t="shared" si="11"/>
        <v>111</v>
      </c>
      <c r="R36" s="667" t="s">
        <v>14</v>
      </c>
      <c r="S36" s="668">
        <f t="shared" si="12"/>
        <v>100</v>
      </c>
      <c r="T36" s="667" t="s">
        <v>14</v>
      </c>
      <c r="U36" s="668">
        <f t="shared" si="13"/>
        <v>100</v>
      </c>
      <c r="V36" s="667" t="s">
        <v>14</v>
      </c>
      <c r="W36" s="668">
        <f t="shared" si="14"/>
        <v>100</v>
      </c>
      <c r="X36" s="1265"/>
      <c r="Y36" s="3637"/>
      <c r="Z36" s="1264">
        <f t="shared" si="15"/>
        <v>111</v>
      </c>
      <c r="AA36" s="1264">
        <f t="shared" si="3"/>
        <v>1</v>
      </c>
      <c r="AB36" s="1264">
        <f t="shared" si="4"/>
        <v>1</v>
      </c>
      <c r="AC36" s="1264">
        <f t="shared" si="5"/>
        <v>1</v>
      </c>
    </row>
    <row r="37" spans="1:29" ht="15">
      <c r="A37" s="416" t="s">
        <v>1842</v>
      </c>
      <c r="B37" s="1821" t="s">
        <v>3352</v>
      </c>
      <c r="C37" s="1081" t="s">
        <v>0</v>
      </c>
      <c r="D37" s="418"/>
      <c r="E37" s="419"/>
      <c r="F37" s="420"/>
      <c r="G37" s="421"/>
      <c r="H37" s="422"/>
      <c r="I37" s="419"/>
      <c r="J37" s="422"/>
      <c r="K37" s="545"/>
      <c r="L37" s="2495"/>
      <c r="M37" s="2488"/>
      <c r="N37" s="2488"/>
      <c r="O37" s="2488"/>
      <c r="P37" s="3631" t="str">
        <f>A37</f>
        <v>成交单价</v>
      </c>
      <c r="Q37" s="3631"/>
      <c r="R37" s="3626">
        <f>E37</f>
        <v>0</v>
      </c>
      <c r="S37" s="3626"/>
      <c r="T37" s="3626">
        <f>G37</f>
        <v>0</v>
      </c>
      <c r="U37" s="3626"/>
      <c r="V37" s="3626">
        <f>I37</f>
        <v>0</v>
      </c>
      <c r="W37" s="3626"/>
      <c r="X37" s="385"/>
      <c r="Y37" s="673"/>
      <c r="Z37" s="385"/>
      <c r="AA37" s="385"/>
      <c r="AB37" s="385"/>
      <c r="AC37" s="385"/>
    </row>
    <row r="38" spans="1:29" ht="15.75" thickBot="1">
      <c r="A38" s="423" t="s">
        <v>1843</v>
      </c>
      <c r="B38" s="424" t="str">
        <f>B37</f>
        <v>元/平方米</v>
      </c>
      <c r="C38" s="1082" t="e">
        <f>R39</f>
        <v>#DIV/0!</v>
      </c>
      <c r="D38" s="2141" t="s">
        <v>2136</v>
      </c>
      <c r="E38" s="1083" t="e">
        <f>R38</f>
        <v>#DIV/0!</v>
      </c>
      <c r="F38" s="2142"/>
      <c r="G38" s="1082" t="e">
        <f>T38</f>
        <v>#DIV/0!</v>
      </c>
      <c r="H38" s="2142"/>
      <c r="I38" s="1083" t="e">
        <f>V38</f>
        <v>#DIV/0!</v>
      </c>
      <c r="J38" s="2142"/>
      <c r="K38" s="2144">
        <f>F38+H38+J38</f>
        <v>0</v>
      </c>
      <c r="L38" s="2495"/>
      <c r="M38" s="2488"/>
      <c r="N38" s="2488"/>
      <c r="O38" s="2488"/>
      <c r="P38" s="3631" t="str">
        <f>A38</f>
        <v>比较价值（元/平方米）</v>
      </c>
      <c r="Q38" s="3631"/>
      <c r="R38" s="3626" t="e">
        <f>IF(F1="售价",ROUND(PRODUCT(R37,AA7:AA36),0),ROUND(PRODUCT(R37,AA7:AA36),1))</f>
        <v>#DIV/0!</v>
      </c>
      <c r="S38" s="3626"/>
      <c r="T38" s="3626" t="e">
        <f>IF(F1="售价",ROUND(PRODUCT(T37,AB7:AB36),0),ROUND(PRODUCT(T37,AB7:AB36),1))</f>
        <v>#DIV/0!</v>
      </c>
      <c r="U38" s="3626"/>
      <c r="V38" s="3626" t="e">
        <f>IF(F1="售价",ROUND(PRODUCT(V37,AC7:AC36),0),ROUND(PRODUCT(V37,AC7:AC36),1))</f>
        <v>#DIV/0!</v>
      </c>
      <c r="W38" s="3626"/>
      <c r="X38" s="385"/>
      <c r="Y38" s="385"/>
      <c r="Z38" s="385"/>
      <c r="AA38" s="385"/>
      <c r="AB38" s="385"/>
      <c r="AC38" s="385"/>
    </row>
    <row r="39" spans="1:29" ht="15.75" thickBot="1">
      <c r="A39" s="427" t="s">
        <v>1844</v>
      </c>
      <c r="B39" s="428"/>
      <c r="C39" s="351" t="e">
        <f>R39</f>
        <v>#DIV/0!</v>
      </c>
      <c r="D39" s="351"/>
      <c r="E39" s="351"/>
      <c r="F39" s="351"/>
      <c r="G39" s="351"/>
      <c r="H39" s="351"/>
      <c r="I39" s="351"/>
      <c r="J39" s="351"/>
      <c r="K39" s="546"/>
      <c r="L39" s="2495"/>
      <c r="M39" s="2488"/>
      <c r="N39" s="2488"/>
      <c r="O39" s="2488"/>
      <c r="P39" s="3628" t="str">
        <f>A39</f>
        <v>估价对象XX用房的比较价值（楼面单价，元/平方米）</v>
      </c>
      <c r="Q39" s="3629"/>
      <c r="R39" s="3657" t="e">
        <f>IF(F1="售价",ROUND(IF(D38="简单平均",AVERAGE(R38:W38),R38*F38+T38*H38+V38*J38),0),ROUND(IF(D38="简单平均",AVERAGE(R38:V38),R38*F38+T38*H38+V38*J38),1))</f>
        <v>#DIV/0!</v>
      </c>
      <c r="S39" s="3657"/>
      <c r="T39" s="3657"/>
      <c r="U39" s="3657"/>
      <c r="V39" s="3657"/>
      <c r="W39" s="3657"/>
      <c r="X39" s="385"/>
      <c r="Y39" s="385"/>
      <c r="Z39" s="385"/>
      <c r="AA39" s="385"/>
      <c r="AB39" s="385"/>
      <c r="AC39" s="385"/>
    </row>
    <row r="40" spans="1:29">
      <c r="A40" s="2488"/>
      <c r="B40" s="2488"/>
      <c r="C40" s="2488"/>
      <c r="D40" s="2488"/>
      <c r="E40" s="2488"/>
      <c r="F40" s="2488"/>
      <c r="G40" s="2499"/>
      <c r="H40" s="2488"/>
      <c r="I40" s="2488"/>
      <c r="J40" s="2488"/>
      <c r="K40" s="2500"/>
      <c r="L40" s="2496"/>
      <c r="M40" s="2488"/>
      <c r="N40" s="2488"/>
      <c r="O40" s="2488"/>
      <c r="P40" s="2525"/>
      <c r="Q40" s="2488"/>
      <c r="R40" s="2488"/>
      <c r="S40" s="2488"/>
      <c r="T40" s="2488"/>
      <c r="U40" s="2488"/>
      <c r="V40" s="2488"/>
      <c r="W40" s="2488"/>
      <c r="X40" s="2488"/>
      <c r="Y40" s="2488"/>
      <c r="Z40" s="2488"/>
      <c r="AA40" s="2488"/>
      <c r="AB40" s="2488"/>
      <c r="AC40" s="2488"/>
    </row>
    <row r="41" spans="1:29">
      <c r="A41" s="2488"/>
      <c r="B41" s="2488"/>
      <c r="C41" s="2488"/>
      <c r="D41" s="2488"/>
      <c r="E41" s="2488"/>
      <c r="F41" s="2488"/>
      <c r="G41" s="2488"/>
      <c r="H41" s="2488"/>
      <c r="I41" s="2488"/>
      <c r="J41" s="2488"/>
      <c r="K41" s="2500"/>
      <c r="L41" s="2496"/>
      <c r="M41" s="2488"/>
      <c r="N41" s="2488"/>
      <c r="O41" s="2488"/>
      <c r="P41" s="2525"/>
      <c r="Q41" s="2488"/>
      <c r="R41" s="2488"/>
      <c r="S41" s="2488"/>
      <c r="T41" s="2488"/>
      <c r="U41" s="2488"/>
      <c r="V41" s="2488"/>
      <c r="W41" s="2488"/>
      <c r="X41" s="2488"/>
      <c r="Y41" s="2488"/>
      <c r="Z41" s="2488"/>
      <c r="AA41" s="2488"/>
      <c r="AB41" s="2488"/>
      <c r="AC41" s="2488"/>
    </row>
    <row r="42" spans="1:29" ht="13.5" customHeight="1">
      <c r="A42" s="2488"/>
      <c r="B42" s="2488"/>
      <c r="C42" s="432" t="s">
        <v>1845</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500"/>
      <c r="L42" s="2496"/>
      <c r="M42" s="2488"/>
      <c r="N42" s="2488"/>
      <c r="O42" s="2488"/>
      <c r="P42" s="2525"/>
      <c r="Q42" s="2488"/>
      <c r="R42" s="2488"/>
      <c r="S42" s="2488"/>
      <c r="T42" s="2488"/>
      <c r="U42" s="2488"/>
      <c r="V42" s="2488"/>
      <c r="W42" s="2488"/>
      <c r="X42" s="2488"/>
      <c r="Y42" s="2488"/>
      <c r="Z42" s="2488"/>
      <c r="AA42" s="2488"/>
      <c r="AB42" s="2488"/>
      <c r="AC42" s="2488"/>
    </row>
    <row r="43" spans="1:29" ht="13.5" customHeight="1">
      <c r="A43" s="2488"/>
      <c r="B43" s="2488"/>
      <c r="C43" s="432" t="s">
        <v>1846</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500"/>
      <c r="L43" s="2496"/>
      <c r="M43" s="2488"/>
      <c r="N43" s="2488"/>
      <c r="O43" s="2488"/>
      <c r="P43" s="2525"/>
      <c r="Q43" s="2488"/>
      <c r="R43" s="2488"/>
      <c r="S43" s="2488"/>
      <c r="T43" s="2488"/>
      <c r="U43" s="2488"/>
      <c r="V43" s="2488"/>
      <c r="W43" s="2488"/>
      <c r="X43" s="2488"/>
      <c r="Y43" s="2488"/>
      <c r="Z43" s="2488"/>
      <c r="AA43" s="2488"/>
      <c r="AB43" s="2488"/>
      <c r="AC43" s="2488"/>
    </row>
    <row r="44" spans="1:29" s="437" customFormat="1" ht="13.5" customHeight="1">
      <c r="A44" s="2498"/>
      <c r="B44" s="2498"/>
      <c r="C44" s="432" t="s">
        <v>1847</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3"/>
      <c r="L44" s="2497"/>
      <c r="M44" s="2498"/>
      <c r="N44" s="2498"/>
      <c r="O44" s="2498"/>
      <c r="P44" s="2526"/>
      <c r="Q44" s="2498"/>
      <c r="R44" s="2498"/>
      <c r="S44" s="2498"/>
      <c r="T44" s="2498"/>
      <c r="U44" s="2498"/>
      <c r="V44" s="2498"/>
      <c r="W44" s="2498"/>
      <c r="X44" s="2498"/>
      <c r="Y44" s="2498"/>
      <c r="Z44" s="2498"/>
      <c r="AA44" s="2498"/>
      <c r="AB44" s="2498"/>
      <c r="AC44" s="2498"/>
    </row>
    <row r="45" spans="1:29" s="437" customFormat="1">
      <c r="A45" s="2498"/>
      <c r="B45" s="2501"/>
      <c r="C45" s="2502"/>
      <c r="D45" s="2498"/>
      <c r="E45" s="2498"/>
      <c r="F45" s="2498"/>
      <c r="G45" s="2498"/>
      <c r="H45" s="2498"/>
      <c r="I45" s="2498"/>
      <c r="J45" s="2498"/>
      <c r="K45" s="2503"/>
      <c r="L45" s="2497"/>
      <c r="M45" s="2498"/>
      <c r="N45" s="2498"/>
      <c r="O45" s="2498"/>
      <c r="P45" s="2526"/>
      <c r="Q45" s="2498"/>
      <c r="R45" s="2498"/>
      <c r="S45" s="2498"/>
      <c r="T45" s="2498"/>
      <c r="U45" s="2498"/>
      <c r="V45" s="2498"/>
      <c r="W45" s="2498"/>
      <c r="X45" s="2498"/>
      <c r="Y45" s="2498"/>
      <c r="Z45" s="2498"/>
      <c r="AA45" s="2498"/>
      <c r="AB45" s="2498"/>
      <c r="AC45" s="2498"/>
    </row>
    <row r="46" spans="1:29">
      <c r="A46" s="2488"/>
      <c r="B46" s="2501"/>
      <c r="C46" s="2502"/>
      <c r="D46" s="2488"/>
      <c r="E46" s="2488"/>
      <c r="F46" s="2488"/>
      <c r="G46" s="2488"/>
      <c r="H46" s="2488"/>
      <c r="I46" s="2488"/>
      <c r="J46" s="2488"/>
      <c r="K46" s="2500"/>
      <c r="L46" s="2496"/>
      <c r="M46" s="2488"/>
      <c r="N46" s="2488"/>
      <c r="O46" s="2488"/>
      <c r="P46" s="2525"/>
      <c r="Q46" s="2488"/>
      <c r="R46" s="2488"/>
      <c r="S46" s="2488"/>
      <c r="T46" s="2488"/>
      <c r="U46" s="2488"/>
      <c r="V46" s="2488"/>
      <c r="W46" s="2488"/>
      <c r="X46" s="2488"/>
      <c r="Y46" s="2488"/>
      <c r="Z46" s="2488"/>
      <c r="AA46" s="2488"/>
      <c r="AB46" s="2488"/>
      <c r="AC46" s="2488"/>
    </row>
    <row r="47" spans="1:29" ht="21.75" thickBot="1">
      <c r="A47" s="1087" t="s">
        <v>1848</v>
      </c>
      <c r="B47" s="861"/>
      <c r="C47" s="886"/>
      <c r="D47" s="886"/>
      <c r="E47" s="886"/>
      <c r="F47" s="1088"/>
      <c r="G47" s="1088"/>
      <c r="H47" s="886"/>
      <c r="I47" s="886"/>
      <c r="J47" s="886"/>
      <c r="K47" s="887"/>
      <c r="L47" s="888"/>
      <c r="M47" s="886"/>
      <c r="N47" s="2538"/>
      <c r="O47" s="2538"/>
      <c r="P47" s="2527"/>
      <c r="Q47" s="2509"/>
      <c r="R47" s="2488"/>
      <c r="S47" s="2488"/>
      <c r="T47" s="2488"/>
      <c r="U47" s="2488"/>
      <c r="V47" s="2488"/>
      <c r="W47" s="2488"/>
      <c r="X47" s="2488"/>
      <c r="Y47" s="2488"/>
      <c r="Z47" s="2488"/>
      <c r="AA47" s="2488"/>
      <c r="AB47" s="2488"/>
      <c r="AC47" s="2488"/>
    </row>
    <row r="48" spans="1:29" s="442" customFormat="1" ht="15">
      <c r="A48" s="440" t="s">
        <v>1849</v>
      </c>
      <c r="B48" s="441"/>
      <c r="C48" s="1103" t="str">
        <f>YEAR(C7)&amp;"-"&amp;MONTH(C7)</f>
        <v>2025-7</v>
      </c>
      <c r="D48" s="1104">
        <f>EDATE(C48,-1)</f>
        <v>45809</v>
      </c>
      <c r="E48" s="1104">
        <f t="shared" ref="E48:O48" si="16">EDATE(D48,-1)</f>
        <v>45778</v>
      </c>
      <c r="F48" s="1104">
        <f t="shared" si="16"/>
        <v>45748</v>
      </c>
      <c r="G48" s="1104">
        <f t="shared" si="16"/>
        <v>45717</v>
      </c>
      <c r="H48" s="1104">
        <f t="shared" si="16"/>
        <v>45689</v>
      </c>
      <c r="I48" s="1104">
        <f t="shared" si="16"/>
        <v>45658</v>
      </c>
      <c r="J48" s="1104">
        <f t="shared" si="16"/>
        <v>45627</v>
      </c>
      <c r="K48" s="1104">
        <f t="shared" si="16"/>
        <v>45597</v>
      </c>
      <c r="L48" s="1104">
        <f t="shared" si="16"/>
        <v>45566</v>
      </c>
      <c r="M48" s="1104">
        <f t="shared" si="16"/>
        <v>45536</v>
      </c>
      <c r="N48" s="1104">
        <f t="shared" si="16"/>
        <v>45505</v>
      </c>
      <c r="O48" s="1104">
        <f t="shared" si="16"/>
        <v>45474</v>
      </c>
      <c r="P48" s="2528"/>
      <c r="Q48" s="2511"/>
      <c r="R48" s="2511"/>
      <c r="S48" s="2511"/>
      <c r="T48" s="2511"/>
      <c r="U48" s="2511"/>
      <c r="V48" s="2511"/>
      <c r="W48" s="2511"/>
      <c r="X48" s="2511"/>
      <c r="Y48" s="2511"/>
      <c r="Z48" s="2511"/>
      <c r="AA48" s="2511"/>
      <c r="AB48" s="2511"/>
      <c r="AC48" s="2511"/>
    </row>
    <row r="49" spans="1:29" s="102" customFormat="1" ht="15">
      <c r="A49" s="443"/>
      <c r="B49" s="444"/>
      <c r="C49" s="1097">
        <v>100</v>
      </c>
      <c r="D49" s="446"/>
      <c r="E49" s="446"/>
      <c r="F49" s="446"/>
      <c r="G49" s="446"/>
      <c r="H49" s="446"/>
      <c r="I49" s="446"/>
      <c r="J49" s="446"/>
      <c r="K49" s="446"/>
      <c r="L49" s="446"/>
      <c r="M49" s="447"/>
      <c r="N49" s="446"/>
      <c r="O49" s="447"/>
      <c r="P49" s="2529"/>
      <c r="Q49" s="2440"/>
      <c r="R49" s="2440"/>
      <c r="S49" s="2440"/>
      <c r="T49" s="2440"/>
      <c r="U49" s="2440"/>
      <c r="V49" s="2440"/>
      <c r="W49" s="2440"/>
      <c r="X49" s="2440"/>
      <c r="Y49" s="2440"/>
      <c r="Z49" s="2440"/>
      <c r="AA49" s="2440"/>
      <c r="AB49" s="2440"/>
      <c r="AC49" s="2440"/>
    </row>
    <row r="50" spans="1:29" s="102" customFormat="1" ht="15.75" thickBot="1">
      <c r="A50" s="449" t="s">
        <v>1714</v>
      </c>
      <c r="B50" s="450"/>
      <c r="C50" s="451"/>
      <c r="D50" s="452"/>
      <c r="E50" s="452"/>
      <c r="F50" s="452"/>
      <c r="G50" s="452"/>
      <c r="H50" s="452"/>
      <c r="I50" s="452"/>
      <c r="J50" s="452"/>
      <c r="K50" s="452"/>
      <c r="L50" s="452"/>
      <c r="M50" s="453"/>
      <c r="N50" s="452"/>
      <c r="O50" s="453"/>
      <c r="P50" s="2529"/>
      <c r="Q50" s="2509"/>
      <c r="R50" s="2440"/>
      <c r="S50" s="2440"/>
      <c r="T50" s="2440"/>
      <c r="U50" s="2440"/>
      <c r="V50" s="2440"/>
      <c r="W50" s="2440"/>
      <c r="X50" s="2440"/>
      <c r="Y50" s="2440"/>
      <c r="Z50" s="2440"/>
      <c r="AA50" s="2440"/>
      <c r="AB50" s="2440"/>
      <c r="AC50" s="2440"/>
    </row>
    <row r="51" spans="1:29" s="102" customFormat="1" ht="15">
      <c r="A51" s="455" t="s">
        <v>1679</v>
      </c>
      <c r="B51" s="444"/>
      <c r="C51" s="456" t="s">
        <v>1774</v>
      </c>
      <c r="D51" s="31"/>
      <c r="E51" s="31"/>
      <c r="F51" s="31"/>
      <c r="G51" s="31"/>
      <c r="H51" s="31"/>
      <c r="I51" s="31"/>
      <c r="J51" s="31"/>
      <c r="K51" s="31"/>
      <c r="L51" s="457"/>
      <c r="M51" s="458"/>
      <c r="N51" s="2521"/>
      <c r="O51" s="2521"/>
      <c r="P51" s="2530"/>
      <c r="Q51" s="2509"/>
      <c r="R51" s="2440"/>
      <c r="S51" s="2440"/>
      <c r="T51" s="2440"/>
      <c r="U51" s="2440"/>
      <c r="V51" s="2440"/>
      <c r="W51" s="2440"/>
      <c r="X51" s="2440"/>
      <c r="Y51" s="2440"/>
      <c r="Z51" s="2440"/>
      <c r="AA51" s="2440"/>
      <c r="AB51" s="2440"/>
      <c r="AC51" s="2440"/>
    </row>
    <row r="52" spans="1:29" s="102" customFormat="1" ht="15.75" thickBot="1">
      <c r="A52" s="455"/>
      <c r="B52" s="444"/>
      <c r="C52" s="563">
        <v>100</v>
      </c>
      <c r="D52" s="446"/>
      <c r="E52" s="446"/>
      <c r="F52" s="446"/>
      <c r="G52" s="446"/>
      <c r="H52" s="446"/>
      <c r="I52" s="446"/>
      <c r="J52" s="446"/>
      <c r="K52" s="446"/>
      <c r="L52" s="446"/>
      <c r="M52" s="448"/>
      <c r="N52" s="2521"/>
      <c r="O52" s="2521"/>
      <c r="P52" s="2529"/>
      <c r="Q52" s="2509"/>
      <c r="R52" s="2440"/>
      <c r="S52" s="2440"/>
      <c r="T52" s="2440"/>
      <c r="U52" s="2440"/>
      <c r="V52" s="2440"/>
      <c r="W52" s="2440"/>
      <c r="X52" s="2440"/>
      <c r="Y52" s="2440"/>
      <c r="Z52" s="2440"/>
      <c r="AA52" s="2440"/>
      <c r="AB52" s="2440"/>
      <c r="AC52" s="2440"/>
    </row>
    <row r="53" spans="1:29">
      <c r="A53" s="379" t="s">
        <v>1717</v>
      </c>
      <c r="B53" s="460" t="s">
        <v>1683</v>
      </c>
      <c r="C53" s="461">
        <f>C9</f>
        <v>0</v>
      </c>
      <c r="D53" s="462"/>
      <c r="E53" s="462"/>
      <c r="F53" s="462"/>
      <c r="G53" s="462"/>
      <c r="H53" s="462"/>
      <c r="I53" s="462"/>
      <c r="J53" s="462"/>
      <c r="K53" s="463"/>
      <c r="L53" s="464"/>
      <c r="M53" s="465"/>
      <c r="N53" s="2522"/>
      <c r="O53" s="2522"/>
      <c r="P53" s="2531"/>
      <c r="Q53" s="2509"/>
      <c r="R53" s="2488"/>
      <c r="S53" s="2488"/>
      <c r="T53" s="2488"/>
      <c r="U53" s="2488"/>
      <c r="V53" s="2488"/>
      <c r="W53" s="2488"/>
      <c r="X53" s="2488"/>
      <c r="Y53" s="2488"/>
      <c r="Z53" s="2488"/>
      <c r="AA53" s="2488"/>
      <c r="AB53" s="2488"/>
      <c r="AC53" s="2488"/>
    </row>
    <row r="54" spans="1:29" ht="15.75" thickBot="1">
      <c r="A54" s="367"/>
      <c r="B54" s="466"/>
      <c r="C54" s="467">
        <v>100</v>
      </c>
      <c r="D54" s="467"/>
      <c r="E54" s="467"/>
      <c r="F54" s="467"/>
      <c r="G54" s="467"/>
      <c r="H54" s="467"/>
      <c r="I54" s="467"/>
      <c r="J54" s="467"/>
      <c r="K54" s="467"/>
      <c r="L54" s="467"/>
      <c r="M54" s="468"/>
      <c r="N54" s="2523"/>
      <c r="O54" s="2523"/>
      <c r="P54" s="2531"/>
      <c r="Q54" s="2509"/>
      <c r="R54" s="2488"/>
      <c r="S54" s="2488"/>
      <c r="T54" s="2488"/>
      <c r="U54" s="2488"/>
      <c r="V54" s="2488"/>
      <c r="W54" s="2488"/>
      <c r="X54" s="2488"/>
      <c r="Y54" s="2488"/>
      <c r="Z54" s="2488"/>
      <c r="AA54" s="2488"/>
      <c r="AB54" s="2488"/>
      <c r="AC54" s="2488"/>
    </row>
    <row r="55" spans="1:29" ht="27.75" thickTop="1">
      <c r="A55" s="367"/>
      <c r="B55" s="469" t="s">
        <v>1686</v>
      </c>
      <c r="C55" s="513"/>
      <c r="D55" s="513"/>
      <c r="E55" s="513"/>
      <c r="F55" s="513"/>
      <c r="G55" s="513"/>
      <c r="H55" s="513"/>
      <c r="I55" s="513"/>
      <c r="J55" s="513"/>
      <c r="K55" s="514"/>
      <c r="L55" s="515"/>
      <c r="M55" s="516"/>
      <c r="N55" s="2522"/>
      <c r="O55" s="2522"/>
      <c r="P55" s="2531"/>
      <c r="Q55" s="2509"/>
      <c r="R55" s="2488"/>
      <c r="S55" s="2488"/>
      <c r="T55" s="2488"/>
      <c r="U55" s="2488"/>
      <c r="V55" s="2488"/>
      <c r="W55" s="2488"/>
      <c r="X55" s="2488"/>
      <c r="Y55" s="2488"/>
      <c r="Z55" s="2488"/>
      <c r="AA55" s="2488"/>
      <c r="AB55" s="2488"/>
      <c r="AC55" s="2488"/>
    </row>
    <row r="56" spans="1:29" ht="15.75" thickBot="1">
      <c r="A56" s="367"/>
      <c r="B56" s="474"/>
      <c r="C56" s="467"/>
      <c r="D56" s="467"/>
      <c r="E56" s="467"/>
      <c r="F56" s="467"/>
      <c r="G56" s="467"/>
      <c r="H56" s="467"/>
      <c r="I56" s="467"/>
      <c r="J56" s="467"/>
      <c r="K56" s="467"/>
      <c r="L56" s="467"/>
      <c r="M56" s="468"/>
      <c r="N56" s="2523"/>
      <c r="O56" s="2523"/>
      <c r="P56" s="2531"/>
      <c r="Q56" s="2509"/>
      <c r="R56" s="2488"/>
      <c r="S56" s="2488"/>
      <c r="T56" s="2488"/>
      <c r="U56" s="2488"/>
      <c r="V56" s="2488"/>
      <c r="W56" s="2488"/>
      <c r="X56" s="2488"/>
      <c r="Y56" s="2488"/>
      <c r="Z56" s="2488"/>
      <c r="AA56" s="2488"/>
      <c r="AB56" s="2488"/>
      <c r="AC56" s="2488"/>
    </row>
    <row r="57" spans="1:29" ht="15.75" thickTop="1">
      <c r="A57" s="367"/>
      <c r="B57" s="581">
        <f>B11</f>
        <v>111</v>
      </c>
      <c r="C57" s="480"/>
      <c r="D57" s="480"/>
      <c r="E57" s="480"/>
      <c r="F57" s="480"/>
      <c r="G57" s="480"/>
      <c r="H57" s="480"/>
      <c r="I57" s="480"/>
      <c r="J57" s="480"/>
      <c r="K57" s="481"/>
      <c r="L57" s="482"/>
      <c r="M57" s="483"/>
      <c r="N57" s="2522"/>
      <c r="O57" s="2522"/>
      <c r="P57" s="2531"/>
      <c r="Q57" s="2509"/>
      <c r="R57" s="2488"/>
      <c r="S57" s="2488"/>
      <c r="T57" s="2488"/>
      <c r="U57" s="2488"/>
      <c r="V57" s="2488"/>
      <c r="W57" s="2488"/>
      <c r="X57" s="2488"/>
      <c r="Y57" s="2488"/>
      <c r="Z57" s="2488"/>
      <c r="AA57" s="2488"/>
      <c r="AB57" s="2488"/>
      <c r="AC57" s="2488"/>
    </row>
    <row r="58" spans="1:29" ht="15.75" thickBot="1">
      <c r="A58" s="367"/>
      <c r="B58" s="466"/>
      <c r="C58" s="491"/>
      <c r="D58" s="467"/>
      <c r="E58" s="467"/>
      <c r="F58" s="467"/>
      <c r="G58" s="467"/>
      <c r="H58" s="467"/>
      <c r="I58" s="467"/>
      <c r="J58" s="467"/>
      <c r="K58" s="467"/>
      <c r="L58" s="467"/>
      <c r="M58" s="468"/>
      <c r="N58" s="2523"/>
      <c r="O58" s="2523"/>
      <c r="P58" s="2531"/>
      <c r="Q58" s="2509"/>
      <c r="R58" s="2488"/>
      <c r="S58" s="2488"/>
      <c r="T58" s="2488"/>
      <c r="U58" s="2488"/>
      <c r="V58" s="2488"/>
      <c r="W58" s="2488"/>
      <c r="X58" s="2488"/>
      <c r="Y58" s="2488"/>
      <c r="Z58" s="2488"/>
      <c r="AA58" s="2488"/>
      <c r="AB58" s="2488"/>
      <c r="AC58" s="2488"/>
    </row>
    <row r="59" spans="1:29" s="408" customFormat="1" ht="15.75" thickTop="1">
      <c r="A59" s="484"/>
      <c r="B59" s="469">
        <f>B12</f>
        <v>111</v>
      </c>
      <c r="C59" s="480"/>
      <c r="D59" s="480"/>
      <c r="E59" s="480"/>
      <c r="F59" s="480"/>
      <c r="G59" s="485"/>
      <c r="H59" s="486"/>
      <c r="I59" s="486"/>
      <c r="J59" s="486"/>
      <c r="K59" s="486"/>
      <c r="L59" s="487"/>
      <c r="M59" s="488"/>
      <c r="N59" s="2524"/>
      <c r="O59" s="2524"/>
      <c r="P59" s="2532"/>
      <c r="Q59" s="2516"/>
      <c r="R59" s="2494"/>
      <c r="S59" s="2494"/>
      <c r="T59" s="2494"/>
      <c r="U59" s="2494"/>
      <c r="V59" s="2494"/>
      <c r="W59" s="2494"/>
      <c r="X59" s="2494"/>
      <c r="Y59" s="2494"/>
      <c r="Z59" s="2494"/>
      <c r="AA59" s="2494"/>
      <c r="AB59" s="2494"/>
      <c r="AC59" s="2494"/>
    </row>
    <row r="60" spans="1:29" s="408" customFormat="1" ht="15.75" thickBot="1">
      <c r="A60" s="484"/>
      <c r="B60" s="474"/>
      <c r="C60" s="491"/>
      <c r="D60" s="467"/>
      <c r="E60" s="467"/>
      <c r="F60" s="467"/>
      <c r="G60" s="467"/>
      <c r="H60" s="467"/>
      <c r="I60" s="467"/>
      <c r="J60" s="467"/>
      <c r="K60" s="467"/>
      <c r="L60" s="467"/>
      <c r="M60" s="468"/>
      <c r="N60" s="2523"/>
      <c r="O60" s="2523"/>
      <c r="P60" s="2532"/>
      <c r="Q60" s="2516"/>
      <c r="R60" s="2494"/>
      <c r="S60" s="2494"/>
      <c r="T60" s="2494"/>
      <c r="U60" s="2494"/>
      <c r="V60" s="2494"/>
      <c r="W60" s="2494"/>
      <c r="X60" s="2494"/>
      <c r="Y60" s="2494"/>
      <c r="Z60" s="2494"/>
      <c r="AA60" s="2494"/>
      <c r="AB60" s="2494"/>
      <c r="AC60" s="2494"/>
    </row>
    <row r="61" spans="1:29" s="408" customFormat="1" ht="15.75" thickTop="1">
      <c r="A61" s="484"/>
      <c r="B61" s="469">
        <f>B13</f>
        <v>111</v>
      </c>
      <c r="C61" s="485"/>
      <c r="D61" s="485"/>
      <c r="E61" s="485"/>
      <c r="F61" s="485"/>
      <c r="G61" s="485"/>
      <c r="H61" s="486"/>
      <c r="I61" s="486"/>
      <c r="J61" s="486"/>
      <c r="K61" s="486"/>
      <c r="L61" s="487"/>
      <c r="M61" s="488"/>
      <c r="N61" s="2524"/>
      <c r="O61" s="2524"/>
      <c r="P61" s="2533"/>
      <c r="Q61" s="2518"/>
      <c r="R61" s="2494"/>
      <c r="S61" s="2494"/>
      <c r="T61" s="2494"/>
      <c r="U61" s="2494"/>
      <c r="V61" s="2494"/>
      <c r="W61" s="2494"/>
      <c r="X61" s="2494"/>
      <c r="Y61" s="2494"/>
      <c r="Z61" s="2494"/>
      <c r="AA61" s="2494"/>
      <c r="AB61" s="2494"/>
      <c r="AC61" s="2494"/>
    </row>
    <row r="62" spans="1:29" s="408" customFormat="1" ht="15.75" thickBot="1">
      <c r="A62" s="484"/>
      <c r="B62" s="474"/>
      <c r="C62" s="491"/>
      <c r="D62" s="491"/>
      <c r="E62" s="491"/>
      <c r="F62" s="491"/>
      <c r="G62" s="491"/>
      <c r="H62" s="493"/>
      <c r="I62" s="493"/>
      <c r="J62" s="493"/>
      <c r="K62" s="493"/>
      <c r="L62" s="493"/>
      <c r="M62" s="494"/>
      <c r="N62" s="2524"/>
      <c r="O62" s="2524"/>
      <c r="P62" s="2532"/>
      <c r="Q62" s="2516"/>
      <c r="R62" s="2494"/>
      <c r="S62" s="2494"/>
      <c r="T62" s="2494"/>
      <c r="U62" s="2494"/>
      <c r="V62" s="2494"/>
      <c r="W62" s="2494"/>
      <c r="X62" s="2494"/>
      <c r="Y62" s="2494"/>
      <c r="Z62" s="2494"/>
      <c r="AA62" s="2494"/>
      <c r="AB62" s="2494"/>
      <c r="AC62" s="2494"/>
    </row>
    <row r="63" spans="1:29" ht="15" thickTop="1">
      <c r="A63" s="379" t="s">
        <v>1688</v>
      </c>
      <c r="B63" s="460" t="s">
        <v>1724</v>
      </c>
      <c r="C63" s="504" t="s">
        <v>1719</v>
      </c>
      <c r="D63" s="504" t="s">
        <v>1720</v>
      </c>
      <c r="E63" s="504" t="s">
        <v>1721</v>
      </c>
      <c r="F63" s="504" t="s">
        <v>1722</v>
      </c>
      <c r="G63" s="504" t="s">
        <v>1723</v>
      </c>
      <c r="H63" s="461"/>
      <c r="I63" s="461"/>
      <c r="J63" s="461"/>
      <c r="K63" s="505"/>
      <c r="L63" s="506"/>
      <c r="M63" s="507"/>
      <c r="N63" s="2522"/>
      <c r="O63" s="2522"/>
      <c r="P63" s="2535"/>
      <c r="Q63" s="2509"/>
      <c r="R63" s="2488"/>
      <c r="S63" s="2488"/>
      <c r="T63" s="2488"/>
      <c r="U63" s="2488"/>
      <c r="V63" s="2488"/>
      <c r="W63" s="2488"/>
      <c r="X63" s="2488"/>
      <c r="Y63" s="2488"/>
      <c r="Z63" s="2488"/>
      <c r="AA63" s="2488"/>
      <c r="AB63" s="2488"/>
      <c r="AC63" s="2488"/>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3"/>
      <c r="O64" s="2523"/>
      <c r="P64" s="2531"/>
      <c r="Q64" s="2509"/>
      <c r="R64" s="2488"/>
      <c r="S64" s="2488"/>
      <c r="T64" s="2488"/>
      <c r="U64" s="2488"/>
      <c r="V64" s="2488"/>
      <c r="W64" s="2488"/>
      <c r="X64" s="2488"/>
      <c r="Y64" s="2488"/>
      <c r="Z64" s="2488"/>
      <c r="AA64" s="2488"/>
      <c r="AB64" s="2488"/>
      <c r="AC64" s="2488"/>
    </row>
    <row r="65" spans="1:29" ht="15.75" thickTop="1">
      <c r="A65" s="367"/>
      <c r="B65" s="469" t="s">
        <v>1725</v>
      </c>
      <c r="C65" s="509" t="s">
        <v>1719</v>
      </c>
      <c r="D65" s="509" t="s">
        <v>1720</v>
      </c>
      <c r="E65" s="509" t="s">
        <v>1721</v>
      </c>
      <c r="F65" s="509" t="s">
        <v>1722</v>
      </c>
      <c r="G65" s="509" t="s">
        <v>1723</v>
      </c>
      <c r="H65" s="470"/>
      <c r="I65" s="470"/>
      <c r="J65" s="470"/>
      <c r="K65" s="471"/>
      <c r="L65" s="472"/>
      <c r="M65" s="473"/>
      <c r="N65" s="2522"/>
      <c r="O65" s="2522"/>
      <c r="P65" s="2531"/>
      <c r="Q65" s="2509"/>
      <c r="R65" s="2488"/>
      <c r="S65" s="2488"/>
      <c r="T65" s="2488"/>
      <c r="U65" s="2488"/>
      <c r="V65" s="2488"/>
      <c r="W65" s="2488"/>
      <c r="X65" s="2488"/>
      <c r="Y65" s="2488"/>
      <c r="Z65" s="2488"/>
      <c r="AA65" s="2488"/>
      <c r="AB65" s="2488"/>
      <c r="AC65" s="2488"/>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3"/>
      <c r="O66" s="2523"/>
      <c r="P66" s="2531"/>
      <c r="Q66" s="2509"/>
      <c r="R66" s="2488"/>
      <c r="S66" s="2488"/>
      <c r="T66" s="2488"/>
      <c r="U66" s="2488"/>
      <c r="V66" s="2488"/>
      <c r="W66" s="2488"/>
      <c r="X66" s="2488"/>
      <c r="Y66" s="2488"/>
      <c r="Z66" s="2488"/>
      <c r="AA66" s="2488"/>
      <c r="AB66" s="2488"/>
      <c r="AC66" s="2488"/>
    </row>
    <row r="67" spans="1:29" ht="15.75" thickTop="1">
      <c r="A67" s="367"/>
      <c r="B67" s="477" t="s">
        <v>1811</v>
      </c>
      <c r="C67" s="581" t="s">
        <v>1797</v>
      </c>
      <c r="D67" s="581" t="s">
        <v>1798</v>
      </c>
      <c r="E67" s="581" t="s">
        <v>1799</v>
      </c>
      <c r="F67" s="581" t="s">
        <v>1800</v>
      </c>
      <c r="G67" s="581" t="s">
        <v>1801</v>
      </c>
      <c r="H67" s="470"/>
      <c r="I67" s="470"/>
      <c r="J67" s="470"/>
      <c r="K67" s="470"/>
      <c r="L67" s="470"/>
      <c r="M67" s="1063"/>
      <c r="N67" s="2523"/>
      <c r="O67" s="2523"/>
      <c r="P67" s="2531"/>
      <c r="Q67" s="2509"/>
      <c r="R67" s="2488"/>
      <c r="S67" s="2488"/>
      <c r="T67" s="2488"/>
      <c r="U67" s="2488"/>
      <c r="V67" s="2488"/>
      <c r="W67" s="2488"/>
      <c r="X67" s="2488"/>
      <c r="Y67" s="2488"/>
      <c r="Z67" s="2488"/>
      <c r="AA67" s="2488"/>
      <c r="AB67" s="2488"/>
      <c r="AC67" s="2488"/>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3"/>
      <c r="O68" s="2523"/>
      <c r="P68" s="2531"/>
      <c r="Q68" s="2509"/>
      <c r="R68" s="2488"/>
      <c r="S68" s="2488"/>
      <c r="T68" s="2488"/>
      <c r="U68" s="2488"/>
      <c r="V68" s="2488"/>
      <c r="W68" s="2488"/>
      <c r="X68" s="2488"/>
      <c r="Y68" s="2488"/>
      <c r="Z68" s="2488"/>
      <c r="AA68" s="2488"/>
      <c r="AB68" s="2488"/>
      <c r="AC68" s="2488"/>
    </row>
    <row r="69" spans="1:29" ht="15.75" thickTop="1">
      <c r="A69" s="367"/>
      <c r="B69" s="469" t="s">
        <v>1731</v>
      </c>
      <c r="C69" s="509" t="s">
        <v>1719</v>
      </c>
      <c r="D69" s="509" t="s">
        <v>1720</v>
      </c>
      <c r="E69" s="509" t="s">
        <v>1721</v>
      </c>
      <c r="F69" s="509" t="s">
        <v>1722</v>
      </c>
      <c r="G69" s="509" t="s">
        <v>1723</v>
      </c>
      <c r="H69" s="470"/>
      <c r="I69" s="470"/>
      <c r="J69" s="470"/>
      <c r="K69" s="471"/>
      <c r="L69" s="472"/>
      <c r="M69" s="473"/>
      <c r="N69" s="2522"/>
      <c r="O69" s="2522"/>
      <c r="P69" s="2531"/>
      <c r="Q69" s="2509"/>
      <c r="R69" s="2488"/>
      <c r="S69" s="2488"/>
      <c r="T69" s="2488"/>
      <c r="U69" s="2488"/>
      <c r="V69" s="2488"/>
      <c r="W69" s="2488"/>
      <c r="X69" s="2488"/>
      <c r="Y69" s="2488"/>
      <c r="Z69" s="2488"/>
      <c r="AA69" s="2488"/>
      <c r="AB69" s="2488"/>
      <c r="AC69" s="2488"/>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3"/>
      <c r="O70" s="2523"/>
      <c r="P70" s="2531"/>
      <c r="Q70" s="2509"/>
      <c r="R70" s="2488"/>
      <c r="S70" s="2488"/>
      <c r="T70" s="2488"/>
      <c r="U70" s="2488"/>
      <c r="V70" s="2488"/>
      <c r="W70" s="2488"/>
      <c r="X70" s="2488"/>
      <c r="Y70" s="2488"/>
      <c r="Z70" s="2488"/>
      <c r="AA70" s="2488"/>
      <c r="AB70" s="2488"/>
      <c r="AC70" s="2488"/>
    </row>
    <row r="71" spans="1:29" ht="15.75" thickTop="1">
      <c r="A71" s="367"/>
      <c r="B71" s="469" t="s">
        <v>1850</v>
      </c>
      <c r="C71" s="485"/>
      <c r="D71" s="485"/>
      <c r="E71" s="485"/>
      <c r="F71" s="485"/>
      <c r="G71" s="485"/>
      <c r="H71" s="513"/>
      <c r="I71" s="513"/>
      <c r="J71" s="513"/>
      <c r="K71" s="514"/>
      <c r="L71" s="515"/>
      <c r="M71" s="516"/>
      <c r="N71" s="2522"/>
      <c r="O71" s="2522"/>
      <c r="P71" s="2531"/>
      <c r="Q71" s="2509"/>
      <c r="R71" s="2488"/>
      <c r="S71" s="2488"/>
      <c r="T71" s="2488"/>
      <c r="U71" s="2488"/>
      <c r="V71" s="2488"/>
      <c r="W71" s="2488"/>
      <c r="X71" s="2488"/>
      <c r="Y71" s="2488"/>
      <c r="Z71" s="2488"/>
      <c r="AA71" s="2488"/>
      <c r="AB71" s="2488"/>
      <c r="AC71" s="2488"/>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3"/>
      <c r="O72" s="2523"/>
      <c r="P72" s="2531"/>
      <c r="Q72" s="2509"/>
      <c r="R72" s="2488"/>
      <c r="S72" s="2488"/>
      <c r="T72" s="2488"/>
      <c r="U72" s="2488"/>
      <c r="V72" s="2488"/>
      <c r="W72" s="2488"/>
      <c r="X72" s="2488"/>
      <c r="Y72" s="2488"/>
      <c r="Z72" s="2488"/>
      <c r="AA72" s="2488"/>
      <c r="AB72" s="2488"/>
      <c r="AC72" s="2488"/>
    </row>
    <row r="73" spans="1:29" s="102" customFormat="1" ht="15.75" thickTop="1">
      <c r="A73" s="370"/>
      <c r="B73" s="469">
        <f>B23</f>
        <v>111</v>
      </c>
      <c r="C73" s="480"/>
      <c r="D73" s="480"/>
      <c r="E73" s="480"/>
      <c r="F73" s="480"/>
      <c r="G73" s="485"/>
      <c r="H73" s="485"/>
      <c r="I73" s="485"/>
      <c r="J73" s="485"/>
      <c r="K73" s="485"/>
      <c r="L73" s="510"/>
      <c r="M73" s="511"/>
      <c r="N73" s="2521"/>
      <c r="O73" s="2521"/>
      <c r="P73" s="2531"/>
      <c r="Q73" s="2509"/>
      <c r="R73" s="2440"/>
      <c r="S73" s="2440"/>
      <c r="T73" s="2440"/>
      <c r="U73" s="2440"/>
      <c r="V73" s="2440"/>
      <c r="W73" s="2440"/>
      <c r="X73" s="2440"/>
      <c r="Y73" s="2440"/>
      <c r="Z73" s="2440"/>
      <c r="AA73" s="2440"/>
      <c r="AB73" s="2440"/>
      <c r="AC73" s="2440"/>
    </row>
    <row r="74" spans="1:29" s="102" customFormat="1" ht="15.75" thickBot="1">
      <c r="A74" s="370"/>
      <c r="B74" s="474"/>
      <c r="C74" s="491"/>
      <c r="D74" s="467"/>
      <c r="E74" s="467"/>
      <c r="F74" s="467"/>
      <c r="G74" s="467"/>
      <c r="H74" s="467"/>
      <c r="I74" s="467"/>
      <c r="J74" s="467"/>
      <c r="K74" s="467"/>
      <c r="L74" s="467"/>
      <c r="M74" s="468"/>
      <c r="N74" s="2523"/>
      <c r="O74" s="2523"/>
      <c r="P74" s="2531"/>
      <c r="Q74" s="2509"/>
      <c r="R74" s="2440"/>
      <c r="S74" s="2440"/>
      <c r="T74" s="2440"/>
      <c r="U74" s="2440"/>
      <c r="V74" s="2440"/>
      <c r="W74" s="2440"/>
      <c r="X74" s="2440"/>
      <c r="Y74" s="2440"/>
      <c r="Z74" s="2440"/>
      <c r="AA74" s="2440"/>
      <c r="AB74" s="2440"/>
      <c r="AC74" s="2440"/>
    </row>
    <row r="75" spans="1:29" s="102" customFormat="1" ht="15.75" thickTop="1">
      <c r="A75" s="370"/>
      <c r="B75" s="469">
        <f>B24</f>
        <v>111</v>
      </c>
      <c r="C75" s="480"/>
      <c r="D75" s="480"/>
      <c r="E75" s="480"/>
      <c r="F75" s="480"/>
      <c r="G75" s="485"/>
      <c r="H75" s="485"/>
      <c r="I75" s="485"/>
      <c r="J75" s="485"/>
      <c r="K75" s="485"/>
      <c r="L75" s="485"/>
      <c r="M75" s="511"/>
      <c r="N75" s="2521"/>
      <c r="O75" s="2521"/>
      <c r="P75" s="2531"/>
      <c r="Q75" s="2509"/>
      <c r="R75" s="2440"/>
      <c r="S75" s="2440"/>
      <c r="T75" s="2440"/>
      <c r="U75" s="2440"/>
      <c r="V75" s="2440"/>
      <c r="W75" s="2440"/>
      <c r="X75" s="2440"/>
      <c r="Y75" s="2440"/>
      <c r="Z75" s="2440"/>
      <c r="AA75" s="2440"/>
      <c r="AB75" s="2440"/>
      <c r="AC75" s="2440"/>
    </row>
    <row r="76" spans="1:29" s="102" customFormat="1" ht="15.75" thickBot="1">
      <c r="A76" s="370"/>
      <c r="B76" s="474"/>
      <c r="C76" s="491"/>
      <c r="D76" s="467"/>
      <c r="E76" s="467"/>
      <c r="F76" s="467"/>
      <c r="G76" s="467"/>
      <c r="H76" s="467"/>
      <c r="I76" s="467"/>
      <c r="J76" s="467"/>
      <c r="K76" s="467"/>
      <c r="L76" s="467"/>
      <c r="M76" s="468"/>
      <c r="N76" s="2523"/>
      <c r="O76" s="2523"/>
      <c r="P76" s="2531"/>
      <c r="Q76" s="2509"/>
      <c r="R76" s="2440"/>
      <c r="S76" s="2440"/>
      <c r="T76" s="2440"/>
      <c r="U76" s="2440"/>
      <c r="V76" s="2440"/>
      <c r="W76" s="2440"/>
      <c r="X76" s="2440"/>
      <c r="Y76" s="2440"/>
      <c r="Z76" s="2440"/>
      <c r="AA76" s="2440"/>
      <c r="AB76" s="2440"/>
      <c r="AC76" s="2440"/>
    </row>
    <row r="77" spans="1:29" s="408" customFormat="1" ht="15.75" thickTop="1">
      <c r="A77" s="484"/>
      <c r="B77" s="469">
        <f>B25</f>
        <v>111</v>
      </c>
      <c r="C77" s="485"/>
      <c r="D77" s="485"/>
      <c r="E77" s="485"/>
      <c r="F77" s="485"/>
      <c r="G77" s="485"/>
      <c r="H77" s="486"/>
      <c r="I77" s="486"/>
      <c r="J77" s="486"/>
      <c r="K77" s="486"/>
      <c r="L77" s="487"/>
      <c r="M77" s="488"/>
      <c r="N77" s="2524"/>
      <c r="O77" s="2524"/>
      <c r="P77" s="2532"/>
      <c r="Q77" s="2516"/>
      <c r="R77" s="2494"/>
      <c r="S77" s="2494"/>
      <c r="T77" s="2494"/>
      <c r="U77" s="2494"/>
      <c r="V77" s="2494"/>
      <c r="W77" s="2494"/>
      <c r="X77" s="2494"/>
      <c r="Y77" s="2494"/>
      <c r="Z77" s="2494"/>
      <c r="AA77" s="2494"/>
      <c r="AB77" s="2494"/>
      <c r="AC77" s="2494"/>
    </row>
    <row r="78" spans="1:29" s="408" customFormat="1" ht="15.75" thickBot="1">
      <c r="A78" s="484"/>
      <c r="B78" s="474"/>
      <c r="C78" s="491"/>
      <c r="D78" s="491"/>
      <c r="E78" s="491"/>
      <c r="F78" s="491"/>
      <c r="G78" s="467"/>
      <c r="H78" s="467"/>
      <c r="I78" s="467"/>
      <c r="J78" s="467"/>
      <c r="K78" s="467"/>
      <c r="L78" s="467"/>
      <c r="M78" s="468"/>
      <c r="N78" s="2524"/>
      <c r="O78" s="2524"/>
      <c r="P78" s="2532"/>
      <c r="Q78" s="2516"/>
      <c r="R78" s="2494"/>
      <c r="S78" s="2494"/>
      <c r="T78" s="2494"/>
      <c r="U78" s="2494"/>
      <c r="V78" s="2494"/>
      <c r="W78" s="2494"/>
      <c r="X78" s="2494"/>
      <c r="Y78" s="2494"/>
      <c r="Z78" s="2494"/>
      <c r="AA78" s="2494"/>
      <c r="AB78" s="2494"/>
      <c r="AC78" s="2494"/>
    </row>
    <row r="79" spans="1:29" ht="27.75" thickTop="1">
      <c r="A79" s="379" t="s">
        <v>1692</v>
      </c>
      <c r="B79" s="460" t="s">
        <v>1851</v>
      </c>
      <c r="C79" s="461" t="str">
        <f>C26</f>
        <v>车库</v>
      </c>
      <c r="D79" s="462"/>
      <c r="E79" s="462"/>
      <c r="F79" s="462"/>
      <c r="G79" s="462"/>
      <c r="H79" s="462"/>
      <c r="I79" s="462"/>
      <c r="J79" s="462"/>
      <c r="K79" s="463"/>
      <c r="L79" s="464"/>
      <c r="M79" s="465"/>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3"/>
      <c r="O80" s="2523"/>
      <c r="P80" s="2531"/>
      <c r="Q80" s="2509"/>
      <c r="R80" s="2488"/>
      <c r="S80" s="2488"/>
      <c r="T80" s="2488"/>
      <c r="U80" s="2488"/>
      <c r="V80" s="2488"/>
      <c r="W80" s="2488"/>
      <c r="X80" s="2488"/>
      <c r="Y80" s="2488"/>
      <c r="Z80" s="2488"/>
      <c r="AA80" s="2488"/>
      <c r="AB80" s="2488"/>
      <c r="AC80" s="2488"/>
    </row>
    <row r="81" spans="1:29" ht="15.75" thickTop="1">
      <c r="A81" s="367"/>
      <c r="B81" s="469" t="s">
        <v>1852</v>
      </c>
      <c r="C81" s="582"/>
      <c r="D81" s="582"/>
      <c r="E81" s="582"/>
      <c r="F81" s="582"/>
      <c r="G81" s="582"/>
      <c r="H81" s="582"/>
      <c r="I81" s="582"/>
      <c r="J81" s="582"/>
      <c r="K81" s="583"/>
      <c r="L81" s="584"/>
      <c r="M81" s="585"/>
      <c r="N81" s="2521"/>
      <c r="O81" s="2521"/>
      <c r="P81" s="2531"/>
      <c r="Q81" s="2509"/>
      <c r="R81" s="2488"/>
      <c r="S81" s="2488"/>
      <c r="T81" s="2488"/>
      <c r="U81" s="2488"/>
      <c r="V81" s="2488"/>
      <c r="W81" s="2488"/>
      <c r="X81" s="2488"/>
      <c r="Y81" s="2488"/>
      <c r="Z81" s="2488"/>
      <c r="AA81" s="2488"/>
      <c r="AB81" s="2488"/>
      <c r="AC81" s="2488"/>
    </row>
    <row r="82" spans="1:29" s="408" customFormat="1" ht="15.75" thickBot="1">
      <c r="A82" s="484"/>
      <c r="B82" s="474"/>
      <c r="C82" s="491"/>
      <c r="D82" s="467"/>
      <c r="E82" s="467"/>
      <c r="F82" s="467"/>
      <c r="G82" s="467"/>
      <c r="H82" s="467"/>
      <c r="I82" s="467"/>
      <c r="J82" s="467"/>
      <c r="K82" s="467"/>
      <c r="L82" s="467"/>
      <c r="M82" s="468"/>
      <c r="N82" s="2523"/>
      <c r="O82" s="2523"/>
      <c r="P82" s="2532"/>
      <c r="Q82" s="2516"/>
      <c r="R82" s="2494"/>
      <c r="S82" s="2494"/>
      <c r="T82" s="2494"/>
      <c r="U82" s="2494"/>
      <c r="V82" s="2494"/>
      <c r="W82" s="2494"/>
      <c r="X82" s="2494"/>
      <c r="Y82" s="2494"/>
      <c r="Z82" s="2494"/>
      <c r="AA82" s="2494"/>
      <c r="AB82" s="2494"/>
      <c r="AC82" s="2494"/>
    </row>
    <row r="83" spans="1:29" ht="15" thickTop="1">
      <c r="A83" s="409"/>
      <c r="B83" s="469" t="s">
        <v>1738</v>
      </c>
      <c r="C83" s="485"/>
      <c r="D83" s="485"/>
      <c r="E83" s="513"/>
      <c r="F83" s="513"/>
      <c r="G83" s="513"/>
      <c r="H83" s="513"/>
      <c r="I83" s="513"/>
      <c r="J83" s="513"/>
      <c r="K83" s="514"/>
      <c r="L83" s="515"/>
      <c r="M83" s="516"/>
      <c r="N83" s="2522"/>
      <c r="O83" s="2522"/>
      <c r="P83" s="2531"/>
      <c r="Q83" s="2509"/>
      <c r="R83" s="2488"/>
      <c r="S83" s="2488"/>
      <c r="T83" s="2488"/>
      <c r="U83" s="2488"/>
      <c r="V83" s="2488"/>
      <c r="W83" s="2488"/>
      <c r="X83" s="2488"/>
      <c r="Y83" s="2488"/>
      <c r="Z83" s="2488"/>
      <c r="AA83" s="2488"/>
      <c r="AB83" s="2488"/>
      <c r="AC83" s="2488"/>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3"/>
      <c r="O84" s="2523"/>
      <c r="P84" s="2531"/>
      <c r="Q84" s="2509"/>
      <c r="R84" s="2488"/>
      <c r="S84" s="2488"/>
      <c r="T84" s="2488"/>
      <c r="U84" s="2488"/>
      <c r="V84" s="2488"/>
      <c r="W84" s="2488"/>
      <c r="X84" s="2488"/>
      <c r="Y84" s="2488"/>
      <c r="Z84" s="2488"/>
      <c r="AA84" s="2488"/>
      <c r="AB84" s="2488"/>
      <c r="AC84" s="2488"/>
    </row>
    <row r="85" spans="1:29" ht="15" thickTop="1">
      <c r="A85" s="409"/>
      <c r="B85" s="469" t="s">
        <v>1853</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2"/>
      <c r="O85" s="2522"/>
      <c r="P85" s="2531"/>
      <c r="Q85" s="2509"/>
      <c r="R85" s="2488"/>
      <c r="S85" s="2488"/>
      <c r="T85" s="2488"/>
      <c r="U85" s="2488"/>
      <c r="V85" s="2488"/>
      <c r="W85" s="2488"/>
      <c r="X85" s="2488"/>
      <c r="Y85" s="2488"/>
      <c r="Z85" s="2488"/>
      <c r="AA85" s="2488"/>
      <c r="AB85" s="2488"/>
      <c r="AC85" s="2488"/>
    </row>
    <row r="86" spans="1:29">
      <c r="A86" s="409"/>
      <c r="B86" s="477"/>
      <c r="C86" s="530">
        <v>0.5</v>
      </c>
      <c r="D86" s="530">
        <v>0.6</v>
      </c>
      <c r="E86" s="530">
        <v>0.7</v>
      </c>
      <c r="F86" s="530">
        <v>0.8</v>
      </c>
      <c r="G86" s="530">
        <v>0.9</v>
      </c>
      <c r="H86" s="530">
        <v>1.0001</v>
      </c>
      <c r="I86" s="548"/>
      <c r="J86" s="548"/>
      <c r="K86" s="549"/>
      <c r="L86" s="550"/>
      <c r="M86" s="551"/>
      <c r="N86" s="2522"/>
      <c r="O86" s="2522"/>
      <c r="P86" s="2531"/>
      <c r="Q86" s="2509"/>
      <c r="R86" s="2488"/>
      <c r="S86" s="2488"/>
      <c r="T86" s="2488"/>
      <c r="U86" s="2488"/>
      <c r="V86" s="2488"/>
      <c r="W86" s="2488"/>
      <c r="X86" s="2488"/>
      <c r="Y86" s="2488"/>
      <c r="Z86" s="2488"/>
      <c r="AA86" s="2488"/>
      <c r="AB86" s="2488"/>
      <c r="AC86" s="2488"/>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3"/>
      <c r="O87" s="2523"/>
      <c r="P87" s="2531"/>
      <c r="Q87" s="2509"/>
      <c r="R87" s="2488"/>
      <c r="S87" s="2488"/>
      <c r="T87" s="2488"/>
      <c r="U87" s="2488"/>
      <c r="V87" s="2488"/>
      <c r="W87" s="2488"/>
      <c r="X87" s="2488"/>
      <c r="Y87" s="2488"/>
      <c r="Z87" s="2488"/>
      <c r="AA87" s="2488"/>
      <c r="AB87" s="2488"/>
      <c r="AC87" s="2488"/>
    </row>
    <row r="88" spans="1:29" ht="15" thickTop="1">
      <c r="A88" s="409"/>
      <c r="B88" s="477" t="s">
        <v>1854</v>
      </c>
      <c r="C88" s="462"/>
      <c r="D88" s="462"/>
      <c r="E88" s="462"/>
      <c r="F88" s="462"/>
      <c r="G88" s="462"/>
      <c r="H88" s="462"/>
      <c r="I88" s="462"/>
      <c r="J88" s="462"/>
      <c r="K88" s="463"/>
      <c r="L88" s="464"/>
      <c r="M88" s="465"/>
      <c r="N88" s="2522"/>
      <c r="O88" s="2522"/>
      <c r="P88" s="2531"/>
      <c r="Q88" s="2509"/>
      <c r="R88" s="2488"/>
      <c r="S88" s="2488"/>
      <c r="T88" s="2488"/>
      <c r="U88" s="2488"/>
      <c r="V88" s="2488"/>
      <c r="W88" s="2488"/>
      <c r="X88" s="2488"/>
      <c r="Y88" s="2488"/>
      <c r="Z88" s="2488"/>
      <c r="AA88" s="2488"/>
      <c r="AB88" s="2488"/>
      <c r="AC88" s="2488"/>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3"/>
      <c r="O89" s="2523"/>
      <c r="P89" s="2531"/>
      <c r="Q89" s="2509"/>
      <c r="R89" s="2488"/>
      <c r="S89" s="2488"/>
      <c r="T89" s="2488"/>
      <c r="U89" s="2488"/>
      <c r="V89" s="2488"/>
      <c r="W89" s="2488"/>
      <c r="X89" s="2488"/>
      <c r="Y89" s="2488"/>
      <c r="Z89" s="2488"/>
      <c r="AA89" s="2488"/>
      <c r="AB89" s="2488"/>
      <c r="AC89" s="2488"/>
    </row>
    <row r="90" spans="1:29" s="408" customFormat="1" ht="15" thickTop="1">
      <c r="A90" s="406"/>
      <c r="B90" s="469" t="s">
        <v>1855</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4"/>
      <c r="O90" s="2524"/>
      <c r="P90" s="2532"/>
      <c r="Q90" s="2516"/>
      <c r="R90" s="2494"/>
      <c r="S90" s="2494"/>
      <c r="T90" s="2494"/>
      <c r="U90" s="2494"/>
      <c r="V90" s="2494"/>
      <c r="W90" s="2494"/>
      <c r="X90" s="2494"/>
      <c r="Y90" s="2494"/>
      <c r="Z90" s="2494"/>
      <c r="AA90" s="2494"/>
      <c r="AB90" s="2494"/>
      <c r="AC90" s="2494"/>
    </row>
    <row r="91" spans="1:29" s="408" customFormat="1">
      <c r="A91" s="406"/>
      <c r="B91" s="477"/>
      <c r="C91" s="6"/>
      <c r="D91" s="6"/>
      <c r="E91" s="6"/>
      <c r="F91" s="6"/>
      <c r="G91" s="6"/>
      <c r="H91" s="6"/>
      <c r="I91" s="6"/>
      <c r="J91" s="524"/>
      <c r="K91" s="524"/>
      <c r="L91" s="525"/>
      <c r="M91" s="526"/>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491"/>
      <c r="D92" s="467"/>
      <c r="E92" s="467"/>
      <c r="F92" s="467"/>
      <c r="G92" s="467"/>
      <c r="H92" s="467"/>
      <c r="I92" s="467"/>
      <c r="J92" s="467"/>
      <c r="K92" s="467"/>
      <c r="L92" s="467"/>
      <c r="M92" s="468"/>
      <c r="N92" s="2524"/>
      <c r="O92" s="2524"/>
      <c r="P92" s="2532"/>
      <c r="Q92" s="2516"/>
      <c r="R92" s="2494"/>
      <c r="S92" s="2494"/>
      <c r="T92" s="2494"/>
      <c r="U92" s="2494"/>
      <c r="V92" s="2494"/>
      <c r="W92" s="2494"/>
      <c r="X92" s="2494"/>
      <c r="Y92" s="2494"/>
      <c r="Z92" s="2494"/>
      <c r="AA92" s="2494"/>
      <c r="AB92" s="2494"/>
      <c r="AC92" s="2494"/>
    </row>
    <row r="93" spans="1:29" ht="15" thickTop="1">
      <c r="A93" s="409"/>
      <c r="B93" s="469" t="s">
        <v>1856</v>
      </c>
      <c r="C93" s="485"/>
      <c r="D93" s="485"/>
      <c r="E93" s="513"/>
      <c r="F93" s="513"/>
      <c r="G93" s="513"/>
      <c r="H93" s="513"/>
      <c r="I93" s="513"/>
      <c r="J93" s="513"/>
      <c r="K93" s="514"/>
      <c r="L93" s="515"/>
      <c r="M93" s="516"/>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3"/>
      <c r="O94" s="2523"/>
      <c r="P94" s="2531"/>
      <c r="Q94" s="2509"/>
      <c r="R94" s="2488"/>
      <c r="S94" s="2488"/>
      <c r="T94" s="2488"/>
      <c r="U94" s="2488"/>
      <c r="V94" s="2488"/>
      <c r="W94" s="2488"/>
      <c r="X94" s="2488"/>
      <c r="Y94" s="2488"/>
      <c r="Z94" s="2488"/>
      <c r="AA94" s="2488"/>
      <c r="AB94" s="2488"/>
      <c r="AC94" s="2488"/>
    </row>
    <row r="95" spans="1:29" ht="15" thickTop="1">
      <c r="A95" s="409"/>
      <c r="B95" s="469" t="s">
        <v>1857</v>
      </c>
      <c r="C95" s="462"/>
      <c r="D95" s="462"/>
      <c r="E95" s="462"/>
      <c r="F95" s="462"/>
      <c r="G95" s="462"/>
      <c r="H95" s="462"/>
      <c r="I95" s="462"/>
      <c r="J95" s="462"/>
      <c r="K95" s="463"/>
      <c r="L95" s="464"/>
      <c r="M95" s="465"/>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3"/>
      <c r="O96" s="2523"/>
      <c r="P96" s="2531"/>
      <c r="Q96" s="2509"/>
      <c r="R96" s="2488"/>
      <c r="S96" s="2488"/>
      <c r="T96" s="2488"/>
      <c r="U96" s="2488"/>
      <c r="V96" s="2488"/>
      <c r="W96" s="2488"/>
      <c r="X96" s="2488"/>
      <c r="Y96" s="2488"/>
      <c r="Z96" s="2488"/>
      <c r="AA96" s="2488"/>
      <c r="AB96" s="2488"/>
      <c r="AC96" s="2488"/>
    </row>
    <row r="97" spans="1:29" ht="15" thickTop="1">
      <c r="A97" s="409"/>
      <c r="B97" s="560">
        <f>B34</f>
        <v>111</v>
      </c>
      <c r="C97" s="480"/>
      <c r="D97" s="480"/>
      <c r="E97" s="480"/>
      <c r="F97" s="480"/>
      <c r="G97" s="485"/>
      <c r="H97" s="486"/>
      <c r="I97" s="486"/>
      <c r="J97" s="486"/>
      <c r="K97" s="486"/>
      <c r="L97" s="487"/>
      <c r="M97" s="488"/>
      <c r="N97" s="2523"/>
      <c r="O97" s="2523"/>
      <c r="P97" s="2536"/>
      <c r="Q97" s="2537"/>
      <c r="R97" s="2488"/>
      <c r="S97" s="2488"/>
      <c r="T97" s="2488"/>
      <c r="U97" s="2488"/>
      <c r="V97" s="2488"/>
      <c r="W97" s="2488"/>
      <c r="X97" s="2488"/>
      <c r="Y97" s="2488"/>
      <c r="Z97" s="2488"/>
      <c r="AA97" s="2488"/>
      <c r="AB97" s="2488"/>
      <c r="AC97" s="2488"/>
    </row>
    <row r="98" spans="1:29" ht="15.75" thickBot="1">
      <c r="A98" s="367"/>
      <c r="B98" s="474"/>
      <c r="C98" s="491"/>
      <c r="D98" s="467"/>
      <c r="E98" s="467"/>
      <c r="F98" s="467"/>
      <c r="G98" s="491"/>
      <c r="H98" s="493"/>
      <c r="I98" s="493"/>
      <c r="J98" s="493"/>
      <c r="K98" s="493"/>
      <c r="L98" s="493"/>
      <c r="M98" s="494"/>
      <c r="N98" s="2523"/>
      <c r="O98" s="2523"/>
      <c r="P98" s="2531"/>
      <c r="Q98" s="2509"/>
      <c r="R98" s="2488"/>
      <c r="S98" s="2488"/>
      <c r="T98" s="2488"/>
      <c r="U98" s="2488"/>
      <c r="V98" s="2488"/>
      <c r="W98" s="2488"/>
      <c r="X98" s="2488"/>
      <c r="Y98" s="2488"/>
      <c r="Z98" s="2488"/>
      <c r="AA98" s="2488"/>
      <c r="AB98" s="2488"/>
      <c r="AC98" s="2488"/>
    </row>
    <row r="99" spans="1:29" s="408" customFormat="1" ht="15" thickTop="1">
      <c r="A99" s="406"/>
      <c r="B99" s="469">
        <f>B35</f>
        <v>111</v>
      </c>
      <c r="C99" s="480"/>
      <c r="D99" s="480"/>
      <c r="E99" s="480"/>
      <c r="F99" s="480"/>
      <c r="G99" s="485"/>
      <c r="H99" s="486"/>
      <c r="I99" s="486"/>
      <c r="J99" s="486"/>
      <c r="K99" s="486"/>
      <c r="L99" s="487"/>
      <c r="M99" s="488"/>
      <c r="N99" s="2524"/>
      <c r="O99" s="2524"/>
      <c r="P99" s="2532"/>
      <c r="Q99" s="2516"/>
      <c r="R99" s="2494"/>
      <c r="S99" s="2494"/>
      <c r="T99" s="2494"/>
      <c r="U99" s="2494"/>
      <c r="V99" s="2494"/>
      <c r="W99" s="2494"/>
      <c r="X99" s="2494"/>
      <c r="Y99" s="2494"/>
      <c r="Z99" s="2494"/>
      <c r="AA99" s="2494"/>
      <c r="AB99" s="2494"/>
      <c r="AC99" s="2494"/>
    </row>
    <row r="100" spans="1:29" s="408" customFormat="1" ht="15.75" thickBot="1">
      <c r="A100" s="484"/>
      <c r="B100" s="466"/>
      <c r="C100" s="491"/>
      <c r="D100" s="467"/>
      <c r="E100" s="467"/>
      <c r="F100" s="467"/>
      <c r="G100" s="491"/>
      <c r="H100" s="493"/>
      <c r="I100" s="493"/>
      <c r="J100" s="493"/>
      <c r="K100" s="493"/>
      <c r="L100" s="493"/>
      <c r="M100" s="494"/>
      <c r="N100" s="2524"/>
      <c r="O100" s="2524"/>
      <c r="P100" s="2532"/>
      <c r="Q100" s="2516"/>
      <c r="R100" s="2494"/>
      <c r="S100" s="2494"/>
      <c r="T100" s="2494"/>
      <c r="U100" s="2494"/>
      <c r="V100" s="2494"/>
      <c r="W100" s="2494"/>
      <c r="X100" s="2494"/>
      <c r="Y100" s="2494"/>
      <c r="Z100" s="2494"/>
      <c r="AA100" s="2494"/>
      <c r="AB100" s="2494"/>
      <c r="AC100" s="2494"/>
    </row>
    <row r="101" spans="1:29" ht="15" thickTop="1">
      <c r="A101" s="409"/>
      <c r="B101" s="469">
        <f>B36</f>
        <v>111</v>
      </c>
      <c r="C101" s="485"/>
      <c r="D101" s="485"/>
      <c r="E101" s="485"/>
      <c r="F101" s="485"/>
      <c r="G101" s="485"/>
      <c r="H101" s="486"/>
      <c r="I101" s="486"/>
      <c r="J101" s="486"/>
      <c r="K101" s="486"/>
      <c r="L101" s="487"/>
      <c r="M101" s="488"/>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91"/>
      <c r="D102" s="491"/>
      <c r="E102" s="491"/>
      <c r="F102" s="491"/>
      <c r="G102" s="491"/>
      <c r="H102" s="493"/>
      <c r="I102" s="493"/>
      <c r="J102" s="493"/>
      <c r="K102" s="493"/>
      <c r="L102" s="493"/>
      <c r="M102" s="494"/>
      <c r="N102" s="2523"/>
      <c r="O102" s="2523"/>
      <c r="P102" s="2531"/>
      <c r="Q102" s="2509"/>
      <c r="R102" s="2488"/>
      <c r="S102" s="2488"/>
      <c r="T102" s="2488"/>
      <c r="U102" s="2488"/>
      <c r="V102" s="2488"/>
      <c r="W102" s="2488"/>
      <c r="X102" s="2488"/>
      <c r="Y102" s="2488"/>
      <c r="Z102" s="2488"/>
      <c r="AA102" s="2488"/>
      <c r="AB102" s="2488"/>
      <c r="AC102" s="2488"/>
    </row>
    <row r="103" spans="1:29" ht="15" thickTop="1">
      <c r="N103" s="2488"/>
      <c r="O103" s="2488"/>
      <c r="P103" s="2525"/>
      <c r="Q103" s="2488"/>
      <c r="R103" s="2488"/>
      <c r="S103" s="2488"/>
      <c r="T103" s="2488"/>
      <c r="U103" s="2488"/>
      <c r="V103" s="2488"/>
      <c r="W103" s="2488"/>
      <c r="X103" s="2488"/>
      <c r="Y103" s="2488"/>
      <c r="Z103" s="2488"/>
      <c r="AA103" s="2488"/>
      <c r="AB103" s="2488"/>
      <c r="AC103" s="2488"/>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E42">
    <cfRule type="expression" dxfId="69" priority="13" stopIfTrue="1">
      <formula>$F$42="超过30%"</formula>
    </cfRule>
  </conditionalFormatting>
  <conditionalFormatting sqref="E43">
    <cfRule type="expression" dxfId="68" priority="11" stopIfTrue="1">
      <formula>$F$43="超过20%"</formula>
    </cfRule>
  </conditionalFormatting>
  <conditionalFormatting sqref="E44">
    <cfRule type="expression" dxfId="67" priority="10" stopIfTrue="1">
      <formula>$F$44="超过30%"</formula>
    </cfRule>
  </conditionalFormatting>
  <conditionalFormatting sqref="F7:F36 H7:H36 J7:J36">
    <cfRule type="cellIs" dxfId="66" priority="1" operator="notEqual">
      <formula>100</formula>
    </cfRule>
  </conditionalFormatting>
  <conditionalFormatting sqref="F38">
    <cfRule type="expression" dxfId="65" priority="4">
      <formula>$D$38="简单平均"</formula>
    </cfRule>
  </conditionalFormatting>
  <conditionalFormatting sqref="F42:F44 H42:H44 J42:J44">
    <cfRule type="containsText" dxfId="64" priority="14" stopIfTrue="1" operator="containsText" text="超过">
      <formula>NOT(ISERROR(SEARCH("超过",F42)))</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G44">
    <cfRule type="expression" dxfId="61" priority="12" stopIfTrue="1">
      <formula>$H$54+$H$44="超过30%"</formula>
    </cfRule>
  </conditionalFormatting>
  <conditionalFormatting sqref="H38">
    <cfRule type="expression" dxfId="60" priority="3">
      <formula>$D$38="简单平均"</formula>
    </cfRule>
  </conditionalFormatting>
  <conditionalFormatting sqref="I42">
    <cfRule type="expression" dxfId="59" priority="7" stopIfTrue="1">
      <formula>$J$52+$J$42="超过30%"</formula>
    </cfRule>
  </conditionalFormatting>
  <conditionalFormatting sqref="I43">
    <cfRule type="expression" dxfId="58" priority="6" stopIfTrue="1">
      <formula>$J$53+$J$43="超过20%"</formula>
    </cfRule>
  </conditionalFormatting>
  <conditionalFormatting sqref="I44">
    <cfRule type="expression" dxfId="57" priority="5" stopIfTrue="1">
      <formula>$J$44="超过30%"</formula>
    </cfRule>
  </conditionalFormatting>
  <conditionalFormatting sqref="J38">
    <cfRule type="expression" dxfId="56" priority="2">
      <formula>$D$38="简单平均"</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G17 C17 E17 I17" xr:uid="{00000000-0002-0000-1C00-000001000000}">
      <formula1>公共配套设施</formula1>
    </dataValidation>
    <dataValidation type="list" allowBlank="1" showInputMessage="1" showErrorMessage="1" sqref="G15 E15 C15 I15" xr:uid="{00000000-0002-0000-1C00-000002000000}">
      <formula1>交通便捷度</formula1>
    </dataValidation>
    <dataValidation type="list" allowBlank="1" showInputMessage="1" showErrorMessage="1" sqref="C8 E8 G8 I8" xr:uid="{00000000-0002-0000-1C00-000003000000}">
      <formula1>车位交易情况</formula1>
    </dataValidation>
    <dataValidation type="list" allowBlank="1" showInputMessage="1" showErrorMessage="1" sqref="E9 G9 I9" xr:uid="{00000000-0002-0000-1C00-000004000000}">
      <formula1>车位用途</formula1>
    </dataValidation>
    <dataValidation type="list" allowBlank="1" showInputMessage="1" showErrorMessage="1" sqref="C22 E22 G22 I22" xr:uid="{00000000-0002-0000-1C00-000005000000}">
      <formula1>车位楼层</formula1>
    </dataValidation>
    <dataValidation type="list" allowBlank="1" showInputMessage="1" showErrorMessage="1" sqref="C30 E30 G30 I30" xr:uid="{00000000-0002-0000-1C00-000006000000}">
      <formula1>车位物业等级</formula1>
    </dataValidation>
    <dataValidation type="list" allowBlank="1" showInputMessage="1" showErrorMessage="1" sqref="C32 E32 G32 I32" xr:uid="{00000000-0002-0000-1C00-000007000000}">
      <formula1>车位类型</formula1>
    </dataValidation>
    <dataValidation type="list" allowBlank="1" showInputMessage="1" showErrorMessage="1" sqref="C33 E33 G33 I33" xr:uid="{00000000-0002-0000-1C00-000008000000}">
      <formula1>是否直接入户</formula1>
    </dataValidation>
    <dataValidation type="list" allowBlank="1" showInputMessage="1" showErrorMessage="1" sqref="B1" xr:uid="{00000000-0002-0000-1C00-000009000000}">
      <formula1>地类判定</formula1>
    </dataValidation>
    <dataValidation type="list" allowBlank="1" showInputMessage="1" showErrorMessage="1" sqref="I26 E26 G26" xr:uid="{00000000-0002-0000-1C00-00000A000000}">
      <formula1>车位配套类型</formula1>
    </dataValidation>
    <dataValidation type="list" allowBlank="1" showInputMessage="1" showErrorMessage="1" sqref="C28 E28 G28 I28" xr:uid="{00000000-0002-0000-1C00-00000B000000}">
      <formula1>车位公共部分装修</formula1>
    </dataValidation>
    <dataValidation type="list" allowBlank="1" showInputMessage="1" showErrorMessage="1" sqref="B37" xr:uid="{00000000-0002-0000-1C00-00000C000000}">
      <formula1>"元/平方米,元/车位"</formula1>
    </dataValidation>
    <dataValidation type="list" allowBlank="1" showInputMessage="1" showErrorMessage="1" sqref="C21 E21 G21 I21" xr:uid="{00000000-0002-0000-1C00-00000D000000}">
      <formula1>环境</formula1>
    </dataValidation>
    <dataValidation type="list" allowBlank="1" showInputMessage="1" showErrorMessage="1" sqref="C19 E19 G19 I19"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38"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898</v>
      </c>
    </row>
    <row r="3" spans="1:1" ht="18">
      <c r="A3" s="1381" t="str">
        <f>项目基本情况!B5&amp;"："</f>
        <v>：</v>
      </c>
    </row>
    <row r="4" spans="1:1" ht="18">
      <c r="A4" s="1382" t="str">
        <f>"受贵公司委托，我公司对"&amp;项目基本情况!S1&amp;"进行了预评估。"</f>
        <v>受贵公司委托，我公司对房地产市场价值进行了预评估。</v>
      </c>
    </row>
    <row r="5" spans="1:1" ht="18.75">
      <c r="A5" s="1383" t="s">
        <v>899</v>
      </c>
    </row>
    <row r="6" spans="1:1" ht="18.75">
      <c r="A6" s="1384" t="s">
        <v>900</v>
      </c>
    </row>
    <row r="7" spans="1:1" ht="36">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估价对象为房地产，为所有。根据《国有土地使用证》[]，估价对象（分摊）出让国有建设用地使用权面积为109.97平方米，建筑面积为449.18平方米。</v>
      </c>
    </row>
    <row r="8" spans="1:1" ht="57.75">
      <c r="A8" s="1385" t="s">
        <v>901</v>
      </c>
    </row>
    <row r="9" spans="1:1" ht="18.75">
      <c r="A9" s="1384" t="s">
        <v>902</v>
      </c>
    </row>
    <row r="10" spans="1:1" ht="5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估价对象为房地产,属开发建设的，该项目尚在开发建设中。根据《国有土地使用证》[]，估价对象（分摊）出让国有建设用地使用权面积为109.97平方米，规划建筑面积为449.18平方米。</v>
      </c>
    </row>
    <row r="11" spans="1:1" ht="76.5">
      <c r="A11" s="1385" t="s">
        <v>903</v>
      </c>
    </row>
    <row r="12" spans="1:1" ht="18.75">
      <c r="A12" s="1383" t="s">
        <v>904</v>
      </c>
    </row>
    <row r="13" spans="1:1" ht="38.25" customHeight="1">
      <c r="A13" s="1382" t="str">
        <f>IF(项目基本情况!B8="抵押",IF(项目基本情况!B5=项目基本情况!B6,定义!C51,定义!B51),定义!D51)</f>
        <v>为估价委托人了解估价对象房地产市场价值提供参考依据。</v>
      </c>
    </row>
    <row r="14" spans="1:1" ht="18.75">
      <c r="A14" s="1381" t="s">
        <v>905</v>
      </c>
    </row>
    <row r="15" spans="1:1" ht="18">
      <c r="A15" s="1386" t="str">
        <f>TEXT(项目基本情况!D3,"yyyy年m月d日;;")&amp;IF(项目基本情况!D3=项目基本情况!B3,"（评估专业人员实地查勘之日）","")</f>
        <v>2025年7月1日（评估专业人员实地查勘之日）</v>
      </c>
    </row>
    <row r="16" spans="1:1" ht="18.75">
      <c r="A16" s="1381" t="s">
        <v>906</v>
      </c>
    </row>
    <row r="17" spans="1:1" ht="75">
      <c r="A17" s="1382" t="s">
        <v>907</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7月1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382" t="str">
        <f>IF(项目基本情况!B9="房地产市场价值","——",IF(项目基本情况!E8="房地产抵押价值",定义!C54,IF(项目基本情况!E8="已注销",定义!C55,定义!C56)))</f>
        <v>——</v>
      </c>
    </row>
    <row r="21" spans="1:1" ht="18">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382" t="str">
        <f>IF(项目基本情况!B9="房地产市场价值","——",IF(项目基本情况!E9="——","",定义!C57))</f>
        <v>——</v>
      </c>
    </row>
    <row r="23" spans="1:1" ht="18.75">
      <c r="A23" s="1381" t="s">
        <v>896</v>
      </c>
    </row>
    <row r="24" spans="1:1" ht="18">
      <c r="A24" s="1387" t="str">
        <f>"本次评估采用的主估价方法为"&amp;结果表!K4&amp;"和"&amp;结果表!L4&amp;"。"</f>
        <v>本次评估采用的主估价方法为基准地价系数修正法和基准地价系数修正法。</v>
      </c>
    </row>
    <row r="25" spans="1:1" ht="18">
      <c r="A25" s="1387"/>
    </row>
    <row r="26" spans="1:1" ht="18.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5"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1829</v>
      </c>
      <c r="B1" s="1140" t="s">
        <v>3332</v>
      </c>
      <c r="C1" s="1141" t="s">
        <v>1660</v>
      </c>
      <c r="D1" s="1142"/>
      <c r="E1" s="3132"/>
      <c r="F1" s="1735"/>
      <c r="G1" s="1152" t="s">
        <v>1765</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1460</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1461</v>
      </c>
      <c r="F2" s="1739"/>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1462</v>
      </c>
      <c r="B3" s="536" t="e">
        <f>IF(C2="——",C37,ROUND(B2*10000/D3,0))</f>
        <v>#DIV/0!</v>
      </c>
      <c r="C3" s="344" t="s">
        <v>1766</v>
      </c>
      <c r="D3" s="343">
        <f>SUMIF('数据-汇总表'!$C19:$C33,D1,'数据-汇总表'!$E19:$E33)</f>
        <v>0</v>
      </c>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1767</v>
      </c>
      <c r="B4" s="346"/>
      <c r="C4" s="3614" t="s">
        <v>1768</v>
      </c>
      <c r="D4" s="3615"/>
      <c r="E4" s="3616" t="s">
        <v>1769</v>
      </c>
      <c r="F4" s="3617"/>
      <c r="G4" s="3614" t="s">
        <v>1770</v>
      </c>
      <c r="H4" s="3615"/>
      <c r="I4" s="3614" t="s">
        <v>1771</v>
      </c>
      <c r="J4" s="3615"/>
      <c r="K4" s="537" t="s">
        <v>1772</v>
      </c>
      <c r="L4" s="2487"/>
      <c r="M4" s="2488"/>
      <c r="N4" s="2488"/>
      <c r="O4" s="2488"/>
      <c r="P4" s="3618" t="s">
        <v>1773</v>
      </c>
      <c r="Q4" s="3619"/>
      <c r="R4" s="3601" t="s">
        <v>1769</v>
      </c>
      <c r="S4" s="3602"/>
      <c r="T4" s="3601" t="s">
        <v>1770</v>
      </c>
      <c r="U4" s="3602"/>
      <c r="V4" s="3626" t="s">
        <v>1771</v>
      </c>
      <c r="W4" s="3626"/>
      <c r="X4" s="1265"/>
      <c r="Y4" s="3601" t="s">
        <v>1773</v>
      </c>
      <c r="Z4" s="3602"/>
      <c r="AA4" s="3596" t="s">
        <v>1769</v>
      </c>
      <c r="AB4" s="3597" t="s">
        <v>1770</v>
      </c>
      <c r="AC4" s="3596" t="s">
        <v>1771</v>
      </c>
    </row>
    <row r="5" spans="1:29" ht="15">
      <c r="A5" s="348"/>
      <c r="B5" s="349"/>
      <c r="C5" s="3607" t="s">
        <v>1671</v>
      </c>
      <c r="D5" s="3608"/>
      <c r="E5" s="3605" t="s">
        <v>1672</v>
      </c>
      <c r="F5" s="3606"/>
      <c r="G5" s="3607" t="s">
        <v>1673</v>
      </c>
      <c r="H5" s="3608"/>
      <c r="I5" s="3607" t="s">
        <v>1674</v>
      </c>
      <c r="J5" s="3608"/>
      <c r="K5" s="537"/>
      <c r="L5" s="2487"/>
      <c r="M5" s="2488"/>
      <c r="N5" s="2488"/>
      <c r="O5" s="2488"/>
      <c r="P5" s="3620"/>
      <c r="Q5" s="3621"/>
      <c r="R5" s="3603"/>
      <c r="S5" s="3604"/>
      <c r="T5" s="3603"/>
      <c r="U5" s="3604"/>
      <c r="V5" s="3626"/>
      <c r="W5" s="3626"/>
      <c r="X5" s="1265"/>
      <c r="Y5" s="3603"/>
      <c r="Z5" s="3604"/>
      <c r="AA5" s="3597"/>
      <c r="AB5" s="3597"/>
      <c r="AC5" s="3597"/>
    </row>
    <row r="6" spans="1:29" ht="15.75" thickBot="1">
      <c r="A6" s="350"/>
      <c r="B6" s="351"/>
      <c r="C6" s="3609" t="s">
        <v>1675</v>
      </c>
      <c r="D6" s="3610"/>
      <c r="E6" s="3611" t="s">
        <v>1675</v>
      </c>
      <c r="F6" s="3612"/>
      <c r="G6" s="3609" t="s">
        <v>1675</v>
      </c>
      <c r="H6" s="3610"/>
      <c r="I6" s="3609" t="s">
        <v>1675</v>
      </c>
      <c r="J6" s="3610"/>
      <c r="K6" s="537" t="s">
        <v>1676</v>
      </c>
      <c r="L6" s="2487"/>
      <c r="M6" s="2488"/>
      <c r="N6" s="2488"/>
      <c r="O6" s="2488"/>
      <c r="P6" s="3622"/>
      <c r="Q6" s="3623"/>
      <c r="R6" s="3603"/>
      <c r="S6" s="3604"/>
      <c r="T6" s="3624"/>
      <c r="U6" s="3625"/>
      <c r="V6" s="3626"/>
      <c r="W6" s="3626"/>
      <c r="X6" s="1265"/>
      <c r="Y6" s="3624"/>
      <c r="Z6" s="3625"/>
      <c r="AA6" s="3598"/>
      <c r="AB6" s="3598"/>
      <c r="AC6" s="3598"/>
    </row>
    <row r="7" spans="1:29" s="102" customFormat="1" ht="15.75" thickBot="1">
      <c r="A7" s="352" t="s">
        <v>1677</v>
      </c>
      <c r="B7" s="353"/>
      <c r="C7" s="354">
        <f>'数据-取费表'!B2</f>
        <v>45839</v>
      </c>
      <c r="D7" s="355">
        <v>100</v>
      </c>
      <c r="E7" s="356"/>
      <c r="F7" s="357">
        <f>SUMIF(46:46,YEAR(E7)&amp;"-"&amp;MONTH(E7),47:47)</f>
        <v>0</v>
      </c>
      <c r="G7" s="1822"/>
      <c r="H7" s="355">
        <f>SUMIF(46:46,YEAR(G7)&amp;"-"&amp;MONTH(G7),47:47)</f>
        <v>0</v>
      </c>
      <c r="I7" s="356"/>
      <c r="J7" s="355">
        <f>SUMIF(46:46,YEAR(I7)&amp;"-"&amp;MONTH(I7),47:47)</f>
        <v>0</v>
      </c>
      <c r="K7" s="38"/>
      <c r="L7" s="2489"/>
      <c r="M7" s="2440"/>
      <c r="N7" s="2440"/>
      <c r="O7" s="2440"/>
      <c r="P7" s="3599" t="s">
        <v>1678</v>
      </c>
      <c r="Q7" s="3627"/>
      <c r="R7" s="664" t="s">
        <v>14</v>
      </c>
      <c r="S7" s="665">
        <f t="shared" ref="S7:S14" si="0">F7</f>
        <v>0</v>
      </c>
      <c r="T7" s="664" t="s">
        <v>14</v>
      </c>
      <c r="U7" s="665">
        <f t="shared" ref="U7:U14" si="1">H7</f>
        <v>0</v>
      </c>
      <c r="V7" s="664" t="s">
        <v>14</v>
      </c>
      <c r="W7" s="665">
        <f t="shared" ref="W7:W14" si="2">J7</f>
        <v>0</v>
      </c>
      <c r="X7" s="666"/>
      <c r="Y7" s="3599" t="s">
        <v>1678</v>
      </c>
      <c r="Z7" s="3600"/>
      <c r="AA7" s="50" t="e">
        <f>D7/F7</f>
        <v>#DIV/0!</v>
      </c>
      <c r="AB7" s="50" t="e">
        <f>D7/H7</f>
        <v>#DIV/0!</v>
      </c>
      <c r="AC7" s="50" t="e">
        <f>D7/J7</f>
        <v>#DIV/0!</v>
      </c>
    </row>
    <row r="8" spans="1:29" s="102" customFormat="1" ht="15.75" thickBot="1">
      <c r="A8" s="352" t="s">
        <v>1679</v>
      </c>
      <c r="B8" s="353"/>
      <c r="C8" s="358"/>
      <c r="D8" s="355">
        <v>100</v>
      </c>
      <c r="E8" s="358"/>
      <c r="F8" s="357">
        <f>SUMIF(49:49,E8,50:50)-SUMIF(49:49,C8,50:50)+100</f>
        <v>100</v>
      </c>
      <c r="G8" s="358"/>
      <c r="H8" s="355">
        <f>SUMIF(49:49,G8,50:50)-SUMIF(49:49,C8,50:50)+100</f>
        <v>100</v>
      </c>
      <c r="I8" s="358"/>
      <c r="J8" s="355">
        <f>SUMIF(49:49,I8,50:50)-SUMIF(49:49,C8,50:50)+100</f>
        <v>100</v>
      </c>
      <c r="K8" s="38"/>
      <c r="L8" s="2489"/>
      <c r="M8" s="2440"/>
      <c r="N8" s="2440"/>
      <c r="O8" s="2440"/>
      <c r="P8" s="3599" t="s">
        <v>1681</v>
      </c>
      <c r="Q8" s="3600"/>
      <c r="R8" s="664" t="s">
        <v>14</v>
      </c>
      <c r="S8" s="665">
        <f t="shared" si="0"/>
        <v>100</v>
      </c>
      <c r="T8" s="664" t="s">
        <v>14</v>
      </c>
      <c r="U8" s="665">
        <f t="shared" si="1"/>
        <v>100</v>
      </c>
      <c r="V8" s="664" t="s">
        <v>14</v>
      </c>
      <c r="W8" s="665">
        <f t="shared" si="2"/>
        <v>100</v>
      </c>
      <c r="X8" s="666"/>
      <c r="Y8" s="3599" t="s">
        <v>1681</v>
      </c>
      <c r="Z8" s="3600"/>
      <c r="AA8" s="50">
        <f t="shared" ref="AA8:AA34" si="3">D8/F8</f>
        <v>1</v>
      </c>
      <c r="AB8" s="50">
        <f t="shared" ref="AB8:AB34" si="4">D8/H8</f>
        <v>1</v>
      </c>
      <c r="AC8" s="50">
        <f t="shared" ref="AC8:AC34" si="5">D8/J8</f>
        <v>1</v>
      </c>
    </row>
    <row r="9" spans="1:29" s="102" customFormat="1">
      <c r="A9" s="359" t="s">
        <v>1682</v>
      </c>
      <c r="B9" s="60" t="s">
        <v>1683</v>
      </c>
      <c r="C9" s="360"/>
      <c r="D9" s="59">
        <v>100</v>
      </c>
      <c r="E9" s="362"/>
      <c r="F9" s="60">
        <f>SUMIF(51:51,E9,52:52)-SUMIF(51:51,C9,52:52)+100</f>
        <v>100</v>
      </c>
      <c r="G9" s="362"/>
      <c r="H9" s="59">
        <f>SUMIF(51:51,G9,52:52)-SUMIF(51:51,C9,52:52)+100</f>
        <v>100</v>
      </c>
      <c r="I9" s="362"/>
      <c r="J9" s="59">
        <f>SUMIF(51:51,I9,52:52)-SUMIF(51:51,C9,52:52)+100</f>
        <v>100</v>
      </c>
      <c r="K9" s="38"/>
      <c r="L9" s="2489"/>
      <c r="M9" s="2440"/>
      <c r="N9" s="2440"/>
      <c r="O9" s="2541"/>
      <c r="P9" s="3631" t="s">
        <v>1684</v>
      </c>
      <c r="Q9" s="530" t="str">
        <f t="shared" ref="Q9:Q14" si="6">B9</f>
        <v>用途</v>
      </c>
      <c r="R9" s="664" t="s">
        <v>14</v>
      </c>
      <c r="S9" s="665">
        <f t="shared" si="0"/>
        <v>100</v>
      </c>
      <c r="T9" s="664" t="s">
        <v>14</v>
      </c>
      <c r="U9" s="665">
        <f t="shared" si="1"/>
        <v>100</v>
      </c>
      <c r="V9" s="664" t="s">
        <v>14</v>
      </c>
      <c r="W9" s="665">
        <f t="shared" si="2"/>
        <v>100</v>
      </c>
      <c r="X9" s="666"/>
      <c r="Y9" s="3543" t="s">
        <v>1685</v>
      </c>
      <c r="Z9" s="50" t="str">
        <f t="shared" ref="Z9:Z14" si="7">Q9</f>
        <v>用途</v>
      </c>
      <c r="AA9" s="50">
        <f t="shared" si="3"/>
        <v>1</v>
      </c>
      <c r="AB9" s="50">
        <f t="shared" si="4"/>
        <v>1</v>
      </c>
      <c r="AC9" s="50">
        <f t="shared" si="5"/>
        <v>1</v>
      </c>
    </row>
    <row r="10" spans="1:29" s="366" customFormat="1" ht="27">
      <c r="A10" s="363"/>
      <c r="B10" s="364" t="s">
        <v>1686</v>
      </c>
      <c r="C10" s="3133"/>
      <c r="D10" s="119">
        <v>100</v>
      </c>
      <c r="E10" s="3133"/>
      <c r="F10" s="364">
        <f>SUMIF(53:53,E10,54:54)-SUMIF(53:53,C10,54:54)+100</f>
        <v>100</v>
      </c>
      <c r="G10" s="3133"/>
      <c r="H10" s="119">
        <f>SUMIF(53:53,G10,54:54)-SUMIF(53:53,C10,54:54)+100</f>
        <v>100</v>
      </c>
      <c r="I10" s="3133"/>
      <c r="J10" s="119">
        <f>SUMIF(53:53,I10,54:54)-SUMIF(53:53,C10,54:54)+100</f>
        <v>100</v>
      </c>
      <c r="K10" s="38"/>
      <c r="L10" s="2490"/>
      <c r="M10" s="2491"/>
      <c r="N10" s="2491"/>
      <c r="O10" s="2542"/>
      <c r="P10" s="3631"/>
      <c r="Q10" s="530" t="str">
        <f t="shared" si="6"/>
        <v>土地使用年限（年）</v>
      </c>
      <c r="R10" s="664" t="s">
        <v>14</v>
      </c>
      <c r="S10" s="665">
        <f t="shared" si="0"/>
        <v>100</v>
      </c>
      <c r="T10" s="664" t="s">
        <v>14</v>
      </c>
      <c r="U10" s="665">
        <f t="shared" si="1"/>
        <v>100</v>
      </c>
      <c r="V10" s="664" t="s">
        <v>14</v>
      </c>
      <c r="W10" s="665">
        <f t="shared" si="2"/>
        <v>100</v>
      </c>
      <c r="X10" s="666"/>
      <c r="Y10" s="3543"/>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2"/>
      <c r="M11" s="2488"/>
      <c r="N11" s="2488"/>
      <c r="O11" s="2543"/>
      <c r="P11" s="3631"/>
      <c r="Q11" s="530">
        <f t="shared" si="6"/>
        <v>111</v>
      </c>
      <c r="R11" s="664" t="s">
        <v>14</v>
      </c>
      <c r="S11" s="665">
        <f t="shared" si="0"/>
        <v>100</v>
      </c>
      <c r="T11" s="664" t="s">
        <v>14</v>
      </c>
      <c r="U11" s="665">
        <f t="shared" si="1"/>
        <v>100</v>
      </c>
      <c r="V11" s="664" t="s">
        <v>14</v>
      </c>
      <c r="W11" s="665">
        <f t="shared" si="2"/>
        <v>100</v>
      </c>
      <c r="X11" s="666"/>
      <c r="Y11" s="3543"/>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9"/>
      <c r="M12" s="2440"/>
      <c r="N12" s="2440"/>
      <c r="O12" s="2541"/>
      <c r="P12" s="3631"/>
      <c r="Q12" s="530">
        <f t="shared" si="6"/>
        <v>111</v>
      </c>
      <c r="R12" s="664" t="s">
        <v>14</v>
      </c>
      <c r="S12" s="665">
        <f t="shared" si="0"/>
        <v>100</v>
      </c>
      <c r="T12" s="664" t="s">
        <v>14</v>
      </c>
      <c r="U12" s="665">
        <f t="shared" si="1"/>
        <v>100</v>
      </c>
      <c r="V12" s="664" t="s">
        <v>14</v>
      </c>
      <c r="W12" s="665">
        <f t="shared" si="2"/>
        <v>100</v>
      </c>
      <c r="X12" s="666"/>
      <c r="Y12" s="3543"/>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3"/>
      <c r="M13" s="2488"/>
      <c r="N13" s="2488"/>
      <c r="O13" s="2543"/>
      <c r="P13" s="3631"/>
      <c r="Q13" s="530">
        <f t="shared" si="6"/>
        <v>111</v>
      </c>
      <c r="R13" s="664" t="s">
        <v>14</v>
      </c>
      <c r="S13" s="665">
        <f t="shared" si="0"/>
        <v>100</v>
      </c>
      <c r="T13" s="664" t="s">
        <v>14</v>
      </c>
      <c r="U13" s="665">
        <f t="shared" si="1"/>
        <v>100</v>
      </c>
      <c r="V13" s="664" t="s">
        <v>14</v>
      </c>
      <c r="W13" s="665">
        <f t="shared" si="2"/>
        <v>100</v>
      </c>
      <c r="X13" s="666"/>
      <c r="Y13" s="3543"/>
      <c r="Z13" s="50">
        <f t="shared" si="7"/>
        <v>111</v>
      </c>
      <c r="AA13" s="50">
        <f t="shared" si="3"/>
        <v>1</v>
      </c>
      <c r="AB13" s="50">
        <f t="shared" si="4"/>
        <v>1</v>
      </c>
      <c r="AC13" s="50">
        <f t="shared" si="5"/>
        <v>1</v>
      </c>
    </row>
    <row r="14" spans="1:29" ht="85.5">
      <c r="A14" s="379" t="s">
        <v>1688</v>
      </c>
      <c r="B14" s="58" t="s">
        <v>1831</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3"/>
      <c r="M14" s="2488"/>
      <c r="N14" s="2488"/>
      <c r="O14" s="2543"/>
      <c r="P14" s="3632" t="s">
        <v>1689</v>
      </c>
      <c r="Q14" s="1263" t="str">
        <f t="shared" si="6"/>
        <v>交通便捷度</v>
      </c>
      <c r="R14" s="667" t="s">
        <v>14</v>
      </c>
      <c r="S14" s="668">
        <f t="shared" si="0"/>
        <v>100</v>
      </c>
      <c r="T14" s="667" t="s">
        <v>14</v>
      </c>
      <c r="U14" s="668">
        <f t="shared" si="1"/>
        <v>100</v>
      </c>
      <c r="V14" s="667" t="s">
        <v>14</v>
      </c>
      <c r="W14" s="668">
        <f t="shared" si="2"/>
        <v>100</v>
      </c>
      <c r="X14" s="1265"/>
      <c r="Y14" s="3632" t="s">
        <v>1689</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3"/>
      <c r="M15" s="2488"/>
      <c r="N15" s="2488"/>
      <c r="O15" s="2543"/>
      <c r="P15" s="3633"/>
      <c r="Q15" s="1263"/>
      <c r="R15" s="667"/>
      <c r="S15" s="668"/>
      <c r="T15" s="667"/>
      <c r="U15" s="668"/>
      <c r="V15" s="667"/>
      <c r="W15" s="668"/>
      <c r="X15" s="1265"/>
      <c r="Y15" s="3633"/>
      <c r="Z15" s="1264"/>
      <c r="AA15" s="1264">
        <v>1</v>
      </c>
      <c r="AB15" s="1264">
        <v>1</v>
      </c>
      <c r="AC15" s="1264">
        <v>1</v>
      </c>
    </row>
    <row r="16" spans="1:29" ht="42.75">
      <c r="A16" s="367"/>
      <c r="B16" s="390" t="s">
        <v>1810</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3"/>
      <c r="M16" s="2488"/>
      <c r="N16" s="2488"/>
      <c r="O16" s="2543"/>
      <c r="P16" s="3633"/>
      <c r="Q16" s="1263" t="str">
        <f>B16</f>
        <v>公共配套设施</v>
      </c>
      <c r="R16" s="667" t="s">
        <v>14</v>
      </c>
      <c r="S16" s="668">
        <f>F16</f>
        <v>100</v>
      </c>
      <c r="T16" s="667" t="s">
        <v>14</v>
      </c>
      <c r="U16" s="668">
        <f>H16</f>
        <v>100</v>
      </c>
      <c r="V16" s="667" t="s">
        <v>14</v>
      </c>
      <c r="W16" s="668">
        <f>J16</f>
        <v>100</v>
      </c>
      <c r="X16" s="1265"/>
      <c r="Y16" s="3633"/>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3"/>
      <c r="M17" s="2488"/>
      <c r="N17" s="2488"/>
      <c r="O17" s="2543"/>
      <c r="P17" s="3633"/>
      <c r="Q17" s="1263"/>
      <c r="R17" s="667"/>
      <c r="S17" s="668"/>
      <c r="T17" s="667"/>
      <c r="U17" s="668"/>
      <c r="V17" s="667"/>
      <c r="W17" s="668"/>
      <c r="X17" s="1265"/>
      <c r="Y17" s="3633"/>
      <c r="Z17" s="1264"/>
      <c r="AA17" s="1264">
        <v>1</v>
      </c>
      <c r="AB17" s="1264">
        <v>1</v>
      </c>
      <c r="AC17" s="1264">
        <v>1</v>
      </c>
    </row>
    <row r="18" spans="1:29" ht="28.5">
      <c r="A18" s="367"/>
      <c r="B18" s="586" t="s">
        <v>1811</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3"/>
      <c r="M18" s="2488"/>
      <c r="N18" s="2488"/>
      <c r="O18" s="2543"/>
      <c r="P18" s="3633"/>
      <c r="Q18" s="1263" t="str">
        <f>B18</f>
        <v>基础设施水平</v>
      </c>
      <c r="R18" s="667" t="s">
        <v>14</v>
      </c>
      <c r="S18" s="668">
        <f>F18</f>
        <v>100</v>
      </c>
      <c r="T18" s="667" t="s">
        <v>14</v>
      </c>
      <c r="U18" s="668">
        <f>H18</f>
        <v>100</v>
      </c>
      <c r="V18" s="667" t="s">
        <v>14</v>
      </c>
      <c r="W18" s="668">
        <f>J18</f>
        <v>100</v>
      </c>
      <c r="X18" s="1265"/>
      <c r="Y18" s="3633"/>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3"/>
      <c r="M19" s="2488"/>
      <c r="N19" s="2488"/>
      <c r="O19" s="2543"/>
      <c r="P19" s="3633"/>
      <c r="Q19" s="1263"/>
      <c r="R19" s="667"/>
      <c r="S19" s="668"/>
      <c r="T19" s="667"/>
      <c r="U19" s="668"/>
      <c r="V19" s="667"/>
      <c r="W19" s="668"/>
      <c r="X19" s="1265"/>
      <c r="Y19" s="3633"/>
      <c r="Z19" s="1264"/>
      <c r="AA19" s="1264">
        <v>1</v>
      </c>
      <c r="AB19" s="1264">
        <v>1</v>
      </c>
      <c r="AC19" s="1264">
        <v>1</v>
      </c>
    </row>
    <row r="20" spans="1:29" ht="57">
      <c r="A20" s="367"/>
      <c r="B20" s="390" t="s">
        <v>1832</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3"/>
      <c r="M20" s="2488"/>
      <c r="N20" s="2488"/>
      <c r="O20" s="2543"/>
      <c r="P20" s="3633"/>
      <c r="Q20" s="1263" t="str">
        <f>B20</f>
        <v>自然及人文环境</v>
      </c>
      <c r="R20" s="667" t="s">
        <v>14</v>
      </c>
      <c r="S20" s="668">
        <f>F20</f>
        <v>100</v>
      </c>
      <c r="T20" s="667" t="s">
        <v>14</v>
      </c>
      <c r="U20" s="668">
        <f>H20</f>
        <v>100</v>
      </c>
      <c r="V20" s="667" t="s">
        <v>14</v>
      </c>
      <c r="W20" s="668">
        <f>J20</f>
        <v>100</v>
      </c>
      <c r="X20" s="1265"/>
      <c r="Y20" s="3633"/>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3"/>
      <c r="M21" s="2488"/>
      <c r="N21" s="2488"/>
      <c r="O21" s="2543"/>
      <c r="P21" s="3633"/>
      <c r="Q21" s="1263"/>
      <c r="R21" s="667"/>
      <c r="S21" s="668"/>
      <c r="T21" s="667"/>
      <c r="U21" s="668"/>
      <c r="V21" s="667"/>
      <c r="W21" s="668"/>
      <c r="X21" s="1265"/>
      <c r="Y21" s="3633"/>
      <c r="Z21" s="1264"/>
      <c r="AA21" s="1264">
        <v>1</v>
      </c>
      <c r="AB21" s="1264">
        <v>1</v>
      </c>
      <c r="AC21" s="1264">
        <v>1</v>
      </c>
    </row>
    <row r="22" spans="1:29" ht="15">
      <c r="A22" s="367"/>
      <c r="B22" s="390" t="s">
        <v>1833</v>
      </c>
      <c r="C22" s="542"/>
      <c r="D22" s="389">
        <v>100</v>
      </c>
      <c r="E22" s="542"/>
      <c r="F22" s="400">
        <f>SUMIF(69:69,E22,70:70)-SUMIF(69:69,C22,70:70)+100</f>
        <v>100</v>
      </c>
      <c r="G22" s="542"/>
      <c r="H22" s="374">
        <f>SUMIF(69:69,G22,70:70)-SUMIF(69:69,C22,70:70)+100</f>
        <v>100</v>
      </c>
      <c r="I22" s="542"/>
      <c r="J22" s="374">
        <f>SUMIF(69:69,I22,70:70)-SUMIF(69:69,C22,70:70)+100</f>
        <v>100</v>
      </c>
      <c r="K22" s="538"/>
      <c r="L22" s="2493"/>
      <c r="M22" s="2488"/>
      <c r="N22" s="2488"/>
      <c r="O22" s="2543"/>
      <c r="P22" s="3633"/>
      <c r="Q22" s="1263" t="str">
        <f>B22</f>
        <v>楼层</v>
      </c>
      <c r="R22" s="667" t="s">
        <v>14</v>
      </c>
      <c r="S22" s="668">
        <f>F22</f>
        <v>100</v>
      </c>
      <c r="T22" s="667" t="s">
        <v>14</v>
      </c>
      <c r="U22" s="668">
        <f>H22</f>
        <v>100</v>
      </c>
      <c r="V22" s="667" t="s">
        <v>14</v>
      </c>
      <c r="W22" s="668">
        <f>J22</f>
        <v>100</v>
      </c>
      <c r="X22" s="1265"/>
      <c r="Y22" s="3633"/>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3"/>
      <c r="M23" s="2488"/>
      <c r="N23" s="2488"/>
      <c r="O23" s="2543"/>
      <c r="P23" s="3633"/>
      <c r="Q23" s="1263">
        <f>B23</f>
        <v>111</v>
      </c>
      <c r="R23" s="667" t="s">
        <v>14</v>
      </c>
      <c r="S23" s="668">
        <f>F23</f>
        <v>100</v>
      </c>
      <c r="T23" s="667" t="s">
        <v>14</v>
      </c>
      <c r="U23" s="668">
        <f>H23</f>
        <v>100</v>
      </c>
      <c r="V23" s="667" t="s">
        <v>14</v>
      </c>
      <c r="W23" s="668">
        <f>J23</f>
        <v>100</v>
      </c>
      <c r="X23" s="1265"/>
      <c r="Y23" s="3633"/>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3"/>
      <c r="M24" s="2488"/>
      <c r="N24" s="2488"/>
      <c r="O24" s="2543"/>
      <c r="P24" s="3633"/>
      <c r="Q24" s="1263">
        <f t="shared" ref="Q24:Q34" si="11">B24</f>
        <v>111</v>
      </c>
      <c r="R24" s="667" t="s">
        <v>14</v>
      </c>
      <c r="S24" s="668">
        <f>F24</f>
        <v>100</v>
      </c>
      <c r="T24" s="667" t="s">
        <v>14</v>
      </c>
      <c r="U24" s="668">
        <f>H24</f>
        <v>100</v>
      </c>
      <c r="V24" s="667" t="s">
        <v>14</v>
      </c>
      <c r="W24" s="668">
        <f>J24</f>
        <v>100</v>
      </c>
      <c r="X24" s="1265"/>
      <c r="Y24" s="3633"/>
      <c r="Z24" s="1264">
        <f>Q24</f>
        <v>111</v>
      </c>
      <c r="AA24" s="1264">
        <f t="shared" si="3"/>
        <v>1</v>
      </c>
      <c r="AB24" s="1264">
        <f t="shared" si="4"/>
        <v>1</v>
      </c>
      <c r="AC24" s="1264">
        <f t="shared" si="5"/>
        <v>1</v>
      </c>
    </row>
    <row r="25" spans="1:29" s="102" customFormat="1" ht="15.75"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9"/>
      <c r="M25" s="2440"/>
      <c r="N25" s="2440"/>
      <c r="O25" s="2541"/>
      <c r="P25" s="3633"/>
      <c r="Q25" s="530">
        <f t="shared" si="11"/>
        <v>111</v>
      </c>
      <c r="R25" s="664" t="s">
        <v>14</v>
      </c>
      <c r="S25" s="665">
        <f>F25</f>
        <v>100</v>
      </c>
      <c r="T25" s="664" t="s">
        <v>14</v>
      </c>
      <c r="U25" s="665">
        <f>H25</f>
        <v>100</v>
      </c>
      <c r="V25" s="664" t="s">
        <v>14</v>
      </c>
      <c r="W25" s="665">
        <f>J25</f>
        <v>100</v>
      </c>
      <c r="X25" s="666"/>
      <c r="Y25" s="3633"/>
      <c r="Z25" s="50">
        <f>Q25</f>
        <v>111</v>
      </c>
      <c r="AA25" s="1264">
        <f>D25/F25</f>
        <v>1</v>
      </c>
      <c r="AB25" s="1264">
        <f>D25/H25</f>
        <v>1</v>
      </c>
      <c r="AC25" s="1264">
        <f>D25/J25</f>
        <v>1</v>
      </c>
    </row>
    <row r="26" spans="1:29" ht="28.5">
      <c r="A26" s="404" t="s">
        <v>1692</v>
      </c>
      <c r="B26" s="60" t="s">
        <v>1836</v>
      </c>
      <c r="C26" s="1764"/>
      <c r="D26" s="405">
        <v>100</v>
      </c>
      <c r="E26" s="1764"/>
      <c r="F26" s="587">
        <f>SUMIF(77:77,E26,78:78)-SUMIF(77:77,C26,78:78)+100</f>
        <v>100</v>
      </c>
      <c r="G26" s="1764"/>
      <c r="H26" s="405">
        <f>SUMIF(77:77,G26,78:78)-SUMIF(77:77,C26,78:78)+100</f>
        <v>100</v>
      </c>
      <c r="I26" s="1764"/>
      <c r="J26" s="405">
        <f>SUMIF(77:77,I26,78:78)-SUMIF(77:77,C26,78:78)+100</f>
        <v>100</v>
      </c>
      <c r="K26" s="538"/>
      <c r="L26" s="2493"/>
      <c r="M26" s="2488"/>
      <c r="N26" s="2488"/>
      <c r="O26" s="2543"/>
      <c r="P26" s="3656" t="s">
        <v>1694</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637" t="s">
        <v>1694</v>
      </c>
      <c r="Z26" s="1264" t="str">
        <f t="shared" ref="Z26:Z34" si="15">Q26</f>
        <v>公共部分装修</v>
      </c>
      <c r="AA26" s="1264">
        <f t="shared" si="3"/>
        <v>1</v>
      </c>
      <c r="AB26" s="1264">
        <f t="shared" si="4"/>
        <v>1</v>
      </c>
      <c r="AC26" s="1264">
        <f t="shared" si="5"/>
        <v>1</v>
      </c>
    </row>
    <row r="27" spans="1:29" s="408" customFormat="1" ht="15">
      <c r="A27" s="406"/>
      <c r="B27" s="364" t="s">
        <v>1837</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2"/>
      <c r="M27" s="2494"/>
      <c r="N27" s="2494"/>
      <c r="O27" s="2544"/>
      <c r="P27" s="3637"/>
      <c r="Q27" s="531" t="str">
        <f t="shared" si="11"/>
        <v>成新率</v>
      </c>
      <c r="R27" s="669" t="s">
        <v>14</v>
      </c>
      <c r="S27" s="670" t="e">
        <f t="shared" si="12"/>
        <v>#N/A</v>
      </c>
      <c r="T27" s="669" t="s">
        <v>14</v>
      </c>
      <c r="U27" s="670" t="e">
        <f t="shared" si="13"/>
        <v>#N/A</v>
      </c>
      <c r="V27" s="669" t="s">
        <v>14</v>
      </c>
      <c r="W27" s="670" t="e">
        <f t="shared" si="14"/>
        <v>#N/A</v>
      </c>
      <c r="X27" s="671"/>
      <c r="Y27" s="3637"/>
      <c r="Z27" s="672" t="str">
        <f t="shared" si="15"/>
        <v>成新率</v>
      </c>
      <c r="AA27" s="1264" t="e">
        <f t="shared" si="3"/>
        <v>#N/A</v>
      </c>
      <c r="AB27" s="1264" t="e">
        <f t="shared" si="4"/>
        <v>#N/A</v>
      </c>
      <c r="AC27" s="1264" t="e">
        <f t="shared" si="5"/>
        <v>#N/A</v>
      </c>
    </row>
    <row r="28" spans="1:29" ht="15">
      <c r="A28" s="409"/>
      <c r="B28" s="364" t="s">
        <v>1838</v>
      </c>
      <c r="C28" s="399"/>
      <c r="D28" s="374">
        <v>100</v>
      </c>
      <c r="E28" s="399"/>
      <c r="F28" s="400">
        <f>SUMIF(82:82,E28,83:83)-SUMIF(82:82,C28,83:83)+100</f>
        <v>100</v>
      </c>
      <c r="G28" s="399"/>
      <c r="H28" s="374">
        <f>SUMIF(82:82,G28,83:83)-SUMIF(82:82,C28,83:83)+100</f>
        <v>100</v>
      </c>
      <c r="I28" s="399"/>
      <c r="J28" s="374">
        <f>SUMIF(82:82,I28,83:83)-SUMIF(82:82,C28,83:83)+100</f>
        <v>100</v>
      </c>
      <c r="K28" s="538"/>
      <c r="L28" s="2493"/>
      <c r="M28" s="2488"/>
      <c r="N28" s="2488"/>
      <c r="O28" s="2543"/>
      <c r="P28" s="3637"/>
      <c r="Q28" s="1263" t="str">
        <f t="shared" si="11"/>
        <v>物业等级</v>
      </c>
      <c r="R28" s="667" t="s">
        <v>14</v>
      </c>
      <c r="S28" s="668">
        <f t="shared" si="12"/>
        <v>100</v>
      </c>
      <c r="T28" s="667" t="s">
        <v>14</v>
      </c>
      <c r="U28" s="668">
        <f t="shared" si="13"/>
        <v>100</v>
      </c>
      <c r="V28" s="667" t="s">
        <v>14</v>
      </c>
      <c r="W28" s="668">
        <f t="shared" si="14"/>
        <v>100</v>
      </c>
      <c r="X28" s="1265"/>
      <c r="Y28" s="3637"/>
      <c r="Z28" s="1264" t="str">
        <f t="shared" si="15"/>
        <v>物业等级</v>
      </c>
      <c r="AA28" s="1264">
        <f t="shared" si="3"/>
        <v>1</v>
      </c>
      <c r="AB28" s="1264">
        <f t="shared" si="4"/>
        <v>1</v>
      </c>
      <c r="AC28" s="1264">
        <f t="shared" si="5"/>
        <v>1</v>
      </c>
    </row>
    <row r="29" spans="1:29" ht="15">
      <c r="A29" s="409"/>
      <c r="B29" s="364" t="s">
        <v>1858</v>
      </c>
      <c r="C29" s="578"/>
      <c r="D29" s="374">
        <v>100</v>
      </c>
      <c r="E29" s="578"/>
      <c r="F29" s="400">
        <f>SUMIF(84:84,E29,85:85)-SUMIF(84:84,C29,85:85)+100</f>
        <v>100</v>
      </c>
      <c r="G29" s="578"/>
      <c r="H29" s="374">
        <f>SUMIF(84:84,G29,85:85)-SUMIF(84:84,C29,85:85)+100</f>
        <v>100</v>
      </c>
      <c r="I29" s="578"/>
      <c r="J29" s="374">
        <f>SUMIF(84:84,I29,85:85)-SUMIF(84:84,C29,85:85)+100</f>
        <v>100</v>
      </c>
      <c r="K29" s="538"/>
      <c r="L29" s="2493"/>
      <c r="M29" s="2488"/>
      <c r="N29" s="2488"/>
      <c r="O29" s="2543"/>
      <c r="P29" s="3637"/>
      <c r="Q29" s="1263" t="str">
        <f t="shared" si="11"/>
        <v>有无电梯</v>
      </c>
      <c r="R29" s="667" t="s">
        <v>14</v>
      </c>
      <c r="S29" s="668">
        <f t="shared" si="12"/>
        <v>100</v>
      </c>
      <c r="T29" s="667" t="s">
        <v>14</v>
      </c>
      <c r="U29" s="668">
        <f t="shared" si="13"/>
        <v>100</v>
      </c>
      <c r="V29" s="667" t="s">
        <v>14</v>
      </c>
      <c r="W29" s="668">
        <f t="shared" si="14"/>
        <v>100</v>
      </c>
      <c r="X29" s="1265"/>
      <c r="Y29" s="3637"/>
      <c r="Z29" s="1264" t="str">
        <f t="shared" si="15"/>
        <v>有无电梯</v>
      </c>
      <c r="AA29" s="1264">
        <f t="shared" si="3"/>
        <v>1</v>
      </c>
      <c r="AB29" s="1264">
        <f t="shared" si="4"/>
        <v>1</v>
      </c>
      <c r="AC29" s="1264">
        <f t="shared" si="5"/>
        <v>1</v>
      </c>
    </row>
    <row r="30" spans="1:29" ht="15">
      <c r="A30" s="409"/>
      <c r="B30" s="364" t="s">
        <v>1859</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3"/>
      <c r="M30" s="2488"/>
      <c r="N30" s="2488"/>
      <c r="O30" s="2543"/>
      <c r="P30" s="3637"/>
      <c r="Q30" s="1263" t="str">
        <f t="shared" si="11"/>
        <v>建筑面积</v>
      </c>
      <c r="R30" s="667" t="s">
        <v>14</v>
      </c>
      <c r="S30" s="668" t="e">
        <f t="shared" si="12"/>
        <v>#N/A</v>
      </c>
      <c r="T30" s="667" t="s">
        <v>14</v>
      </c>
      <c r="U30" s="668" t="e">
        <f t="shared" si="13"/>
        <v>#N/A</v>
      </c>
      <c r="V30" s="667" t="s">
        <v>14</v>
      </c>
      <c r="W30" s="668" t="e">
        <f t="shared" si="14"/>
        <v>#N/A</v>
      </c>
      <c r="X30" s="1265"/>
      <c r="Y30" s="3637"/>
      <c r="Z30" s="1264" t="str">
        <f t="shared" si="15"/>
        <v>建筑面积</v>
      </c>
      <c r="AA30" s="1264" t="e">
        <f t="shared" si="3"/>
        <v>#N/A</v>
      </c>
      <c r="AB30" s="1264" t="e">
        <f t="shared" si="4"/>
        <v>#N/A</v>
      </c>
      <c r="AC30" s="1264" t="e">
        <f t="shared" si="5"/>
        <v>#N/A</v>
      </c>
    </row>
    <row r="31" spans="1:29" s="102" customFormat="1" ht="15">
      <c r="A31" s="410"/>
      <c r="B31" s="364" t="s">
        <v>1860</v>
      </c>
      <c r="C31" s="578"/>
      <c r="D31" s="119">
        <v>100</v>
      </c>
      <c r="E31" s="578"/>
      <c r="F31" s="400">
        <f>SUMIF(89:89,E31,90:90)-SUMIF(89:89,C31,90:90)+100</f>
        <v>100</v>
      </c>
      <c r="G31" s="578"/>
      <c r="H31" s="374">
        <f>SUMIF(89:89,G31,90:90)-SUMIF(89:89,C31,90:90)+100</f>
        <v>100</v>
      </c>
      <c r="I31" s="578"/>
      <c r="J31" s="374">
        <f>SUMIF(89:89,I31,90:90)-SUMIF(89:89,C31,90:90)+100</f>
        <v>100</v>
      </c>
      <c r="K31" s="538"/>
      <c r="L31" s="2489"/>
      <c r="M31" s="2440"/>
      <c r="N31" s="2440"/>
      <c r="O31" s="2541"/>
      <c r="P31" s="3637"/>
      <c r="Q31" s="530" t="str">
        <f t="shared" si="11"/>
        <v>是否封闭</v>
      </c>
      <c r="R31" s="664" t="s">
        <v>14</v>
      </c>
      <c r="S31" s="665">
        <f t="shared" si="12"/>
        <v>100</v>
      </c>
      <c r="T31" s="664" t="s">
        <v>14</v>
      </c>
      <c r="U31" s="665">
        <f t="shared" si="13"/>
        <v>100</v>
      </c>
      <c r="V31" s="664" t="s">
        <v>14</v>
      </c>
      <c r="W31" s="665">
        <f t="shared" si="14"/>
        <v>100</v>
      </c>
      <c r="X31" s="666"/>
      <c r="Y31" s="3637"/>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3"/>
      <c r="M32" s="2488"/>
      <c r="N32" s="2488"/>
      <c r="O32" s="2543"/>
      <c r="P32" s="3637" t="s">
        <v>1694</v>
      </c>
      <c r="Q32" s="1263">
        <f t="shared" si="11"/>
        <v>111</v>
      </c>
      <c r="R32" s="667" t="s">
        <v>14</v>
      </c>
      <c r="S32" s="668">
        <f t="shared" si="12"/>
        <v>100</v>
      </c>
      <c r="T32" s="667" t="s">
        <v>14</v>
      </c>
      <c r="U32" s="668">
        <f t="shared" si="13"/>
        <v>100</v>
      </c>
      <c r="V32" s="667" t="s">
        <v>14</v>
      </c>
      <c r="W32" s="668">
        <f t="shared" si="14"/>
        <v>100</v>
      </c>
      <c r="X32" s="1265"/>
      <c r="Y32" s="3637" t="s">
        <v>1694</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3"/>
      <c r="M33" s="2488"/>
      <c r="N33" s="2488"/>
      <c r="O33" s="2543"/>
      <c r="P33" s="3637"/>
      <c r="Q33" s="1263">
        <f t="shared" si="11"/>
        <v>111</v>
      </c>
      <c r="R33" s="667" t="s">
        <v>14</v>
      </c>
      <c r="S33" s="668">
        <f t="shared" si="12"/>
        <v>100</v>
      </c>
      <c r="T33" s="667" t="s">
        <v>14</v>
      </c>
      <c r="U33" s="668">
        <f t="shared" si="13"/>
        <v>100</v>
      </c>
      <c r="V33" s="667" t="s">
        <v>14</v>
      </c>
      <c r="W33" s="668">
        <f t="shared" si="14"/>
        <v>100</v>
      </c>
      <c r="X33" s="1265"/>
      <c r="Y33" s="3637"/>
      <c r="Z33" s="1264">
        <f t="shared" si="15"/>
        <v>111</v>
      </c>
      <c r="AA33" s="1264">
        <f t="shared" si="3"/>
        <v>1</v>
      </c>
      <c r="AB33" s="1264">
        <f t="shared" si="4"/>
        <v>1</v>
      </c>
      <c r="AC33" s="1264">
        <f t="shared" si="5"/>
        <v>1</v>
      </c>
    </row>
    <row r="34" spans="1:30" ht="15.75"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3"/>
      <c r="M34" s="2488"/>
      <c r="N34" s="2488"/>
      <c r="O34" s="2543"/>
      <c r="P34" s="3637"/>
      <c r="Q34" s="1263">
        <f t="shared" si="11"/>
        <v>111</v>
      </c>
      <c r="R34" s="667" t="s">
        <v>14</v>
      </c>
      <c r="S34" s="668">
        <f t="shared" si="12"/>
        <v>100</v>
      </c>
      <c r="T34" s="667" t="s">
        <v>14</v>
      </c>
      <c r="U34" s="668">
        <f t="shared" si="13"/>
        <v>100</v>
      </c>
      <c r="V34" s="667" t="s">
        <v>14</v>
      </c>
      <c r="W34" s="668">
        <f t="shared" si="14"/>
        <v>100</v>
      </c>
      <c r="X34" s="1265"/>
      <c r="Y34" s="3637"/>
      <c r="Z34" s="1264">
        <f t="shared" si="15"/>
        <v>111</v>
      </c>
      <c r="AA34" s="1264">
        <f t="shared" si="3"/>
        <v>1</v>
      </c>
      <c r="AB34" s="1264">
        <f t="shared" si="4"/>
        <v>1</v>
      </c>
      <c r="AC34" s="1264">
        <f t="shared" si="5"/>
        <v>1</v>
      </c>
    </row>
    <row r="35" spans="1:30" ht="15">
      <c r="A35" s="416" t="s">
        <v>1706</v>
      </c>
      <c r="B35" s="417"/>
      <c r="C35" s="1081" t="s">
        <v>0</v>
      </c>
      <c r="D35" s="418"/>
      <c r="E35" s="419"/>
      <c r="F35" s="420"/>
      <c r="G35" s="421"/>
      <c r="H35" s="422"/>
      <c r="I35" s="419"/>
      <c r="J35" s="422"/>
      <c r="K35" s="674"/>
      <c r="L35" s="2495"/>
      <c r="M35" s="2488"/>
      <c r="N35" s="2488"/>
      <c r="O35" s="2488"/>
      <c r="P35" s="3631" t="str">
        <f>A35</f>
        <v>成交单价（元/平方米）</v>
      </c>
      <c r="Q35" s="3631"/>
      <c r="R35" s="3626">
        <f>E35</f>
        <v>0</v>
      </c>
      <c r="S35" s="3626"/>
      <c r="T35" s="3626">
        <f>G35</f>
        <v>0</v>
      </c>
      <c r="U35" s="3626"/>
      <c r="V35" s="3626">
        <f>I35</f>
        <v>0</v>
      </c>
      <c r="W35" s="3626"/>
      <c r="X35" s="385"/>
      <c r="Y35" s="673"/>
      <c r="Z35" s="385"/>
      <c r="AA35" s="385"/>
      <c r="AB35" s="385"/>
      <c r="AC35" s="385"/>
    </row>
    <row r="36" spans="1:30" ht="15.75" thickBot="1">
      <c r="A36" s="423" t="s">
        <v>1791</v>
      </c>
      <c r="B36" s="424"/>
      <c r="C36" s="1082" t="e">
        <f>R37</f>
        <v>#DIV/0!</v>
      </c>
      <c r="D36" s="2141" t="s">
        <v>2136</v>
      </c>
      <c r="E36" s="1083" t="e">
        <f>R36</f>
        <v>#DIV/0!</v>
      </c>
      <c r="F36" s="2142"/>
      <c r="G36" s="1082" t="e">
        <f>T36</f>
        <v>#DIV/0!</v>
      </c>
      <c r="H36" s="2142"/>
      <c r="I36" s="1083" t="e">
        <f>V36</f>
        <v>#DIV/0!</v>
      </c>
      <c r="J36" s="2142"/>
      <c r="K36" s="2144">
        <f>F36+H36+J36</f>
        <v>0</v>
      </c>
      <c r="L36" s="2495"/>
      <c r="M36" s="2488"/>
      <c r="N36" s="2488"/>
      <c r="O36" s="2488"/>
      <c r="P36" s="3631" t="str">
        <f>A36</f>
        <v>比较价值（元/平方米）</v>
      </c>
      <c r="Q36" s="3631"/>
      <c r="R36" s="3626" t="e">
        <f>IF(F1="售价",ROUND(PRODUCT(R35,AA7:AA34),0),ROUND(PRODUCT(R35,AA7:AA34),1))</f>
        <v>#DIV/0!</v>
      </c>
      <c r="S36" s="3626"/>
      <c r="T36" s="3626" t="e">
        <f>IF(F1="售价",ROUND(PRODUCT(T35,AB7:AB34),0),ROUND(PRODUCT(T35,AB7:AB34),1))</f>
        <v>#DIV/0!</v>
      </c>
      <c r="U36" s="3626"/>
      <c r="V36" s="3626" t="e">
        <f>IF(F1="售价",ROUND(PRODUCT(V35,AC7:AC34),0),ROUND(PRODUCT(V35,AC7:AC34),1))</f>
        <v>#DIV/0!</v>
      </c>
      <c r="W36" s="3626"/>
      <c r="X36" s="385"/>
      <c r="Y36" s="385"/>
      <c r="Z36" s="385"/>
      <c r="AA36" s="385"/>
      <c r="AB36" s="385"/>
      <c r="AC36" s="385"/>
    </row>
    <row r="37" spans="1:30" ht="15.75" thickBot="1">
      <c r="A37" s="427" t="s">
        <v>1792</v>
      </c>
      <c r="B37" s="428"/>
      <c r="C37" s="351" t="e">
        <f>R37</f>
        <v>#DIV/0!</v>
      </c>
      <c r="D37" s="351"/>
      <c r="E37" s="351"/>
      <c r="F37" s="351"/>
      <c r="G37" s="351"/>
      <c r="H37" s="351"/>
      <c r="I37" s="351"/>
      <c r="J37" s="351"/>
      <c r="K37" s="675"/>
      <c r="L37" s="2495"/>
      <c r="M37" s="2488"/>
      <c r="N37" s="2488"/>
      <c r="O37" s="2488"/>
      <c r="P37" s="3628" t="str">
        <f>A37</f>
        <v>估价对象XX用房的比较价值（楼面单价，元/平方米）</v>
      </c>
      <c r="Q37" s="3629"/>
      <c r="R37" s="3657" t="e">
        <f>IF(F1="售价",ROUND(IF(D36="简单平均",AVERAGE(R36:W36),R36*F36+T36*H36+V36*J36),0),ROUND(IF(D36="简单平均",AVERAGE(R36:V36),R36*F36+T36*H36+V36*J36),1))</f>
        <v>#DIV/0!</v>
      </c>
      <c r="S37" s="3657"/>
      <c r="T37" s="3657"/>
      <c r="U37" s="3657"/>
      <c r="V37" s="3657"/>
      <c r="W37" s="3657"/>
      <c r="X37" s="385"/>
      <c r="Y37" s="385"/>
      <c r="Z37" s="385"/>
      <c r="AA37" s="385"/>
      <c r="AB37" s="385"/>
      <c r="AC37" s="385"/>
    </row>
    <row r="38" spans="1:30">
      <c r="A38" s="2488"/>
      <c r="B38" s="2488"/>
      <c r="C38" s="2488"/>
      <c r="D38" s="2488"/>
      <c r="E38" s="2488"/>
      <c r="F38" s="2488"/>
      <c r="G38" s="2499"/>
      <c r="H38" s="2488"/>
      <c r="I38" s="2488"/>
      <c r="J38" s="2488"/>
      <c r="K38" s="2500"/>
      <c r="L38" s="2496"/>
      <c r="M38" s="2488"/>
      <c r="N38" s="2488"/>
      <c r="O38" s="2488"/>
      <c r="P38" s="2488"/>
      <c r="Q38" s="2488"/>
      <c r="R38" s="2488"/>
      <c r="S38" s="2488"/>
      <c r="T38" s="2488"/>
      <c r="U38" s="2488"/>
      <c r="V38" s="2488"/>
      <c r="W38" s="2488"/>
      <c r="X38" s="2488"/>
      <c r="Y38" s="2488"/>
      <c r="Z38" s="2488"/>
      <c r="AA38" s="2488"/>
      <c r="AB38" s="2488"/>
      <c r="AC38" s="2488"/>
      <c r="AD38" s="2488"/>
    </row>
    <row r="39" spans="1:30">
      <c r="A39" s="2488"/>
      <c r="B39" s="2488"/>
      <c r="C39" s="2488"/>
      <c r="D39" s="2488"/>
      <c r="E39" s="2488"/>
      <c r="F39" s="2488"/>
      <c r="G39" s="2488"/>
      <c r="H39" s="2488"/>
      <c r="I39" s="2488"/>
      <c r="J39" s="2488"/>
      <c r="K39" s="2500"/>
      <c r="L39" s="2496"/>
      <c r="M39" s="2488"/>
      <c r="N39" s="2488"/>
      <c r="O39" s="2488"/>
      <c r="P39" s="2488"/>
      <c r="Q39" s="2488"/>
      <c r="R39" s="2488"/>
      <c r="S39" s="2488"/>
      <c r="T39" s="2488"/>
      <c r="U39" s="2488"/>
      <c r="V39" s="2488"/>
      <c r="W39" s="2488"/>
      <c r="X39" s="2488"/>
      <c r="Y39" s="2488"/>
      <c r="Z39" s="2488"/>
      <c r="AA39" s="2488"/>
      <c r="AB39" s="2488"/>
      <c r="AC39" s="2488"/>
      <c r="AD39" s="2488"/>
    </row>
    <row r="40" spans="1:30" ht="13.5" customHeight="1">
      <c r="A40" s="2488"/>
      <c r="B40" s="2488"/>
      <c r="C40" s="432" t="s">
        <v>1793</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500"/>
      <c r="L40" s="2496"/>
      <c r="M40" s="2488"/>
      <c r="N40" s="2488"/>
      <c r="O40" s="2488"/>
      <c r="P40" s="2488"/>
      <c r="Q40" s="2488"/>
      <c r="R40" s="2488"/>
      <c r="S40" s="2488"/>
      <c r="T40" s="2488"/>
      <c r="U40" s="2488"/>
      <c r="V40" s="2488"/>
      <c r="W40" s="2488"/>
      <c r="X40" s="2488"/>
      <c r="Y40" s="2488"/>
      <c r="Z40" s="2488"/>
      <c r="AA40" s="2488"/>
      <c r="AB40" s="2488"/>
      <c r="AC40" s="2488"/>
      <c r="AD40" s="2488"/>
    </row>
    <row r="41" spans="1:30" ht="13.5" customHeight="1">
      <c r="A41" s="2488"/>
      <c r="B41" s="2488"/>
      <c r="C41" s="432" t="s">
        <v>1794</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500"/>
      <c r="L41" s="2496"/>
      <c r="M41" s="2488"/>
      <c r="N41" s="2488"/>
      <c r="O41" s="2488"/>
      <c r="P41" s="2488"/>
      <c r="Q41" s="2488"/>
      <c r="R41" s="2488"/>
      <c r="S41" s="2488"/>
      <c r="T41" s="2488"/>
      <c r="U41" s="2488"/>
      <c r="V41" s="2488"/>
      <c r="W41" s="2488"/>
      <c r="X41" s="2488"/>
      <c r="Y41" s="2488"/>
      <c r="Z41" s="2488"/>
      <c r="AA41" s="2488"/>
      <c r="AB41" s="2488"/>
      <c r="AC41" s="2488"/>
      <c r="AD41" s="2488"/>
    </row>
    <row r="42" spans="1:30" s="437" customFormat="1" ht="13.5" customHeight="1">
      <c r="A42" s="2498"/>
      <c r="B42" s="2498"/>
      <c r="C42" s="432" t="s">
        <v>1795</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3"/>
      <c r="L42" s="2497"/>
      <c r="M42" s="2498"/>
      <c r="N42" s="2498"/>
      <c r="O42" s="2498"/>
      <c r="P42" s="2498"/>
      <c r="Q42" s="2498"/>
      <c r="R42" s="2498"/>
      <c r="S42" s="2498"/>
      <c r="T42" s="2498"/>
      <c r="U42" s="2498"/>
      <c r="V42" s="2498"/>
      <c r="W42" s="2498"/>
      <c r="X42" s="2498"/>
      <c r="Y42" s="2498"/>
      <c r="Z42" s="2498"/>
      <c r="AA42" s="2498"/>
      <c r="AB42" s="2498"/>
      <c r="AC42" s="2498"/>
      <c r="AD42" s="2498"/>
    </row>
    <row r="43" spans="1:30" s="437" customFormat="1">
      <c r="A43" s="2498"/>
      <c r="B43" s="2501"/>
      <c r="C43" s="2502"/>
      <c r="D43" s="2498"/>
      <c r="E43" s="2498"/>
      <c r="F43" s="2498"/>
      <c r="G43" s="2498"/>
      <c r="H43" s="2498"/>
      <c r="I43" s="2498"/>
      <c r="J43" s="2498"/>
      <c r="K43" s="2503"/>
      <c r="L43" s="2497"/>
      <c r="M43" s="2498"/>
      <c r="N43" s="2498"/>
      <c r="O43" s="2498"/>
      <c r="P43" s="2498"/>
      <c r="Q43" s="2498"/>
      <c r="R43" s="2498"/>
      <c r="S43" s="2498"/>
      <c r="T43" s="2498"/>
      <c r="U43" s="2498"/>
      <c r="V43" s="2498"/>
      <c r="W43" s="2498"/>
      <c r="X43" s="2498"/>
      <c r="Y43" s="2498"/>
      <c r="Z43" s="2498"/>
      <c r="AA43" s="2498"/>
      <c r="AB43" s="2498"/>
      <c r="AC43" s="2498"/>
      <c r="AD43" s="2498"/>
    </row>
    <row r="44" spans="1:30">
      <c r="A44" s="2488"/>
      <c r="B44" s="2501"/>
      <c r="C44" s="2502"/>
      <c r="D44" s="2488"/>
      <c r="E44" s="2488"/>
      <c r="F44" s="2488"/>
      <c r="G44" s="2488"/>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row>
    <row r="45" spans="1:30" ht="21.75" thickBot="1">
      <c r="A45" s="658" t="s">
        <v>1796</v>
      </c>
      <c r="B45" s="385"/>
      <c r="C45" s="659"/>
      <c r="D45" s="659"/>
      <c r="E45" s="659"/>
      <c r="F45" s="660"/>
      <c r="G45" s="660"/>
      <c r="H45" s="659"/>
      <c r="I45" s="659"/>
      <c r="J45" s="659"/>
      <c r="K45" s="661"/>
      <c r="L45" s="662"/>
      <c r="M45" s="659"/>
      <c r="N45" s="2538"/>
      <c r="O45" s="2538"/>
      <c r="P45" s="2538"/>
      <c r="Q45" s="2509"/>
      <c r="R45" s="2488"/>
      <c r="S45" s="2488"/>
      <c r="T45" s="2488"/>
      <c r="U45" s="2488"/>
      <c r="V45" s="2488"/>
      <c r="W45" s="2488"/>
      <c r="X45" s="2488"/>
      <c r="Y45" s="2488"/>
      <c r="Z45" s="2488"/>
      <c r="AA45" s="2488"/>
      <c r="AB45" s="2488"/>
      <c r="AC45" s="2488"/>
      <c r="AD45" s="2488"/>
    </row>
    <row r="46" spans="1:30" s="442" customFormat="1" ht="15">
      <c r="A46" s="440" t="s">
        <v>1677</v>
      </c>
      <c r="B46" s="441"/>
      <c r="C46" s="1103" t="str">
        <f>YEAR(C7)&amp;"-"&amp;MONTH(C7)</f>
        <v>2025-7</v>
      </c>
      <c r="D46" s="1104">
        <f>EDATE(C46,-1)</f>
        <v>45809</v>
      </c>
      <c r="E46" s="1104">
        <f t="shared" ref="E46:O46" si="16">EDATE(D46,-1)</f>
        <v>45778</v>
      </c>
      <c r="F46" s="1104">
        <f t="shared" si="16"/>
        <v>45748</v>
      </c>
      <c r="G46" s="1104">
        <f t="shared" si="16"/>
        <v>45717</v>
      </c>
      <c r="H46" s="1104">
        <f t="shared" si="16"/>
        <v>45689</v>
      </c>
      <c r="I46" s="1104">
        <f t="shared" si="16"/>
        <v>45658</v>
      </c>
      <c r="J46" s="1104">
        <f t="shared" si="16"/>
        <v>45627</v>
      </c>
      <c r="K46" s="1104">
        <f t="shared" si="16"/>
        <v>45597</v>
      </c>
      <c r="L46" s="1104">
        <f t="shared" si="16"/>
        <v>45566</v>
      </c>
      <c r="M46" s="1104">
        <f t="shared" si="16"/>
        <v>45536</v>
      </c>
      <c r="N46" s="1104">
        <f t="shared" si="16"/>
        <v>45505</v>
      </c>
      <c r="O46" s="1104">
        <f t="shared" si="16"/>
        <v>45474</v>
      </c>
      <c r="P46" s="2511"/>
      <c r="Q46" s="2511"/>
      <c r="R46" s="2511"/>
      <c r="S46" s="2511"/>
      <c r="T46" s="2511"/>
      <c r="U46" s="2511"/>
      <c r="V46" s="2511"/>
      <c r="W46" s="2511"/>
      <c r="X46" s="2511"/>
      <c r="Y46" s="2511"/>
      <c r="Z46" s="2511"/>
      <c r="AA46" s="2511"/>
      <c r="AB46" s="2511"/>
      <c r="AC46" s="2511"/>
      <c r="AD46" s="2511"/>
    </row>
    <row r="47" spans="1:30" s="102" customFormat="1" ht="15">
      <c r="A47" s="443"/>
      <c r="B47" s="444"/>
      <c r="C47" s="1102">
        <v>100</v>
      </c>
      <c r="D47" s="446"/>
      <c r="E47" s="446"/>
      <c r="F47" s="446"/>
      <c r="G47" s="446"/>
      <c r="H47" s="446"/>
      <c r="I47" s="446"/>
      <c r="J47" s="446"/>
      <c r="K47" s="446"/>
      <c r="L47" s="446"/>
      <c r="M47" s="447"/>
      <c r="N47" s="446"/>
      <c r="O47" s="448"/>
      <c r="P47" s="2509"/>
      <c r="Q47" s="2440"/>
      <c r="R47" s="2440"/>
      <c r="S47" s="2440"/>
      <c r="T47" s="2440"/>
      <c r="U47" s="2440"/>
      <c r="V47" s="2440"/>
      <c r="W47" s="2440"/>
      <c r="X47" s="2440"/>
      <c r="Y47" s="2440"/>
      <c r="Z47" s="2440"/>
      <c r="AA47" s="2440"/>
      <c r="AB47" s="2440"/>
      <c r="AC47" s="2440"/>
      <c r="AD47" s="2440"/>
    </row>
    <row r="48" spans="1:30" s="102" customFormat="1" ht="15.75" thickBot="1">
      <c r="A48" s="449" t="s">
        <v>1714</v>
      </c>
      <c r="B48" s="450"/>
      <c r="C48" s="451"/>
      <c r="D48" s="452"/>
      <c r="E48" s="452"/>
      <c r="F48" s="452"/>
      <c r="G48" s="452"/>
      <c r="H48" s="452"/>
      <c r="I48" s="452"/>
      <c r="J48" s="452"/>
      <c r="K48" s="452"/>
      <c r="L48" s="452"/>
      <c r="M48" s="453"/>
      <c r="N48" s="452"/>
      <c r="O48" s="454"/>
      <c r="P48" s="2509"/>
      <c r="Q48" s="2509"/>
      <c r="R48" s="2440"/>
      <c r="S48" s="2440"/>
      <c r="T48" s="2440"/>
      <c r="U48" s="2440"/>
      <c r="V48" s="2440"/>
      <c r="W48" s="2440"/>
      <c r="X48" s="2440"/>
      <c r="Y48" s="2440"/>
      <c r="Z48" s="2440"/>
      <c r="AA48" s="2440"/>
      <c r="AB48" s="2440"/>
      <c r="AC48" s="2440"/>
      <c r="AD48" s="2440"/>
    </row>
    <row r="49" spans="1:30" s="102" customFormat="1" ht="15">
      <c r="A49" s="455" t="s">
        <v>1679</v>
      </c>
      <c r="B49" s="444"/>
      <c r="C49" s="456" t="s">
        <v>1774</v>
      </c>
      <c r="D49" s="31"/>
      <c r="E49" s="31"/>
      <c r="F49" s="31"/>
      <c r="G49" s="31"/>
      <c r="H49" s="31"/>
      <c r="I49" s="31"/>
      <c r="J49" s="31"/>
      <c r="K49" s="31"/>
      <c r="L49" s="457"/>
      <c r="M49" s="458"/>
      <c r="N49" s="2521"/>
      <c r="O49" s="2521"/>
      <c r="P49" s="2545"/>
      <c r="Q49" s="2509"/>
      <c r="R49" s="2440"/>
      <c r="S49" s="2440"/>
      <c r="T49" s="2440"/>
      <c r="U49" s="2440"/>
      <c r="V49" s="2440"/>
      <c r="W49" s="2440"/>
      <c r="X49" s="2440"/>
      <c r="Y49" s="2440"/>
      <c r="Z49" s="2440"/>
      <c r="AA49" s="2440"/>
      <c r="AB49" s="2440"/>
      <c r="AC49" s="2440"/>
      <c r="AD49" s="2440"/>
    </row>
    <row r="50" spans="1:30" s="102" customFormat="1" ht="15.75" thickBot="1">
      <c r="A50" s="455"/>
      <c r="B50" s="444"/>
      <c r="C50" s="563">
        <v>100</v>
      </c>
      <c r="D50" s="446"/>
      <c r="E50" s="446"/>
      <c r="F50" s="446"/>
      <c r="G50" s="446"/>
      <c r="H50" s="446"/>
      <c r="I50" s="446"/>
      <c r="J50" s="446"/>
      <c r="K50" s="446"/>
      <c r="L50" s="446"/>
      <c r="M50" s="448"/>
      <c r="N50" s="2521"/>
      <c r="O50" s="2521"/>
      <c r="P50" s="2509"/>
      <c r="Q50" s="2509"/>
      <c r="R50" s="2440"/>
      <c r="S50" s="2440"/>
      <c r="T50" s="2440"/>
      <c r="U50" s="2440"/>
      <c r="V50" s="2440"/>
      <c r="W50" s="2440"/>
      <c r="X50" s="2440"/>
      <c r="Y50" s="2440"/>
      <c r="Z50" s="2440"/>
      <c r="AA50" s="2440"/>
      <c r="AB50" s="2440"/>
      <c r="AC50" s="2440"/>
      <c r="AD50" s="2440"/>
    </row>
    <row r="51" spans="1:30">
      <c r="A51" s="379" t="s">
        <v>1717</v>
      </c>
      <c r="B51" s="460" t="s">
        <v>1683</v>
      </c>
      <c r="C51" s="461">
        <f>C9</f>
        <v>0</v>
      </c>
      <c r="D51" s="462"/>
      <c r="E51" s="462"/>
      <c r="F51" s="462"/>
      <c r="G51" s="462"/>
      <c r="H51" s="462"/>
      <c r="I51" s="462"/>
      <c r="J51" s="462"/>
      <c r="K51" s="463"/>
      <c r="L51" s="464"/>
      <c r="M51" s="465"/>
      <c r="N51" s="2522"/>
      <c r="O51" s="2522"/>
      <c r="P51" s="2521"/>
      <c r="Q51" s="2509"/>
      <c r="R51" s="2488"/>
      <c r="S51" s="2488"/>
      <c r="T51" s="2488"/>
      <c r="U51" s="2488"/>
      <c r="V51" s="2488"/>
      <c r="W51" s="2488"/>
      <c r="X51" s="2488"/>
      <c r="Y51" s="2488"/>
      <c r="Z51" s="2488"/>
      <c r="AA51" s="2488"/>
      <c r="AB51" s="2488"/>
      <c r="AC51" s="2488"/>
      <c r="AD51" s="2488"/>
    </row>
    <row r="52" spans="1:30" ht="15.75" thickBot="1">
      <c r="A52" s="367"/>
      <c r="B52" s="466"/>
      <c r="C52" s="467">
        <v>100</v>
      </c>
      <c r="D52" s="467"/>
      <c r="E52" s="467"/>
      <c r="F52" s="467"/>
      <c r="G52" s="467"/>
      <c r="H52" s="467"/>
      <c r="I52" s="467"/>
      <c r="J52" s="467"/>
      <c r="K52" s="467"/>
      <c r="L52" s="467"/>
      <c r="M52" s="468"/>
      <c r="N52" s="2523"/>
      <c r="O52" s="2523"/>
      <c r="P52" s="2521"/>
      <c r="Q52" s="2509"/>
      <c r="R52" s="2488"/>
      <c r="S52" s="2488"/>
      <c r="T52" s="2488"/>
      <c r="U52" s="2488"/>
      <c r="V52" s="2488"/>
      <c r="W52" s="2488"/>
      <c r="X52" s="2488"/>
      <c r="Y52" s="2488"/>
      <c r="Z52" s="2488"/>
      <c r="AA52" s="2488"/>
      <c r="AB52" s="2488"/>
      <c r="AC52" s="2488"/>
      <c r="AD52" s="2488"/>
    </row>
    <row r="53" spans="1:30" ht="27.75" thickTop="1">
      <c r="A53" s="367"/>
      <c r="B53" s="469" t="s">
        <v>1686</v>
      </c>
      <c r="C53" s="513"/>
      <c r="D53" s="513"/>
      <c r="E53" s="513"/>
      <c r="F53" s="513"/>
      <c r="G53" s="513"/>
      <c r="H53" s="513"/>
      <c r="I53" s="513"/>
      <c r="J53" s="513"/>
      <c r="K53" s="514"/>
      <c r="L53" s="515"/>
      <c r="M53" s="516"/>
      <c r="N53" s="2522"/>
      <c r="O53" s="2522"/>
      <c r="P53" s="2521"/>
      <c r="Q53" s="2509"/>
      <c r="R53" s="2488"/>
      <c r="S53" s="2488"/>
      <c r="T53" s="2488"/>
      <c r="U53" s="2488"/>
      <c r="V53" s="2488"/>
      <c r="W53" s="2488"/>
      <c r="X53" s="2488"/>
      <c r="Y53" s="2488"/>
      <c r="Z53" s="2488"/>
      <c r="AA53" s="2488"/>
      <c r="AB53" s="2488"/>
      <c r="AC53" s="2488"/>
      <c r="AD53" s="2488"/>
    </row>
    <row r="54" spans="1:30" ht="15.75" thickBot="1">
      <c r="A54" s="367"/>
      <c r="B54" s="474"/>
      <c r="C54" s="467"/>
      <c r="D54" s="467"/>
      <c r="E54" s="467"/>
      <c r="F54" s="467"/>
      <c r="G54" s="467"/>
      <c r="H54" s="467"/>
      <c r="I54" s="467"/>
      <c r="J54" s="467"/>
      <c r="K54" s="467"/>
      <c r="L54" s="467"/>
      <c r="M54" s="468"/>
      <c r="N54" s="2523"/>
      <c r="O54" s="2523"/>
      <c r="P54" s="2521"/>
      <c r="Q54" s="2509"/>
      <c r="R54" s="2488"/>
      <c r="S54" s="2488"/>
      <c r="T54" s="2488"/>
      <c r="U54" s="2488"/>
      <c r="V54" s="2488"/>
      <c r="W54" s="2488"/>
      <c r="X54" s="2488"/>
      <c r="Y54" s="2488"/>
      <c r="Z54" s="2488"/>
      <c r="AA54" s="2488"/>
      <c r="AB54" s="2488"/>
      <c r="AC54" s="2488"/>
      <c r="AD54" s="2488"/>
    </row>
    <row r="55" spans="1:30" ht="15.75" thickTop="1">
      <c r="A55" s="367"/>
      <c r="B55" s="581">
        <f>B11</f>
        <v>111</v>
      </c>
      <c r="C55" s="480"/>
      <c r="D55" s="480"/>
      <c r="E55" s="480"/>
      <c r="F55" s="480"/>
      <c r="G55" s="480"/>
      <c r="H55" s="480"/>
      <c r="I55" s="480"/>
      <c r="J55" s="480"/>
      <c r="K55" s="481"/>
      <c r="L55" s="482"/>
      <c r="M55" s="483"/>
      <c r="N55" s="2522"/>
      <c r="O55" s="2522"/>
      <c r="P55" s="2521"/>
      <c r="Q55" s="2509"/>
      <c r="R55" s="2488"/>
      <c r="S55" s="2488"/>
      <c r="T55" s="2488"/>
      <c r="U55" s="2488"/>
      <c r="V55" s="2488"/>
      <c r="W55" s="2488"/>
      <c r="X55" s="2488"/>
      <c r="Y55" s="2488"/>
      <c r="Z55" s="2488"/>
      <c r="AA55" s="2488"/>
      <c r="AB55" s="2488"/>
      <c r="AC55" s="2488"/>
      <c r="AD55" s="2488"/>
    </row>
    <row r="56" spans="1:30" ht="15.75" thickBot="1">
      <c r="A56" s="367"/>
      <c r="B56" s="466"/>
      <c r="C56" s="491"/>
      <c r="D56" s="467"/>
      <c r="E56" s="467"/>
      <c r="F56" s="467"/>
      <c r="G56" s="467"/>
      <c r="H56" s="467"/>
      <c r="I56" s="467"/>
      <c r="J56" s="467"/>
      <c r="K56" s="467"/>
      <c r="L56" s="467"/>
      <c r="M56" s="468"/>
      <c r="N56" s="2523"/>
      <c r="O56" s="2523"/>
      <c r="P56" s="2521"/>
      <c r="Q56" s="2509"/>
      <c r="R56" s="2488"/>
      <c r="S56" s="2488"/>
      <c r="T56" s="2488"/>
      <c r="U56" s="2488"/>
      <c r="V56" s="2488"/>
      <c r="W56" s="2488"/>
      <c r="X56" s="2488"/>
      <c r="Y56" s="2488"/>
      <c r="Z56" s="2488"/>
      <c r="AA56" s="2488"/>
      <c r="AB56" s="2488"/>
      <c r="AC56" s="2488"/>
      <c r="AD56" s="2488"/>
    </row>
    <row r="57" spans="1:30" s="408" customFormat="1" ht="15.75" thickTop="1">
      <c r="A57" s="484"/>
      <c r="B57" s="469">
        <f>B12</f>
        <v>111</v>
      </c>
      <c r="C57" s="480"/>
      <c r="D57" s="480"/>
      <c r="E57" s="480"/>
      <c r="F57" s="480"/>
      <c r="G57" s="485"/>
      <c r="H57" s="486"/>
      <c r="I57" s="486"/>
      <c r="J57" s="486"/>
      <c r="K57" s="486"/>
      <c r="L57" s="487"/>
      <c r="M57" s="488"/>
      <c r="N57" s="2524"/>
      <c r="O57" s="2524"/>
      <c r="P57" s="2524"/>
      <c r="Q57" s="2516"/>
      <c r="R57" s="2494"/>
      <c r="S57" s="2494"/>
      <c r="T57" s="2494"/>
      <c r="U57" s="2494"/>
      <c r="V57" s="2494"/>
      <c r="W57" s="2494"/>
      <c r="X57" s="2494"/>
      <c r="Y57" s="2494"/>
      <c r="Z57" s="2494"/>
      <c r="AA57" s="2494"/>
      <c r="AB57" s="2494"/>
      <c r="AC57" s="2494"/>
      <c r="AD57" s="2494"/>
    </row>
    <row r="58" spans="1:30" s="408" customFormat="1" ht="15.75" thickBot="1">
      <c r="A58" s="484"/>
      <c r="B58" s="474"/>
      <c r="C58" s="491"/>
      <c r="D58" s="467"/>
      <c r="E58" s="467"/>
      <c r="F58" s="467"/>
      <c r="G58" s="467"/>
      <c r="H58" s="467"/>
      <c r="I58" s="467"/>
      <c r="J58" s="467"/>
      <c r="K58" s="467"/>
      <c r="L58" s="467"/>
      <c r="M58" s="468"/>
      <c r="N58" s="2523"/>
      <c r="O58" s="2523"/>
      <c r="P58" s="2524"/>
      <c r="Q58" s="2516"/>
      <c r="R58" s="2494"/>
      <c r="S58" s="2494"/>
      <c r="T58" s="2494"/>
      <c r="U58" s="2494"/>
      <c r="V58" s="2494"/>
      <c r="W58" s="2494"/>
      <c r="X58" s="2494"/>
      <c r="Y58" s="2494"/>
      <c r="Z58" s="2494"/>
      <c r="AA58" s="2494"/>
      <c r="AB58" s="2494"/>
      <c r="AC58" s="2494"/>
      <c r="AD58" s="2494"/>
    </row>
    <row r="59" spans="1:30" s="408" customFormat="1" ht="15.75" thickTop="1">
      <c r="A59" s="484"/>
      <c r="B59" s="469">
        <f>B13</f>
        <v>111</v>
      </c>
      <c r="C59" s="480"/>
      <c r="D59" s="480"/>
      <c r="E59" s="480"/>
      <c r="F59" s="480"/>
      <c r="G59" s="485"/>
      <c r="H59" s="486"/>
      <c r="I59" s="486"/>
      <c r="J59" s="486"/>
      <c r="K59" s="486"/>
      <c r="L59" s="487"/>
      <c r="M59" s="488"/>
      <c r="N59" s="2524"/>
      <c r="O59" s="2524"/>
      <c r="P59" s="2494"/>
      <c r="Q59" s="2518"/>
      <c r="R59" s="2494"/>
      <c r="S59" s="2494"/>
      <c r="T59" s="2494"/>
      <c r="U59" s="2494"/>
      <c r="V59" s="2494"/>
      <c r="W59" s="2494"/>
      <c r="X59" s="2494"/>
      <c r="Y59" s="2494"/>
      <c r="Z59" s="2494"/>
      <c r="AA59" s="2494"/>
      <c r="AB59" s="2494"/>
      <c r="AC59" s="2494"/>
      <c r="AD59" s="2494"/>
    </row>
    <row r="60" spans="1:30" s="408" customFormat="1" ht="15.75" thickBot="1">
      <c r="A60" s="484"/>
      <c r="B60" s="474"/>
      <c r="C60" s="491"/>
      <c r="D60" s="491"/>
      <c r="E60" s="491"/>
      <c r="F60" s="491"/>
      <c r="G60" s="491"/>
      <c r="H60" s="493"/>
      <c r="I60" s="493"/>
      <c r="J60" s="493"/>
      <c r="K60" s="493"/>
      <c r="L60" s="493"/>
      <c r="M60" s="494"/>
      <c r="N60" s="2524"/>
      <c r="O60" s="2524"/>
      <c r="P60" s="2524"/>
      <c r="Q60" s="2516"/>
      <c r="R60" s="2494"/>
      <c r="S60" s="2494"/>
      <c r="T60" s="2494"/>
      <c r="U60" s="2494"/>
      <c r="V60" s="2494"/>
      <c r="W60" s="2494"/>
      <c r="X60" s="2494"/>
      <c r="Y60" s="2494"/>
      <c r="Z60" s="2494"/>
      <c r="AA60" s="2494"/>
      <c r="AB60" s="2494"/>
      <c r="AC60" s="2494"/>
      <c r="AD60" s="2494"/>
    </row>
    <row r="61" spans="1:30" ht="15" thickTop="1">
      <c r="A61" s="379" t="s">
        <v>1688</v>
      </c>
      <c r="B61" s="460" t="s">
        <v>1724</v>
      </c>
      <c r="C61" s="504" t="s">
        <v>1719</v>
      </c>
      <c r="D61" s="504" t="s">
        <v>1720</v>
      </c>
      <c r="E61" s="504" t="s">
        <v>1721</v>
      </c>
      <c r="F61" s="504" t="s">
        <v>1722</v>
      </c>
      <c r="G61" s="504" t="s">
        <v>1723</v>
      </c>
      <c r="H61" s="461"/>
      <c r="I61" s="461"/>
      <c r="J61" s="461"/>
      <c r="K61" s="505"/>
      <c r="L61" s="506"/>
      <c r="M61" s="507"/>
      <c r="N61" s="2522"/>
      <c r="O61" s="2522"/>
      <c r="P61" s="2546"/>
      <c r="Q61" s="2509"/>
      <c r="R61" s="2488"/>
      <c r="S61" s="2488"/>
      <c r="T61" s="2488"/>
      <c r="U61" s="2488"/>
      <c r="V61" s="2488"/>
      <c r="W61" s="2488"/>
      <c r="X61" s="2488"/>
      <c r="Y61" s="2488"/>
      <c r="Z61" s="2488"/>
      <c r="AA61" s="2488"/>
      <c r="AB61" s="2488"/>
      <c r="AC61" s="2488"/>
      <c r="AD61" s="2488"/>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3"/>
      <c r="O62" s="2523"/>
      <c r="P62" s="2521"/>
      <c r="Q62" s="2509"/>
      <c r="R62" s="2488"/>
      <c r="S62" s="2488"/>
      <c r="T62" s="2488"/>
      <c r="U62" s="2488"/>
      <c r="V62" s="2488"/>
      <c r="W62" s="2488"/>
      <c r="X62" s="2488"/>
      <c r="Y62" s="2488"/>
      <c r="Z62" s="2488"/>
      <c r="AA62" s="2488"/>
      <c r="AB62" s="2488"/>
      <c r="AC62" s="2488"/>
      <c r="AD62" s="2488"/>
    </row>
    <row r="63" spans="1:30" ht="27.75" thickTop="1">
      <c r="A63" s="367"/>
      <c r="B63" s="469" t="s">
        <v>1861</v>
      </c>
      <c r="C63" s="509" t="s">
        <v>1719</v>
      </c>
      <c r="D63" s="509" t="s">
        <v>1720</v>
      </c>
      <c r="E63" s="509" t="s">
        <v>1721</v>
      </c>
      <c r="F63" s="509" t="s">
        <v>1722</v>
      </c>
      <c r="G63" s="509" t="s">
        <v>1723</v>
      </c>
      <c r="H63" s="470"/>
      <c r="I63" s="470"/>
      <c r="J63" s="470"/>
      <c r="K63" s="471"/>
      <c r="L63" s="472"/>
      <c r="M63" s="473"/>
      <c r="N63" s="2522"/>
      <c r="O63" s="2522"/>
      <c r="P63" s="2521"/>
      <c r="Q63" s="2509"/>
      <c r="R63" s="2488"/>
      <c r="S63" s="2488"/>
      <c r="T63" s="2488"/>
      <c r="U63" s="2488"/>
      <c r="V63" s="2488"/>
      <c r="W63" s="2488"/>
      <c r="X63" s="2488"/>
      <c r="Y63" s="2488"/>
      <c r="Z63" s="2488"/>
      <c r="AA63" s="2488"/>
      <c r="AB63" s="2488"/>
      <c r="AC63" s="2488"/>
      <c r="AD63" s="2488"/>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3"/>
      <c r="O64" s="2523"/>
      <c r="P64" s="2521"/>
      <c r="Q64" s="2509"/>
      <c r="R64" s="2488"/>
      <c r="S64" s="2488"/>
      <c r="T64" s="2488"/>
      <c r="U64" s="2488"/>
      <c r="V64" s="2488"/>
      <c r="W64" s="2488"/>
      <c r="X64" s="2488"/>
      <c r="Y64" s="2488"/>
      <c r="Z64" s="2488"/>
      <c r="AA64" s="2488"/>
      <c r="AB64" s="2488"/>
      <c r="AC64" s="2488"/>
      <c r="AD64" s="2488"/>
    </row>
    <row r="65" spans="1:30" ht="15.75" thickTop="1">
      <c r="A65" s="367"/>
      <c r="B65" s="477" t="s">
        <v>1811</v>
      </c>
      <c r="C65" s="581" t="s">
        <v>1797</v>
      </c>
      <c r="D65" s="581" t="s">
        <v>1798</v>
      </c>
      <c r="E65" s="581" t="s">
        <v>1799</v>
      </c>
      <c r="F65" s="581" t="s">
        <v>1800</v>
      </c>
      <c r="G65" s="581" t="s">
        <v>1801</v>
      </c>
      <c r="H65" s="470"/>
      <c r="I65" s="470"/>
      <c r="J65" s="470"/>
      <c r="K65" s="470"/>
      <c r="L65" s="470"/>
      <c r="M65" s="1063"/>
      <c r="N65" s="2523"/>
      <c r="O65" s="2523"/>
      <c r="P65" s="2521"/>
      <c r="Q65" s="2509"/>
      <c r="R65" s="2488"/>
      <c r="S65" s="2488"/>
      <c r="T65" s="2488"/>
      <c r="U65" s="2488"/>
      <c r="V65" s="2488"/>
      <c r="W65" s="2488"/>
      <c r="X65" s="2488"/>
      <c r="Y65" s="2488"/>
      <c r="Z65" s="2488"/>
      <c r="AA65" s="2488"/>
      <c r="AB65" s="2488"/>
      <c r="AC65" s="2488"/>
      <c r="AD65" s="2488"/>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3"/>
      <c r="O66" s="2523"/>
      <c r="P66" s="2521"/>
      <c r="Q66" s="2509"/>
      <c r="R66" s="2488"/>
      <c r="S66" s="2488"/>
      <c r="T66" s="2488"/>
      <c r="U66" s="2488"/>
      <c r="V66" s="2488"/>
      <c r="W66" s="2488"/>
      <c r="X66" s="2488"/>
      <c r="Y66" s="2488"/>
      <c r="Z66" s="2488"/>
      <c r="AA66" s="2488"/>
      <c r="AB66" s="2488"/>
      <c r="AC66" s="2488"/>
      <c r="AD66" s="2488"/>
    </row>
    <row r="67" spans="1:30" ht="15.75" thickTop="1">
      <c r="A67" s="367"/>
      <c r="B67" s="469" t="s">
        <v>1731</v>
      </c>
      <c r="C67" s="509" t="s">
        <v>1719</v>
      </c>
      <c r="D67" s="509" t="s">
        <v>1720</v>
      </c>
      <c r="E67" s="509" t="s">
        <v>1721</v>
      </c>
      <c r="F67" s="509" t="s">
        <v>1722</v>
      </c>
      <c r="G67" s="509" t="s">
        <v>1723</v>
      </c>
      <c r="H67" s="470"/>
      <c r="I67" s="470"/>
      <c r="J67" s="470"/>
      <c r="K67" s="471"/>
      <c r="L67" s="472"/>
      <c r="M67" s="473"/>
      <c r="N67" s="2522"/>
      <c r="O67" s="2522"/>
      <c r="P67" s="2521"/>
      <c r="Q67" s="2509"/>
      <c r="R67" s="2488"/>
      <c r="S67" s="2488"/>
      <c r="T67" s="2488"/>
      <c r="U67" s="2488"/>
      <c r="V67" s="2488"/>
      <c r="W67" s="2488"/>
      <c r="X67" s="2488"/>
      <c r="Y67" s="2488"/>
      <c r="Z67" s="2488"/>
      <c r="AA67" s="2488"/>
      <c r="AB67" s="2488"/>
      <c r="AC67" s="2488"/>
      <c r="AD67" s="2488"/>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3"/>
      <c r="O68" s="2523"/>
      <c r="P68" s="2521"/>
      <c r="Q68" s="2509"/>
      <c r="R68" s="2488"/>
      <c r="S68" s="2488"/>
      <c r="T68" s="2488"/>
      <c r="U68" s="2488"/>
      <c r="V68" s="2488"/>
      <c r="W68" s="2488"/>
      <c r="X68" s="2488"/>
      <c r="Y68" s="2488"/>
      <c r="Z68" s="2488"/>
      <c r="AA68" s="2488"/>
      <c r="AB68" s="2488"/>
      <c r="AC68" s="2488"/>
      <c r="AD68" s="2488"/>
    </row>
    <row r="69" spans="1:30" ht="15.75" thickTop="1">
      <c r="A69" s="367"/>
      <c r="B69" s="469" t="s">
        <v>1850</v>
      </c>
      <c r="C69" s="485"/>
      <c r="D69" s="485"/>
      <c r="E69" s="485"/>
      <c r="F69" s="485"/>
      <c r="G69" s="485"/>
      <c r="H69" s="513"/>
      <c r="I69" s="513"/>
      <c r="J69" s="513"/>
      <c r="K69" s="514"/>
      <c r="L69" s="515"/>
      <c r="M69" s="516"/>
      <c r="N69" s="2522"/>
      <c r="O69" s="2522"/>
      <c r="P69" s="2521"/>
      <c r="Q69" s="2509"/>
      <c r="R69" s="2488"/>
      <c r="S69" s="2488"/>
      <c r="T69" s="2488"/>
      <c r="U69" s="2488"/>
      <c r="V69" s="2488"/>
      <c r="W69" s="2488"/>
      <c r="X69" s="2488"/>
      <c r="Y69" s="2488"/>
      <c r="Z69" s="2488"/>
      <c r="AA69" s="2488"/>
      <c r="AB69" s="2488"/>
      <c r="AC69" s="2488"/>
      <c r="AD69" s="2488"/>
    </row>
    <row r="70" spans="1:30" ht="15.75" thickBot="1">
      <c r="A70" s="367"/>
      <c r="B70" s="474"/>
      <c r="C70" s="475">
        <v>100</v>
      </c>
      <c r="D70" s="475">
        <f>C70-$K22</f>
        <v>100</v>
      </c>
      <c r="E70" s="475"/>
      <c r="F70" s="475"/>
      <c r="G70" s="475"/>
      <c r="H70" s="475"/>
      <c r="I70" s="475"/>
      <c r="J70" s="475"/>
      <c r="K70" s="475"/>
      <c r="L70" s="475"/>
      <c r="M70" s="476"/>
      <c r="N70" s="2523"/>
      <c r="O70" s="2523"/>
      <c r="P70" s="2521"/>
      <c r="Q70" s="2509"/>
      <c r="R70" s="2488"/>
      <c r="S70" s="2488"/>
      <c r="T70" s="2488"/>
      <c r="U70" s="2488"/>
      <c r="V70" s="2488"/>
      <c r="W70" s="2488"/>
      <c r="X70" s="2488"/>
      <c r="Y70" s="2488"/>
      <c r="Z70" s="2488"/>
      <c r="AA70" s="2488"/>
      <c r="AB70" s="2488"/>
      <c r="AC70" s="2488"/>
      <c r="AD70" s="2488"/>
    </row>
    <row r="71" spans="1:30" s="102" customFormat="1" ht="15.75" thickTop="1">
      <c r="A71" s="370"/>
      <c r="B71" s="469">
        <f>B23</f>
        <v>111</v>
      </c>
      <c r="C71" s="480"/>
      <c r="D71" s="480"/>
      <c r="E71" s="480"/>
      <c r="F71" s="480"/>
      <c r="G71" s="485"/>
      <c r="H71" s="485"/>
      <c r="I71" s="485"/>
      <c r="J71" s="485"/>
      <c r="K71" s="485"/>
      <c r="L71" s="510"/>
      <c r="M71" s="511"/>
      <c r="N71" s="2521"/>
      <c r="O71" s="2521"/>
      <c r="P71" s="2521"/>
      <c r="Q71" s="2509"/>
      <c r="R71" s="2440"/>
      <c r="S71" s="2440"/>
      <c r="T71" s="2440"/>
      <c r="U71" s="2440"/>
      <c r="V71" s="2440"/>
      <c r="W71" s="2440"/>
      <c r="X71" s="2440"/>
      <c r="Y71" s="2440"/>
      <c r="Z71" s="2440"/>
      <c r="AA71" s="2440"/>
      <c r="AB71" s="2440"/>
      <c r="AC71" s="2440"/>
      <c r="AD71" s="2440"/>
    </row>
    <row r="72" spans="1:30" s="102" customFormat="1" ht="15.75" thickBot="1">
      <c r="A72" s="370"/>
      <c r="B72" s="474"/>
      <c r="C72" s="491"/>
      <c r="D72" s="467"/>
      <c r="E72" s="467"/>
      <c r="F72" s="467"/>
      <c r="G72" s="467"/>
      <c r="H72" s="467"/>
      <c r="I72" s="467"/>
      <c r="J72" s="467"/>
      <c r="K72" s="467"/>
      <c r="L72" s="467"/>
      <c r="M72" s="468"/>
      <c r="N72" s="2523"/>
      <c r="O72" s="2523"/>
      <c r="P72" s="2521"/>
      <c r="Q72" s="2509"/>
      <c r="R72" s="2440"/>
      <c r="S72" s="2440"/>
      <c r="T72" s="2440"/>
      <c r="U72" s="2440"/>
      <c r="V72" s="2440"/>
      <c r="W72" s="2440"/>
      <c r="X72" s="2440"/>
      <c r="Y72" s="2440"/>
      <c r="Z72" s="2440"/>
      <c r="AA72" s="2440"/>
      <c r="AB72" s="2440"/>
      <c r="AC72" s="2440"/>
      <c r="AD72" s="2440"/>
    </row>
    <row r="73" spans="1:30" s="102" customFormat="1" ht="15.75" thickTop="1">
      <c r="A73" s="370"/>
      <c r="B73" s="469">
        <f>B24</f>
        <v>111</v>
      </c>
      <c r="C73" s="480"/>
      <c r="D73" s="480"/>
      <c r="E73" s="480"/>
      <c r="F73" s="480"/>
      <c r="G73" s="485"/>
      <c r="H73" s="485"/>
      <c r="I73" s="485"/>
      <c r="J73" s="485"/>
      <c r="K73" s="485"/>
      <c r="L73" s="485"/>
      <c r="M73" s="511"/>
      <c r="N73" s="2521"/>
      <c r="O73" s="2521"/>
      <c r="P73" s="2521"/>
      <c r="Q73" s="2509"/>
      <c r="R73" s="2440"/>
      <c r="S73" s="2440"/>
      <c r="T73" s="2440"/>
      <c r="U73" s="2440"/>
      <c r="V73" s="2440"/>
      <c r="W73" s="2440"/>
      <c r="X73" s="2440"/>
      <c r="Y73" s="2440"/>
      <c r="Z73" s="2440"/>
      <c r="AA73" s="2440"/>
      <c r="AB73" s="2440"/>
      <c r="AC73" s="2440"/>
      <c r="AD73" s="2440"/>
    </row>
    <row r="74" spans="1:30" s="102" customFormat="1" ht="15.75" thickBot="1">
      <c r="A74" s="370"/>
      <c r="B74" s="474"/>
      <c r="C74" s="491"/>
      <c r="D74" s="467"/>
      <c r="E74" s="467"/>
      <c r="F74" s="467"/>
      <c r="G74" s="467"/>
      <c r="H74" s="467"/>
      <c r="I74" s="467"/>
      <c r="J74" s="467"/>
      <c r="K74" s="467"/>
      <c r="L74" s="467"/>
      <c r="M74" s="468"/>
      <c r="N74" s="2523"/>
      <c r="O74" s="2523"/>
      <c r="P74" s="2521"/>
      <c r="Q74" s="2509"/>
      <c r="R74" s="2440"/>
      <c r="S74" s="2440"/>
      <c r="T74" s="2440"/>
      <c r="U74" s="2440"/>
      <c r="V74" s="2440"/>
      <c r="W74" s="2440"/>
      <c r="X74" s="2440"/>
      <c r="Y74" s="2440"/>
      <c r="Z74" s="2440"/>
      <c r="AA74" s="2440"/>
      <c r="AB74" s="2440"/>
      <c r="AC74" s="2440"/>
      <c r="AD74" s="2440"/>
    </row>
    <row r="75" spans="1:30" s="408" customFormat="1" ht="15.75" thickTop="1">
      <c r="A75" s="484"/>
      <c r="B75" s="469">
        <f>B25</f>
        <v>111</v>
      </c>
      <c r="C75" s="480"/>
      <c r="D75" s="480"/>
      <c r="E75" s="480"/>
      <c r="F75" s="480"/>
      <c r="G75" s="485"/>
      <c r="H75" s="486"/>
      <c r="I75" s="486"/>
      <c r="J75" s="486"/>
      <c r="K75" s="486"/>
      <c r="L75" s="487"/>
      <c r="M75" s="488"/>
      <c r="N75" s="2524"/>
      <c r="O75" s="2524"/>
      <c r="P75" s="2524"/>
      <c r="Q75" s="2516"/>
      <c r="R75" s="2494"/>
      <c r="S75" s="2494"/>
      <c r="T75" s="2494"/>
      <c r="U75" s="2494"/>
      <c r="V75" s="2494"/>
      <c r="W75" s="2494"/>
      <c r="X75" s="2494"/>
      <c r="Y75" s="2494"/>
      <c r="Z75" s="2494"/>
      <c r="AA75" s="2494"/>
      <c r="AB75" s="2494"/>
      <c r="AC75" s="2494"/>
      <c r="AD75" s="2494"/>
    </row>
    <row r="76" spans="1:30" s="408" customFormat="1" ht="15.75" thickBot="1">
      <c r="A76" s="484"/>
      <c r="B76" s="474"/>
      <c r="C76" s="491"/>
      <c r="D76" s="491"/>
      <c r="E76" s="491"/>
      <c r="F76" s="491"/>
      <c r="G76" s="467"/>
      <c r="H76" s="467"/>
      <c r="I76" s="467"/>
      <c r="J76" s="467"/>
      <c r="K76" s="467"/>
      <c r="L76" s="467"/>
      <c r="M76" s="468"/>
      <c r="N76" s="2524"/>
      <c r="O76" s="2524"/>
      <c r="P76" s="2524"/>
      <c r="Q76" s="2516"/>
      <c r="R76" s="2494"/>
      <c r="S76" s="2494"/>
      <c r="T76" s="2494"/>
      <c r="U76" s="2494"/>
      <c r="V76" s="2494"/>
      <c r="W76" s="2494"/>
      <c r="X76" s="2494"/>
      <c r="Y76" s="2494"/>
      <c r="Z76" s="2494"/>
      <c r="AA76" s="2494"/>
      <c r="AB76" s="2494"/>
      <c r="AC76" s="2494"/>
      <c r="AD76" s="2494"/>
    </row>
    <row r="77" spans="1:30" ht="15" thickTop="1">
      <c r="A77" s="379" t="s">
        <v>1692</v>
      </c>
      <c r="B77" s="460" t="s">
        <v>1738</v>
      </c>
      <c r="C77" s="485"/>
      <c r="D77" s="485"/>
      <c r="E77" s="462"/>
      <c r="F77" s="462"/>
      <c r="G77" s="462"/>
      <c r="H77" s="462"/>
      <c r="I77" s="462"/>
      <c r="J77" s="462"/>
      <c r="K77" s="463"/>
      <c r="L77" s="464"/>
      <c r="M77" s="465"/>
      <c r="N77" s="2522"/>
      <c r="O77" s="2522"/>
      <c r="P77" s="2521"/>
      <c r="Q77" s="2509"/>
      <c r="R77" s="2488"/>
      <c r="S77" s="2488"/>
      <c r="T77" s="2488"/>
      <c r="U77" s="2488"/>
      <c r="V77" s="2488"/>
      <c r="W77" s="2488"/>
      <c r="X77" s="2488"/>
      <c r="Y77" s="2488"/>
      <c r="Z77" s="2488"/>
      <c r="AA77" s="2488"/>
      <c r="AB77" s="2488"/>
      <c r="AC77" s="2488"/>
      <c r="AD77" s="2488"/>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3"/>
      <c r="O78" s="2523"/>
      <c r="P78" s="2521"/>
      <c r="Q78" s="2509"/>
      <c r="R78" s="2488"/>
      <c r="S78" s="2488"/>
      <c r="T78" s="2488"/>
      <c r="U78" s="2488"/>
      <c r="V78" s="2488"/>
      <c r="W78" s="2488"/>
      <c r="X78" s="2488"/>
      <c r="Y78" s="2488"/>
      <c r="Z78" s="2488"/>
      <c r="AA78" s="2488"/>
      <c r="AB78" s="2488"/>
      <c r="AC78" s="2488"/>
      <c r="AD78" s="2488"/>
    </row>
    <row r="79" spans="1:30" ht="15.75" thickTop="1">
      <c r="A79" s="367"/>
      <c r="B79" s="469" t="s">
        <v>1853</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1"/>
      <c r="O79" s="2521"/>
      <c r="P79" s="2521"/>
      <c r="Q79" s="2509"/>
      <c r="R79" s="2488"/>
      <c r="S79" s="2488"/>
      <c r="T79" s="2488"/>
      <c r="U79" s="2488"/>
      <c r="V79" s="2488"/>
      <c r="W79" s="2488"/>
      <c r="X79" s="2488"/>
      <c r="Y79" s="2488"/>
      <c r="Z79" s="2488"/>
      <c r="AA79" s="2488"/>
      <c r="AB79" s="2488"/>
      <c r="AC79" s="2488"/>
      <c r="AD79" s="2488"/>
    </row>
    <row r="80" spans="1:30" ht="15">
      <c r="A80" s="367"/>
      <c r="B80" s="477"/>
      <c r="C80" s="530">
        <v>0.5</v>
      </c>
      <c r="D80" s="530">
        <v>0.6</v>
      </c>
      <c r="E80" s="530">
        <v>0.7</v>
      </c>
      <c r="F80" s="530">
        <v>0.8</v>
      </c>
      <c r="G80" s="530">
        <v>0.9</v>
      </c>
      <c r="H80" s="530">
        <v>1.0001</v>
      </c>
      <c r="I80" s="581"/>
      <c r="J80" s="581"/>
      <c r="K80" s="588"/>
      <c r="L80" s="589"/>
      <c r="M80" s="590"/>
      <c r="N80" s="2521"/>
      <c r="O80" s="2521"/>
      <c r="P80" s="2521"/>
      <c r="Q80" s="2509"/>
      <c r="R80" s="2488"/>
      <c r="S80" s="2488"/>
      <c r="T80" s="2488"/>
      <c r="U80" s="2488"/>
      <c r="V80" s="2488"/>
      <c r="W80" s="2488"/>
      <c r="X80" s="2488"/>
      <c r="Y80" s="2488"/>
      <c r="Z80" s="2488"/>
      <c r="AA80" s="2488"/>
      <c r="AB80" s="2488"/>
      <c r="AC80" s="2488"/>
      <c r="AD80" s="2488"/>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3"/>
      <c r="O81" s="2523"/>
      <c r="P81" s="2524"/>
      <c r="Q81" s="2516"/>
      <c r="R81" s="2494"/>
      <c r="S81" s="2494"/>
      <c r="T81" s="2494"/>
      <c r="U81" s="2494"/>
      <c r="V81" s="2494"/>
      <c r="W81" s="2494"/>
      <c r="X81" s="2494"/>
      <c r="Y81" s="2494"/>
      <c r="Z81" s="2494"/>
      <c r="AA81" s="2494"/>
      <c r="AB81" s="2494"/>
      <c r="AC81" s="2494"/>
      <c r="AD81" s="2494"/>
    </row>
    <row r="82" spans="1:30" ht="15" thickTop="1">
      <c r="A82" s="409"/>
      <c r="B82" s="477" t="s">
        <v>1854</v>
      </c>
      <c r="C82" s="485"/>
      <c r="D82" s="485"/>
      <c r="E82" s="513"/>
      <c r="F82" s="513"/>
      <c r="G82" s="513"/>
      <c r="H82" s="513"/>
      <c r="I82" s="513"/>
      <c r="J82" s="513"/>
      <c r="K82" s="514"/>
      <c r="L82" s="515"/>
      <c r="M82" s="516"/>
      <c r="N82" s="2522"/>
      <c r="O82" s="2522"/>
      <c r="P82" s="2521"/>
      <c r="Q82" s="2509"/>
      <c r="R82" s="2488"/>
      <c r="S82" s="2488"/>
      <c r="T82" s="2488"/>
      <c r="U82" s="2488"/>
      <c r="V82" s="2488"/>
      <c r="W82" s="2488"/>
      <c r="X82" s="2488"/>
      <c r="Y82" s="2488"/>
      <c r="Z82" s="2488"/>
      <c r="AA82" s="2488"/>
      <c r="AB82" s="2488"/>
      <c r="AC82" s="2488"/>
      <c r="AD82" s="2488"/>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3"/>
      <c r="O83" s="2523"/>
      <c r="P83" s="2521"/>
      <c r="Q83" s="2509"/>
      <c r="R83" s="2488"/>
      <c r="S83" s="2488"/>
      <c r="T83" s="2488"/>
      <c r="U83" s="2488"/>
      <c r="V83" s="2488"/>
      <c r="W83" s="2488"/>
      <c r="X83" s="2488"/>
      <c r="Y83" s="2488"/>
      <c r="Z83" s="2488"/>
      <c r="AA83" s="2488"/>
      <c r="AB83" s="2488"/>
      <c r="AC83" s="2488"/>
      <c r="AD83" s="2488"/>
    </row>
    <row r="84" spans="1:30" ht="15" thickTop="1">
      <c r="A84" s="409"/>
      <c r="B84" s="469" t="s">
        <v>1862</v>
      </c>
      <c r="C84" s="485"/>
      <c r="D84" s="485"/>
      <c r="E84" s="485"/>
      <c r="F84" s="485"/>
      <c r="G84" s="485"/>
      <c r="H84" s="485"/>
      <c r="I84" s="513"/>
      <c r="J84" s="513"/>
      <c r="K84" s="514"/>
      <c r="L84" s="515"/>
      <c r="M84" s="516"/>
      <c r="N84" s="2522"/>
      <c r="O84" s="2522"/>
      <c r="P84" s="2521"/>
      <c r="Q84" s="2509"/>
      <c r="R84" s="2488"/>
      <c r="S84" s="2488"/>
      <c r="T84" s="2488"/>
      <c r="U84" s="2488"/>
      <c r="V84" s="2488"/>
      <c r="W84" s="2488"/>
      <c r="X84" s="2488"/>
      <c r="Y84" s="2488"/>
      <c r="Z84" s="2488"/>
      <c r="AA84" s="2488"/>
      <c r="AB84" s="2488"/>
      <c r="AC84" s="2488"/>
      <c r="AD84" s="2488"/>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3"/>
      <c r="O85" s="2523"/>
      <c r="P85" s="2521"/>
      <c r="Q85" s="2509"/>
      <c r="R85" s="2488"/>
      <c r="S85" s="2488"/>
      <c r="T85" s="2488"/>
      <c r="U85" s="2488"/>
      <c r="V85" s="2488"/>
      <c r="W85" s="2488"/>
      <c r="X85" s="2488"/>
      <c r="Y85" s="2488"/>
      <c r="Z85" s="2488"/>
      <c r="AA85" s="2488"/>
      <c r="AB85" s="2488"/>
      <c r="AC85" s="2488"/>
      <c r="AD85" s="2488"/>
    </row>
    <row r="86" spans="1:30" ht="15" thickTop="1">
      <c r="A86" s="409"/>
      <c r="B86" s="477" t="s">
        <v>1863</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2"/>
      <c r="O86" s="2522"/>
      <c r="P86" s="2521"/>
      <c r="Q86" s="2509"/>
      <c r="R86" s="2488"/>
      <c r="S86" s="2488"/>
      <c r="T86" s="2488"/>
      <c r="U86" s="2488"/>
      <c r="V86" s="2488"/>
      <c r="W86" s="2488"/>
      <c r="X86" s="2488"/>
      <c r="Y86" s="2488"/>
      <c r="Z86" s="2488"/>
      <c r="AA86" s="2488"/>
      <c r="AB86" s="2488"/>
      <c r="AC86" s="2488"/>
      <c r="AD86" s="2488"/>
    </row>
    <row r="87" spans="1:30">
      <c r="A87" s="409"/>
      <c r="B87" s="477"/>
      <c r="C87" s="6"/>
      <c r="D87" s="6"/>
      <c r="E87" s="6"/>
      <c r="F87" s="6"/>
      <c r="G87" s="6"/>
      <c r="H87" s="6"/>
      <c r="I87" s="6"/>
      <c r="J87" s="524"/>
      <c r="K87" s="524"/>
      <c r="L87" s="525"/>
      <c r="M87" s="526"/>
      <c r="N87" s="2522"/>
      <c r="O87" s="2522"/>
      <c r="P87" s="2521"/>
      <c r="Q87" s="2509"/>
      <c r="R87" s="2488"/>
      <c r="S87" s="2488"/>
      <c r="T87" s="2488"/>
      <c r="U87" s="2488"/>
      <c r="V87" s="2488"/>
      <c r="W87" s="2488"/>
      <c r="X87" s="2488"/>
      <c r="Y87" s="2488"/>
      <c r="Z87" s="2488"/>
      <c r="AA87" s="2488"/>
      <c r="AB87" s="2488"/>
      <c r="AC87" s="2488"/>
      <c r="AD87" s="2488"/>
    </row>
    <row r="88" spans="1:30" ht="15.75" thickBot="1">
      <c r="A88" s="367"/>
      <c r="B88" s="474"/>
      <c r="C88" s="491"/>
      <c r="D88" s="467"/>
      <c r="E88" s="467"/>
      <c r="F88" s="467"/>
      <c r="G88" s="467"/>
      <c r="H88" s="467"/>
      <c r="I88" s="467"/>
      <c r="J88" s="467"/>
      <c r="K88" s="467"/>
      <c r="L88" s="467"/>
      <c r="M88" s="467"/>
      <c r="N88" s="2523"/>
      <c r="O88" s="2523"/>
      <c r="P88" s="2521"/>
      <c r="Q88" s="2509"/>
      <c r="R88" s="2488"/>
      <c r="S88" s="2488"/>
      <c r="T88" s="2488"/>
      <c r="U88" s="2488"/>
      <c r="V88" s="2488"/>
      <c r="W88" s="2488"/>
      <c r="X88" s="2488"/>
      <c r="Y88" s="2488"/>
      <c r="Z88" s="2488"/>
      <c r="AA88" s="2488"/>
      <c r="AB88" s="2488"/>
      <c r="AC88" s="2488"/>
      <c r="AD88" s="2488"/>
    </row>
    <row r="89" spans="1:30" s="408" customFormat="1" ht="15" thickTop="1">
      <c r="A89" s="406"/>
      <c r="B89" s="469" t="s">
        <v>1864</v>
      </c>
      <c r="C89" s="485"/>
      <c r="D89" s="485"/>
      <c r="E89" s="485"/>
      <c r="F89" s="485"/>
      <c r="G89" s="485"/>
      <c r="H89" s="485"/>
      <c r="I89" s="485"/>
      <c r="J89" s="485"/>
      <c r="K89" s="485"/>
      <c r="L89" s="485"/>
      <c r="M89" s="511"/>
      <c r="N89" s="2524"/>
      <c r="O89" s="2524"/>
      <c r="P89" s="2524"/>
      <c r="Q89" s="2516"/>
      <c r="R89" s="2494"/>
      <c r="S89" s="2494"/>
      <c r="T89" s="2494"/>
      <c r="U89" s="2494"/>
      <c r="V89" s="2494"/>
      <c r="W89" s="2494"/>
      <c r="X89" s="2494"/>
      <c r="Y89" s="2494"/>
      <c r="Z89" s="2494"/>
      <c r="AA89" s="2494"/>
      <c r="AB89" s="2494"/>
      <c r="AC89" s="2494"/>
      <c r="AD89" s="2494"/>
    </row>
    <row r="90" spans="1:30" s="408" customFormat="1" ht="15.75" thickBot="1">
      <c r="A90" s="484"/>
      <c r="B90" s="474"/>
      <c r="C90" s="491"/>
      <c r="D90" s="467"/>
      <c r="E90" s="467"/>
      <c r="F90" s="467"/>
      <c r="G90" s="467"/>
      <c r="H90" s="467"/>
      <c r="I90" s="467"/>
      <c r="J90" s="467"/>
      <c r="K90" s="467"/>
      <c r="L90" s="467"/>
      <c r="M90" s="468"/>
      <c r="N90" s="2524"/>
      <c r="O90" s="2524"/>
      <c r="P90" s="2524"/>
      <c r="Q90" s="2516"/>
      <c r="R90" s="2494"/>
      <c r="S90" s="2494"/>
      <c r="T90" s="2494"/>
      <c r="U90" s="2494"/>
      <c r="V90" s="2494"/>
      <c r="W90" s="2494"/>
      <c r="X90" s="2494"/>
      <c r="Y90" s="2494"/>
      <c r="Z90" s="2494"/>
      <c r="AA90" s="2494"/>
      <c r="AB90" s="2494"/>
      <c r="AC90" s="2494"/>
      <c r="AD90" s="2494"/>
    </row>
    <row r="91" spans="1:30" ht="15" thickTop="1">
      <c r="A91" s="409"/>
      <c r="B91" s="469">
        <f>B32</f>
        <v>111</v>
      </c>
      <c r="C91" s="480"/>
      <c r="D91" s="480"/>
      <c r="E91" s="480"/>
      <c r="F91" s="480"/>
      <c r="G91" s="485"/>
      <c r="H91" s="486"/>
      <c r="I91" s="486"/>
      <c r="J91" s="486"/>
      <c r="K91" s="486"/>
      <c r="L91" s="487"/>
      <c r="M91" s="488"/>
      <c r="N91" s="2522"/>
      <c r="O91" s="2522"/>
      <c r="P91" s="2521"/>
      <c r="Q91" s="2509"/>
      <c r="R91" s="2488"/>
      <c r="S91" s="2488"/>
      <c r="T91" s="2488"/>
      <c r="U91" s="2488"/>
      <c r="V91" s="2488"/>
      <c r="W91" s="2488"/>
      <c r="X91" s="2488"/>
      <c r="Y91" s="2488"/>
      <c r="Z91" s="2488"/>
      <c r="AA91" s="2488"/>
      <c r="AB91" s="2488"/>
      <c r="AC91" s="2488"/>
      <c r="AD91" s="2488"/>
    </row>
    <row r="92" spans="1:30" ht="15.75" thickBot="1">
      <c r="A92" s="367"/>
      <c r="B92" s="474"/>
      <c r="C92" s="491"/>
      <c r="D92" s="467"/>
      <c r="E92" s="467"/>
      <c r="F92" s="467"/>
      <c r="G92" s="491"/>
      <c r="H92" s="493"/>
      <c r="I92" s="493"/>
      <c r="J92" s="493"/>
      <c r="K92" s="493"/>
      <c r="L92" s="493"/>
      <c r="M92" s="494"/>
      <c r="N92" s="2523"/>
      <c r="O92" s="2523"/>
      <c r="P92" s="2521"/>
      <c r="Q92" s="2509"/>
      <c r="R92" s="2488"/>
      <c r="S92" s="2488"/>
      <c r="T92" s="2488"/>
      <c r="U92" s="2488"/>
      <c r="V92" s="2488"/>
      <c r="W92" s="2488"/>
      <c r="X92" s="2488"/>
      <c r="Y92" s="2488"/>
      <c r="Z92" s="2488"/>
      <c r="AA92" s="2488"/>
      <c r="AB92" s="2488"/>
      <c r="AC92" s="2488"/>
      <c r="AD92" s="2488"/>
    </row>
    <row r="93" spans="1:30" ht="15" thickTop="1">
      <c r="A93" s="409"/>
      <c r="B93" s="469">
        <f>B33</f>
        <v>111</v>
      </c>
      <c r="C93" s="480"/>
      <c r="D93" s="480"/>
      <c r="E93" s="480"/>
      <c r="F93" s="480"/>
      <c r="G93" s="485"/>
      <c r="H93" s="486"/>
      <c r="I93" s="486"/>
      <c r="J93" s="486"/>
      <c r="K93" s="486"/>
      <c r="L93" s="487"/>
      <c r="M93" s="488"/>
      <c r="N93" s="2522"/>
      <c r="O93" s="2522"/>
      <c r="P93" s="2521"/>
      <c r="Q93" s="2509"/>
      <c r="R93" s="2488"/>
      <c r="S93" s="2488"/>
      <c r="T93" s="2488"/>
      <c r="U93" s="2488"/>
      <c r="V93" s="2488"/>
      <c r="W93" s="2488"/>
      <c r="X93" s="2488"/>
      <c r="Y93" s="2488"/>
      <c r="Z93" s="2488"/>
      <c r="AA93" s="2488"/>
      <c r="AB93" s="2488"/>
      <c r="AC93" s="2488"/>
      <c r="AD93" s="2488"/>
    </row>
    <row r="94" spans="1:30" ht="15.75" thickBot="1">
      <c r="A94" s="367"/>
      <c r="B94" s="474"/>
      <c r="C94" s="491"/>
      <c r="D94" s="467"/>
      <c r="E94" s="467"/>
      <c r="F94" s="467"/>
      <c r="G94" s="491"/>
      <c r="H94" s="493"/>
      <c r="I94" s="493"/>
      <c r="J94" s="493"/>
      <c r="K94" s="493"/>
      <c r="L94" s="493"/>
      <c r="M94" s="494"/>
      <c r="N94" s="2523"/>
      <c r="O94" s="2523"/>
      <c r="P94" s="2521"/>
      <c r="Q94" s="2509"/>
      <c r="R94" s="2488"/>
      <c r="S94" s="2488"/>
      <c r="T94" s="2488"/>
      <c r="U94" s="2488"/>
      <c r="V94" s="2488"/>
      <c r="W94" s="2488"/>
      <c r="X94" s="2488"/>
      <c r="Y94" s="2488"/>
      <c r="Z94" s="2488"/>
      <c r="AA94" s="2488"/>
      <c r="AB94" s="2488"/>
      <c r="AC94" s="2488"/>
      <c r="AD94" s="2488"/>
    </row>
    <row r="95" spans="1:30" ht="15" thickTop="1">
      <c r="A95" s="409"/>
      <c r="B95" s="560">
        <f>B34</f>
        <v>111</v>
      </c>
      <c r="C95" s="480"/>
      <c r="D95" s="480"/>
      <c r="E95" s="480"/>
      <c r="F95" s="480"/>
      <c r="G95" s="485"/>
      <c r="H95" s="486"/>
      <c r="I95" s="486"/>
      <c r="J95" s="486"/>
      <c r="K95" s="486"/>
      <c r="L95" s="487"/>
      <c r="M95" s="488"/>
      <c r="N95" s="2523"/>
      <c r="O95" s="2523"/>
      <c r="P95" s="2523"/>
      <c r="Q95" s="2537"/>
      <c r="R95" s="2488"/>
      <c r="S95" s="2488"/>
      <c r="T95" s="2488"/>
      <c r="U95" s="2488"/>
      <c r="V95" s="2488"/>
      <c r="W95" s="2488"/>
      <c r="X95" s="2488"/>
      <c r="Y95" s="2488"/>
      <c r="Z95" s="2488"/>
      <c r="AA95" s="2488"/>
      <c r="AB95" s="2488"/>
      <c r="AC95" s="2488"/>
      <c r="AD95" s="2488"/>
    </row>
    <row r="96" spans="1:30" ht="15.75" thickBot="1">
      <c r="A96" s="367"/>
      <c r="B96" s="474"/>
      <c r="C96" s="491"/>
      <c r="D96" s="491"/>
      <c r="E96" s="491"/>
      <c r="F96" s="491"/>
      <c r="G96" s="491"/>
      <c r="H96" s="493"/>
      <c r="I96" s="493"/>
      <c r="J96" s="493"/>
      <c r="K96" s="493"/>
      <c r="L96" s="493"/>
      <c r="M96" s="494"/>
      <c r="N96" s="2523"/>
      <c r="O96" s="2523"/>
      <c r="P96" s="2521"/>
      <c r="Q96" s="2509"/>
      <c r="R96" s="2488"/>
      <c r="S96" s="2488"/>
      <c r="T96" s="2488"/>
      <c r="U96" s="2488"/>
      <c r="V96" s="2488"/>
      <c r="W96" s="2488"/>
      <c r="X96" s="2488"/>
      <c r="Y96" s="2488"/>
      <c r="Z96" s="2488"/>
      <c r="AA96" s="2488"/>
      <c r="AB96" s="2488"/>
      <c r="AC96" s="2488"/>
      <c r="AD96" s="2488"/>
    </row>
    <row r="97" spans="1:30" ht="15" thickTop="1">
      <c r="N97" s="2488"/>
      <c r="O97" s="2488"/>
      <c r="P97" s="2488"/>
      <c r="Q97" s="2488"/>
      <c r="R97" s="2488"/>
      <c r="S97" s="2488"/>
      <c r="T97" s="2488"/>
      <c r="U97" s="2488"/>
      <c r="V97" s="2488"/>
      <c r="W97" s="2488"/>
      <c r="X97" s="2488"/>
      <c r="Y97" s="2488"/>
      <c r="Z97" s="2488"/>
      <c r="AA97" s="2488"/>
      <c r="AB97" s="2488"/>
      <c r="AC97" s="2488"/>
      <c r="AD97" s="2488"/>
    </row>
    <row r="98" spans="1:30">
      <c r="A98" s="882"/>
      <c r="B98" s="882"/>
      <c r="C98" s="882"/>
      <c r="D98" s="882"/>
      <c r="E98" s="882"/>
      <c r="F98" s="882"/>
      <c r="G98" s="882"/>
      <c r="H98" s="882"/>
      <c r="I98" s="882"/>
      <c r="J98" s="882"/>
      <c r="K98" s="883"/>
      <c r="L98" s="884"/>
      <c r="M98" s="882"/>
      <c r="N98" s="2488"/>
      <c r="O98" s="2488"/>
      <c r="P98" s="2488"/>
      <c r="Q98" s="2488"/>
      <c r="R98" s="2488"/>
      <c r="S98" s="2488"/>
      <c r="T98" s="2488"/>
      <c r="U98" s="2488"/>
      <c r="V98" s="2488"/>
      <c r="W98" s="2488"/>
      <c r="X98" s="2488"/>
      <c r="Y98" s="2488"/>
      <c r="Z98" s="2488"/>
      <c r="AA98" s="2488"/>
      <c r="AB98" s="2488"/>
      <c r="AC98" s="2488"/>
      <c r="AD98" s="2488"/>
    </row>
    <row r="99" spans="1:30">
      <c r="A99" s="882"/>
      <c r="B99" s="882"/>
      <c r="C99" s="882"/>
      <c r="D99" s="882"/>
      <c r="E99" s="882"/>
      <c r="F99" s="882"/>
      <c r="G99" s="882"/>
      <c r="H99" s="882"/>
      <c r="I99" s="882"/>
      <c r="J99" s="882"/>
      <c r="K99" s="883"/>
      <c r="L99" s="884"/>
      <c r="M99" s="882"/>
      <c r="N99" s="2488"/>
      <c r="O99" s="2488"/>
      <c r="P99" s="2488"/>
      <c r="Q99" s="2488"/>
      <c r="R99" s="2488"/>
      <c r="S99" s="2488"/>
      <c r="T99" s="2488"/>
      <c r="U99" s="2488"/>
      <c r="V99" s="2488"/>
      <c r="W99" s="2488"/>
      <c r="X99" s="2488"/>
      <c r="Y99" s="2488"/>
      <c r="Z99" s="2488"/>
      <c r="AA99" s="2488"/>
      <c r="AB99" s="2488"/>
      <c r="AC99" s="2488"/>
      <c r="AD99" s="2488"/>
    </row>
    <row r="100" spans="1:30">
      <c r="A100" s="882"/>
      <c r="B100" s="882"/>
      <c r="C100" s="882"/>
      <c r="D100" s="882"/>
      <c r="E100" s="882"/>
      <c r="F100" s="882"/>
      <c r="G100" s="882"/>
      <c r="H100" s="882"/>
      <c r="I100" s="882"/>
      <c r="J100" s="882"/>
      <c r="K100" s="883"/>
      <c r="L100" s="884"/>
      <c r="M100" s="882"/>
      <c r="N100" s="2488"/>
      <c r="O100" s="2488"/>
      <c r="P100" s="2488"/>
      <c r="Q100" s="2488"/>
      <c r="R100" s="2488"/>
      <c r="S100" s="2488"/>
      <c r="T100" s="2488"/>
      <c r="U100" s="2488"/>
      <c r="V100" s="2488"/>
      <c r="W100" s="2488"/>
      <c r="X100" s="2488"/>
      <c r="Y100" s="2488"/>
      <c r="Z100" s="2488"/>
      <c r="AA100" s="2488"/>
      <c r="AB100" s="2488"/>
      <c r="AC100" s="2488"/>
      <c r="AD100" s="2488"/>
    </row>
    <row r="101" spans="1:30">
      <c r="A101" s="882"/>
      <c r="B101" s="882"/>
      <c r="C101" s="882"/>
      <c r="D101" s="882"/>
      <c r="E101" s="882"/>
      <c r="F101" s="882"/>
      <c r="G101" s="882"/>
      <c r="H101" s="882"/>
      <c r="I101" s="882"/>
      <c r="J101" s="882"/>
      <c r="K101" s="883"/>
      <c r="L101" s="884"/>
      <c r="M101" s="882"/>
      <c r="N101" s="2488"/>
      <c r="O101" s="2488"/>
      <c r="P101" s="2488"/>
      <c r="Q101" s="2488"/>
      <c r="R101" s="2488"/>
      <c r="S101" s="2488"/>
      <c r="T101" s="2488"/>
      <c r="U101" s="2488"/>
      <c r="V101" s="2488"/>
      <c r="W101" s="2488"/>
      <c r="X101" s="2488"/>
      <c r="Y101" s="2488"/>
      <c r="Z101" s="2488"/>
      <c r="AA101" s="2488"/>
      <c r="AB101" s="2488"/>
      <c r="AC101" s="2488"/>
      <c r="AD101" s="2488"/>
    </row>
    <row r="102" spans="1:30">
      <c r="A102" s="882"/>
      <c r="B102" s="882"/>
      <c r="C102" s="882"/>
      <c r="D102" s="882"/>
      <c r="E102" s="882"/>
      <c r="F102" s="882"/>
      <c r="G102" s="882"/>
      <c r="H102" s="882"/>
      <c r="I102" s="882"/>
      <c r="J102" s="882"/>
      <c r="K102" s="883"/>
      <c r="L102" s="884"/>
      <c r="M102" s="882"/>
      <c r="N102" s="2488"/>
      <c r="O102" s="2488"/>
      <c r="P102" s="2488"/>
      <c r="Q102" s="2488"/>
      <c r="R102" s="2488"/>
      <c r="S102" s="2488"/>
      <c r="T102" s="2488"/>
      <c r="U102" s="2488"/>
      <c r="V102" s="2488"/>
      <c r="W102" s="2488"/>
      <c r="X102" s="2488"/>
      <c r="Y102" s="2488"/>
      <c r="Z102" s="2488"/>
      <c r="AA102" s="2488"/>
      <c r="AB102" s="2488"/>
      <c r="AC102" s="2488"/>
      <c r="AD102" s="2488"/>
    </row>
    <row r="103" spans="1:30">
      <c r="A103" s="882"/>
      <c r="B103" s="882"/>
      <c r="C103" s="882"/>
      <c r="D103" s="882"/>
      <c r="E103" s="882"/>
      <c r="F103" s="882"/>
      <c r="G103" s="882"/>
      <c r="H103" s="882"/>
      <c r="I103" s="882"/>
      <c r="J103" s="882"/>
      <c r="K103" s="883"/>
      <c r="L103" s="884"/>
      <c r="M103" s="882"/>
      <c r="N103" s="882"/>
      <c r="O103" s="882"/>
      <c r="P103" s="2488"/>
      <c r="Q103" s="2488"/>
      <c r="R103" s="2488"/>
      <c r="S103" s="2488"/>
      <c r="T103" s="2488"/>
      <c r="U103" s="2488"/>
      <c r="V103" s="2488"/>
      <c r="W103" s="2488"/>
      <c r="X103" s="2488"/>
      <c r="Y103" s="2488"/>
      <c r="Z103" s="2488"/>
      <c r="AA103" s="2488"/>
      <c r="AB103" s="2488"/>
      <c r="AC103" s="2488"/>
      <c r="AD103" s="2488"/>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E40">
    <cfRule type="expression" dxfId="55" priority="13" stopIfTrue="1">
      <formula>$F$40="超过30%"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F7:F34 H7:H34 J7:J34">
    <cfRule type="cellIs" dxfId="52" priority="1" operator="notEqual">
      <formula>100</formula>
    </cfRule>
  </conditionalFormatting>
  <conditionalFormatting sqref="F36">
    <cfRule type="expression" dxfId="51" priority="4">
      <formula>$D$36="简单平均"</formula>
    </cfRule>
  </conditionalFormatting>
  <conditionalFormatting sqref="F40:F42 H40:H42 J40:J42">
    <cfRule type="containsText" dxfId="50" priority="14" stopIfTrue="1" operator="containsText" text="超过">
      <formula>NOT(ISERROR(SEARCH("超过",F40)))</formula>
    </cfRule>
  </conditionalFormatting>
  <conditionalFormatting sqref="G40">
    <cfRule type="expression" dxfId="49" priority="9" stopIfTrue="1">
      <formula>$H$52+$H$40="超过30%"</formula>
    </cfRule>
  </conditionalFormatting>
  <conditionalFormatting sqref="G41">
    <cfRule type="expression" dxfId="48" priority="8" stopIfTrue="1">
      <formula>$H$53+$H$41="超过20%"</formula>
    </cfRule>
  </conditionalFormatting>
  <conditionalFormatting sqref="G42">
    <cfRule type="expression" dxfId="47" priority="12" stopIfTrue="1">
      <formula>$H$54+$H$42="超过30%"</formula>
    </cfRule>
  </conditionalFormatting>
  <conditionalFormatting sqref="H36">
    <cfRule type="expression" dxfId="46" priority="3">
      <formula>$D$36="简单平均"</formula>
    </cfRule>
  </conditionalFormatting>
  <conditionalFormatting sqref="I40">
    <cfRule type="expression" dxfId="45" priority="7" stopIfTrue="1">
      <formula>$J$40="超过30%"</formula>
    </cfRule>
  </conditionalFormatting>
  <conditionalFormatting sqref="I41">
    <cfRule type="expression" dxfId="44" priority="6" stopIfTrue="1">
      <formula>$J$41="超过20%"</formula>
    </cfRule>
  </conditionalFormatting>
  <conditionalFormatting sqref="I42">
    <cfRule type="expression" dxfId="43" priority="5" stopIfTrue="1">
      <formula>$J$42="超过30%"</formula>
    </cfRule>
  </conditionalFormatting>
  <conditionalFormatting sqref="J36">
    <cfRule type="expression" dxfId="42" priority="2">
      <formula>$D$36="简单平均"</formula>
    </cfRule>
  </conditionalFormatting>
  <dataValidations count="18">
    <dataValidation type="list" allowBlank="1" showInputMessage="1" showErrorMessage="1" sqref="G15 E15 C15 I15" xr:uid="{00000000-0002-0000-1D00-000000000000}">
      <formula1>交通便捷度</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D1" xr:uid="{00000000-0002-0000-1D00-000002000000}">
      <formula1>项目类型</formula1>
    </dataValidation>
    <dataValidation type="list" allowBlank="1" showInputMessage="1" showErrorMessage="1" sqref="C8 E8 G8 I8" xr:uid="{00000000-0002-0000-1D00-000003000000}">
      <formula1>仓储交易情况</formula1>
    </dataValidation>
    <dataValidation type="list" allowBlank="1" showInputMessage="1" showErrorMessage="1" sqref="E9 G9 I9" xr:uid="{00000000-0002-0000-1D00-000004000000}">
      <formula1>仓储用途</formula1>
    </dataValidation>
    <dataValidation type="list" allowBlank="1" showInputMessage="1" showErrorMessage="1" sqref="C21 E21 G21 I21" xr:uid="{00000000-0002-0000-1D00-000005000000}">
      <formula1>环境</formula1>
    </dataValidation>
    <dataValidation type="list" allowBlank="1" showInputMessage="1" showErrorMessage="1" sqref="C22 E22 G22 I22" xr:uid="{00000000-0002-0000-1D00-000006000000}">
      <formula1>仓储楼层</formula1>
    </dataValidation>
    <dataValidation type="list" allowBlank="1" showInputMessage="1" showErrorMessage="1" sqref="C26 E26 G26 I26" xr:uid="{00000000-0002-0000-1D00-000007000000}">
      <formula1>仓储公共部分装修</formula1>
    </dataValidation>
    <dataValidation type="list" allowBlank="1" showInputMessage="1" showErrorMessage="1" sqref="C29 E29 G29 I29" xr:uid="{00000000-0002-0000-1D00-000008000000}">
      <formula1>有无电梯</formula1>
    </dataValidation>
    <dataValidation type="list" allowBlank="1" showInputMessage="1" showErrorMessage="1" sqref="C31 E31 G31 I31" xr:uid="{00000000-0002-0000-1D00-000009000000}">
      <formula1>是否封闭</formula1>
    </dataValidation>
    <dataValidation type="list" allowBlank="1" showInputMessage="1" showErrorMessage="1" sqref="B1" xr:uid="{00000000-0002-0000-1D00-00000A000000}">
      <formula1>地类判定</formula1>
    </dataValidation>
    <dataValidation type="list" allowBlank="1" showInputMessage="1" showErrorMessage="1" sqref="C28 E28 G28 I28" xr:uid="{00000000-0002-0000-1D00-00000B000000}">
      <formula1>仓储物业等级</formula1>
    </dataValidation>
    <dataValidation type="list" allowBlank="1" showInputMessage="1" showErrorMessage="1" sqref="C19 E19 G19 I19" xr:uid="{00000000-0002-0000-1D00-00000C000000}">
      <formula1>基础设施水平</formula1>
    </dataValidation>
    <dataValidation type="list" allowBlank="1" showInputMessage="1" showErrorMessage="1" sqref="F1" xr:uid="{00000000-0002-0000-1D00-00000D000000}">
      <formula1>"售价,租金"</formula1>
    </dataValidation>
    <dataValidation type="list" allowBlank="1" showInputMessage="1" showErrorMessage="1" sqref="C2" xr:uid="{00000000-0002-0000-1D00-00000E000000}">
      <formula1>"需扣减承租人权益,——"</formula1>
    </dataValidation>
    <dataValidation type="list" allowBlank="1" showInputMessage="1" showErrorMessage="1" sqref="F2" xr:uid="{00000000-0002-0000-1D00-00000F000000}">
      <formula1>估价方法</formula1>
    </dataValidation>
    <dataValidation type="list" allowBlank="1" showInputMessage="1" showErrorMessage="1" sqref="D36" xr:uid="{00000000-0002-0000-1D00-000010000000}">
      <formula1>"简单平均,加权平均"</formula1>
    </dataValidation>
    <dataValidation type="list" allowBlank="1" showInputMessage="1" showErrorMessage="1" sqref="E1" xr:uid="{00000000-0002-0000-1D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5">
    <tabColor rgb="FF92D050"/>
    <pageSetUpPr fitToPage="1"/>
  </sheetPr>
  <dimension ref="A1:AC131"/>
  <sheetViews>
    <sheetView view="pageBreakPreview" topLeftCell="D16" zoomScale="115" zoomScaleNormal="60" zoomScaleSheetLayoutView="115" workbookViewId="0">
      <selection activeCell="Q72" sqref="Q72"/>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1865</v>
      </c>
      <c r="B1" s="340"/>
      <c r="C1" s="341" t="s">
        <v>1866</v>
      </c>
      <c r="D1" s="651"/>
      <c r="E1" s="651"/>
      <c r="F1" s="650" t="s">
        <v>1765</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1460</v>
      </c>
      <c r="B2" s="591" t="e">
        <f>F65</f>
        <v>#DIV/0!</v>
      </c>
      <c r="C2" s="854"/>
      <c r="D2" s="854"/>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1462</v>
      </c>
      <c r="B3" s="536" t="e">
        <f>ROUND(IF(D3="",B2*10000/'数据-汇总表'!E3,B2*10000/D3),0)</f>
        <v>#DIV/0!</v>
      </c>
      <c r="C3" s="195" t="s">
        <v>1867</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1767</v>
      </c>
      <c r="B4" s="346"/>
      <c r="C4" s="3614" t="s">
        <v>1768</v>
      </c>
      <c r="D4" s="3615"/>
      <c r="E4" s="3616" t="s">
        <v>1769</v>
      </c>
      <c r="F4" s="3617"/>
      <c r="G4" s="3614" t="s">
        <v>1770</v>
      </c>
      <c r="H4" s="3615"/>
      <c r="I4" s="3614" t="s">
        <v>1771</v>
      </c>
      <c r="J4" s="3615"/>
      <c r="K4" s="537" t="s">
        <v>1772</v>
      </c>
      <c r="L4" s="2487"/>
      <c r="M4" s="2488"/>
      <c r="N4" s="2488"/>
      <c r="O4" s="2488"/>
      <c r="P4" s="3618" t="s">
        <v>1773</v>
      </c>
      <c r="Q4" s="3619"/>
      <c r="R4" s="3601" t="s">
        <v>1769</v>
      </c>
      <c r="S4" s="3602"/>
      <c r="T4" s="3601" t="s">
        <v>1770</v>
      </c>
      <c r="U4" s="3602"/>
      <c r="V4" s="3626" t="s">
        <v>1771</v>
      </c>
      <c r="W4" s="3626"/>
      <c r="X4" s="1265"/>
      <c r="Y4" s="3601" t="s">
        <v>1773</v>
      </c>
      <c r="Z4" s="3602"/>
      <c r="AA4" s="3596" t="s">
        <v>1769</v>
      </c>
      <c r="AB4" s="3597" t="s">
        <v>1770</v>
      </c>
      <c r="AC4" s="3596" t="s">
        <v>1771</v>
      </c>
    </row>
    <row r="5" spans="1:29" ht="15">
      <c r="A5" s="348"/>
      <c r="B5" s="349"/>
      <c r="C5" s="3607" t="s">
        <v>1671</v>
      </c>
      <c r="D5" s="3608"/>
      <c r="E5" s="3605" t="s">
        <v>1672</v>
      </c>
      <c r="F5" s="3606"/>
      <c r="G5" s="3607" t="s">
        <v>1673</v>
      </c>
      <c r="H5" s="3608"/>
      <c r="I5" s="3607" t="s">
        <v>1674</v>
      </c>
      <c r="J5" s="3608"/>
      <c r="K5" s="537"/>
      <c r="L5" s="2487"/>
      <c r="M5" s="2488"/>
      <c r="N5" s="2488"/>
      <c r="O5" s="2488"/>
      <c r="P5" s="3620"/>
      <c r="Q5" s="3621"/>
      <c r="R5" s="3603"/>
      <c r="S5" s="3604"/>
      <c r="T5" s="3603"/>
      <c r="U5" s="3604"/>
      <c r="V5" s="3626"/>
      <c r="W5" s="3626"/>
      <c r="X5" s="1265"/>
      <c r="Y5" s="3603"/>
      <c r="Z5" s="3604"/>
      <c r="AA5" s="3597"/>
      <c r="AB5" s="3597"/>
      <c r="AC5" s="3597"/>
    </row>
    <row r="6" spans="1:29" ht="15.75" thickBot="1">
      <c r="A6" s="350"/>
      <c r="B6" s="351"/>
      <c r="C6" s="3609" t="s">
        <v>1675</v>
      </c>
      <c r="D6" s="3610"/>
      <c r="E6" s="3611" t="s">
        <v>1675</v>
      </c>
      <c r="F6" s="3612"/>
      <c r="G6" s="3609" t="s">
        <v>1675</v>
      </c>
      <c r="H6" s="3610"/>
      <c r="I6" s="3609" t="s">
        <v>1675</v>
      </c>
      <c r="J6" s="3610"/>
      <c r="K6" s="537" t="s">
        <v>1676</v>
      </c>
      <c r="L6" s="2487"/>
      <c r="M6" s="2488"/>
      <c r="N6" s="2488"/>
      <c r="O6" s="2488"/>
      <c r="P6" s="3622"/>
      <c r="Q6" s="3623"/>
      <c r="R6" s="3603"/>
      <c r="S6" s="3604"/>
      <c r="T6" s="3624"/>
      <c r="U6" s="3625"/>
      <c r="V6" s="3626"/>
      <c r="W6" s="3626"/>
      <c r="X6" s="1265"/>
      <c r="Y6" s="3624"/>
      <c r="Z6" s="3625"/>
      <c r="AA6" s="3598"/>
      <c r="AB6" s="3598"/>
      <c r="AC6" s="3598"/>
    </row>
    <row r="7" spans="1:29" s="102" customFormat="1" ht="15.75" thickBot="1">
      <c r="A7" s="352" t="s">
        <v>1677</v>
      </c>
      <c r="B7" s="353"/>
      <c r="C7" s="354">
        <f>'数据-取费表'!B2</f>
        <v>45839</v>
      </c>
      <c r="D7" s="355">
        <v>100</v>
      </c>
      <c r="E7" s="356"/>
      <c r="F7" s="357">
        <f>SUMIF(69:69,YEAR(E7)&amp;"-"&amp;INT((MONTH(E7)+2)/3),70:70)</f>
        <v>0</v>
      </c>
      <c r="G7" s="1822"/>
      <c r="H7" s="355">
        <f>SUMIF(69:69,YEAR(G7)&amp;"-"&amp;INT((MONTH(G7)+2)/3),70:70)</f>
        <v>0</v>
      </c>
      <c r="I7" s="1822"/>
      <c r="J7" s="355">
        <f>SUMIF(69:69,YEAR(I7)&amp;"-"&amp;INT((MONTH(I7)+2)/3),70:70)</f>
        <v>0</v>
      </c>
      <c r="K7" s="38"/>
      <c r="L7" s="2489"/>
      <c r="M7" s="2440"/>
      <c r="N7" s="2440"/>
      <c r="O7" s="2440"/>
      <c r="P7" s="3599" t="s">
        <v>1678</v>
      </c>
      <c r="Q7" s="3627"/>
      <c r="R7" s="664" t="s">
        <v>14</v>
      </c>
      <c r="S7" s="665">
        <f t="shared" ref="S7:S15" si="0">F7</f>
        <v>0</v>
      </c>
      <c r="T7" s="664" t="s">
        <v>14</v>
      </c>
      <c r="U7" s="665">
        <f t="shared" ref="U7:U15" si="1">H7</f>
        <v>0</v>
      </c>
      <c r="V7" s="664" t="s">
        <v>14</v>
      </c>
      <c r="W7" s="665">
        <f t="shared" ref="W7:W15" si="2">J7</f>
        <v>0</v>
      </c>
      <c r="X7" s="666"/>
      <c r="Y7" s="3599" t="s">
        <v>1678</v>
      </c>
      <c r="Z7" s="3600"/>
      <c r="AA7" s="50" t="e">
        <f>D7/F7</f>
        <v>#DIV/0!</v>
      </c>
      <c r="AB7" s="50" t="e">
        <f>D7/H7</f>
        <v>#DIV/0!</v>
      </c>
      <c r="AC7" s="50" t="e">
        <f>D7/J7</f>
        <v>#DIV/0!</v>
      </c>
    </row>
    <row r="8" spans="1:29" s="102" customFormat="1" ht="15.75" thickBot="1">
      <c r="A8" s="352" t="s">
        <v>1679</v>
      </c>
      <c r="B8" s="353"/>
      <c r="C8" s="358" t="s">
        <v>1680</v>
      </c>
      <c r="D8" s="355">
        <v>100</v>
      </c>
      <c r="E8" s="358"/>
      <c r="F8" s="357">
        <f>SUMIF(72:72,E8,73:73)-SUMIF(72:72,C8,73:73)+100</f>
        <v>0</v>
      </c>
      <c r="G8" s="358"/>
      <c r="H8" s="355">
        <f>SUMIF(72:72,G8,73:73)-SUMIF(72:72,C8,73:73)+100</f>
        <v>0</v>
      </c>
      <c r="I8" s="358"/>
      <c r="J8" s="355">
        <f>SUMIF(72:72,I8,73:73)-SUMIF(72:72,C8,73:73)+100</f>
        <v>0</v>
      </c>
      <c r="K8" s="38"/>
      <c r="L8" s="2489"/>
      <c r="M8" s="2440"/>
      <c r="N8" s="2440"/>
      <c r="O8" s="2440"/>
      <c r="P8" s="3599" t="s">
        <v>1681</v>
      </c>
      <c r="Q8" s="3600"/>
      <c r="R8" s="664" t="s">
        <v>14</v>
      </c>
      <c r="S8" s="665">
        <f t="shared" si="0"/>
        <v>0</v>
      </c>
      <c r="T8" s="664" t="s">
        <v>14</v>
      </c>
      <c r="U8" s="665">
        <f t="shared" si="1"/>
        <v>0</v>
      </c>
      <c r="V8" s="664" t="s">
        <v>14</v>
      </c>
      <c r="W8" s="665">
        <f t="shared" si="2"/>
        <v>0</v>
      </c>
      <c r="X8" s="666"/>
      <c r="Y8" s="3599" t="s">
        <v>1681</v>
      </c>
      <c r="Z8" s="3600"/>
      <c r="AA8" s="50" t="e">
        <f t="shared" ref="AA8:AA45" si="3">D8/F8</f>
        <v>#DIV/0!</v>
      </c>
      <c r="AB8" s="50" t="e">
        <f t="shared" ref="AB8:AB45" si="4">D8/H8</f>
        <v>#DIV/0!</v>
      </c>
      <c r="AC8" s="50" t="e">
        <f t="shared" ref="AC8:AC45" si="5">D8/J8</f>
        <v>#DIV/0!</v>
      </c>
    </row>
    <row r="9" spans="1:29" s="102" customFormat="1">
      <c r="A9" s="359" t="s">
        <v>1682</v>
      </c>
      <c r="B9" s="60" t="s">
        <v>1683</v>
      </c>
      <c r="C9" s="1825"/>
      <c r="D9" s="59">
        <v>100</v>
      </c>
      <c r="E9" s="1825"/>
      <c r="F9" s="59">
        <f>SUMIF(74:74,E9,75:75)-SUMIF(74:74,C9,75:75)+100</f>
        <v>100</v>
      </c>
      <c r="G9" s="1825"/>
      <c r="H9" s="59">
        <f>SUMIF(74:74,G9,75:75)-SUMIF(74:74,C9,75:75)+100</f>
        <v>100</v>
      </c>
      <c r="I9" s="1825"/>
      <c r="J9" s="59">
        <f>SUMIF(74:74,I9,75:75)-SUMIF(74:74,C9,75:75)+100</f>
        <v>100</v>
      </c>
      <c r="K9" s="38"/>
      <c r="L9" s="2489"/>
      <c r="M9" s="2440"/>
      <c r="N9" s="2440"/>
      <c r="O9" s="2541"/>
      <c r="P9" s="3631" t="s">
        <v>1684</v>
      </c>
      <c r="Q9" s="530" t="str">
        <f t="shared" ref="Q9:Q15" si="6">B9</f>
        <v>用途</v>
      </c>
      <c r="R9" s="664" t="s">
        <v>14</v>
      </c>
      <c r="S9" s="665">
        <f t="shared" si="0"/>
        <v>100</v>
      </c>
      <c r="T9" s="664" t="s">
        <v>14</v>
      </c>
      <c r="U9" s="665">
        <f t="shared" si="1"/>
        <v>100</v>
      </c>
      <c r="V9" s="664" t="s">
        <v>14</v>
      </c>
      <c r="W9" s="665">
        <f t="shared" si="2"/>
        <v>100</v>
      </c>
      <c r="X9" s="666"/>
      <c r="Y9" s="3543" t="s">
        <v>1685</v>
      </c>
      <c r="Z9" s="50" t="str">
        <f t="shared" ref="Z9:Z15" si="7">Q9</f>
        <v>用途</v>
      </c>
      <c r="AA9" s="50">
        <f t="shared" si="3"/>
        <v>1</v>
      </c>
      <c r="AB9" s="50">
        <f t="shared" si="4"/>
        <v>1</v>
      </c>
      <c r="AC9" s="50">
        <f t="shared" si="5"/>
        <v>1</v>
      </c>
    </row>
    <row r="10" spans="1:29" s="366" customFormat="1" ht="27">
      <c r="A10" s="363"/>
      <c r="B10" s="364" t="s">
        <v>1686</v>
      </c>
      <c r="C10" s="371"/>
      <c r="D10" s="119">
        <v>100</v>
      </c>
      <c r="E10" s="403"/>
      <c r="F10" s="119">
        <f>ROUND(100/'数据-取费表'!G16,0)</f>
        <v>103</v>
      </c>
      <c r="G10" s="402"/>
      <c r="H10" s="119">
        <f>ROUND(100/'数据-取费表'!G16,0)</f>
        <v>103</v>
      </c>
      <c r="I10" s="402"/>
      <c r="J10" s="119">
        <f>ROUND(100/'数据-取费表'!G16,0)</f>
        <v>103</v>
      </c>
      <c r="K10" s="592"/>
      <c r="L10" s="2490"/>
      <c r="M10" s="2491"/>
      <c r="N10" s="2491"/>
      <c r="O10" s="2542"/>
      <c r="P10" s="3631"/>
      <c r="Q10" s="530" t="str">
        <f t="shared" si="6"/>
        <v>土地使用年限（年）</v>
      </c>
      <c r="R10" s="664" t="s">
        <v>14</v>
      </c>
      <c r="S10" s="665">
        <f t="shared" si="0"/>
        <v>103</v>
      </c>
      <c r="T10" s="664" t="s">
        <v>14</v>
      </c>
      <c r="U10" s="665">
        <f t="shared" si="1"/>
        <v>103</v>
      </c>
      <c r="V10" s="664" t="s">
        <v>14</v>
      </c>
      <c r="W10" s="665">
        <f t="shared" si="2"/>
        <v>103</v>
      </c>
      <c r="X10" s="666"/>
      <c r="Y10" s="3543"/>
      <c r="Z10" s="50" t="str">
        <f t="shared" si="7"/>
        <v>土地使用年限（年）</v>
      </c>
      <c r="AA10" s="50">
        <f t="shared" si="3"/>
        <v>0.970873786407767</v>
      </c>
      <c r="AB10" s="50">
        <f t="shared" si="4"/>
        <v>0.970873786407767</v>
      </c>
      <c r="AC10" s="50">
        <f t="shared" si="5"/>
        <v>0.970873786407767</v>
      </c>
    </row>
    <row r="11" spans="1:29" ht="15">
      <c r="A11" s="367"/>
      <c r="B11" s="364" t="s">
        <v>1687</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2"/>
      <c r="M11" s="2488"/>
      <c r="N11" s="2488"/>
      <c r="O11" s="2543"/>
      <c r="P11" s="3631"/>
      <c r="Q11" s="530" t="str">
        <f t="shared" si="6"/>
        <v>容积率</v>
      </c>
      <c r="R11" s="664" t="s">
        <v>14</v>
      </c>
      <c r="S11" s="665" t="e">
        <f t="shared" si="0"/>
        <v>#N/A</v>
      </c>
      <c r="T11" s="664" t="s">
        <v>14</v>
      </c>
      <c r="U11" s="665" t="e">
        <f t="shared" si="1"/>
        <v>#N/A</v>
      </c>
      <c r="V11" s="664" t="s">
        <v>14</v>
      </c>
      <c r="W11" s="665" t="e">
        <f t="shared" si="2"/>
        <v>#N/A</v>
      </c>
      <c r="X11" s="666"/>
      <c r="Y11" s="3543"/>
      <c r="Z11" s="50" t="str">
        <f t="shared" si="7"/>
        <v>容积率</v>
      </c>
      <c r="AA11" s="50" t="e">
        <f t="shared" si="3"/>
        <v>#N/A</v>
      </c>
      <c r="AB11" s="50" t="e">
        <f t="shared" si="4"/>
        <v>#N/A</v>
      </c>
      <c r="AC11" s="50" t="e">
        <f t="shared" si="5"/>
        <v>#N/A</v>
      </c>
    </row>
    <row r="12" spans="1:29" s="102" customFormat="1" ht="15">
      <c r="A12" s="370"/>
      <c r="B12" s="447" t="s">
        <v>1868</v>
      </c>
      <c r="C12" s="371"/>
      <c r="D12" s="372">
        <v>100</v>
      </c>
      <c r="E12" s="403"/>
      <c r="F12" s="119">
        <f>SUMIF(81:81,E12,82:82)-SUMIF(81:81,C12,82:82)+100</f>
        <v>100</v>
      </c>
      <c r="G12" s="402"/>
      <c r="H12" s="119">
        <f>SUMIF(81:81,G12,82:82)-SUMIF(81:81,C12,82:82)+100</f>
        <v>100</v>
      </c>
      <c r="I12" s="403"/>
      <c r="J12" s="119">
        <f>SUMIF(81:81,I12,82:82)-SUMIF(81:81,C12,82:82)+100</f>
        <v>100</v>
      </c>
      <c r="K12" s="592"/>
      <c r="L12" s="2489"/>
      <c r="M12" s="2440"/>
      <c r="N12" s="2440"/>
      <c r="O12" s="2541"/>
      <c r="P12" s="3631"/>
      <c r="Q12" s="530" t="str">
        <f t="shared" si="6"/>
        <v>配建</v>
      </c>
      <c r="R12" s="664" t="s">
        <v>14</v>
      </c>
      <c r="S12" s="665">
        <f t="shared" si="0"/>
        <v>100</v>
      </c>
      <c r="T12" s="664" t="s">
        <v>14</v>
      </c>
      <c r="U12" s="665">
        <f t="shared" si="1"/>
        <v>100</v>
      </c>
      <c r="V12" s="664" t="s">
        <v>14</v>
      </c>
      <c r="W12" s="665">
        <f t="shared" si="2"/>
        <v>100</v>
      </c>
      <c r="X12" s="666"/>
      <c r="Y12" s="3543"/>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3"/>
      <c r="M13" s="2488"/>
      <c r="N13" s="2488"/>
      <c r="O13" s="2543"/>
      <c r="P13" s="3631"/>
      <c r="Q13" s="530">
        <f t="shared" si="6"/>
        <v>111</v>
      </c>
      <c r="R13" s="664" t="s">
        <v>14</v>
      </c>
      <c r="S13" s="665">
        <f t="shared" si="0"/>
        <v>100</v>
      </c>
      <c r="T13" s="664" t="s">
        <v>14</v>
      </c>
      <c r="U13" s="665">
        <f t="shared" si="1"/>
        <v>100</v>
      </c>
      <c r="V13" s="664" t="s">
        <v>14</v>
      </c>
      <c r="W13" s="665">
        <f t="shared" si="2"/>
        <v>100</v>
      </c>
      <c r="X13" s="666"/>
      <c r="Y13" s="3543"/>
      <c r="Z13" s="50">
        <f t="shared" si="7"/>
        <v>111</v>
      </c>
      <c r="AA13" s="50">
        <f>D13/F13</f>
        <v>1</v>
      </c>
      <c r="AB13" s="50">
        <f>D13/H13</f>
        <v>1</v>
      </c>
      <c r="AC13" s="50">
        <f>D13/J13</f>
        <v>1</v>
      </c>
    </row>
    <row r="14" spans="1:29" ht="15.75"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3"/>
      <c r="M14" s="2488"/>
      <c r="N14" s="2488"/>
      <c r="O14" s="2543"/>
      <c r="P14" s="3631"/>
      <c r="Q14" s="530">
        <f t="shared" si="6"/>
        <v>111</v>
      </c>
      <c r="R14" s="664" t="s">
        <v>14</v>
      </c>
      <c r="S14" s="665">
        <f t="shared" si="0"/>
        <v>100</v>
      </c>
      <c r="T14" s="664" t="s">
        <v>14</v>
      </c>
      <c r="U14" s="665">
        <f t="shared" si="1"/>
        <v>100</v>
      </c>
      <c r="V14" s="664" t="s">
        <v>14</v>
      </c>
      <c r="W14" s="665">
        <f t="shared" si="2"/>
        <v>100</v>
      </c>
      <c r="X14" s="666"/>
      <c r="Y14" s="3543"/>
      <c r="Z14" s="50">
        <f t="shared" si="7"/>
        <v>111</v>
      </c>
      <c r="AA14" s="50">
        <f>D14/F14</f>
        <v>1</v>
      </c>
      <c r="AB14" s="50">
        <f>D14/H14</f>
        <v>1</v>
      </c>
      <c r="AC14" s="50">
        <f>D14/J14</f>
        <v>1</v>
      </c>
    </row>
    <row r="15" spans="1:29" ht="99.75">
      <c r="A15" s="379" t="s">
        <v>1688</v>
      </c>
      <c r="B15" s="58" t="s">
        <v>1255</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3"/>
      <c r="M15" s="2488"/>
      <c r="N15" s="2488"/>
      <c r="O15" s="2543"/>
      <c r="P15" s="3632" t="s">
        <v>1689</v>
      </c>
      <c r="Q15" s="1263" t="str">
        <f t="shared" si="6"/>
        <v>居住社区成熟度</v>
      </c>
      <c r="R15" s="667" t="s">
        <v>14</v>
      </c>
      <c r="S15" s="668">
        <f t="shared" si="0"/>
        <v>100</v>
      </c>
      <c r="T15" s="667" t="s">
        <v>14</v>
      </c>
      <c r="U15" s="668">
        <f t="shared" si="1"/>
        <v>100</v>
      </c>
      <c r="V15" s="667" t="s">
        <v>14</v>
      </c>
      <c r="W15" s="668">
        <f t="shared" si="2"/>
        <v>100</v>
      </c>
      <c r="X15" s="1265"/>
      <c r="Y15" s="3632" t="s">
        <v>1689</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3"/>
      <c r="M16" s="2488"/>
      <c r="N16" s="2488"/>
      <c r="O16" s="2543"/>
      <c r="P16" s="3633"/>
      <c r="Q16" s="1263"/>
      <c r="R16" s="667"/>
      <c r="S16" s="668"/>
      <c r="T16" s="667"/>
      <c r="U16" s="668"/>
      <c r="V16" s="667"/>
      <c r="W16" s="668"/>
      <c r="X16" s="1265"/>
      <c r="Y16" s="3633"/>
      <c r="Z16" s="1264"/>
      <c r="AA16" s="1264">
        <v>1</v>
      </c>
      <c r="AB16" s="1264">
        <v>1</v>
      </c>
      <c r="AC16" s="1264">
        <v>1</v>
      </c>
    </row>
    <row r="17" spans="1:29" ht="71.25">
      <c r="A17" s="367"/>
      <c r="B17" s="390" t="s">
        <v>1775</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3"/>
      <c r="M17" s="2488"/>
      <c r="N17" s="2488"/>
      <c r="O17" s="2543"/>
      <c r="P17" s="3633"/>
      <c r="Q17" s="1263" t="str">
        <f>B17</f>
        <v>商业繁华度</v>
      </c>
      <c r="R17" s="667" t="s">
        <v>14</v>
      </c>
      <c r="S17" s="668">
        <f>F17</f>
        <v>100</v>
      </c>
      <c r="T17" s="667" t="s">
        <v>14</v>
      </c>
      <c r="U17" s="668">
        <f>H17</f>
        <v>100</v>
      </c>
      <c r="V17" s="667" t="s">
        <v>14</v>
      </c>
      <c r="W17" s="668">
        <f>J17</f>
        <v>100</v>
      </c>
      <c r="X17" s="1265"/>
      <c r="Y17" s="3633"/>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3"/>
      <c r="M18" s="2488"/>
      <c r="N18" s="2488"/>
      <c r="O18" s="2543"/>
      <c r="P18" s="3633"/>
      <c r="Q18" s="1263"/>
      <c r="R18" s="667"/>
      <c r="S18" s="668"/>
      <c r="T18" s="667"/>
      <c r="U18" s="668"/>
      <c r="V18" s="667"/>
      <c r="W18" s="668"/>
      <c r="X18" s="1265"/>
      <c r="Y18" s="3633"/>
      <c r="Z18" s="1264"/>
      <c r="AA18" s="1264">
        <v>1</v>
      </c>
      <c r="AB18" s="1264">
        <v>1</v>
      </c>
      <c r="AC18" s="1264">
        <v>1</v>
      </c>
    </row>
    <row r="19" spans="1:29" ht="71.25">
      <c r="A19" s="367"/>
      <c r="B19" s="390" t="s">
        <v>1809</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3"/>
      <c r="M19" s="2488"/>
      <c r="N19" s="2488"/>
      <c r="O19" s="2543"/>
      <c r="P19" s="3633"/>
      <c r="Q19" s="1263" t="str">
        <f>B19</f>
        <v>办公集聚程度</v>
      </c>
      <c r="R19" s="667" t="s">
        <v>14</v>
      </c>
      <c r="S19" s="668">
        <f>F19</f>
        <v>100</v>
      </c>
      <c r="T19" s="667" t="s">
        <v>14</v>
      </c>
      <c r="U19" s="668">
        <f>H19</f>
        <v>100</v>
      </c>
      <c r="V19" s="667" t="s">
        <v>14</v>
      </c>
      <c r="W19" s="668">
        <f>J19</f>
        <v>100</v>
      </c>
      <c r="X19" s="1265"/>
      <c r="Y19" s="3633"/>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3"/>
      <c r="M20" s="2488"/>
      <c r="N20" s="2488"/>
      <c r="O20" s="2543"/>
      <c r="P20" s="3633"/>
      <c r="Q20" s="1263"/>
      <c r="R20" s="667"/>
      <c r="S20" s="668"/>
      <c r="T20" s="667"/>
      <c r="U20" s="668"/>
      <c r="V20" s="667"/>
      <c r="W20" s="668"/>
      <c r="X20" s="1265"/>
      <c r="Y20" s="3633"/>
      <c r="Z20" s="1264"/>
      <c r="AA20" s="1264">
        <v>1</v>
      </c>
      <c r="AB20" s="1264">
        <v>1</v>
      </c>
      <c r="AC20" s="1264">
        <v>1</v>
      </c>
    </row>
    <row r="21" spans="1:29" ht="85.5">
      <c r="A21" s="367"/>
      <c r="B21" s="390" t="s">
        <v>1831</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3"/>
      <c r="M21" s="2488"/>
      <c r="N21" s="2488"/>
      <c r="O21" s="2543"/>
      <c r="P21" s="3633"/>
      <c r="Q21" s="1263" t="str">
        <f>B21</f>
        <v>交通便捷度</v>
      </c>
      <c r="R21" s="667" t="s">
        <v>14</v>
      </c>
      <c r="S21" s="668">
        <f>F21</f>
        <v>100</v>
      </c>
      <c r="T21" s="667" t="s">
        <v>14</v>
      </c>
      <c r="U21" s="668">
        <f>H21</f>
        <v>100</v>
      </c>
      <c r="V21" s="667" t="s">
        <v>14</v>
      </c>
      <c r="W21" s="668">
        <f>J21</f>
        <v>100</v>
      </c>
      <c r="X21" s="1265"/>
      <c r="Y21" s="3633"/>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3"/>
      <c r="M22" s="2488"/>
      <c r="N22" s="2488"/>
      <c r="O22" s="2543"/>
      <c r="P22" s="3633"/>
      <c r="Q22" s="1263"/>
      <c r="R22" s="667"/>
      <c r="S22" s="668"/>
      <c r="T22" s="667"/>
      <c r="U22" s="668"/>
      <c r="V22" s="667"/>
      <c r="W22" s="668"/>
      <c r="X22" s="1265"/>
      <c r="Y22" s="3633"/>
      <c r="Z22" s="1264"/>
      <c r="AA22" s="1264">
        <v>1</v>
      </c>
      <c r="AB22" s="1264">
        <v>1</v>
      </c>
      <c r="AC22" s="1264">
        <v>1</v>
      </c>
    </row>
    <row r="23" spans="1:29" ht="15">
      <c r="A23" s="348"/>
      <c r="B23" s="390" t="s">
        <v>1869</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3"/>
      <c r="M23" s="2488"/>
      <c r="N23" s="2488"/>
      <c r="O23" s="2543"/>
      <c r="P23" s="3633"/>
      <c r="Q23" s="1263" t="str">
        <f t="shared" ref="Q23:Q37" si="8">B23</f>
        <v>区域土地利用方向</v>
      </c>
      <c r="R23" s="667" t="s">
        <v>14</v>
      </c>
      <c r="S23" s="668">
        <f>F23</f>
        <v>100</v>
      </c>
      <c r="T23" s="667" t="s">
        <v>14</v>
      </c>
      <c r="U23" s="668">
        <f>H23</f>
        <v>100</v>
      </c>
      <c r="V23" s="667" t="s">
        <v>14</v>
      </c>
      <c r="W23" s="668">
        <f>J23</f>
        <v>100</v>
      </c>
      <c r="X23" s="1265"/>
      <c r="Y23" s="3633"/>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3"/>
      <c r="M24" s="2488"/>
      <c r="N24" s="2488"/>
      <c r="O24" s="2543"/>
      <c r="P24" s="3633"/>
      <c r="Q24" s="1263"/>
      <c r="R24" s="667"/>
      <c r="S24" s="668"/>
      <c r="T24" s="667"/>
      <c r="U24" s="668"/>
      <c r="V24" s="667"/>
      <c r="W24" s="668"/>
      <c r="X24" s="1265"/>
      <c r="Y24" s="3633"/>
      <c r="Z24" s="1264"/>
      <c r="AA24" s="1264"/>
      <c r="AB24" s="1264"/>
      <c r="AC24" s="1264"/>
    </row>
    <row r="25" spans="1:29" ht="57">
      <c r="A25" s="348"/>
      <c r="B25" s="586" t="s">
        <v>1870</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3"/>
      <c r="M25" s="2488"/>
      <c r="N25" s="2488"/>
      <c r="O25" s="2543"/>
      <c r="P25" s="3633"/>
      <c r="Q25" s="1263" t="str">
        <f t="shared" si="8"/>
        <v>自然及人文环境状况</v>
      </c>
      <c r="R25" s="667" t="s">
        <v>14</v>
      </c>
      <c r="S25" s="668">
        <f>F25</f>
        <v>100</v>
      </c>
      <c r="T25" s="667" t="s">
        <v>14</v>
      </c>
      <c r="U25" s="668">
        <f>H25</f>
        <v>100</v>
      </c>
      <c r="V25" s="667" t="s">
        <v>14</v>
      </c>
      <c r="W25" s="668">
        <f>J25</f>
        <v>100</v>
      </c>
      <c r="X25" s="1265"/>
      <c r="Y25" s="3633"/>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3"/>
      <c r="M26" s="2488"/>
      <c r="N26" s="2488"/>
      <c r="O26" s="2543"/>
      <c r="P26" s="3633"/>
      <c r="Q26" s="1263"/>
      <c r="R26" s="667"/>
      <c r="S26" s="668"/>
      <c r="T26" s="667"/>
      <c r="U26" s="668"/>
      <c r="V26" s="667"/>
      <c r="W26" s="668"/>
      <c r="X26" s="1265"/>
      <c r="Y26" s="3633"/>
      <c r="Z26" s="1264"/>
      <c r="AA26" s="1264">
        <v>1</v>
      </c>
      <c r="AB26" s="1264">
        <v>1</v>
      </c>
      <c r="AC26" s="1264">
        <v>1</v>
      </c>
    </row>
    <row r="27" spans="1:29" s="102" customFormat="1" ht="42.75">
      <c r="A27" s="443"/>
      <c r="B27" s="586" t="s">
        <v>1776</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9"/>
      <c r="M27" s="2440"/>
      <c r="N27" s="2440"/>
      <c r="O27" s="2541"/>
      <c r="P27" s="3633"/>
      <c r="Q27" s="530" t="str">
        <f t="shared" si="8"/>
        <v>公共配套设施</v>
      </c>
      <c r="R27" s="664" t="s">
        <v>14</v>
      </c>
      <c r="S27" s="665">
        <f>F27</f>
        <v>100</v>
      </c>
      <c r="T27" s="664" t="s">
        <v>14</v>
      </c>
      <c r="U27" s="665">
        <f>H27</f>
        <v>100</v>
      </c>
      <c r="V27" s="664" t="s">
        <v>14</v>
      </c>
      <c r="W27" s="665">
        <f>J27</f>
        <v>100</v>
      </c>
      <c r="X27" s="666"/>
      <c r="Y27" s="3633"/>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9"/>
      <c r="M28" s="2440"/>
      <c r="N28" s="2440"/>
      <c r="O28" s="2541"/>
      <c r="P28" s="3633"/>
      <c r="Q28" s="530"/>
      <c r="R28" s="664"/>
      <c r="S28" s="665"/>
      <c r="T28" s="664"/>
      <c r="U28" s="665"/>
      <c r="V28" s="664"/>
      <c r="W28" s="665"/>
      <c r="X28" s="666"/>
      <c r="Y28" s="3633"/>
      <c r="Z28" s="50"/>
      <c r="AA28" s="1264">
        <v>1</v>
      </c>
      <c r="AB28" s="1264">
        <v>1</v>
      </c>
      <c r="AC28" s="1264">
        <v>1</v>
      </c>
    </row>
    <row r="29" spans="1:29" s="102" customFormat="1" ht="28.5">
      <c r="A29" s="443"/>
      <c r="B29" s="586" t="s">
        <v>1777</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9"/>
      <c r="M29" s="2440"/>
      <c r="N29" s="2440"/>
      <c r="O29" s="2541"/>
      <c r="P29" s="3633"/>
      <c r="Q29" s="530" t="str">
        <f t="shared" ref="Q29" si="9">B29</f>
        <v>基础设施水平</v>
      </c>
      <c r="R29" s="664" t="s">
        <v>14</v>
      </c>
      <c r="S29" s="665">
        <f>F29</f>
        <v>100</v>
      </c>
      <c r="T29" s="664" t="s">
        <v>14</v>
      </c>
      <c r="U29" s="665">
        <f>H29</f>
        <v>100</v>
      </c>
      <c r="V29" s="664" t="s">
        <v>14</v>
      </c>
      <c r="W29" s="665">
        <f>J29</f>
        <v>100</v>
      </c>
      <c r="X29" s="666"/>
      <c r="Y29" s="3633"/>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9"/>
      <c r="M30" s="2440"/>
      <c r="N30" s="2440"/>
      <c r="O30" s="2541"/>
      <c r="P30" s="3633"/>
      <c r="Q30" s="530"/>
      <c r="R30" s="664"/>
      <c r="S30" s="665"/>
      <c r="T30" s="664"/>
      <c r="U30" s="665"/>
      <c r="V30" s="664"/>
      <c r="W30" s="665"/>
      <c r="X30" s="666"/>
      <c r="Y30" s="3633"/>
      <c r="Z30" s="50"/>
      <c r="AA30" s="1264">
        <v>1</v>
      </c>
      <c r="AB30" s="1264">
        <v>1</v>
      </c>
      <c r="AC30" s="1264">
        <v>1</v>
      </c>
    </row>
    <row r="31" spans="1:29" ht="15">
      <c r="A31" s="367"/>
      <c r="B31" s="395" t="s">
        <v>1778</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3"/>
      <c r="M31" s="2488"/>
      <c r="N31" s="2488"/>
      <c r="O31" s="2543"/>
      <c r="P31" s="3633"/>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633"/>
      <c r="Z31" s="1264" t="str">
        <f t="shared" ref="Z31:Z45" si="13">Q31</f>
        <v>临街状况</v>
      </c>
      <c r="AA31" s="1264">
        <f t="shared" si="3"/>
        <v>1</v>
      </c>
      <c r="AB31" s="1264">
        <f t="shared" si="4"/>
        <v>1</v>
      </c>
      <c r="AC31" s="1264">
        <f t="shared" si="5"/>
        <v>1</v>
      </c>
    </row>
    <row r="32" spans="1:29" ht="27">
      <c r="A32" s="367"/>
      <c r="B32" s="586" t="s">
        <v>1813</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3"/>
      <c r="M32" s="2488"/>
      <c r="N32" s="2488"/>
      <c r="O32" s="2543"/>
      <c r="P32" s="3633"/>
      <c r="Q32" s="1263" t="str">
        <f t="shared" si="8"/>
        <v>毗邻道路的类型与等级</v>
      </c>
      <c r="R32" s="667" t="s">
        <v>14</v>
      </c>
      <c r="S32" s="668">
        <f t="shared" si="10"/>
        <v>100</v>
      </c>
      <c r="T32" s="667" t="s">
        <v>14</v>
      </c>
      <c r="U32" s="668">
        <f t="shared" si="11"/>
        <v>100</v>
      </c>
      <c r="V32" s="667" t="s">
        <v>14</v>
      </c>
      <c r="W32" s="668">
        <f t="shared" si="12"/>
        <v>100</v>
      </c>
      <c r="X32" s="1265"/>
      <c r="Y32" s="3633"/>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3"/>
      <c r="M33" s="2488"/>
      <c r="N33" s="2488"/>
      <c r="O33" s="2543"/>
      <c r="P33" s="3633"/>
      <c r="Q33" s="1263"/>
      <c r="R33" s="667"/>
      <c r="S33" s="668"/>
      <c r="T33" s="667"/>
      <c r="U33" s="668"/>
      <c r="V33" s="667"/>
      <c r="W33" s="668"/>
      <c r="X33" s="1265"/>
      <c r="Y33" s="3633"/>
      <c r="Z33" s="1264"/>
      <c r="AA33" s="1264">
        <v>1</v>
      </c>
      <c r="AB33" s="1264">
        <v>1</v>
      </c>
      <c r="AC33" s="1264">
        <v>1</v>
      </c>
    </row>
    <row r="34" spans="1:29" ht="15">
      <c r="A34" s="367"/>
      <c r="B34" s="364" t="s">
        <v>1871</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3"/>
      <c r="M34" s="2488"/>
      <c r="N34" s="2488"/>
      <c r="O34" s="2543"/>
      <c r="P34" s="3633"/>
      <c r="Q34" s="1263" t="str">
        <f t="shared" si="8"/>
        <v>土地级别</v>
      </c>
      <c r="R34" s="667" t="s">
        <v>14</v>
      </c>
      <c r="S34" s="668">
        <f t="shared" si="10"/>
        <v>100</v>
      </c>
      <c r="T34" s="667" t="s">
        <v>14</v>
      </c>
      <c r="U34" s="668">
        <f t="shared" si="11"/>
        <v>100</v>
      </c>
      <c r="V34" s="667" t="s">
        <v>14</v>
      </c>
      <c r="W34" s="668">
        <f t="shared" si="12"/>
        <v>100</v>
      </c>
      <c r="X34" s="1265"/>
      <c r="Y34" s="3633"/>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3"/>
      <c r="M35" s="2488"/>
      <c r="N35" s="2488"/>
      <c r="O35" s="2543"/>
      <c r="P35" s="3633"/>
      <c r="Q35" s="1263">
        <f t="shared" si="8"/>
        <v>111</v>
      </c>
      <c r="R35" s="667" t="s">
        <v>14</v>
      </c>
      <c r="S35" s="668">
        <f t="shared" si="10"/>
        <v>100</v>
      </c>
      <c r="T35" s="667" t="s">
        <v>14</v>
      </c>
      <c r="U35" s="668">
        <f t="shared" si="11"/>
        <v>100</v>
      </c>
      <c r="V35" s="667" t="s">
        <v>14</v>
      </c>
      <c r="W35" s="668">
        <f t="shared" si="12"/>
        <v>100</v>
      </c>
      <c r="X35" s="1265"/>
      <c r="Y35" s="3633"/>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3"/>
      <c r="M36" s="2488"/>
      <c r="N36" s="2488"/>
      <c r="O36" s="2543"/>
      <c r="P36" s="3656" t="s">
        <v>1694</v>
      </c>
      <c r="Q36" s="1263">
        <f t="shared" si="8"/>
        <v>111</v>
      </c>
      <c r="R36" s="667" t="s">
        <v>14</v>
      </c>
      <c r="S36" s="668">
        <f t="shared" si="10"/>
        <v>100</v>
      </c>
      <c r="T36" s="667" t="s">
        <v>14</v>
      </c>
      <c r="U36" s="668">
        <f t="shared" si="11"/>
        <v>100</v>
      </c>
      <c r="V36" s="667" t="s">
        <v>14</v>
      </c>
      <c r="W36" s="668">
        <f t="shared" si="12"/>
        <v>100</v>
      </c>
      <c r="X36" s="1265"/>
      <c r="Y36" s="3637" t="s">
        <v>1694</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2"/>
      <c r="M37" s="2494"/>
      <c r="N37" s="2494"/>
      <c r="O37" s="2544"/>
      <c r="P37" s="3637"/>
      <c r="Q37" s="1263">
        <f t="shared" si="8"/>
        <v>111</v>
      </c>
      <c r="R37" s="669" t="s">
        <v>14</v>
      </c>
      <c r="S37" s="670">
        <f t="shared" si="10"/>
        <v>100</v>
      </c>
      <c r="T37" s="669" t="s">
        <v>14</v>
      </c>
      <c r="U37" s="670">
        <f t="shared" si="11"/>
        <v>100</v>
      </c>
      <c r="V37" s="669" t="s">
        <v>14</v>
      </c>
      <c r="W37" s="670">
        <f t="shared" si="12"/>
        <v>100</v>
      </c>
      <c r="X37" s="671"/>
      <c r="Y37" s="3637"/>
      <c r="Z37" s="672">
        <f t="shared" si="13"/>
        <v>111</v>
      </c>
      <c r="AA37" s="1264">
        <f t="shared" si="3"/>
        <v>1</v>
      </c>
      <c r="AB37" s="1264">
        <f t="shared" si="4"/>
        <v>1</v>
      </c>
      <c r="AC37" s="1264">
        <f t="shared" si="5"/>
        <v>1</v>
      </c>
    </row>
    <row r="38" spans="1:29" ht="15">
      <c r="A38" s="409" t="s">
        <v>1692</v>
      </c>
      <c r="B38" s="395" t="s">
        <v>1872</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3"/>
      <c r="M38" s="2488"/>
      <c r="N38" s="2488"/>
      <c r="O38" s="2543"/>
      <c r="P38" s="3637"/>
      <c r="Q38" s="1263" t="str">
        <f>B38</f>
        <v>宗地面积</v>
      </c>
      <c r="R38" s="667" t="s">
        <v>14</v>
      </c>
      <c r="S38" s="668" t="e">
        <f t="shared" si="10"/>
        <v>#N/A</v>
      </c>
      <c r="T38" s="667" t="s">
        <v>14</v>
      </c>
      <c r="U38" s="668" t="e">
        <f t="shared" si="11"/>
        <v>#N/A</v>
      </c>
      <c r="V38" s="667" t="s">
        <v>14</v>
      </c>
      <c r="W38" s="668" t="e">
        <f t="shared" si="12"/>
        <v>#N/A</v>
      </c>
      <c r="X38" s="1265"/>
      <c r="Y38" s="3637"/>
      <c r="Z38" s="1264" t="str">
        <f t="shared" si="13"/>
        <v>宗地面积</v>
      </c>
      <c r="AA38" s="1264" t="e">
        <f t="shared" si="3"/>
        <v>#N/A</v>
      </c>
      <c r="AB38" s="1264" t="e">
        <f t="shared" si="4"/>
        <v>#N/A</v>
      </c>
      <c r="AC38" s="1264" t="e">
        <f t="shared" si="5"/>
        <v>#N/A</v>
      </c>
    </row>
    <row r="39" spans="1:29" ht="15">
      <c r="A39" s="409"/>
      <c r="B39" s="364" t="s">
        <v>1873</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3"/>
      <c r="M39" s="2488"/>
      <c r="N39" s="2488"/>
      <c r="O39" s="2543"/>
      <c r="P39" s="3637"/>
      <c r="Q39" s="1263" t="str">
        <f t="shared" ref="Q39:Q45" si="14">B39</f>
        <v>宗地形状</v>
      </c>
      <c r="R39" s="667" t="s">
        <v>14</v>
      </c>
      <c r="S39" s="668">
        <f t="shared" si="10"/>
        <v>100</v>
      </c>
      <c r="T39" s="667" t="s">
        <v>14</v>
      </c>
      <c r="U39" s="668">
        <f t="shared" si="11"/>
        <v>100</v>
      </c>
      <c r="V39" s="667" t="s">
        <v>14</v>
      </c>
      <c r="W39" s="668">
        <f t="shared" si="12"/>
        <v>100</v>
      </c>
      <c r="X39" s="1265"/>
      <c r="Y39" s="3637"/>
      <c r="Z39" s="1264" t="str">
        <f t="shared" si="13"/>
        <v>宗地形状</v>
      </c>
      <c r="AA39" s="1264">
        <f t="shared" si="3"/>
        <v>1</v>
      </c>
      <c r="AB39" s="1264">
        <f t="shared" si="4"/>
        <v>1</v>
      </c>
      <c r="AC39" s="1264">
        <f t="shared" si="5"/>
        <v>1</v>
      </c>
    </row>
    <row r="40" spans="1:29" ht="15">
      <c r="A40" s="409"/>
      <c r="B40" s="364" t="s">
        <v>1874</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3"/>
      <c r="M40" s="2488"/>
      <c r="N40" s="2488"/>
      <c r="O40" s="2543"/>
      <c r="P40" s="3637"/>
      <c r="Q40" s="1263" t="str">
        <f t="shared" si="14"/>
        <v>临街宽度及深度</v>
      </c>
      <c r="R40" s="667" t="s">
        <v>14</v>
      </c>
      <c r="S40" s="668">
        <f t="shared" si="10"/>
        <v>100</v>
      </c>
      <c r="T40" s="667" t="s">
        <v>14</v>
      </c>
      <c r="U40" s="668">
        <f t="shared" si="11"/>
        <v>100</v>
      </c>
      <c r="V40" s="667" t="s">
        <v>14</v>
      </c>
      <c r="W40" s="668">
        <f t="shared" si="12"/>
        <v>100</v>
      </c>
      <c r="X40" s="1265"/>
      <c r="Y40" s="3637"/>
      <c r="Z40" s="1264" t="str">
        <f t="shared" si="13"/>
        <v>临街宽度及深度</v>
      </c>
      <c r="AA40" s="1264">
        <f t="shared" si="3"/>
        <v>1</v>
      </c>
      <c r="AB40" s="1264">
        <f t="shared" si="4"/>
        <v>1</v>
      </c>
      <c r="AC40" s="1264">
        <f t="shared" si="5"/>
        <v>1</v>
      </c>
    </row>
    <row r="41" spans="1:29" s="102" customFormat="1" ht="15">
      <c r="A41" s="410"/>
      <c r="B41" s="364" t="s">
        <v>1875</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9"/>
      <c r="M41" s="2440"/>
      <c r="N41" s="2440"/>
      <c r="O41" s="2541"/>
      <c r="P41" s="3637"/>
      <c r="Q41" s="1263" t="str">
        <f t="shared" si="14"/>
        <v>宗地开发程度</v>
      </c>
      <c r="R41" s="664" t="s">
        <v>14</v>
      </c>
      <c r="S41" s="665">
        <f t="shared" si="10"/>
        <v>100</v>
      </c>
      <c r="T41" s="664" t="s">
        <v>14</v>
      </c>
      <c r="U41" s="665">
        <f t="shared" si="11"/>
        <v>100</v>
      </c>
      <c r="V41" s="664" t="s">
        <v>14</v>
      </c>
      <c r="W41" s="665">
        <f t="shared" si="12"/>
        <v>100</v>
      </c>
      <c r="X41" s="666"/>
      <c r="Y41" s="3637"/>
      <c r="Z41" s="50" t="str">
        <f t="shared" si="13"/>
        <v>宗地开发程度</v>
      </c>
      <c r="AA41" s="50">
        <f t="shared" si="3"/>
        <v>1</v>
      </c>
      <c r="AB41" s="50">
        <f t="shared" si="4"/>
        <v>1</v>
      </c>
      <c r="AC41" s="50">
        <f t="shared" si="5"/>
        <v>1</v>
      </c>
    </row>
    <row r="42" spans="1:29" ht="15">
      <c r="A42" s="409"/>
      <c r="B42" s="364" t="s">
        <v>1876</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3"/>
      <c r="M42" s="2488"/>
      <c r="N42" s="2488"/>
      <c r="O42" s="2543"/>
      <c r="P42" s="3637" t="s">
        <v>1694</v>
      </c>
      <c r="Q42" s="1263" t="str">
        <f t="shared" si="14"/>
        <v>工程地质条件</v>
      </c>
      <c r="R42" s="667" t="s">
        <v>14</v>
      </c>
      <c r="S42" s="668">
        <f t="shared" si="10"/>
        <v>100</v>
      </c>
      <c r="T42" s="667" t="s">
        <v>14</v>
      </c>
      <c r="U42" s="668">
        <f t="shared" si="11"/>
        <v>100</v>
      </c>
      <c r="V42" s="667" t="s">
        <v>14</v>
      </c>
      <c r="W42" s="668">
        <f t="shared" si="12"/>
        <v>100</v>
      </c>
      <c r="X42" s="1265"/>
      <c r="Y42" s="3637" t="s">
        <v>1694</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3"/>
      <c r="M43" s="2488"/>
      <c r="N43" s="2488"/>
      <c r="O43" s="2543"/>
      <c r="P43" s="3637"/>
      <c r="Q43" s="1263">
        <f t="shared" si="14"/>
        <v>111</v>
      </c>
      <c r="R43" s="667" t="s">
        <v>14</v>
      </c>
      <c r="S43" s="668">
        <f t="shared" si="10"/>
        <v>100</v>
      </c>
      <c r="T43" s="667" t="s">
        <v>14</v>
      </c>
      <c r="U43" s="668">
        <f t="shared" si="11"/>
        <v>100</v>
      </c>
      <c r="V43" s="667" t="s">
        <v>14</v>
      </c>
      <c r="W43" s="668">
        <f t="shared" si="12"/>
        <v>100</v>
      </c>
      <c r="X43" s="1265"/>
      <c r="Y43" s="3637"/>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3"/>
      <c r="M44" s="2488"/>
      <c r="N44" s="2488"/>
      <c r="O44" s="2543"/>
      <c r="P44" s="3637"/>
      <c r="Q44" s="1263">
        <f t="shared" si="14"/>
        <v>111</v>
      </c>
      <c r="R44" s="667" t="s">
        <v>14</v>
      </c>
      <c r="S44" s="668">
        <f t="shared" si="10"/>
        <v>100</v>
      </c>
      <c r="T44" s="667" t="s">
        <v>14</v>
      </c>
      <c r="U44" s="668">
        <f t="shared" si="11"/>
        <v>100</v>
      </c>
      <c r="V44" s="667" t="s">
        <v>14</v>
      </c>
      <c r="W44" s="668">
        <f t="shared" si="12"/>
        <v>100</v>
      </c>
      <c r="X44" s="1265"/>
      <c r="Y44" s="3637"/>
      <c r="Z44" s="1264">
        <f t="shared" si="13"/>
        <v>111</v>
      </c>
      <c r="AA44" s="1264">
        <f t="shared" si="3"/>
        <v>1</v>
      </c>
      <c r="AB44" s="1264">
        <f t="shared" si="4"/>
        <v>1</v>
      </c>
      <c r="AC44" s="1264">
        <f t="shared" si="5"/>
        <v>1</v>
      </c>
    </row>
    <row r="45" spans="1:29" s="408" customFormat="1" ht="15.75"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2"/>
      <c r="M45" s="2494"/>
      <c r="N45" s="2494"/>
      <c r="O45" s="2544"/>
      <c r="P45" s="3637"/>
      <c r="Q45" s="1263">
        <f t="shared" si="14"/>
        <v>111</v>
      </c>
      <c r="R45" s="669" t="s">
        <v>14</v>
      </c>
      <c r="S45" s="670">
        <f t="shared" si="10"/>
        <v>100</v>
      </c>
      <c r="T45" s="669" t="s">
        <v>14</v>
      </c>
      <c r="U45" s="670">
        <f t="shared" si="11"/>
        <v>100</v>
      </c>
      <c r="V45" s="669" t="s">
        <v>14</v>
      </c>
      <c r="W45" s="670">
        <f t="shared" si="12"/>
        <v>100</v>
      </c>
      <c r="X45" s="671"/>
      <c r="Y45" s="3637"/>
      <c r="Z45" s="672">
        <f t="shared" si="13"/>
        <v>111</v>
      </c>
      <c r="AA45" s="1264">
        <f t="shared" si="3"/>
        <v>1</v>
      </c>
      <c r="AB45" s="1264">
        <f t="shared" si="4"/>
        <v>1</v>
      </c>
      <c r="AC45" s="1264">
        <f t="shared" si="5"/>
        <v>1</v>
      </c>
    </row>
    <row r="46" spans="1:29" ht="15">
      <c r="A46" s="416" t="s">
        <v>1842</v>
      </c>
      <c r="B46" s="1830" t="s">
        <v>1877</v>
      </c>
      <c r="C46" s="602" t="s">
        <v>0</v>
      </c>
      <c r="D46" s="418"/>
      <c r="E46" s="419"/>
      <c r="F46" s="420"/>
      <c r="G46" s="421"/>
      <c r="H46" s="422"/>
      <c r="I46" s="419"/>
      <c r="J46" s="422"/>
      <c r="K46" s="674"/>
      <c r="L46" s="2495"/>
      <c r="M46" s="2488"/>
      <c r="N46" s="2488"/>
      <c r="O46" s="2488"/>
      <c r="P46" s="3631" t="str">
        <f>A46</f>
        <v>成交单价</v>
      </c>
      <c r="Q46" s="3631"/>
      <c r="R46" s="3626">
        <f>E46</f>
        <v>0</v>
      </c>
      <c r="S46" s="3626"/>
      <c r="T46" s="3626">
        <f>G46</f>
        <v>0</v>
      </c>
      <c r="U46" s="3626"/>
      <c r="V46" s="3626">
        <f>I46</f>
        <v>0</v>
      </c>
      <c r="W46" s="3626"/>
      <c r="X46" s="385"/>
      <c r="Y46" s="673"/>
      <c r="Z46" s="385"/>
      <c r="AA46" s="385"/>
      <c r="AB46" s="385"/>
      <c r="AC46" s="385"/>
    </row>
    <row r="47" spans="1:29" ht="15.75" thickBot="1">
      <c r="A47" s="423" t="s">
        <v>1791</v>
      </c>
      <c r="B47" s="603"/>
      <c r="C47" s="426" t="e">
        <f>R48</f>
        <v>#DIV/0!</v>
      </c>
      <c r="D47" s="2141" t="s">
        <v>2136</v>
      </c>
      <c r="E47" s="426" t="e">
        <f>R47</f>
        <v>#DIV/0!</v>
      </c>
      <c r="F47" s="2142"/>
      <c r="G47" s="425" t="e">
        <f>T47</f>
        <v>#DIV/0!</v>
      </c>
      <c r="H47" s="2142"/>
      <c r="I47" s="426" t="e">
        <f>V47</f>
        <v>#DIV/0!</v>
      </c>
      <c r="J47" s="2142"/>
      <c r="K47" s="2144">
        <f>F47+H47+J47</f>
        <v>0</v>
      </c>
      <c r="L47" s="2495"/>
      <c r="M47" s="2488"/>
      <c r="N47" s="2488"/>
      <c r="O47" s="2488"/>
      <c r="P47" s="3631" t="str">
        <f>A47</f>
        <v>比较价值（元/平方米）</v>
      </c>
      <c r="Q47" s="3631"/>
      <c r="R47" s="3658" t="e">
        <f>ROUND(PRODUCT(R46,AA7:AA45),0)</f>
        <v>#DIV/0!</v>
      </c>
      <c r="S47" s="3658"/>
      <c r="T47" s="3658" t="e">
        <f>ROUND(PRODUCT(T46,AB7:AB45),0)</f>
        <v>#DIV/0!</v>
      </c>
      <c r="U47" s="3658"/>
      <c r="V47" s="3658" t="e">
        <f>ROUND(PRODUCT(V46,AC7:AC45),0)</f>
        <v>#DIV/0!</v>
      </c>
      <c r="W47" s="3658"/>
      <c r="X47" s="385"/>
      <c r="Y47" s="385"/>
      <c r="Z47" s="385"/>
      <c r="AA47" s="385"/>
      <c r="AB47" s="385"/>
      <c r="AC47" s="385"/>
    </row>
    <row r="48" spans="1:29" ht="15.75" thickBot="1">
      <c r="A48" s="427" t="s">
        <v>1878</v>
      </c>
      <c r="B48" s="428"/>
      <c r="C48" s="429" t="e">
        <f>R48</f>
        <v>#DIV/0!</v>
      </c>
      <c r="D48" s="429"/>
      <c r="E48" s="429"/>
      <c r="F48" s="429"/>
      <c r="G48" s="429"/>
      <c r="H48" s="429"/>
      <c r="I48" s="429"/>
      <c r="J48" s="429"/>
      <c r="K48" s="675"/>
      <c r="L48" s="2495"/>
      <c r="M48" s="2488"/>
      <c r="N48" s="2488"/>
      <c r="O48" s="2488"/>
      <c r="P48" s="3628" t="str">
        <f>A48</f>
        <v>估价对象XX用房的比较价值（楼面单价，元/平方米）</v>
      </c>
      <c r="Q48" s="3629"/>
      <c r="R48" s="3659" t="e">
        <f>ROUND(IF(D47="简单平均",AVERAGE(R47:W47),R47*F47+T47*H47+V47*J47),0)</f>
        <v>#DIV/0!</v>
      </c>
      <c r="S48" s="3659"/>
      <c r="T48" s="3659"/>
      <c r="U48" s="3659"/>
      <c r="V48" s="3659"/>
      <c r="W48" s="3659"/>
      <c r="X48" s="385"/>
      <c r="Y48" s="385"/>
      <c r="Z48" s="385"/>
      <c r="AA48" s="385"/>
      <c r="AB48" s="385"/>
      <c r="AC48" s="385"/>
    </row>
    <row r="49" spans="1:29">
      <c r="A49" s="2488"/>
      <c r="B49" s="2488"/>
      <c r="C49" s="2488"/>
      <c r="D49" s="2488"/>
      <c r="E49" s="2488"/>
      <c r="F49" s="2488"/>
      <c r="G49" s="2499"/>
      <c r="H49" s="2488"/>
      <c r="I49" s="2488"/>
      <c r="J49" s="2488"/>
      <c r="K49" s="2500"/>
      <c r="L49" s="2496"/>
      <c r="M49" s="2488"/>
      <c r="N49" s="2488"/>
      <c r="O49" s="2488"/>
      <c r="P49" s="2488"/>
      <c r="Q49" s="2488"/>
      <c r="R49" s="2488"/>
      <c r="S49" s="2488"/>
      <c r="T49" s="2488"/>
      <c r="U49" s="2488"/>
      <c r="V49" s="2488"/>
      <c r="W49" s="2488"/>
      <c r="X49" s="2488"/>
      <c r="Y49" s="2488"/>
      <c r="Z49" s="2488"/>
      <c r="AA49" s="2488"/>
      <c r="AB49" s="2488"/>
      <c r="AC49" s="2488"/>
    </row>
    <row r="50" spans="1:29">
      <c r="A50" s="2488"/>
      <c r="B50" s="2488"/>
      <c r="C50" s="2488"/>
      <c r="D50" s="2488"/>
      <c r="E50" s="2488"/>
      <c r="F50" s="2488"/>
      <c r="G50" s="2488"/>
      <c r="H50" s="2488"/>
      <c r="I50" s="2488"/>
      <c r="J50" s="2488"/>
      <c r="K50" s="2500"/>
      <c r="L50" s="2496"/>
      <c r="M50" s="2488"/>
      <c r="N50" s="2488"/>
      <c r="O50" s="2488"/>
      <c r="P50" s="2488"/>
      <c r="Q50" s="2488"/>
      <c r="R50" s="2488"/>
      <c r="S50" s="2488"/>
      <c r="T50" s="2488"/>
      <c r="U50" s="2488"/>
      <c r="V50" s="2488"/>
      <c r="W50" s="2488"/>
      <c r="X50" s="2488"/>
      <c r="Y50" s="2488"/>
      <c r="Z50" s="2488"/>
      <c r="AA50" s="2488"/>
      <c r="AB50" s="2488"/>
      <c r="AC50" s="2488"/>
    </row>
    <row r="51" spans="1:29" ht="13.5" customHeight="1">
      <c r="A51" s="2488"/>
      <c r="B51" s="2488"/>
      <c r="C51" s="432" t="s">
        <v>1793</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500"/>
      <c r="L51" s="2496"/>
      <c r="M51" s="2488"/>
      <c r="N51" s="2488"/>
      <c r="O51" s="2488"/>
      <c r="P51" s="2488"/>
      <c r="Q51" s="2488"/>
      <c r="R51" s="2488"/>
      <c r="S51" s="2488"/>
      <c r="T51" s="2488"/>
      <c r="U51" s="2488"/>
      <c r="V51" s="2488"/>
      <c r="W51" s="2488"/>
      <c r="X51" s="2488"/>
      <c r="Y51" s="2488"/>
      <c r="Z51" s="2488"/>
      <c r="AA51" s="2488"/>
      <c r="AB51" s="2488"/>
      <c r="AC51" s="2488"/>
    </row>
    <row r="52" spans="1:29" ht="13.5" customHeight="1">
      <c r="A52" s="2488"/>
      <c r="B52" s="2488"/>
      <c r="C52" s="432" t="s">
        <v>1794</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500"/>
      <c r="L52" s="2496"/>
      <c r="M52" s="2488"/>
      <c r="N52" s="2488"/>
      <c r="O52" s="2488"/>
      <c r="P52" s="2488"/>
      <c r="Q52" s="2488"/>
      <c r="R52" s="2488"/>
      <c r="S52" s="2488"/>
      <c r="T52" s="2488"/>
      <c r="U52" s="2488"/>
      <c r="V52" s="2488"/>
      <c r="W52" s="2488"/>
      <c r="X52" s="2488"/>
      <c r="Y52" s="2488"/>
      <c r="Z52" s="2488"/>
      <c r="AA52" s="2488"/>
      <c r="AB52" s="2488"/>
      <c r="AC52" s="2488"/>
    </row>
    <row r="53" spans="1:29" s="437" customFormat="1" ht="13.5" customHeight="1">
      <c r="A53" s="2498"/>
      <c r="B53" s="2498"/>
      <c r="C53" s="432" t="s">
        <v>1795</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3"/>
      <c r="L53" s="2497"/>
      <c r="M53" s="2498"/>
      <c r="N53" s="2498"/>
      <c r="O53" s="2498"/>
      <c r="P53" s="2498"/>
      <c r="Q53" s="2498"/>
      <c r="R53" s="2498"/>
      <c r="S53" s="2498"/>
      <c r="T53" s="2498"/>
      <c r="U53" s="2498"/>
      <c r="V53" s="2498"/>
      <c r="W53" s="2498"/>
      <c r="X53" s="2498"/>
      <c r="Y53" s="2498"/>
      <c r="Z53" s="2498"/>
      <c r="AA53" s="2498"/>
      <c r="AB53" s="2498"/>
      <c r="AC53" s="2498"/>
    </row>
    <row r="54" spans="1:29" s="437" customFormat="1" ht="15" thickBot="1">
      <c r="A54" s="2498"/>
      <c r="B54" s="2501"/>
      <c r="C54" s="657"/>
      <c r="D54" s="655"/>
      <c r="E54" s="655"/>
      <c r="F54" s="655"/>
      <c r="G54" s="655"/>
      <c r="H54" s="655"/>
      <c r="I54" s="655"/>
      <c r="J54" s="655"/>
      <c r="K54" s="2503"/>
      <c r="L54" s="2497"/>
      <c r="M54" s="2498"/>
      <c r="N54" s="2498"/>
      <c r="O54" s="2498"/>
      <c r="P54" s="2498"/>
      <c r="Q54" s="2498"/>
      <c r="R54" s="2498"/>
      <c r="S54" s="2498"/>
      <c r="T54" s="2498"/>
      <c r="U54" s="2498"/>
      <c r="V54" s="2498"/>
      <c r="W54" s="2498"/>
      <c r="X54" s="2498"/>
      <c r="Y54" s="2498"/>
      <c r="Z54" s="2498"/>
      <c r="AA54" s="2498"/>
      <c r="AB54" s="2498"/>
      <c r="AC54" s="2498"/>
    </row>
    <row r="55" spans="1:29" ht="27" customHeight="1">
      <c r="A55" s="604" t="s">
        <v>1879</v>
      </c>
      <c r="B55" s="605" t="s">
        <v>1880</v>
      </c>
      <c r="C55" s="1831" t="s">
        <v>1881</v>
      </c>
      <c r="D55" s="1832" t="s">
        <v>1882</v>
      </c>
      <c r="E55" s="606" t="s">
        <v>1883</v>
      </c>
      <c r="F55" s="837" t="s">
        <v>1884</v>
      </c>
      <c r="G55" s="3614" t="s">
        <v>1885</v>
      </c>
      <c r="H55" s="3660"/>
      <c r="I55" s="127" t="s">
        <v>1886</v>
      </c>
      <c r="J55" s="1833">
        <f>项目基本情况!F35</f>
        <v>0</v>
      </c>
      <c r="K55" s="1834" t="s">
        <v>1887</v>
      </c>
      <c r="L55" s="2496"/>
      <c r="M55" s="2488"/>
      <c r="N55" s="2488"/>
      <c r="O55" s="2488"/>
      <c r="P55" s="2488"/>
      <c r="Q55" s="2488"/>
      <c r="R55" s="2488"/>
      <c r="S55" s="2488"/>
      <c r="T55" s="2488"/>
      <c r="U55" s="2488"/>
      <c r="V55" s="2488"/>
      <c r="W55" s="2488"/>
      <c r="X55" s="2488"/>
      <c r="Y55" s="2488"/>
      <c r="Z55" s="2488"/>
      <c r="AA55" s="2488"/>
      <c r="AB55" s="2488"/>
      <c r="AC55" s="2488"/>
    </row>
    <row r="56" spans="1:29" s="612" customFormat="1">
      <c r="A56" s="608" t="s">
        <v>1888</v>
      </c>
      <c r="B56" s="609" t="e">
        <f>C48</f>
        <v>#DIV/0!</v>
      </c>
      <c r="C56" s="610">
        <v>1</v>
      </c>
      <c r="D56" s="890">
        <v>1</v>
      </c>
      <c r="E56" s="610">
        <f>'数据-汇总表'!E8+'数据-汇总表'!E9</f>
        <v>194.07</v>
      </c>
      <c r="F56" s="833" t="e">
        <f t="shared" ref="F56:F64" si="15">ROUND(B56*E56/10000,0)</f>
        <v>#DIV/0!</v>
      </c>
      <c r="G56" s="3613"/>
      <c r="H56" s="3631"/>
      <c r="I56" s="838">
        <v>1</v>
      </c>
      <c r="J56" s="841">
        <v>1</v>
      </c>
      <c r="K56" s="2498"/>
      <c r="L56" s="2547"/>
      <c r="M56" s="2547"/>
      <c r="N56" s="2547"/>
      <c r="O56" s="2547"/>
      <c r="P56" s="2547"/>
      <c r="Q56" s="2547"/>
      <c r="R56" s="2547"/>
      <c r="S56" s="2547"/>
      <c r="T56" s="2547"/>
      <c r="U56" s="2547"/>
      <c r="V56" s="2547"/>
      <c r="W56" s="2547"/>
      <c r="X56" s="2547"/>
      <c r="Y56" s="2547"/>
      <c r="Z56" s="2547"/>
      <c r="AA56" s="2547"/>
      <c r="AB56" s="2547"/>
      <c r="AC56" s="2547"/>
    </row>
    <row r="57" spans="1:29" s="612" customFormat="1">
      <c r="A57" s="613" t="s">
        <v>1889</v>
      </c>
      <c r="B57" s="210" t="e">
        <f>ROUND($C$48*C57*D57,0)</f>
        <v>#DIV/0!</v>
      </c>
      <c r="C57" s="163">
        <f t="shared" ref="C57:C64" si="16">IF($C$55="北京市系数",I57,J57)</f>
        <v>0</v>
      </c>
      <c r="D57" s="891">
        <v>0.25</v>
      </c>
      <c r="E57" s="614"/>
      <c r="F57" s="833" t="e">
        <f t="shared" si="15"/>
        <v>#DIV/0!</v>
      </c>
      <c r="G57" s="2751" t="s">
        <v>1890</v>
      </c>
      <c r="H57" s="834">
        <f>项目基本情况!B37</f>
        <v>0</v>
      </c>
      <c r="I57" s="838">
        <f>SUMIF(修正!A57:A68,H57,修正!B57:B68)</f>
        <v>0</v>
      </c>
      <c r="J57" s="842"/>
      <c r="K57" s="2488"/>
      <c r="L57" s="2547"/>
      <c r="M57" s="2547"/>
      <c r="N57" s="2547"/>
      <c r="O57" s="2547"/>
      <c r="P57" s="2547"/>
      <c r="Q57" s="2547"/>
      <c r="R57" s="2547"/>
      <c r="S57" s="2547"/>
      <c r="T57" s="2547"/>
      <c r="U57" s="2547"/>
      <c r="V57" s="2547"/>
      <c r="W57" s="2547"/>
      <c r="X57" s="2547"/>
      <c r="Y57" s="2547"/>
      <c r="Z57" s="2547"/>
      <c r="AA57" s="2547"/>
      <c r="AB57" s="2547"/>
      <c r="AC57" s="2547"/>
    </row>
    <row r="58" spans="1:29" s="612" customFormat="1">
      <c r="A58" s="613" t="s">
        <v>1891</v>
      </c>
      <c r="B58" s="210" t="e">
        <f t="shared" ref="B58:B64" si="17">ROUND($C$48*C58*D58,0)</f>
        <v>#DIV/0!</v>
      </c>
      <c r="C58" s="163">
        <f t="shared" si="16"/>
        <v>0</v>
      </c>
      <c r="D58" s="891">
        <v>0.25</v>
      </c>
      <c r="E58" s="614"/>
      <c r="F58" s="833" t="e">
        <f t="shared" si="15"/>
        <v>#DIV/0!</v>
      </c>
      <c r="G58" s="2752"/>
      <c r="H58" s="834">
        <f>项目基本情况!B37</f>
        <v>0</v>
      </c>
      <c r="I58" s="838">
        <f>SUMIF(修正!A57:A68,H58,修正!C57:C68)</f>
        <v>0</v>
      </c>
      <c r="J58" s="842"/>
      <c r="K58" s="2498"/>
      <c r="L58" s="2547"/>
      <c r="M58" s="2547"/>
      <c r="N58" s="2547"/>
      <c r="O58" s="2547"/>
      <c r="P58" s="2547"/>
      <c r="Q58" s="2547"/>
      <c r="R58" s="2547"/>
      <c r="S58" s="2547"/>
      <c r="T58" s="2547"/>
      <c r="U58" s="2547"/>
      <c r="V58" s="2547"/>
      <c r="W58" s="2547"/>
      <c r="X58" s="2547"/>
      <c r="Y58" s="2547"/>
      <c r="Z58" s="2547"/>
      <c r="AA58" s="2547"/>
      <c r="AB58" s="2547"/>
      <c r="AC58" s="2547"/>
    </row>
    <row r="59" spans="1:29" s="612" customFormat="1">
      <c r="A59" s="613" t="s">
        <v>1892</v>
      </c>
      <c r="B59" s="210" t="e">
        <f t="shared" si="17"/>
        <v>#DIV/0!</v>
      </c>
      <c r="C59" s="163">
        <f t="shared" si="16"/>
        <v>0</v>
      </c>
      <c r="D59" s="891">
        <v>0.25</v>
      </c>
      <c r="E59" s="614"/>
      <c r="F59" s="833" t="e">
        <f t="shared" si="15"/>
        <v>#DIV/0!</v>
      </c>
      <c r="G59" s="2752"/>
      <c r="H59" s="834">
        <f>项目基本情况!B37</f>
        <v>0</v>
      </c>
      <c r="I59" s="838">
        <f>SUMIF(修正!A57:A68,H59,修正!D57:D68)</f>
        <v>0</v>
      </c>
      <c r="J59" s="842"/>
      <c r="K59" s="2488"/>
      <c r="L59" s="2547"/>
      <c r="M59" s="2547"/>
      <c r="N59" s="2547"/>
      <c r="O59" s="2547"/>
      <c r="P59" s="2547"/>
      <c r="Q59" s="2547"/>
      <c r="R59" s="2547"/>
      <c r="S59" s="2547"/>
      <c r="T59" s="2547"/>
      <c r="U59" s="2547"/>
      <c r="V59" s="2547"/>
      <c r="W59" s="2547"/>
      <c r="X59" s="2547"/>
      <c r="Y59" s="2547"/>
      <c r="Z59" s="2547"/>
      <c r="AA59" s="2547"/>
      <c r="AB59" s="2547"/>
      <c r="AC59" s="2547"/>
    </row>
    <row r="60" spans="1:29" s="612" customFormat="1">
      <c r="A60" s="613" t="s">
        <v>1893</v>
      </c>
      <c r="B60" s="210" t="e">
        <f t="shared" si="17"/>
        <v>#DIV/0!</v>
      </c>
      <c r="C60" s="163">
        <f t="shared" si="16"/>
        <v>0</v>
      </c>
      <c r="D60" s="891">
        <v>0.25</v>
      </c>
      <c r="E60" s="209">
        <f>'数据-汇总表'!E11</f>
        <v>0</v>
      </c>
      <c r="F60" s="833" t="e">
        <f t="shared" si="15"/>
        <v>#DIV/0!</v>
      </c>
      <c r="G60" s="1835" t="s">
        <v>1894</v>
      </c>
      <c r="H60" s="834">
        <f>项目基本情况!C37</f>
        <v>0</v>
      </c>
      <c r="I60" s="838">
        <f>SUMIF(修正!A57:A68,H60,修正!E57:E68)</f>
        <v>0</v>
      </c>
      <c r="J60" s="842"/>
      <c r="K60" s="2488"/>
      <c r="L60" s="2547"/>
      <c r="M60" s="2547"/>
      <c r="N60" s="2547"/>
      <c r="O60" s="2547"/>
      <c r="P60" s="2547"/>
      <c r="Q60" s="2547"/>
      <c r="R60" s="2547"/>
      <c r="S60" s="2547"/>
      <c r="T60" s="2547"/>
      <c r="U60" s="2547"/>
      <c r="V60" s="2547"/>
      <c r="W60" s="2547"/>
      <c r="X60" s="2547"/>
      <c r="Y60" s="2547"/>
      <c r="Z60" s="2547"/>
      <c r="AA60" s="2547"/>
      <c r="AB60" s="2547"/>
      <c r="AC60" s="2547"/>
    </row>
    <row r="61" spans="1:29" s="612" customFormat="1">
      <c r="A61" s="613" t="s">
        <v>1895</v>
      </c>
      <c r="B61" s="210" t="e">
        <f t="shared" si="17"/>
        <v>#DIV/0!</v>
      </c>
      <c r="C61" s="163">
        <f t="shared" si="16"/>
        <v>0</v>
      </c>
      <c r="D61" s="891">
        <v>0.25</v>
      </c>
      <c r="E61" s="209">
        <f>'数据-汇总表'!E12</f>
        <v>0</v>
      </c>
      <c r="F61" s="833" t="e">
        <f t="shared" si="15"/>
        <v>#DIV/0!</v>
      </c>
      <c r="G61" s="839" t="s">
        <v>1896</v>
      </c>
      <c r="H61" s="834">
        <f>IF(G61="商业",项目基本情况!B37,IF(G61="办公",项目基本情况!C37,IF(G61="住宅",项目基本情况!D37,项目基本情况!E37)))</f>
        <v>0</v>
      </c>
      <c r="I61" s="838">
        <f>SUMIF(修正!A57:A68,H61,修正!F57:F68)</f>
        <v>0</v>
      </c>
      <c r="J61" s="842"/>
      <c r="K61" s="2498"/>
      <c r="L61" s="2547"/>
      <c r="M61" s="2547"/>
      <c r="N61" s="2547"/>
      <c r="O61" s="2547"/>
      <c r="P61" s="2547"/>
      <c r="Q61" s="2547"/>
      <c r="R61" s="2547"/>
      <c r="S61" s="2547"/>
      <c r="T61" s="2547"/>
      <c r="U61" s="2547"/>
      <c r="V61" s="2547"/>
      <c r="W61" s="2547"/>
      <c r="X61" s="2547"/>
      <c r="Y61" s="2547"/>
      <c r="Z61" s="2547"/>
      <c r="AA61" s="2547"/>
      <c r="AB61" s="2547"/>
      <c r="AC61" s="2547"/>
    </row>
    <row r="62" spans="1:29" s="612" customFormat="1">
      <c r="A62" s="613" t="s">
        <v>1897</v>
      </c>
      <c r="B62" s="210" t="e">
        <f t="shared" si="17"/>
        <v>#DIV/0!</v>
      </c>
      <c r="C62" s="163">
        <f t="shared" si="16"/>
        <v>0</v>
      </c>
      <c r="D62" s="891">
        <v>0.25</v>
      </c>
      <c r="E62" s="209">
        <f>'数据-汇总表'!E13</f>
        <v>0</v>
      </c>
      <c r="F62" s="833" t="e">
        <f t="shared" si="15"/>
        <v>#DIV/0!</v>
      </c>
      <c r="G62" s="839" t="s">
        <v>1898</v>
      </c>
      <c r="H62" s="834">
        <f>IF(G62="商业",项目基本情况!B37,IF(G62="办公",项目基本情况!C37,IF(G62="住宅",项目基本情况!D37,项目基本情况!E37)))</f>
        <v>0</v>
      </c>
      <c r="I62" s="838">
        <f>SUMIF(修正!A57:A68,H62,修正!G57:G68)</f>
        <v>0</v>
      </c>
      <c r="J62" s="842"/>
      <c r="K62" s="2488"/>
      <c r="L62" s="2547"/>
      <c r="M62" s="2547"/>
      <c r="N62" s="2547"/>
      <c r="O62" s="2547"/>
      <c r="P62" s="2547"/>
      <c r="Q62" s="2547"/>
      <c r="R62" s="2547"/>
      <c r="S62" s="2547"/>
      <c r="T62" s="2547"/>
      <c r="U62" s="2547"/>
      <c r="V62" s="2547"/>
      <c r="W62" s="2547"/>
      <c r="X62" s="2547"/>
      <c r="Y62" s="2547"/>
      <c r="Z62" s="2547"/>
      <c r="AA62" s="2547"/>
      <c r="AB62" s="2547"/>
      <c r="AC62" s="2547"/>
    </row>
    <row r="63" spans="1:29" s="612" customFormat="1">
      <c r="A63" s="613" t="s">
        <v>1899</v>
      </c>
      <c r="B63" s="210" t="e">
        <f t="shared" si="17"/>
        <v>#DIV/0!</v>
      </c>
      <c r="C63" s="163">
        <f t="shared" si="16"/>
        <v>0</v>
      </c>
      <c r="D63" s="891">
        <v>0.25</v>
      </c>
      <c r="E63" s="209">
        <f>'数据-汇总表'!E14</f>
        <v>0</v>
      </c>
      <c r="F63" s="833" t="e">
        <f t="shared" si="15"/>
        <v>#DIV/0!</v>
      </c>
      <c r="G63" s="1835" t="s">
        <v>1890</v>
      </c>
      <c r="H63" s="834">
        <f>项目基本情况!B37</f>
        <v>0</v>
      </c>
      <c r="I63" s="838">
        <f>SUMIF(修正!A57:A68,H63,修正!G57:G68)</f>
        <v>0</v>
      </c>
      <c r="J63" s="842"/>
      <c r="K63" s="2498"/>
      <c r="L63" s="2547"/>
      <c r="M63" s="2547"/>
      <c r="N63" s="2547"/>
      <c r="O63" s="2547"/>
      <c r="P63" s="2547"/>
      <c r="Q63" s="2547"/>
      <c r="R63" s="2547"/>
      <c r="S63" s="2547"/>
      <c r="T63" s="2547"/>
      <c r="U63" s="2547"/>
      <c r="V63" s="2547"/>
      <c r="W63" s="2547"/>
      <c r="X63" s="2547"/>
      <c r="Y63" s="2547"/>
      <c r="Z63" s="2547"/>
      <c r="AA63" s="2547"/>
      <c r="AB63" s="2547"/>
      <c r="AC63" s="2547"/>
    </row>
    <row r="64" spans="1:29" s="612" customFormat="1" ht="15" thickBot="1">
      <c r="A64" s="613" t="s">
        <v>1900</v>
      </c>
      <c r="B64" s="210" t="e">
        <f t="shared" si="17"/>
        <v>#DIV/0!</v>
      </c>
      <c r="C64" s="163">
        <f t="shared" si="16"/>
        <v>0</v>
      </c>
      <c r="D64" s="891">
        <v>0.25</v>
      </c>
      <c r="E64" s="209">
        <f>'数据-汇总表'!E15</f>
        <v>0</v>
      </c>
      <c r="F64" s="833" t="e">
        <f t="shared" si="15"/>
        <v>#DIV/0!</v>
      </c>
      <c r="G64" s="1836" t="s">
        <v>1894</v>
      </c>
      <c r="H64" s="844">
        <f>项目基本情况!C37</f>
        <v>0</v>
      </c>
      <c r="I64" s="840">
        <f>SUMIF(修正!A57:A68,H64,修正!G57:G68)</f>
        <v>0</v>
      </c>
      <c r="J64" s="843"/>
      <c r="K64" s="2488"/>
      <c r="L64" s="2547"/>
      <c r="M64" s="2547"/>
      <c r="N64" s="2547"/>
      <c r="O64" s="2547"/>
      <c r="P64" s="2547"/>
      <c r="Q64" s="2547"/>
      <c r="R64" s="2547"/>
      <c r="S64" s="2547"/>
      <c r="T64" s="2547"/>
      <c r="U64" s="2547"/>
      <c r="V64" s="2547"/>
      <c r="W64" s="2547"/>
      <c r="X64" s="2547"/>
      <c r="Y64" s="2547"/>
      <c r="Z64" s="2547"/>
      <c r="AA64" s="2547"/>
      <c r="AB64" s="2547"/>
      <c r="AC64" s="2547"/>
    </row>
    <row r="65" spans="1:29" s="612" customFormat="1" ht="13.5" thickBot="1">
      <c r="A65" s="615" t="s">
        <v>1901</v>
      </c>
      <c r="B65" s="616" t="s">
        <v>22</v>
      </c>
      <c r="C65" s="616" t="s">
        <v>23</v>
      </c>
      <c r="D65" s="616" t="s">
        <v>392</v>
      </c>
      <c r="E65" s="616">
        <f>IF(B46="楼面地价",SUM(E56:E64),'数据-汇总表'!D3)</f>
        <v>194.07</v>
      </c>
      <c r="F65" s="617" t="e">
        <f>IF(B46="楼面地价",SUM(F56:F64),ROUND(C48*E65/10000,0))</f>
        <v>#DIV/0!</v>
      </c>
      <c r="G65" s="677"/>
      <c r="H65" s="677"/>
      <c r="I65" s="677"/>
      <c r="J65" s="677"/>
      <c r="K65" s="2548"/>
      <c r="L65" s="2547"/>
      <c r="M65" s="2547"/>
      <c r="N65" s="2547"/>
      <c r="O65" s="2547"/>
      <c r="P65" s="2547"/>
      <c r="Q65" s="2547"/>
      <c r="R65" s="2547"/>
      <c r="S65" s="2547"/>
      <c r="T65" s="2547"/>
      <c r="U65" s="2547"/>
      <c r="V65" s="2547"/>
      <c r="W65" s="2547"/>
      <c r="X65" s="2547"/>
      <c r="Y65" s="2547"/>
      <c r="Z65" s="2547"/>
      <c r="AA65" s="2547"/>
      <c r="AB65" s="2547"/>
      <c r="AC65" s="2547"/>
    </row>
    <row r="66" spans="1:29">
      <c r="A66" s="385"/>
      <c r="B66" s="656"/>
      <c r="C66" s="657"/>
      <c r="D66" s="385"/>
      <c r="E66" s="385"/>
      <c r="F66" s="385"/>
      <c r="G66" s="385"/>
      <c r="H66" s="385"/>
      <c r="I66" s="385"/>
      <c r="J66" s="861"/>
      <c r="K66" s="835"/>
      <c r="L66" s="836"/>
      <c r="M66" s="861"/>
      <c r="N66" s="861"/>
      <c r="O66" s="861"/>
      <c r="P66" s="2488"/>
      <c r="Q66" s="2488"/>
      <c r="R66" s="2488"/>
      <c r="S66" s="2488"/>
      <c r="T66" s="2488"/>
      <c r="U66" s="2488"/>
      <c r="V66" s="2488"/>
      <c r="W66" s="2488"/>
      <c r="X66" s="2488"/>
      <c r="Y66" s="2488"/>
      <c r="Z66" s="2488"/>
      <c r="AA66" s="2488"/>
      <c r="AB66" s="2488"/>
      <c r="AC66" s="2488"/>
    </row>
    <row r="67" spans="1:29">
      <c r="A67" s="385"/>
      <c r="B67" s="656"/>
      <c r="C67" s="656" t="str">
        <f>YEAR(C7)&amp;"-"&amp;MONTH(C7)&amp;"-1"</f>
        <v>2025-7-1</v>
      </c>
      <c r="D67" s="656">
        <f>EDATE(C67,-3)</f>
        <v>45748</v>
      </c>
      <c r="E67" s="656">
        <f>EDATE(D67,-3)</f>
        <v>45658</v>
      </c>
      <c r="F67" s="656">
        <f t="shared" ref="F67:O67" si="18">EDATE(E67,-3)</f>
        <v>45566</v>
      </c>
      <c r="G67" s="656">
        <f t="shared" si="18"/>
        <v>45474</v>
      </c>
      <c r="H67" s="656">
        <f t="shared" si="18"/>
        <v>45383</v>
      </c>
      <c r="I67" s="656">
        <f t="shared" si="18"/>
        <v>45292</v>
      </c>
      <c r="J67" s="656">
        <f t="shared" si="18"/>
        <v>45200</v>
      </c>
      <c r="K67" s="656">
        <f t="shared" si="18"/>
        <v>45108</v>
      </c>
      <c r="L67" s="656">
        <f t="shared" si="18"/>
        <v>45017</v>
      </c>
      <c r="M67" s="656">
        <f t="shared" si="18"/>
        <v>44927</v>
      </c>
      <c r="N67" s="656">
        <f t="shared" si="18"/>
        <v>44835</v>
      </c>
      <c r="O67" s="656">
        <f t="shared" si="18"/>
        <v>44743</v>
      </c>
      <c r="P67" s="2488"/>
      <c r="Q67" s="2488"/>
      <c r="R67" s="2488"/>
      <c r="S67" s="2488"/>
      <c r="T67" s="2488"/>
      <c r="U67" s="2488"/>
      <c r="V67" s="2488"/>
      <c r="W67" s="2488"/>
      <c r="X67" s="2488"/>
      <c r="Y67" s="2488"/>
      <c r="Z67" s="2488"/>
      <c r="AA67" s="2488"/>
      <c r="AB67" s="2488"/>
      <c r="AC67" s="2488"/>
    </row>
    <row r="68" spans="1:29" ht="21.75" thickBot="1">
      <c r="A68" s="658" t="s">
        <v>1796</v>
      </c>
      <c r="B68" s="385"/>
      <c r="C68" s="659"/>
      <c r="D68" s="659"/>
      <c r="E68" s="659"/>
      <c r="F68" s="660"/>
      <c r="G68" s="660"/>
      <c r="H68" s="659"/>
      <c r="I68" s="659"/>
      <c r="J68" s="886"/>
      <c r="K68" s="887"/>
      <c r="L68" s="888"/>
      <c r="M68" s="886"/>
      <c r="N68" s="2538"/>
      <c r="O68" s="2538"/>
      <c r="P68" s="2538"/>
      <c r="Q68" s="2509"/>
      <c r="R68" s="2488"/>
      <c r="S68" s="2488"/>
      <c r="T68" s="2488"/>
      <c r="U68" s="2488"/>
      <c r="V68" s="2488"/>
      <c r="W68" s="2488"/>
      <c r="X68" s="2488"/>
      <c r="Y68" s="2488"/>
      <c r="Z68" s="2488"/>
      <c r="AA68" s="2488"/>
      <c r="AB68" s="2488"/>
      <c r="AC68" s="2488"/>
    </row>
    <row r="69" spans="1:29" s="442" customFormat="1" ht="15">
      <c r="A69" s="1630" t="s">
        <v>1902</v>
      </c>
      <c r="B69" s="1046"/>
      <c r="C69" s="1101" t="str">
        <f>YEAR(C67)&amp;"-"&amp;ROUNDUP(MONTH(C67)/3,0)</f>
        <v>2025-3</v>
      </c>
      <c r="D69" s="1101" t="str">
        <f>YEAR(D67)&amp;"-"&amp;ROUNDUP(MONTH(D67)/3,0)</f>
        <v>2025-2</v>
      </c>
      <c r="E69" s="1101" t="str">
        <f t="shared" ref="E69:O69" si="19">YEAR(E67)&amp;"-"&amp;ROUNDUP(MONTH(E67)/3,0)</f>
        <v>2025-1</v>
      </c>
      <c r="F69" s="1101" t="str">
        <f t="shared" si="19"/>
        <v>2024-4</v>
      </c>
      <c r="G69" s="1101" t="str">
        <f t="shared" si="19"/>
        <v>2024-3</v>
      </c>
      <c r="H69" s="1101" t="str">
        <f t="shared" si="19"/>
        <v>2024-2</v>
      </c>
      <c r="I69" s="1101" t="str">
        <f t="shared" si="19"/>
        <v>2024-1</v>
      </c>
      <c r="J69" s="1101" t="str">
        <f t="shared" si="19"/>
        <v>2023-4</v>
      </c>
      <c r="K69" s="1101" t="str">
        <f t="shared" si="19"/>
        <v>2023-3</v>
      </c>
      <c r="L69" s="1101" t="str">
        <f t="shared" si="19"/>
        <v>2023-2</v>
      </c>
      <c r="M69" s="1101" t="str">
        <f t="shared" si="19"/>
        <v>2023-1</v>
      </c>
      <c r="N69" s="1101" t="str">
        <f t="shared" si="19"/>
        <v>2022-4</v>
      </c>
      <c r="O69" s="1101" t="str">
        <f t="shared" si="19"/>
        <v>2022-3</v>
      </c>
      <c r="P69" s="2511"/>
      <c r="Q69" s="2511"/>
      <c r="R69" s="2511"/>
      <c r="S69" s="2511"/>
      <c r="T69" s="2511"/>
      <c r="U69" s="2511"/>
      <c r="V69" s="2511"/>
      <c r="W69" s="2511"/>
      <c r="X69" s="2511"/>
      <c r="Y69" s="2511"/>
      <c r="Z69" s="2511"/>
      <c r="AA69" s="2511"/>
      <c r="AB69" s="2511"/>
      <c r="AC69" s="2511"/>
    </row>
    <row r="70" spans="1:29" s="102" customFormat="1" ht="30" customHeight="1">
      <c r="A70" s="1837" t="s">
        <v>1903</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9"/>
      <c r="Q70" s="2440"/>
      <c r="R70" s="2440"/>
      <c r="S70" s="2440"/>
      <c r="T70" s="2440"/>
      <c r="U70" s="2440"/>
      <c r="V70" s="2440"/>
      <c r="W70" s="2440"/>
      <c r="X70" s="2440"/>
      <c r="Y70" s="2440"/>
      <c r="Z70" s="2440"/>
      <c r="AA70" s="2440"/>
      <c r="AB70" s="2440"/>
      <c r="AC70" s="2440"/>
    </row>
    <row r="71" spans="1:29" s="102" customFormat="1" ht="15.75" thickBot="1">
      <c r="A71" s="449" t="s">
        <v>1714</v>
      </c>
      <c r="B71" s="450"/>
      <c r="C71" s="451"/>
      <c r="D71" s="452"/>
      <c r="E71" s="452"/>
      <c r="F71" s="452"/>
      <c r="G71" s="452"/>
      <c r="H71" s="452"/>
      <c r="I71" s="452"/>
      <c r="J71" s="452"/>
      <c r="K71" s="452"/>
      <c r="L71" s="452"/>
      <c r="M71" s="453"/>
      <c r="N71" s="452"/>
      <c r="O71" s="889"/>
      <c r="P71" s="2509"/>
      <c r="Q71" s="2509"/>
      <c r="R71" s="2440"/>
      <c r="S71" s="2440"/>
      <c r="T71" s="2440"/>
      <c r="U71" s="2440"/>
      <c r="V71" s="2440"/>
      <c r="W71" s="2440"/>
      <c r="X71" s="2440"/>
      <c r="Y71" s="2440"/>
      <c r="Z71" s="2440"/>
      <c r="AA71" s="2440"/>
      <c r="AB71" s="2440"/>
      <c r="AC71" s="2440"/>
    </row>
    <row r="72" spans="1:29" s="102" customFormat="1" ht="15">
      <c r="A72" s="455" t="s">
        <v>1679</v>
      </c>
      <c r="B72" s="444"/>
      <c r="C72" s="456" t="s">
        <v>1774</v>
      </c>
      <c r="D72" s="31"/>
      <c r="E72" s="31"/>
      <c r="F72" s="31"/>
      <c r="G72" s="31"/>
      <c r="H72" s="31"/>
      <c r="I72" s="31"/>
      <c r="J72" s="31"/>
      <c r="K72" s="31"/>
      <c r="L72" s="457"/>
      <c r="M72" s="458"/>
      <c r="N72" s="2521"/>
      <c r="O72" s="2521"/>
      <c r="P72" s="2545"/>
      <c r="Q72" s="2509"/>
      <c r="R72" s="2440"/>
      <c r="S72" s="2440"/>
      <c r="T72" s="2440"/>
      <c r="U72" s="2440"/>
      <c r="V72" s="2440"/>
      <c r="W72" s="2440"/>
      <c r="X72" s="2440"/>
      <c r="Y72" s="2440"/>
      <c r="Z72" s="2440"/>
      <c r="AA72" s="2440"/>
      <c r="AB72" s="2440"/>
      <c r="AC72" s="2440"/>
    </row>
    <row r="73" spans="1:29" s="102" customFormat="1" ht="15.75" thickBot="1">
      <c r="A73" s="455"/>
      <c r="B73" s="444"/>
      <c r="C73" s="563">
        <v>100</v>
      </c>
      <c r="D73" s="446"/>
      <c r="E73" s="446"/>
      <c r="F73" s="446"/>
      <c r="G73" s="446"/>
      <c r="H73" s="446"/>
      <c r="I73" s="446"/>
      <c r="J73" s="446"/>
      <c r="K73" s="446"/>
      <c r="L73" s="446"/>
      <c r="M73" s="448"/>
      <c r="N73" s="2521"/>
      <c r="O73" s="2521"/>
      <c r="P73" s="2509"/>
      <c r="Q73" s="2509"/>
      <c r="R73" s="2440"/>
      <c r="S73" s="2440"/>
      <c r="T73" s="2440"/>
      <c r="U73" s="2440"/>
      <c r="V73" s="2440"/>
      <c r="W73" s="2440"/>
      <c r="X73" s="2440"/>
      <c r="Y73" s="2440"/>
      <c r="Z73" s="2440"/>
      <c r="AA73" s="2440"/>
      <c r="AB73" s="2440"/>
      <c r="AC73" s="2440"/>
    </row>
    <row r="74" spans="1:29">
      <c r="A74" s="379" t="s">
        <v>1717</v>
      </c>
      <c r="B74" s="460" t="s">
        <v>1683</v>
      </c>
      <c r="C74" s="462"/>
      <c r="D74" s="462"/>
      <c r="E74" s="462"/>
      <c r="F74" s="462"/>
      <c r="G74" s="462"/>
      <c r="H74" s="462"/>
      <c r="I74" s="462"/>
      <c r="J74" s="462"/>
      <c r="K74" s="463"/>
      <c r="L74" s="464"/>
      <c r="M74" s="465"/>
      <c r="N74" s="2522"/>
      <c r="O74" s="2522"/>
      <c r="P74" s="2521"/>
      <c r="Q74" s="2509"/>
      <c r="R74" s="2488"/>
      <c r="S74" s="2488"/>
      <c r="T74" s="2488"/>
      <c r="U74" s="2488"/>
      <c r="V74" s="2488"/>
      <c r="W74" s="2488"/>
      <c r="X74" s="2488"/>
      <c r="Y74" s="2488"/>
      <c r="Z74" s="2488"/>
      <c r="AA74" s="2488"/>
      <c r="AB74" s="2488"/>
      <c r="AC74" s="2488"/>
    </row>
    <row r="75" spans="1:29" ht="15.75" thickBot="1">
      <c r="A75" s="367"/>
      <c r="B75" s="466"/>
      <c r="C75" s="467"/>
      <c r="D75" s="467"/>
      <c r="E75" s="467"/>
      <c r="F75" s="467"/>
      <c r="G75" s="467"/>
      <c r="H75" s="467"/>
      <c r="I75" s="467"/>
      <c r="J75" s="467"/>
      <c r="K75" s="467"/>
      <c r="L75" s="467"/>
      <c r="M75" s="468"/>
      <c r="N75" s="2523"/>
      <c r="O75" s="2523"/>
      <c r="P75" s="2521"/>
      <c r="Q75" s="2509"/>
      <c r="R75" s="2488"/>
      <c r="S75" s="2488"/>
      <c r="T75" s="2488"/>
      <c r="U75" s="2488"/>
      <c r="V75" s="2488"/>
      <c r="W75" s="2488"/>
      <c r="X75" s="2488"/>
      <c r="Y75" s="2488"/>
      <c r="Z75" s="2488"/>
      <c r="AA75" s="2488"/>
      <c r="AB75" s="2488"/>
      <c r="AC75" s="2488"/>
    </row>
    <row r="76" spans="1:29" ht="27.75" thickTop="1">
      <c r="A76" s="367"/>
      <c r="B76" s="469" t="s">
        <v>1686</v>
      </c>
      <c r="C76" s="470"/>
      <c r="D76" s="470"/>
      <c r="E76" s="470"/>
      <c r="F76" s="470"/>
      <c r="G76" s="470"/>
      <c r="H76" s="470"/>
      <c r="I76" s="470"/>
      <c r="J76" s="470"/>
      <c r="K76" s="471"/>
      <c r="L76" s="472"/>
      <c r="M76" s="473"/>
      <c r="N76" s="2522"/>
      <c r="O76" s="2522"/>
      <c r="P76" s="2521"/>
      <c r="Q76" s="2509"/>
      <c r="R76" s="2488"/>
      <c r="S76" s="2488"/>
      <c r="T76" s="2488"/>
      <c r="U76" s="2488"/>
      <c r="V76" s="2488"/>
      <c r="W76" s="2488"/>
      <c r="X76" s="2488"/>
      <c r="Y76" s="2488"/>
      <c r="Z76" s="2488"/>
      <c r="AA76" s="2488"/>
      <c r="AB76" s="2488"/>
      <c r="AC76" s="2488"/>
    </row>
    <row r="77" spans="1:29" ht="15.75" thickBot="1">
      <c r="A77" s="367"/>
      <c r="B77" s="474"/>
      <c r="C77" s="475"/>
      <c r="D77" s="475"/>
      <c r="E77" s="475"/>
      <c r="F77" s="475"/>
      <c r="G77" s="475"/>
      <c r="H77" s="475"/>
      <c r="I77" s="475"/>
      <c r="J77" s="475"/>
      <c r="K77" s="475"/>
      <c r="L77" s="475"/>
      <c r="M77" s="476"/>
      <c r="N77" s="2523"/>
      <c r="O77" s="2523"/>
      <c r="P77" s="2521"/>
      <c r="Q77" s="2509"/>
      <c r="R77" s="2488"/>
      <c r="S77" s="2488"/>
      <c r="T77" s="2488"/>
      <c r="U77" s="2488"/>
      <c r="V77" s="2488"/>
      <c r="W77" s="2488"/>
      <c r="X77" s="2488"/>
      <c r="Y77" s="2488"/>
      <c r="Z77" s="2488"/>
      <c r="AA77" s="2488"/>
      <c r="AB77" s="2488"/>
      <c r="AC77" s="2488"/>
    </row>
    <row r="78" spans="1:29" ht="15.75" thickTop="1">
      <c r="A78" s="367"/>
      <c r="B78" s="477" t="s">
        <v>1687</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3"/>
      <c r="O78" s="2523"/>
      <c r="P78" s="2521"/>
      <c r="Q78" s="2509"/>
      <c r="R78" s="2488"/>
      <c r="S78" s="2488"/>
      <c r="T78" s="2488"/>
      <c r="U78" s="2488"/>
      <c r="V78" s="2488"/>
      <c r="W78" s="2488"/>
      <c r="X78" s="2488"/>
      <c r="Y78" s="2488"/>
      <c r="Z78" s="2488"/>
      <c r="AA78" s="2488"/>
      <c r="AB78" s="2488"/>
      <c r="AC78" s="2488"/>
    </row>
    <row r="79" spans="1:29" ht="15">
      <c r="A79" s="367"/>
      <c r="B79" s="479"/>
      <c r="C79" s="480"/>
      <c r="D79" s="480"/>
      <c r="E79" s="480"/>
      <c r="F79" s="480"/>
      <c r="G79" s="480"/>
      <c r="H79" s="480"/>
      <c r="I79" s="480"/>
      <c r="J79" s="480"/>
      <c r="K79" s="481"/>
      <c r="L79" s="482"/>
      <c r="M79" s="483"/>
      <c r="N79" s="2522"/>
      <c r="O79" s="2522"/>
      <c r="P79" s="2521"/>
      <c r="Q79" s="2509"/>
      <c r="R79" s="2488"/>
      <c r="S79" s="2488"/>
      <c r="T79" s="2488"/>
      <c r="U79" s="2488"/>
      <c r="V79" s="2488"/>
      <c r="W79" s="2488"/>
      <c r="X79" s="2488"/>
      <c r="Y79" s="2488"/>
      <c r="Z79" s="2488"/>
      <c r="AA79" s="2488"/>
      <c r="AB79" s="2488"/>
      <c r="AC79" s="2488"/>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3"/>
      <c r="O80" s="2523"/>
      <c r="P80" s="2521"/>
      <c r="Q80" s="2509"/>
      <c r="R80" s="2488"/>
      <c r="S80" s="2488"/>
      <c r="T80" s="2488"/>
      <c r="U80" s="2488"/>
      <c r="V80" s="2488"/>
      <c r="W80" s="2488"/>
      <c r="X80" s="2488"/>
      <c r="Y80" s="2488"/>
      <c r="Z80" s="2488"/>
      <c r="AA80" s="2488"/>
      <c r="AB80" s="2488"/>
      <c r="AC80" s="2488"/>
    </row>
    <row r="81" spans="1:29" s="408" customFormat="1" ht="15.75" thickTop="1">
      <c r="A81" s="484"/>
      <c r="B81" s="469" t="str">
        <f>B12</f>
        <v>配建</v>
      </c>
      <c r="C81" s="485"/>
      <c r="D81" s="485"/>
      <c r="E81" s="485"/>
      <c r="F81" s="485"/>
      <c r="G81" s="485"/>
      <c r="H81" s="486"/>
      <c r="I81" s="486"/>
      <c r="J81" s="486"/>
      <c r="K81" s="486"/>
      <c r="L81" s="487"/>
      <c r="M81" s="488"/>
      <c r="N81" s="2524"/>
      <c r="O81" s="2524"/>
      <c r="P81" s="2524"/>
      <c r="Q81" s="2516"/>
      <c r="R81" s="2494"/>
      <c r="S81" s="2494"/>
      <c r="T81" s="2494"/>
      <c r="U81" s="2494"/>
      <c r="V81" s="2494"/>
      <c r="W81" s="2494"/>
      <c r="X81" s="2494"/>
      <c r="Y81" s="2494"/>
      <c r="Z81" s="2494"/>
      <c r="AA81" s="2494"/>
      <c r="AB81" s="2494"/>
      <c r="AC81" s="2494"/>
    </row>
    <row r="82" spans="1:29" s="408" customFormat="1" ht="15.75" thickBot="1">
      <c r="A82" s="484"/>
      <c r="B82" s="474"/>
      <c r="C82" s="491"/>
      <c r="D82" s="467"/>
      <c r="E82" s="467"/>
      <c r="F82" s="467"/>
      <c r="G82" s="467"/>
      <c r="H82" s="467"/>
      <c r="I82" s="467"/>
      <c r="J82" s="467"/>
      <c r="K82" s="467"/>
      <c r="L82" s="467"/>
      <c r="M82" s="468"/>
      <c r="N82" s="2523"/>
      <c r="O82" s="2523"/>
      <c r="P82" s="2524"/>
      <c r="Q82" s="2516"/>
      <c r="R82" s="2494"/>
      <c r="S82" s="2494"/>
      <c r="T82" s="2494"/>
      <c r="U82" s="2494"/>
      <c r="V82" s="2494"/>
      <c r="W82" s="2494"/>
      <c r="X82" s="2494"/>
      <c r="Y82" s="2494"/>
      <c r="Z82" s="2494"/>
      <c r="AA82" s="2494"/>
      <c r="AB82" s="2494"/>
      <c r="AC82" s="2494"/>
    </row>
    <row r="83" spans="1:29" s="408" customFormat="1" ht="15.75" thickTop="1">
      <c r="A83" s="484"/>
      <c r="B83" s="469">
        <f>B13</f>
        <v>111</v>
      </c>
      <c r="C83" s="485"/>
      <c r="D83" s="485"/>
      <c r="E83" s="485"/>
      <c r="F83" s="485"/>
      <c r="G83" s="485"/>
      <c r="H83" s="486"/>
      <c r="I83" s="486"/>
      <c r="J83" s="486"/>
      <c r="K83" s="486"/>
      <c r="L83" s="487"/>
      <c r="M83" s="488"/>
      <c r="N83" s="2524"/>
      <c r="O83" s="2524"/>
      <c r="P83" s="2494"/>
      <c r="Q83" s="2518"/>
      <c r="R83" s="2494"/>
      <c r="S83" s="2494"/>
      <c r="T83" s="2494"/>
      <c r="U83" s="2494"/>
      <c r="V83" s="2494"/>
      <c r="W83" s="2494"/>
      <c r="X83" s="2494"/>
      <c r="Y83" s="2494"/>
      <c r="Z83" s="2494"/>
      <c r="AA83" s="2494"/>
      <c r="AB83" s="2494"/>
      <c r="AC83" s="2494"/>
    </row>
    <row r="84" spans="1:29" s="408" customFormat="1" ht="15.75" thickBot="1">
      <c r="A84" s="484"/>
      <c r="B84" s="474"/>
      <c r="C84" s="491"/>
      <c r="D84" s="491"/>
      <c r="E84" s="491"/>
      <c r="F84" s="491"/>
      <c r="G84" s="491"/>
      <c r="H84" s="493"/>
      <c r="I84" s="493"/>
      <c r="J84" s="493"/>
      <c r="K84" s="493"/>
      <c r="L84" s="493"/>
      <c r="M84" s="494"/>
      <c r="N84" s="2524"/>
      <c r="O84" s="2524"/>
      <c r="P84" s="2524"/>
      <c r="Q84" s="2516"/>
      <c r="R84" s="2494"/>
      <c r="S84" s="2494"/>
      <c r="T84" s="2494"/>
      <c r="U84" s="2494"/>
      <c r="V84" s="2494"/>
      <c r="W84" s="2494"/>
      <c r="X84" s="2494"/>
      <c r="Y84" s="2494"/>
      <c r="Z84" s="2494"/>
      <c r="AA84" s="2494"/>
      <c r="AB84" s="2494"/>
      <c r="AC84" s="2494"/>
    </row>
    <row r="85" spans="1:29" s="408" customFormat="1" ht="15.75" thickTop="1">
      <c r="A85" s="484"/>
      <c r="B85" s="477">
        <f>B14</f>
        <v>111</v>
      </c>
      <c r="C85" s="31"/>
      <c r="D85" s="31"/>
      <c r="E85" s="31"/>
      <c r="F85" s="31"/>
      <c r="G85" s="31"/>
      <c r="H85" s="495"/>
      <c r="I85" s="495"/>
      <c r="J85" s="495"/>
      <c r="K85" s="495"/>
      <c r="L85" s="496"/>
      <c r="M85" s="497"/>
      <c r="N85" s="2524"/>
      <c r="O85" s="2524"/>
      <c r="P85" s="2549"/>
      <c r="Q85" s="2516"/>
      <c r="R85" s="2494"/>
      <c r="S85" s="2494"/>
      <c r="T85" s="2494"/>
      <c r="U85" s="2494"/>
      <c r="V85" s="2494"/>
      <c r="W85" s="2494"/>
      <c r="X85" s="2494"/>
      <c r="Y85" s="2494"/>
      <c r="Z85" s="2494"/>
      <c r="AA85" s="2494"/>
      <c r="AB85" s="2494"/>
      <c r="AC85" s="2494"/>
    </row>
    <row r="86" spans="1:29" s="408" customFormat="1" ht="15.75" thickBot="1">
      <c r="A86" s="499"/>
      <c r="B86" s="500"/>
      <c r="C86" s="501"/>
      <c r="D86" s="501"/>
      <c r="E86" s="501"/>
      <c r="F86" s="501"/>
      <c r="G86" s="501"/>
      <c r="H86" s="502"/>
      <c r="I86" s="502"/>
      <c r="J86" s="502"/>
      <c r="K86" s="502"/>
      <c r="L86" s="502"/>
      <c r="M86" s="503"/>
      <c r="N86" s="2524"/>
      <c r="O86" s="2524"/>
      <c r="P86" s="2524"/>
      <c r="Q86" s="2516"/>
      <c r="R86" s="2494"/>
      <c r="S86" s="2494"/>
      <c r="T86" s="2494"/>
      <c r="U86" s="2494"/>
      <c r="V86" s="2494"/>
      <c r="W86" s="2494"/>
      <c r="X86" s="2494"/>
      <c r="Y86" s="2494"/>
      <c r="Z86" s="2494"/>
      <c r="AA86" s="2494"/>
      <c r="AB86" s="2494"/>
      <c r="AC86" s="2494"/>
    </row>
    <row r="87" spans="1:29">
      <c r="A87" s="379" t="s">
        <v>1688</v>
      </c>
      <c r="B87" s="460" t="s">
        <v>1718</v>
      </c>
      <c r="C87" s="504" t="s">
        <v>1719</v>
      </c>
      <c r="D87" s="504" t="s">
        <v>1720</v>
      </c>
      <c r="E87" s="504" t="s">
        <v>1721</v>
      </c>
      <c r="F87" s="504" t="s">
        <v>1722</v>
      </c>
      <c r="G87" s="504" t="s">
        <v>1723</v>
      </c>
      <c r="H87" s="461"/>
      <c r="I87" s="461"/>
      <c r="J87" s="461"/>
      <c r="K87" s="505"/>
      <c r="L87" s="506"/>
      <c r="M87" s="507"/>
      <c r="N87" s="2522"/>
      <c r="O87" s="2522"/>
      <c r="P87" s="2546"/>
      <c r="Q87" s="2509"/>
      <c r="R87" s="2488"/>
      <c r="S87" s="2488"/>
      <c r="T87" s="2488"/>
      <c r="U87" s="2488"/>
      <c r="V87" s="2488"/>
      <c r="W87" s="2488"/>
      <c r="X87" s="2488"/>
      <c r="Y87" s="2488"/>
      <c r="Z87" s="2488"/>
      <c r="AA87" s="2488"/>
      <c r="AB87" s="2488"/>
      <c r="AC87" s="2488"/>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3"/>
      <c r="O88" s="2523"/>
      <c r="P88" s="2521"/>
      <c r="Q88" s="2509"/>
      <c r="R88" s="2488"/>
      <c r="S88" s="2488"/>
      <c r="T88" s="2488"/>
      <c r="U88" s="2488"/>
      <c r="V88" s="2488"/>
      <c r="W88" s="2488"/>
      <c r="X88" s="2488"/>
      <c r="Y88" s="2488"/>
      <c r="Z88" s="2488"/>
      <c r="AA88" s="2488"/>
      <c r="AB88" s="2488"/>
      <c r="AC88" s="2488"/>
    </row>
    <row r="89" spans="1:29" ht="15.75" thickTop="1">
      <c r="A89" s="367"/>
      <c r="B89" s="469" t="s">
        <v>1904</v>
      </c>
      <c r="C89" s="509" t="s">
        <v>1719</v>
      </c>
      <c r="D89" s="509" t="s">
        <v>1720</v>
      </c>
      <c r="E89" s="509" t="s">
        <v>1721</v>
      </c>
      <c r="F89" s="509" t="s">
        <v>1722</v>
      </c>
      <c r="G89" s="509" t="s">
        <v>1723</v>
      </c>
      <c r="H89" s="470"/>
      <c r="I89" s="470"/>
      <c r="J89" s="470"/>
      <c r="K89" s="471"/>
      <c r="L89" s="472"/>
      <c r="M89" s="473"/>
      <c r="N89" s="2522"/>
      <c r="O89" s="2522"/>
      <c r="P89" s="2521"/>
      <c r="Q89" s="2509"/>
      <c r="R89" s="2488"/>
      <c r="S89" s="2488"/>
      <c r="T89" s="2488"/>
      <c r="U89" s="2488"/>
      <c r="V89" s="2488"/>
      <c r="W89" s="2488"/>
      <c r="X89" s="2488"/>
      <c r="Y89" s="2488"/>
      <c r="Z89" s="2488"/>
      <c r="AA89" s="2488"/>
      <c r="AB89" s="2488"/>
      <c r="AC89" s="2488"/>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3"/>
      <c r="O90" s="2523"/>
      <c r="P90" s="2521"/>
      <c r="Q90" s="2509"/>
      <c r="R90" s="2488"/>
      <c r="S90" s="2488"/>
      <c r="T90" s="2488"/>
      <c r="U90" s="2488"/>
      <c r="V90" s="2488"/>
      <c r="W90" s="2488"/>
      <c r="X90" s="2488"/>
      <c r="Y90" s="2488"/>
      <c r="Z90" s="2488"/>
      <c r="AA90" s="2488"/>
      <c r="AB90" s="2488"/>
      <c r="AC90" s="2488"/>
    </row>
    <row r="91" spans="1:29" ht="15.75" thickTop="1">
      <c r="A91" s="367"/>
      <c r="B91" s="469" t="s">
        <v>1819</v>
      </c>
      <c r="C91" s="509" t="s">
        <v>1719</v>
      </c>
      <c r="D91" s="509" t="s">
        <v>1720</v>
      </c>
      <c r="E91" s="509" t="s">
        <v>1721</v>
      </c>
      <c r="F91" s="509" t="s">
        <v>1722</v>
      </c>
      <c r="G91" s="509" t="s">
        <v>1723</v>
      </c>
      <c r="H91" s="470"/>
      <c r="I91" s="470"/>
      <c r="J91" s="470"/>
      <c r="K91" s="471"/>
      <c r="L91" s="472"/>
      <c r="M91" s="473"/>
      <c r="N91" s="2522"/>
      <c r="O91" s="2522"/>
      <c r="P91" s="2521"/>
      <c r="Q91" s="2509"/>
      <c r="R91" s="2488"/>
      <c r="S91" s="2488"/>
      <c r="T91" s="2488"/>
      <c r="U91" s="2488"/>
      <c r="V91" s="2488"/>
      <c r="W91" s="2488"/>
      <c r="X91" s="2488"/>
      <c r="Y91" s="2488"/>
      <c r="Z91" s="2488"/>
      <c r="AA91" s="2488"/>
      <c r="AB91" s="2488"/>
      <c r="AC91" s="2488"/>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3"/>
      <c r="O92" s="2523"/>
      <c r="P92" s="2521"/>
      <c r="Q92" s="2509"/>
      <c r="R92" s="2488"/>
      <c r="S92" s="2488"/>
      <c r="T92" s="2488"/>
      <c r="U92" s="2488"/>
      <c r="V92" s="2488"/>
      <c r="W92" s="2488"/>
      <c r="X92" s="2488"/>
      <c r="Y92" s="2488"/>
      <c r="Z92" s="2488"/>
      <c r="AA92" s="2488"/>
      <c r="AB92" s="2488"/>
      <c r="AC92" s="2488"/>
    </row>
    <row r="93" spans="1:29" ht="15.75" thickTop="1">
      <c r="A93" s="367"/>
      <c r="B93" s="469" t="s">
        <v>1724</v>
      </c>
      <c r="C93" s="509" t="s">
        <v>1719</v>
      </c>
      <c r="D93" s="509" t="s">
        <v>1720</v>
      </c>
      <c r="E93" s="509" t="s">
        <v>1721</v>
      </c>
      <c r="F93" s="509" t="s">
        <v>1722</v>
      </c>
      <c r="G93" s="509" t="s">
        <v>1723</v>
      </c>
      <c r="H93" s="470"/>
      <c r="I93" s="470"/>
      <c r="J93" s="470"/>
      <c r="K93" s="471"/>
      <c r="L93" s="472"/>
      <c r="M93" s="473"/>
      <c r="N93" s="2522"/>
      <c r="O93" s="2522"/>
      <c r="P93" s="2521"/>
      <c r="Q93" s="2509"/>
      <c r="R93" s="2488"/>
      <c r="S93" s="2488"/>
      <c r="T93" s="2488"/>
      <c r="U93" s="2488"/>
      <c r="V93" s="2488"/>
      <c r="W93" s="2488"/>
      <c r="X93" s="2488"/>
      <c r="Y93" s="2488"/>
      <c r="Z93" s="2488"/>
      <c r="AA93" s="2488"/>
      <c r="AB93" s="2488"/>
      <c r="AC93" s="2488"/>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3"/>
      <c r="O94" s="2523"/>
      <c r="P94" s="2521"/>
      <c r="Q94" s="2509"/>
      <c r="R94" s="2488"/>
      <c r="S94" s="2488"/>
      <c r="T94" s="2488"/>
      <c r="U94" s="2488"/>
      <c r="V94" s="2488"/>
      <c r="W94" s="2488"/>
      <c r="X94" s="2488"/>
      <c r="Y94" s="2488"/>
      <c r="Z94" s="2488"/>
      <c r="AA94" s="2488"/>
      <c r="AB94" s="2488"/>
      <c r="AC94" s="2488"/>
    </row>
    <row r="95" spans="1:29" s="102" customFormat="1" ht="15.75" thickTop="1">
      <c r="A95" s="370"/>
      <c r="B95" s="469" t="s">
        <v>1905</v>
      </c>
      <c r="C95" s="509" t="s">
        <v>1719</v>
      </c>
      <c r="D95" s="509" t="s">
        <v>1720</v>
      </c>
      <c r="E95" s="509" t="s">
        <v>1721</v>
      </c>
      <c r="F95" s="509" t="s">
        <v>1722</v>
      </c>
      <c r="G95" s="509" t="s">
        <v>1723</v>
      </c>
      <c r="H95" s="509"/>
      <c r="I95" s="509"/>
      <c r="J95" s="509"/>
      <c r="K95" s="509"/>
      <c r="L95" s="618"/>
      <c r="M95" s="547"/>
      <c r="N95" s="2521"/>
      <c r="O95" s="2521"/>
      <c r="P95" s="2521"/>
      <c r="Q95" s="2509"/>
      <c r="R95" s="2440"/>
      <c r="S95" s="2440"/>
      <c r="T95" s="2440"/>
      <c r="U95" s="2440"/>
      <c r="V95" s="2440"/>
      <c r="W95" s="2440"/>
      <c r="X95" s="2440"/>
      <c r="Y95" s="2440"/>
      <c r="Z95" s="2440"/>
      <c r="AA95" s="2440"/>
      <c r="AB95" s="2440"/>
      <c r="AC95" s="2440"/>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3"/>
      <c r="O96" s="2523"/>
      <c r="P96" s="2521"/>
      <c r="Q96" s="2509"/>
      <c r="R96" s="2440"/>
      <c r="S96" s="2440"/>
      <c r="T96" s="2440"/>
      <c r="U96" s="2440"/>
      <c r="V96" s="2440"/>
      <c r="W96" s="2440"/>
      <c r="X96" s="2440"/>
      <c r="Y96" s="2440"/>
      <c r="Z96" s="2440"/>
      <c r="AA96" s="2440"/>
      <c r="AB96" s="2440"/>
      <c r="AC96" s="2440"/>
    </row>
    <row r="97" spans="1:29" s="102" customFormat="1" ht="27.75" thickTop="1">
      <c r="A97" s="370"/>
      <c r="B97" s="469" t="s">
        <v>1906</v>
      </c>
      <c r="C97" s="504" t="s">
        <v>1719</v>
      </c>
      <c r="D97" s="504" t="s">
        <v>1720</v>
      </c>
      <c r="E97" s="504" t="s">
        <v>1721</v>
      </c>
      <c r="F97" s="504" t="s">
        <v>1722</v>
      </c>
      <c r="G97" s="504" t="s">
        <v>1723</v>
      </c>
      <c r="H97" s="509"/>
      <c r="I97" s="509"/>
      <c r="J97" s="509"/>
      <c r="K97" s="509"/>
      <c r="L97" s="509"/>
      <c r="M97" s="547"/>
      <c r="N97" s="2521"/>
      <c r="O97" s="2521"/>
      <c r="P97" s="2521"/>
      <c r="Q97" s="2509"/>
      <c r="R97" s="2440"/>
      <c r="S97" s="2440"/>
      <c r="T97" s="2440"/>
      <c r="U97" s="2440"/>
      <c r="V97" s="2440"/>
      <c r="W97" s="2440"/>
      <c r="X97" s="2440"/>
      <c r="Y97" s="2440"/>
      <c r="Z97" s="2440"/>
      <c r="AA97" s="2440"/>
      <c r="AB97" s="2440"/>
      <c r="AC97" s="2440"/>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3"/>
      <c r="O98" s="2523"/>
      <c r="P98" s="2521"/>
      <c r="Q98" s="2509"/>
      <c r="R98" s="2440"/>
      <c r="S98" s="2440"/>
      <c r="T98" s="2440"/>
      <c r="U98" s="2440"/>
      <c r="V98" s="2440"/>
      <c r="W98" s="2440"/>
      <c r="X98" s="2440"/>
      <c r="Y98" s="2440"/>
      <c r="Z98" s="2440"/>
      <c r="AA98" s="2440"/>
      <c r="AB98" s="2440"/>
      <c r="AC98" s="2440"/>
    </row>
    <row r="99" spans="1:29" s="408" customFormat="1" ht="15.75" thickTop="1">
      <c r="A99" s="484"/>
      <c r="B99" s="469" t="s">
        <v>1776</v>
      </c>
      <c r="C99" s="504" t="s">
        <v>1719</v>
      </c>
      <c r="D99" s="504" t="s">
        <v>1720</v>
      </c>
      <c r="E99" s="504" t="s">
        <v>1721</v>
      </c>
      <c r="F99" s="504" t="s">
        <v>1722</v>
      </c>
      <c r="G99" s="504" t="s">
        <v>1723</v>
      </c>
      <c r="H99" s="527"/>
      <c r="I99" s="527"/>
      <c r="J99" s="527"/>
      <c r="K99" s="527"/>
      <c r="L99" s="528"/>
      <c r="M99" s="529"/>
      <c r="N99" s="2524"/>
      <c r="O99" s="2524"/>
      <c r="P99" s="2524"/>
      <c r="Q99" s="2516"/>
      <c r="R99" s="2494"/>
      <c r="S99" s="2494"/>
      <c r="T99" s="2494"/>
      <c r="U99" s="2494"/>
      <c r="V99" s="2494"/>
      <c r="W99" s="2494"/>
      <c r="X99" s="2494"/>
      <c r="Y99" s="2494"/>
      <c r="Z99" s="2494"/>
      <c r="AA99" s="2494"/>
      <c r="AB99" s="2494"/>
      <c r="AC99" s="2494"/>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4"/>
      <c r="O100" s="2524"/>
      <c r="P100" s="2524"/>
      <c r="Q100" s="2516"/>
      <c r="R100" s="2494"/>
      <c r="S100" s="2494"/>
      <c r="T100" s="2494"/>
      <c r="U100" s="2494"/>
      <c r="V100" s="2494"/>
      <c r="W100" s="2494"/>
      <c r="X100" s="2494"/>
      <c r="Y100" s="2494"/>
      <c r="Z100" s="2494"/>
      <c r="AA100" s="2494"/>
      <c r="AB100" s="2494"/>
      <c r="AC100" s="2494"/>
    </row>
    <row r="101" spans="1:29" s="408" customFormat="1" ht="15.75" thickTop="1">
      <c r="A101" s="484"/>
      <c r="B101" s="477" t="s">
        <v>1777</v>
      </c>
      <c r="C101" s="581" t="s">
        <v>1797</v>
      </c>
      <c r="D101" s="581" t="s">
        <v>1798</v>
      </c>
      <c r="E101" s="581" t="s">
        <v>1799</v>
      </c>
      <c r="F101" s="581" t="s">
        <v>1800</v>
      </c>
      <c r="G101" s="581" t="s">
        <v>1801</v>
      </c>
      <c r="H101" s="527"/>
      <c r="I101" s="527"/>
      <c r="J101" s="527"/>
      <c r="K101" s="527"/>
      <c r="L101" s="527"/>
      <c r="M101" s="1065"/>
      <c r="N101" s="2524"/>
      <c r="O101" s="2524"/>
      <c r="P101" s="2524"/>
      <c r="Q101" s="2516"/>
      <c r="R101" s="2494"/>
      <c r="S101" s="2494"/>
      <c r="T101" s="2494"/>
      <c r="U101" s="2494"/>
      <c r="V101" s="2494"/>
      <c r="W101" s="2494"/>
      <c r="X101" s="2494"/>
      <c r="Y101" s="2494"/>
      <c r="Z101" s="2494"/>
      <c r="AA101" s="2494"/>
      <c r="AB101" s="2494"/>
      <c r="AC101" s="2494"/>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4"/>
      <c r="O102" s="2524"/>
      <c r="P102" s="2524"/>
      <c r="Q102" s="2516"/>
      <c r="R102" s="2494"/>
      <c r="S102" s="2494"/>
      <c r="T102" s="2494"/>
      <c r="U102" s="2494"/>
      <c r="V102" s="2494"/>
      <c r="W102" s="2494"/>
      <c r="X102" s="2494"/>
      <c r="Y102" s="2494"/>
      <c r="Z102" s="2494"/>
      <c r="AA102" s="2494"/>
      <c r="AB102" s="2494"/>
      <c r="AC102" s="2494"/>
    </row>
    <row r="103" spans="1:29" ht="15.75" thickTop="1">
      <c r="A103" s="367"/>
      <c r="B103" s="469" t="str">
        <f>B31</f>
        <v>临街状况</v>
      </c>
      <c r="C103" s="470" t="s">
        <v>1907</v>
      </c>
      <c r="D103" s="470" t="s">
        <v>1908</v>
      </c>
      <c r="E103" s="470" t="s">
        <v>1909</v>
      </c>
      <c r="F103" s="470" t="s">
        <v>1910</v>
      </c>
      <c r="G103" s="470"/>
      <c r="H103" s="470"/>
      <c r="I103" s="470"/>
      <c r="J103" s="470"/>
      <c r="K103" s="471"/>
      <c r="L103" s="472"/>
      <c r="M103" s="473"/>
      <c r="N103" s="2522"/>
      <c r="O103" s="2522"/>
      <c r="P103" s="2521"/>
      <c r="Q103" s="2509"/>
      <c r="R103" s="2488"/>
      <c r="S103" s="2488"/>
      <c r="T103" s="2488"/>
      <c r="U103" s="2488"/>
      <c r="V103" s="2488"/>
      <c r="W103" s="2488"/>
      <c r="X103" s="2488"/>
      <c r="Y103" s="2488"/>
      <c r="Z103" s="2488"/>
      <c r="AA103" s="2488"/>
      <c r="AB103" s="2488"/>
      <c r="AC103" s="2488"/>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3"/>
      <c r="O104" s="2523"/>
      <c r="P104" s="2521"/>
      <c r="Q104" s="2509"/>
      <c r="R104" s="2488"/>
      <c r="S104" s="2488"/>
      <c r="T104" s="2488"/>
      <c r="U104" s="2488"/>
      <c r="V104" s="2488"/>
      <c r="W104" s="2488"/>
      <c r="X104" s="2488"/>
      <c r="Y104" s="2488"/>
      <c r="Z104" s="2488"/>
      <c r="AA104" s="2488"/>
      <c r="AB104" s="2488"/>
      <c r="AC104" s="2488"/>
    </row>
    <row r="105" spans="1:29" ht="27.75" thickTop="1">
      <c r="A105" s="367"/>
      <c r="B105" s="469" t="s">
        <v>1813</v>
      </c>
      <c r="C105" s="485"/>
      <c r="D105" s="485"/>
      <c r="E105" s="485"/>
      <c r="F105" s="485"/>
      <c r="G105" s="485"/>
      <c r="H105" s="513"/>
      <c r="I105" s="513"/>
      <c r="J105" s="513"/>
      <c r="K105" s="514"/>
      <c r="L105" s="515"/>
      <c r="M105" s="516"/>
      <c r="N105" s="2522"/>
      <c r="O105" s="2522"/>
      <c r="P105" s="2521"/>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3"/>
      <c r="O106" s="2523"/>
      <c r="P106" s="2521"/>
      <c r="Q106" s="2509"/>
      <c r="R106" s="2488"/>
      <c r="S106" s="2488"/>
      <c r="T106" s="2488"/>
      <c r="U106" s="2488"/>
      <c r="V106" s="2488"/>
      <c r="W106" s="2488"/>
      <c r="X106" s="2488"/>
      <c r="Y106" s="2488"/>
      <c r="Z106" s="2488"/>
      <c r="AA106" s="2488"/>
      <c r="AB106" s="2488"/>
      <c r="AC106" s="2488"/>
    </row>
    <row r="107" spans="1:29" ht="15.75" thickTop="1">
      <c r="A107" s="367"/>
      <c r="B107" s="469" t="s">
        <v>1871</v>
      </c>
      <c r="C107" s="513"/>
      <c r="D107" s="513"/>
      <c r="E107" s="513"/>
      <c r="F107" s="513"/>
      <c r="G107" s="513"/>
      <c r="H107" s="513"/>
      <c r="I107" s="513"/>
      <c r="J107" s="513"/>
      <c r="K107" s="514"/>
      <c r="L107" s="515"/>
      <c r="M107" s="516"/>
      <c r="N107" s="2522"/>
      <c r="O107" s="2522"/>
      <c r="P107" s="2521"/>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3"/>
      <c r="O108" s="2523"/>
      <c r="P108" s="2521"/>
      <c r="Q108" s="2509"/>
      <c r="R108" s="2488"/>
      <c r="S108" s="2488"/>
      <c r="T108" s="2488"/>
      <c r="U108" s="2488"/>
      <c r="V108" s="2488"/>
      <c r="W108" s="2488"/>
      <c r="X108" s="2488"/>
      <c r="Y108" s="2488"/>
      <c r="Z108" s="2488"/>
      <c r="AA108" s="2488"/>
      <c r="AB108" s="2488"/>
      <c r="AC108" s="2488"/>
    </row>
    <row r="109" spans="1:29" ht="15.75" thickTop="1">
      <c r="A109" s="367"/>
      <c r="B109" s="477">
        <f>B35</f>
        <v>111</v>
      </c>
      <c r="C109" s="485"/>
      <c r="D109" s="485"/>
      <c r="E109" s="485"/>
      <c r="F109" s="485"/>
      <c r="G109" s="517"/>
      <c r="H109" s="517"/>
      <c r="I109" s="517"/>
      <c r="J109" s="517"/>
      <c r="K109" s="518"/>
      <c r="L109" s="519"/>
      <c r="M109" s="520"/>
      <c r="N109" s="2522"/>
      <c r="O109" s="2522"/>
      <c r="P109" s="2521"/>
      <c r="Q109" s="2509"/>
      <c r="R109" s="2488"/>
      <c r="S109" s="2488"/>
      <c r="T109" s="2488"/>
      <c r="U109" s="2488"/>
      <c r="V109" s="2488"/>
      <c r="W109" s="2488"/>
      <c r="X109" s="2488"/>
      <c r="Y109" s="2488"/>
      <c r="Z109" s="2488"/>
      <c r="AA109" s="2488"/>
      <c r="AB109" s="2488"/>
      <c r="AC109" s="2488"/>
    </row>
    <row r="110" spans="1:29" ht="15.75" thickBot="1">
      <c r="A110" s="367"/>
      <c r="B110" s="500"/>
      <c r="C110" s="491"/>
      <c r="D110" s="491"/>
      <c r="E110" s="491"/>
      <c r="F110" s="491"/>
      <c r="G110" s="521"/>
      <c r="H110" s="521"/>
      <c r="I110" s="521"/>
      <c r="J110" s="521"/>
      <c r="K110" s="521"/>
      <c r="L110" s="521"/>
      <c r="M110" s="522"/>
      <c r="N110" s="2523"/>
      <c r="O110" s="2523"/>
      <c r="P110" s="2521"/>
      <c r="Q110" s="2509"/>
      <c r="R110" s="2488"/>
      <c r="S110" s="2488"/>
      <c r="T110" s="2488"/>
      <c r="U110" s="2488"/>
      <c r="V110" s="2488"/>
      <c r="W110" s="2488"/>
      <c r="X110" s="2488"/>
      <c r="Y110" s="2488"/>
      <c r="Z110" s="2488"/>
      <c r="AA110" s="2488"/>
      <c r="AB110" s="2488"/>
      <c r="AC110" s="2488"/>
    </row>
    <row r="111" spans="1:29" ht="15" thickTop="1">
      <c r="A111" s="595"/>
      <c r="B111" s="469">
        <f>B36</f>
        <v>111</v>
      </c>
      <c r="C111" s="31"/>
      <c r="D111" s="31"/>
      <c r="E111" s="31"/>
      <c r="F111" s="31"/>
      <c r="G111" s="513"/>
      <c r="H111" s="513"/>
      <c r="I111" s="513"/>
      <c r="J111" s="513"/>
      <c r="K111" s="514"/>
      <c r="L111" s="515"/>
      <c r="M111" s="516"/>
      <c r="N111" s="2522"/>
      <c r="O111" s="2522"/>
      <c r="P111" s="2521"/>
      <c r="Q111" s="2509"/>
      <c r="R111" s="2488"/>
      <c r="S111" s="2488"/>
      <c r="T111" s="2488"/>
      <c r="U111" s="2488"/>
      <c r="V111" s="2488"/>
      <c r="W111" s="2488"/>
      <c r="X111" s="2488"/>
      <c r="Y111" s="2488"/>
      <c r="Z111" s="2488"/>
      <c r="AA111" s="2488"/>
      <c r="AB111" s="2488"/>
      <c r="AC111" s="2488"/>
    </row>
    <row r="112" spans="1:29" ht="15.75" thickBot="1">
      <c r="A112" s="367"/>
      <c r="B112" s="474"/>
      <c r="C112" s="501"/>
      <c r="D112" s="501"/>
      <c r="E112" s="501"/>
      <c r="F112" s="501"/>
      <c r="G112" s="467"/>
      <c r="H112" s="467"/>
      <c r="I112" s="467"/>
      <c r="J112" s="467"/>
      <c r="K112" s="467"/>
      <c r="L112" s="467"/>
      <c r="M112" s="468"/>
      <c r="N112" s="2523"/>
      <c r="O112" s="2523"/>
      <c r="P112" s="2521"/>
      <c r="Q112" s="2509"/>
      <c r="R112" s="2488"/>
      <c r="S112" s="2488"/>
      <c r="T112" s="2488"/>
      <c r="U112" s="2488"/>
      <c r="V112" s="2488"/>
      <c r="W112" s="2488"/>
      <c r="X112" s="2488"/>
      <c r="Y112" s="2488"/>
      <c r="Z112" s="2488"/>
      <c r="AA112" s="2488"/>
      <c r="AB112" s="2488"/>
      <c r="AC112" s="2488"/>
    </row>
    <row r="113" spans="1:29" s="408" customFormat="1" ht="15" thickTop="1">
      <c r="A113" s="406"/>
      <c r="B113" s="523">
        <f>B37</f>
        <v>111</v>
      </c>
      <c r="C113" s="6"/>
      <c r="D113" s="6"/>
      <c r="E113" s="6"/>
      <c r="F113" s="6"/>
      <c r="G113" s="6"/>
      <c r="H113" s="6"/>
      <c r="I113" s="6"/>
      <c r="J113" s="524"/>
      <c r="K113" s="524"/>
      <c r="L113" s="525"/>
      <c r="M113" s="526"/>
      <c r="N113" s="2524"/>
      <c r="O113" s="2524"/>
      <c r="P113" s="2524"/>
      <c r="Q113" s="2516"/>
      <c r="R113" s="2494"/>
      <c r="S113" s="2494"/>
      <c r="T113" s="2494"/>
      <c r="U113" s="2494"/>
      <c r="V113" s="2494"/>
      <c r="W113" s="2494"/>
      <c r="X113" s="2494"/>
      <c r="Y113" s="2494"/>
      <c r="Z113" s="2494"/>
      <c r="AA113" s="2494"/>
      <c r="AB113" s="2494"/>
      <c r="AC113" s="2494"/>
    </row>
    <row r="114" spans="1:29" s="408" customFormat="1" ht="15.75" thickBot="1">
      <c r="A114" s="484"/>
      <c r="B114" s="477"/>
      <c r="C114" s="446"/>
      <c r="D114" s="597"/>
      <c r="E114" s="597"/>
      <c r="F114" s="597"/>
      <c r="G114" s="597"/>
      <c r="H114" s="597"/>
      <c r="I114" s="597"/>
      <c r="J114" s="597"/>
      <c r="K114" s="597"/>
      <c r="L114" s="597"/>
      <c r="M114" s="619"/>
      <c r="N114" s="2523"/>
      <c r="O114" s="2523"/>
      <c r="P114" s="2524"/>
      <c r="Q114" s="2516"/>
      <c r="R114" s="2494"/>
      <c r="S114" s="2494"/>
      <c r="T114" s="2494"/>
      <c r="U114" s="2494"/>
      <c r="V114" s="2494"/>
      <c r="W114" s="2494"/>
      <c r="X114" s="2494"/>
      <c r="Y114" s="2494"/>
      <c r="Z114" s="2494"/>
      <c r="AA114" s="2494"/>
      <c r="AB114" s="2494"/>
      <c r="AC114" s="2494"/>
    </row>
    <row r="115" spans="1:29">
      <c r="A115" s="379" t="s">
        <v>1692</v>
      </c>
      <c r="B115" s="460" t="s">
        <v>1911</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2"/>
      <c r="O115" s="2522"/>
      <c r="P115" s="2521"/>
      <c r="Q115" s="2509"/>
      <c r="R115" s="2488"/>
      <c r="S115" s="2488"/>
      <c r="T115" s="2488"/>
      <c r="U115" s="2488"/>
      <c r="V115" s="2488"/>
      <c r="W115" s="2488"/>
      <c r="X115" s="2488"/>
      <c r="Y115" s="2488"/>
      <c r="Z115" s="2488"/>
      <c r="AA115" s="2488"/>
      <c r="AB115" s="2488"/>
      <c r="AC115" s="2488"/>
    </row>
    <row r="116" spans="1:29" ht="15">
      <c r="A116" s="367"/>
      <c r="B116" s="477"/>
      <c r="C116" s="6"/>
      <c r="D116" s="6"/>
      <c r="E116" s="6"/>
      <c r="F116" s="6"/>
      <c r="G116" s="6"/>
      <c r="H116" s="6"/>
      <c r="I116" s="6"/>
      <c r="J116" s="524"/>
      <c r="K116" s="524"/>
      <c r="L116" s="525"/>
      <c r="M116" s="526"/>
      <c r="N116" s="2522"/>
      <c r="O116" s="2522"/>
      <c r="P116" s="2521"/>
      <c r="Q116" s="2509"/>
      <c r="R116" s="2488"/>
      <c r="S116" s="2488"/>
      <c r="T116" s="2488"/>
      <c r="U116" s="2488"/>
      <c r="V116" s="2488"/>
      <c r="W116" s="2488"/>
      <c r="X116" s="2488"/>
      <c r="Y116" s="2488"/>
      <c r="Z116" s="2488"/>
      <c r="AA116" s="2488"/>
      <c r="AB116" s="2488"/>
      <c r="AC116" s="2488"/>
    </row>
    <row r="117" spans="1:29" ht="15.75" thickBot="1">
      <c r="A117" s="367"/>
      <c r="B117" s="474"/>
      <c r="C117" s="501"/>
      <c r="D117" s="521"/>
      <c r="E117" s="521"/>
      <c r="F117" s="521"/>
      <c r="G117" s="521"/>
      <c r="H117" s="521"/>
      <c r="I117" s="521"/>
      <c r="J117" s="521"/>
      <c r="K117" s="521"/>
      <c r="L117" s="521"/>
      <c r="M117" s="522"/>
      <c r="N117" s="2523"/>
      <c r="O117" s="2523"/>
      <c r="P117" s="2521"/>
      <c r="Q117" s="2509"/>
      <c r="R117" s="2488"/>
      <c r="S117" s="2488"/>
      <c r="T117" s="2488"/>
      <c r="U117" s="2488"/>
      <c r="V117" s="2488"/>
      <c r="W117" s="2488"/>
      <c r="X117" s="2488"/>
      <c r="Y117" s="2488"/>
      <c r="Z117" s="2488"/>
      <c r="AA117" s="2488"/>
      <c r="AB117" s="2488"/>
      <c r="AC117" s="2488"/>
    </row>
    <row r="118" spans="1:29" ht="15" thickTop="1">
      <c r="A118" s="409"/>
      <c r="B118" s="469" t="s">
        <v>1912</v>
      </c>
      <c r="C118" s="513"/>
      <c r="D118" s="513"/>
      <c r="E118" s="513"/>
      <c r="F118" s="513"/>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3"/>
      <c r="O119" s="2523"/>
      <c r="P119" s="2521"/>
      <c r="Q119" s="2509"/>
      <c r="R119" s="2488"/>
      <c r="S119" s="2488"/>
      <c r="T119" s="2488"/>
      <c r="U119" s="2488"/>
      <c r="V119" s="2488"/>
      <c r="W119" s="2488"/>
      <c r="X119" s="2488"/>
      <c r="Y119" s="2488"/>
      <c r="Z119" s="2488"/>
      <c r="AA119" s="2488"/>
      <c r="AB119" s="2488"/>
      <c r="AC119" s="2488"/>
    </row>
    <row r="120" spans="1:29" ht="15" thickTop="1">
      <c r="A120" s="409"/>
      <c r="B120" s="469" t="s">
        <v>1913</v>
      </c>
      <c r="C120" s="485"/>
      <c r="D120" s="485"/>
      <c r="E120" s="485"/>
      <c r="F120" s="513"/>
      <c r="G120" s="513"/>
      <c r="H120" s="513"/>
      <c r="I120" s="513"/>
      <c r="J120" s="513"/>
      <c r="K120" s="514"/>
      <c r="L120" s="515"/>
      <c r="M120" s="516"/>
      <c r="N120" s="2522"/>
      <c r="O120" s="2522"/>
      <c r="P120" s="2521"/>
      <c r="Q120" s="2509"/>
      <c r="R120" s="2488"/>
      <c r="S120" s="2488"/>
      <c r="T120" s="2488"/>
      <c r="U120" s="2488"/>
      <c r="V120" s="2488"/>
      <c r="W120" s="2488"/>
      <c r="X120" s="2488"/>
      <c r="Y120" s="2488"/>
      <c r="Z120" s="2488"/>
      <c r="AA120" s="2488"/>
      <c r="AB120" s="2488"/>
      <c r="AC120" s="2488"/>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3"/>
      <c r="O121" s="2523"/>
      <c r="P121" s="2521"/>
      <c r="Q121" s="2509"/>
      <c r="R121" s="2488"/>
      <c r="S121" s="2488"/>
      <c r="T121" s="2488"/>
      <c r="U121" s="2488"/>
      <c r="V121" s="2488"/>
      <c r="W121" s="2488"/>
      <c r="X121" s="2488"/>
      <c r="Y121" s="2488"/>
      <c r="Z121" s="2488"/>
      <c r="AA121" s="2488"/>
      <c r="AB121" s="2488"/>
      <c r="AC121" s="2488"/>
    </row>
    <row r="122" spans="1:29" s="408" customFormat="1" ht="15" thickTop="1">
      <c r="A122" s="406"/>
      <c r="B122" s="469" t="s">
        <v>1914</v>
      </c>
      <c r="C122" s="485"/>
      <c r="D122" s="485"/>
      <c r="E122" s="485"/>
      <c r="F122" s="485"/>
      <c r="G122" s="485"/>
      <c r="H122" s="513"/>
      <c r="I122" s="513"/>
      <c r="J122" s="513"/>
      <c r="K122" s="514"/>
      <c r="L122" s="515"/>
      <c r="M122" s="516"/>
      <c r="N122" s="2524"/>
      <c r="O122" s="2524"/>
      <c r="P122" s="2524"/>
      <c r="Q122" s="2516"/>
      <c r="R122" s="2494"/>
      <c r="S122" s="2494"/>
      <c r="T122" s="2494"/>
      <c r="U122" s="2494"/>
      <c r="V122" s="2494"/>
      <c r="W122" s="2494"/>
      <c r="X122" s="2494"/>
      <c r="Y122" s="2494"/>
      <c r="Z122" s="2494"/>
      <c r="AA122" s="2494"/>
      <c r="AB122" s="2494"/>
      <c r="AC122" s="2494"/>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4"/>
      <c r="O123" s="2524"/>
      <c r="P123" s="2524"/>
      <c r="Q123" s="2516"/>
      <c r="R123" s="2494"/>
      <c r="S123" s="2494"/>
      <c r="T123" s="2494"/>
      <c r="U123" s="2494"/>
      <c r="V123" s="2494"/>
      <c r="W123" s="2494"/>
      <c r="X123" s="2494"/>
      <c r="Y123" s="2494"/>
      <c r="Z123" s="2494"/>
      <c r="AA123" s="2494"/>
      <c r="AB123" s="2494"/>
      <c r="AC123" s="2494"/>
    </row>
    <row r="124" spans="1:29" ht="15" thickTop="1">
      <c r="A124" s="409"/>
      <c r="B124" s="469" t="s">
        <v>1915</v>
      </c>
      <c r="C124" s="485"/>
      <c r="D124" s="485"/>
      <c r="E124" s="513"/>
      <c r="F124" s="513"/>
      <c r="G124" s="513"/>
      <c r="H124" s="513"/>
      <c r="I124" s="513"/>
      <c r="J124" s="513"/>
      <c r="K124" s="514"/>
      <c r="L124" s="515"/>
      <c r="M124" s="516"/>
      <c r="N124" s="2522"/>
      <c r="O124" s="2522"/>
      <c r="P124" s="2521"/>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3"/>
      <c r="O125" s="2523"/>
      <c r="P125" s="2521"/>
      <c r="Q125" s="2509"/>
      <c r="R125" s="2488"/>
      <c r="S125" s="2488"/>
      <c r="T125" s="2488"/>
      <c r="U125" s="2488"/>
      <c r="V125" s="2488"/>
      <c r="W125" s="2488"/>
      <c r="X125" s="2488"/>
      <c r="Y125" s="2488"/>
      <c r="Z125" s="2488"/>
      <c r="AA125" s="2488"/>
      <c r="AB125" s="2488"/>
      <c r="AC125" s="2488"/>
    </row>
    <row r="126" spans="1:29" ht="15" thickTop="1">
      <c r="A126" s="409"/>
      <c r="B126" s="469">
        <f>B43</f>
        <v>111</v>
      </c>
      <c r="C126" s="485"/>
      <c r="D126" s="485"/>
      <c r="E126" s="485"/>
      <c r="F126" s="485"/>
      <c r="G126" s="485"/>
      <c r="H126" s="513"/>
      <c r="I126" s="513"/>
      <c r="J126" s="513"/>
      <c r="K126" s="514"/>
      <c r="L126" s="515"/>
      <c r="M126" s="516"/>
      <c r="N126" s="2522"/>
      <c r="O126" s="2522"/>
      <c r="P126" s="2521"/>
      <c r="Q126" s="2509"/>
      <c r="R126" s="2488"/>
      <c r="S126" s="2488"/>
      <c r="T126" s="2488"/>
      <c r="U126" s="2488"/>
      <c r="V126" s="2488"/>
      <c r="W126" s="2488"/>
      <c r="X126" s="2488"/>
      <c r="Y126" s="2488"/>
      <c r="Z126" s="2488"/>
      <c r="AA126" s="2488"/>
      <c r="AB126" s="2488"/>
      <c r="AC126" s="2488"/>
    </row>
    <row r="127" spans="1:29" ht="15.75" thickBot="1">
      <c r="A127" s="367"/>
      <c r="B127" s="474"/>
      <c r="C127" s="491"/>
      <c r="D127" s="491"/>
      <c r="E127" s="491"/>
      <c r="F127" s="491"/>
      <c r="G127" s="467"/>
      <c r="H127" s="467"/>
      <c r="I127" s="467"/>
      <c r="J127" s="467"/>
      <c r="K127" s="467"/>
      <c r="L127" s="467"/>
      <c r="M127" s="468"/>
      <c r="N127" s="2523"/>
      <c r="O127" s="2523"/>
      <c r="P127" s="2521"/>
      <c r="Q127" s="2509"/>
      <c r="R127" s="2488"/>
      <c r="S127" s="2488"/>
      <c r="T127" s="2488"/>
      <c r="U127" s="2488"/>
      <c r="V127" s="2488"/>
      <c r="W127" s="2488"/>
      <c r="X127" s="2488"/>
      <c r="Y127" s="2488"/>
      <c r="Z127" s="2488"/>
      <c r="AA127" s="2488"/>
      <c r="AB127" s="2488"/>
      <c r="AC127" s="2488"/>
    </row>
    <row r="128" spans="1:29" ht="15" thickTop="1">
      <c r="A128" s="409"/>
      <c r="B128" s="469">
        <f>B44</f>
        <v>111</v>
      </c>
      <c r="C128" s="31"/>
      <c r="D128" s="31"/>
      <c r="E128" s="31"/>
      <c r="F128" s="31"/>
      <c r="G128" s="513"/>
      <c r="H128" s="513"/>
      <c r="I128" s="513"/>
      <c r="J128" s="513"/>
      <c r="K128" s="514"/>
      <c r="L128" s="515"/>
      <c r="M128" s="516"/>
      <c r="N128" s="2522"/>
      <c r="O128" s="2522"/>
      <c r="P128" s="2521"/>
      <c r="Q128" s="2509"/>
      <c r="R128" s="2488"/>
      <c r="S128" s="2488"/>
      <c r="T128" s="2488"/>
      <c r="U128" s="2488"/>
      <c r="V128" s="2488"/>
      <c r="W128" s="2488"/>
      <c r="X128" s="2488"/>
      <c r="Y128" s="2488"/>
      <c r="Z128" s="2488"/>
      <c r="AA128" s="2488"/>
      <c r="AB128" s="2488"/>
      <c r="AC128" s="2488"/>
    </row>
    <row r="129" spans="1:29" ht="15.75" thickBot="1">
      <c r="A129" s="367"/>
      <c r="B129" s="474"/>
      <c r="C129" s="501"/>
      <c r="D129" s="501"/>
      <c r="E129" s="501"/>
      <c r="F129" s="501"/>
      <c r="G129" s="467"/>
      <c r="H129" s="467"/>
      <c r="I129" s="467"/>
      <c r="J129" s="467"/>
      <c r="K129" s="467"/>
      <c r="L129" s="467"/>
      <c r="M129" s="468"/>
      <c r="N129" s="2523"/>
      <c r="O129" s="2523"/>
      <c r="P129" s="2521"/>
      <c r="Q129" s="2509"/>
      <c r="R129" s="2488"/>
      <c r="S129" s="2488"/>
      <c r="T129" s="2488"/>
      <c r="U129" s="2488"/>
      <c r="V129" s="2488"/>
      <c r="W129" s="2488"/>
      <c r="X129" s="2488"/>
      <c r="Y129" s="2488"/>
      <c r="Z129" s="2488"/>
      <c r="AA129" s="2488"/>
      <c r="AB129" s="2488"/>
      <c r="AC129" s="2488"/>
    </row>
    <row r="130" spans="1:29" s="408" customFormat="1" ht="15" thickTop="1">
      <c r="A130" s="406"/>
      <c r="B130" s="469">
        <f>B45</f>
        <v>111</v>
      </c>
      <c r="C130" s="31"/>
      <c r="D130" s="31"/>
      <c r="E130" s="31"/>
      <c r="F130" s="31"/>
      <c r="G130" s="486"/>
      <c r="H130" s="486"/>
      <c r="I130" s="486"/>
      <c r="J130" s="486"/>
      <c r="K130" s="486"/>
      <c r="L130" s="487"/>
      <c r="M130" s="488"/>
      <c r="N130" s="2524"/>
      <c r="O130" s="2524"/>
      <c r="P130" s="2524"/>
      <c r="Q130" s="2516"/>
      <c r="R130" s="2494"/>
      <c r="S130" s="2494"/>
      <c r="T130" s="2494"/>
      <c r="U130" s="2494"/>
      <c r="V130" s="2494"/>
      <c r="W130" s="2494"/>
      <c r="X130" s="2494"/>
      <c r="Y130" s="2494"/>
      <c r="Z130" s="2494"/>
      <c r="AA130" s="2494"/>
      <c r="AB130" s="2494"/>
      <c r="AC130" s="2494"/>
    </row>
    <row r="131" spans="1:29" s="408" customFormat="1" ht="15.75" thickBot="1">
      <c r="A131" s="499"/>
      <c r="B131" s="620"/>
      <c r="C131" s="501"/>
      <c r="D131" s="501"/>
      <c r="E131" s="501"/>
      <c r="F131" s="501"/>
      <c r="G131" s="521"/>
      <c r="H131" s="521"/>
      <c r="I131" s="521"/>
      <c r="J131" s="521"/>
      <c r="K131" s="521"/>
      <c r="L131" s="521"/>
      <c r="M131" s="522"/>
      <c r="N131" s="2524"/>
      <c r="O131" s="2524"/>
      <c r="P131" s="2524"/>
      <c r="Q131" s="2516"/>
      <c r="R131" s="2494"/>
      <c r="S131" s="2494"/>
      <c r="T131" s="2494"/>
      <c r="U131" s="2494"/>
      <c r="V131" s="2494"/>
      <c r="W131" s="2494"/>
      <c r="X131" s="2494"/>
      <c r="Y131" s="2494"/>
      <c r="Z131" s="2494"/>
      <c r="AA131" s="2494"/>
      <c r="AB131" s="2494"/>
      <c r="AC131" s="2494"/>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51">
    <cfRule type="expression" dxfId="41" priority="13" stopIfTrue="1">
      <formula>$F$51="超过30%"</formula>
    </cfRule>
  </conditionalFormatting>
  <conditionalFormatting sqref="E52">
    <cfRule type="expression" dxfId="40" priority="11" stopIfTrue="1">
      <formula>$F$52="超过20%"</formula>
    </cfRule>
  </conditionalFormatting>
  <conditionalFormatting sqref="E53">
    <cfRule type="expression" dxfId="39" priority="10" stopIfTrue="1">
      <formula>$F$53="超过30%"</formula>
    </cfRule>
  </conditionalFormatting>
  <conditionalFormatting sqref="F7:F45 H7:H45 J7:J45">
    <cfRule type="cellIs" dxfId="38" priority="1" operator="notEqual">
      <formula>100</formula>
    </cfRule>
  </conditionalFormatting>
  <conditionalFormatting sqref="F47">
    <cfRule type="expression" dxfId="37" priority="4">
      <formula>$D$47="简单平均"</formula>
    </cfRule>
  </conditionalFormatting>
  <conditionalFormatting sqref="F51:F53 H51:H53 J51:J53">
    <cfRule type="containsText" dxfId="36" priority="14" stopIfTrue="1" operator="containsText" text="超过">
      <formula>NOT(ISERROR(SEARCH("超过",F51)))</formula>
    </cfRule>
  </conditionalFormatting>
  <conditionalFormatting sqref="G51">
    <cfRule type="expression" dxfId="35" priority="9" stopIfTrue="1">
      <formula>$H$53+$H$51="超过30%"</formula>
    </cfRule>
  </conditionalFormatting>
  <conditionalFormatting sqref="G52">
    <cfRule type="expression" dxfId="34" priority="8" stopIfTrue="1">
      <formula>$H$52="超过20%"</formula>
    </cfRule>
  </conditionalFormatting>
  <conditionalFormatting sqref="G53">
    <cfRule type="expression" dxfId="33" priority="12" stopIfTrue="1">
      <formula>$H$53="超过30%"</formula>
    </cfRule>
  </conditionalFormatting>
  <conditionalFormatting sqref="H47">
    <cfRule type="expression" dxfId="32" priority="3">
      <formula>$D$47="简单平均"</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J47">
    <cfRule type="expression" dxfId="28" priority="2">
      <formula>$D$47="简单平均"</formula>
    </cfRule>
  </conditionalFormatting>
  <dataValidations count="25">
    <dataValidation type="list" allowBlank="1" showInputMessage="1" showErrorMessage="1" sqref="C25" xr:uid="{00000000-0002-0000-1E00-000000000000}">
      <formula1>住宅朝向</formula1>
    </dataValidation>
    <dataValidation type="list" allowBlank="1" showInputMessage="1" showErrorMessage="1" sqref="E28 C28 G28 I28" xr:uid="{00000000-0002-0000-1E00-000001000000}">
      <formula1>公共配套设施</formula1>
    </dataValidation>
    <dataValidation type="list" allowBlank="1" showInputMessage="1" showErrorMessage="1" sqref="E22 C22 G22 I22" xr:uid="{00000000-0002-0000-1E00-000002000000}">
      <formula1>交通便捷度</formula1>
    </dataValidation>
    <dataValidation type="list" allowBlank="1" showInputMessage="1" showErrorMessage="1" sqref="E16 G16 I16 C16" xr:uid="{00000000-0002-0000-1E00-000003000000}">
      <formula1>居住社区成熟度</formula1>
    </dataValidation>
    <dataValidation type="list" allowBlank="1" showInputMessage="1" showErrorMessage="1" sqref="C26 E26 G26 I26" xr:uid="{00000000-0002-0000-1E00-000004000000}">
      <formula1>环境</formula1>
    </dataValidation>
    <dataValidation type="list" allowBlank="1" showInputMessage="1" showErrorMessage="1" sqref="B46" xr:uid="{00000000-0002-0000-1E00-000005000000}">
      <formula1>单价内涵</formula1>
    </dataValidation>
    <dataValidation type="list" allowBlank="1" showInputMessage="1" showErrorMessage="1" sqref="C8 E8 G8 I8" xr:uid="{00000000-0002-0000-1E00-000006000000}">
      <formula1>套综交易情况</formula1>
    </dataValidation>
    <dataValidation type="list" allowBlank="1" showInputMessage="1" showErrorMessage="1" sqref="C9 E9 G9 I9" xr:uid="{00000000-0002-0000-1E00-000007000000}">
      <formula1>套综用途</formula1>
    </dataValidation>
    <dataValidation type="list" allowBlank="1" showInputMessage="1" showErrorMessage="1" sqref="E18 C18 G18 I18" xr:uid="{00000000-0002-0000-1E00-000008000000}">
      <formula1>商业繁华度</formula1>
    </dataValidation>
    <dataValidation type="list" allowBlank="1" showInputMessage="1" showErrorMessage="1" sqref="E20 C20 G20 I20" xr:uid="{00000000-0002-0000-1E00-000009000000}">
      <formula1>办公集聚程度</formula1>
    </dataValidation>
    <dataValidation type="list" allowBlank="1" showInputMessage="1" showErrorMessage="1" sqref="C33 E33 G33 I33" xr:uid="{00000000-0002-0000-1E00-00000A000000}">
      <formula1>套综道路等级</formula1>
    </dataValidation>
    <dataValidation type="list" allowBlank="1" showInputMessage="1" showErrorMessage="1" sqref="C34 E34 G34 I34" xr:uid="{00000000-0002-0000-1E00-00000B000000}">
      <formula1>套综土地级别</formula1>
    </dataValidation>
    <dataValidation type="list" allowBlank="1" showInputMessage="1" showErrorMessage="1" sqref="C39 E39 G39 I39" xr:uid="{00000000-0002-0000-1E00-00000C000000}">
      <formula1>套综宗地形状</formula1>
    </dataValidation>
    <dataValidation type="list" allowBlank="1" showInputMessage="1" showErrorMessage="1" sqref="C40 E40 G40 I40" xr:uid="{00000000-0002-0000-1E00-00000D000000}">
      <formula1>套综临街宽度及深度</formula1>
    </dataValidation>
    <dataValidation type="list" allowBlank="1" showInputMessage="1" showErrorMessage="1" sqref="C41 E41 G41 I41" xr:uid="{00000000-0002-0000-1E00-00000E000000}">
      <formula1>套综宗地内开发程度</formula1>
    </dataValidation>
    <dataValidation type="list" allowBlank="1" showInputMessage="1" showErrorMessage="1" sqref="C42 E42 G42 I42" xr:uid="{00000000-0002-0000-1E00-00000F000000}">
      <formula1>套综工程地质条件</formula1>
    </dataValidation>
    <dataValidation type="list" allowBlank="1" showInputMessage="1" showErrorMessage="1" sqref="C31 E31 G31 I31" xr:uid="{00000000-0002-0000-1E00-000010000000}">
      <formula1>临街状况</formula1>
    </dataValidation>
    <dataValidation type="list" allowBlank="1" showInputMessage="1" showErrorMessage="1" sqref="E24 G24 I24 C24" xr:uid="{00000000-0002-0000-1E00-000011000000}">
      <formula1>区域土地利用方向</formula1>
    </dataValidation>
    <dataValidation type="list" allowBlank="1" showInputMessage="1" showErrorMessage="1" sqref="C55" xr:uid="{00000000-0002-0000-1E00-000012000000}">
      <formula1>"北京市系数,其他省市系数"</formula1>
    </dataValidation>
    <dataValidation type="list" allowBlank="1" showInputMessage="1" showErrorMessage="1" sqref="G61" xr:uid="{00000000-0002-0000-1E00-000013000000}">
      <formula1>"商业,办公,住宅,工业"</formula1>
    </dataValidation>
    <dataValidation type="list" allowBlank="1" showInputMessage="1" showErrorMessage="1" sqref="G62" xr:uid="{00000000-0002-0000-1E00-000014000000}">
      <formula1>"住宅,工业"</formula1>
    </dataValidation>
    <dataValidation type="list" allowBlank="1" showInputMessage="1" showErrorMessage="1" sqref="C30 E30 G30 I30" xr:uid="{00000000-0002-0000-1E00-000015000000}">
      <formula1>基础设施水平</formula1>
    </dataValidation>
    <dataValidation type="list" allowBlank="1" showInputMessage="1" showErrorMessage="1" sqref="A70" xr:uid="{00000000-0002-0000-1E00-000016000000}">
      <formula1>"综合,商业,办公,住宅"</formula1>
    </dataValidation>
    <dataValidation type="list" allowBlank="1" showInputMessage="1" showErrorMessage="1" sqref="D47" xr:uid="{00000000-0002-0000-1E00-000017000000}">
      <formula1>"简单平均,加权平均"</formula1>
    </dataValidation>
    <dataValidation type="list" allowBlank="1" showInputMessage="1" showErrorMessage="1" sqref="D57:D64" xr:uid="{00000000-0002-0000-1E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1865</v>
      </c>
      <c r="B1" s="340"/>
      <c r="C1" s="341" t="s">
        <v>1916</v>
      </c>
      <c r="D1" s="651"/>
      <c r="E1" s="651"/>
      <c r="F1" s="650" t="s">
        <v>1765</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1460</v>
      </c>
      <c r="B2" s="591" t="e">
        <f>F61</f>
        <v>#DIV/0!</v>
      </c>
      <c r="C2" s="855"/>
      <c r="D2" s="855"/>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1462</v>
      </c>
      <c r="B3" s="536" t="e">
        <f>ROUND(IF(D3="",B2*10000/'数据-汇总表'!E3,B2*10000/D3),0)</f>
        <v>#DIV/0!</v>
      </c>
      <c r="C3" s="195" t="s">
        <v>1867</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1767</v>
      </c>
      <c r="B4" s="346"/>
      <c r="C4" s="3614" t="s">
        <v>1768</v>
      </c>
      <c r="D4" s="3615"/>
      <c r="E4" s="3616" t="s">
        <v>1769</v>
      </c>
      <c r="F4" s="3617"/>
      <c r="G4" s="3614" t="s">
        <v>1770</v>
      </c>
      <c r="H4" s="3615"/>
      <c r="I4" s="3614" t="s">
        <v>1771</v>
      </c>
      <c r="J4" s="3615"/>
      <c r="K4" s="537" t="s">
        <v>1772</v>
      </c>
      <c r="L4" s="2487"/>
      <c r="M4" s="2488"/>
      <c r="N4" s="2488"/>
      <c r="O4" s="2488"/>
      <c r="P4" s="3618" t="s">
        <v>1773</v>
      </c>
      <c r="Q4" s="3619"/>
      <c r="R4" s="3601" t="s">
        <v>1769</v>
      </c>
      <c r="S4" s="3602"/>
      <c r="T4" s="3601" t="s">
        <v>1770</v>
      </c>
      <c r="U4" s="3602"/>
      <c r="V4" s="3626" t="s">
        <v>1771</v>
      </c>
      <c r="W4" s="3626"/>
      <c r="X4" s="1265"/>
      <c r="Y4" s="3601" t="s">
        <v>1773</v>
      </c>
      <c r="Z4" s="3602"/>
      <c r="AA4" s="3596" t="s">
        <v>1769</v>
      </c>
      <c r="AB4" s="3597" t="s">
        <v>1770</v>
      </c>
      <c r="AC4" s="3596" t="s">
        <v>1771</v>
      </c>
    </row>
    <row r="5" spans="1:29" ht="15">
      <c r="A5" s="348"/>
      <c r="B5" s="349"/>
      <c r="C5" s="3607" t="s">
        <v>1671</v>
      </c>
      <c r="D5" s="3608"/>
      <c r="E5" s="3605" t="s">
        <v>1672</v>
      </c>
      <c r="F5" s="3606"/>
      <c r="G5" s="3607" t="s">
        <v>1673</v>
      </c>
      <c r="H5" s="3608"/>
      <c r="I5" s="3607" t="s">
        <v>1674</v>
      </c>
      <c r="J5" s="3608"/>
      <c r="K5" s="537"/>
      <c r="L5" s="2487"/>
      <c r="M5" s="2488"/>
      <c r="N5" s="2488"/>
      <c r="O5" s="2488"/>
      <c r="P5" s="3620"/>
      <c r="Q5" s="3621"/>
      <c r="R5" s="3603"/>
      <c r="S5" s="3604"/>
      <c r="T5" s="3603"/>
      <c r="U5" s="3604"/>
      <c r="V5" s="3626"/>
      <c r="W5" s="3626"/>
      <c r="X5" s="1265"/>
      <c r="Y5" s="3603"/>
      <c r="Z5" s="3604"/>
      <c r="AA5" s="3597"/>
      <c r="AB5" s="3597"/>
      <c r="AC5" s="3597"/>
    </row>
    <row r="6" spans="1:29" ht="15.75" thickBot="1">
      <c r="A6" s="350"/>
      <c r="B6" s="351"/>
      <c r="C6" s="3661" t="s">
        <v>1917</v>
      </c>
      <c r="D6" s="3662"/>
      <c r="E6" s="3663" t="s">
        <v>1917</v>
      </c>
      <c r="F6" s="3664"/>
      <c r="G6" s="3661" t="s">
        <v>1917</v>
      </c>
      <c r="H6" s="3662"/>
      <c r="I6" s="3661" t="s">
        <v>1917</v>
      </c>
      <c r="J6" s="3662"/>
      <c r="K6" s="537" t="s">
        <v>1676</v>
      </c>
      <c r="L6" s="2487"/>
      <c r="M6" s="2488"/>
      <c r="N6" s="2488"/>
      <c r="O6" s="2488"/>
      <c r="P6" s="3622"/>
      <c r="Q6" s="3623"/>
      <c r="R6" s="3603"/>
      <c r="S6" s="3604"/>
      <c r="T6" s="3624"/>
      <c r="U6" s="3625"/>
      <c r="V6" s="3626"/>
      <c r="W6" s="3626"/>
      <c r="X6" s="1265"/>
      <c r="Y6" s="3624"/>
      <c r="Z6" s="3625"/>
      <c r="AA6" s="3598"/>
      <c r="AB6" s="3598"/>
      <c r="AC6" s="3598"/>
    </row>
    <row r="7" spans="1:29" s="102" customFormat="1" ht="15.75" thickBot="1">
      <c r="A7" s="352" t="s">
        <v>1677</v>
      </c>
      <c r="B7" s="353"/>
      <c r="C7" s="354">
        <f>'数据-取费表'!B2</f>
        <v>45839</v>
      </c>
      <c r="D7" s="355">
        <v>100</v>
      </c>
      <c r="E7" s="356"/>
      <c r="F7" s="357">
        <f>SUMIF(65:65,YEAR(E7)&amp;"-"&amp;INT((MONTH(E7)+2)/3),66:66)</f>
        <v>0</v>
      </c>
      <c r="G7" s="1822"/>
      <c r="H7" s="355">
        <f>SUMIF(65:65,YEAR(G7)&amp;"-"&amp;INT((MONTH(G7)+2)/3),66:66)</f>
        <v>0</v>
      </c>
      <c r="I7" s="1822"/>
      <c r="J7" s="355">
        <f>SUMIF(65:65,YEAR(I7)&amp;"-"&amp;INT((MONTH(I7)+2)/3),66:66)</f>
        <v>0</v>
      </c>
      <c r="K7" s="38"/>
      <c r="L7" s="2489"/>
      <c r="M7" s="2440"/>
      <c r="N7" s="2440"/>
      <c r="O7" s="2440"/>
      <c r="P7" s="3599" t="s">
        <v>1678</v>
      </c>
      <c r="Q7" s="3627"/>
      <c r="R7" s="664" t="s">
        <v>14</v>
      </c>
      <c r="S7" s="665">
        <f t="shared" ref="S7:S15" si="0">F7</f>
        <v>0</v>
      </c>
      <c r="T7" s="664" t="s">
        <v>14</v>
      </c>
      <c r="U7" s="665">
        <f t="shared" ref="U7:U15" si="1">H7</f>
        <v>0</v>
      </c>
      <c r="V7" s="664" t="s">
        <v>14</v>
      </c>
      <c r="W7" s="665">
        <f t="shared" ref="W7:W15" si="2">J7</f>
        <v>0</v>
      </c>
      <c r="X7" s="666"/>
      <c r="Y7" s="3599" t="s">
        <v>1678</v>
      </c>
      <c r="Z7" s="3600"/>
      <c r="AA7" s="50" t="e">
        <f>D7/F7</f>
        <v>#DIV/0!</v>
      </c>
      <c r="AB7" s="50" t="e">
        <f>D7/H7</f>
        <v>#DIV/0!</v>
      </c>
      <c r="AC7" s="50" t="e">
        <f>D7/J7</f>
        <v>#DIV/0!</v>
      </c>
    </row>
    <row r="8" spans="1:29" s="102" customFormat="1" ht="15.75" thickBot="1">
      <c r="A8" s="352" t="s">
        <v>1679</v>
      </c>
      <c r="B8" s="353"/>
      <c r="C8" s="358" t="s">
        <v>1680</v>
      </c>
      <c r="D8" s="355">
        <v>100</v>
      </c>
      <c r="E8" s="358"/>
      <c r="F8" s="357">
        <f>SUMIF(68:68,E8,69:69)-SUMIF(68:68,C8,69:69)+100</f>
        <v>0</v>
      </c>
      <c r="G8" s="358"/>
      <c r="H8" s="355">
        <f>SUMIF(68:68,G8,69:69)-SUMIF(68:68,C8,69:69)+100</f>
        <v>0</v>
      </c>
      <c r="I8" s="358"/>
      <c r="J8" s="355">
        <f>SUMIF(68:68,I8,69:69)-SUMIF(68:68,C8,69:69)+100</f>
        <v>0</v>
      </c>
      <c r="K8" s="38"/>
      <c r="L8" s="2489"/>
      <c r="M8" s="2440"/>
      <c r="N8" s="2440"/>
      <c r="O8" s="2440"/>
      <c r="P8" s="3599" t="s">
        <v>1681</v>
      </c>
      <c r="Q8" s="3600"/>
      <c r="R8" s="664" t="s">
        <v>14</v>
      </c>
      <c r="S8" s="665">
        <f t="shared" si="0"/>
        <v>0</v>
      </c>
      <c r="T8" s="664" t="s">
        <v>14</v>
      </c>
      <c r="U8" s="665">
        <f t="shared" si="1"/>
        <v>0</v>
      </c>
      <c r="V8" s="664" t="s">
        <v>14</v>
      </c>
      <c r="W8" s="665">
        <f t="shared" si="2"/>
        <v>0</v>
      </c>
      <c r="X8" s="666"/>
      <c r="Y8" s="3599" t="s">
        <v>1681</v>
      </c>
      <c r="Z8" s="3600"/>
      <c r="AA8" s="50" t="e">
        <f t="shared" ref="AA8:AA40" si="3">D8/F8</f>
        <v>#DIV/0!</v>
      </c>
      <c r="AB8" s="50" t="e">
        <f t="shared" ref="AB8:AB40" si="4">D8/H8</f>
        <v>#DIV/0!</v>
      </c>
      <c r="AC8" s="50" t="e">
        <f t="shared" ref="AC8:AC40" si="5">D8/J8</f>
        <v>#DIV/0!</v>
      </c>
    </row>
    <row r="9" spans="1:29" s="102" customFormat="1">
      <c r="A9" s="359" t="s">
        <v>1682</v>
      </c>
      <c r="B9" s="60" t="s">
        <v>1683</v>
      </c>
      <c r="C9" s="1825"/>
      <c r="D9" s="59">
        <v>100</v>
      </c>
      <c r="E9" s="1825"/>
      <c r="F9" s="59">
        <f>SUMIF(70:70,E9,71:71)-SUMIF(70:70,C9,71:71)+100</f>
        <v>100</v>
      </c>
      <c r="G9" s="1825"/>
      <c r="H9" s="59">
        <f>SUMIF(70:70,G9,71:71)-SUMIF(70:70,C9,71:71)+100</f>
        <v>100</v>
      </c>
      <c r="I9" s="1825"/>
      <c r="J9" s="59">
        <f>SUMIF(70:70,I9,71:71)-SUMIF(70:70,C9,71:71)+100</f>
        <v>100</v>
      </c>
      <c r="K9" s="38"/>
      <c r="L9" s="2489"/>
      <c r="M9" s="2440"/>
      <c r="N9" s="2440"/>
      <c r="O9" s="2541"/>
      <c r="P9" s="3631" t="s">
        <v>1684</v>
      </c>
      <c r="Q9" s="530" t="str">
        <f t="shared" ref="Q9:Q15" si="6">B9</f>
        <v>用途</v>
      </c>
      <c r="R9" s="664" t="s">
        <v>14</v>
      </c>
      <c r="S9" s="665">
        <f t="shared" si="0"/>
        <v>100</v>
      </c>
      <c r="T9" s="664" t="s">
        <v>14</v>
      </c>
      <c r="U9" s="665">
        <f t="shared" si="1"/>
        <v>100</v>
      </c>
      <c r="V9" s="664" t="s">
        <v>14</v>
      </c>
      <c r="W9" s="665">
        <f t="shared" si="2"/>
        <v>100</v>
      </c>
      <c r="X9" s="666"/>
      <c r="Y9" s="3543" t="s">
        <v>1685</v>
      </c>
      <c r="Z9" s="50" t="str">
        <f t="shared" ref="Z9:Z15" si="7">Q9</f>
        <v>用途</v>
      </c>
      <c r="AA9" s="50">
        <f t="shared" si="3"/>
        <v>1</v>
      </c>
      <c r="AB9" s="50">
        <f t="shared" si="4"/>
        <v>1</v>
      </c>
      <c r="AC9" s="50">
        <f t="shared" si="5"/>
        <v>1</v>
      </c>
    </row>
    <row r="10" spans="1:29" s="366" customFormat="1" ht="27">
      <c r="A10" s="363"/>
      <c r="B10" s="364" t="s">
        <v>1686</v>
      </c>
      <c r="C10" s="371"/>
      <c r="D10" s="119">
        <v>100</v>
      </c>
      <c r="E10" s="371"/>
      <c r="F10" s="119">
        <f>ROUND(100/'数据-取费表'!G16,0)</f>
        <v>103</v>
      </c>
      <c r="G10" s="371"/>
      <c r="H10" s="119">
        <f>ROUND(100/'数据-取费表'!G16,0)</f>
        <v>103</v>
      </c>
      <c r="I10" s="371"/>
      <c r="J10" s="119">
        <f>ROUND(100/'数据-取费表'!G16,0)</f>
        <v>103</v>
      </c>
      <c r="K10" s="592"/>
      <c r="L10" s="2490"/>
      <c r="M10" s="2491"/>
      <c r="N10" s="2491"/>
      <c r="O10" s="2542"/>
      <c r="P10" s="3631"/>
      <c r="Q10" s="530" t="str">
        <f t="shared" si="6"/>
        <v>土地使用年限（年）</v>
      </c>
      <c r="R10" s="664" t="s">
        <v>14</v>
      </c>
      <c r="S10" s="665">
        <f t="shared" si="0"/>
        <v>103</v>
      </c>
      <c r="T10" s="664" t="s">
        <v>14</v>
      </c>
      <c r="U10" s="665">
        <f t="shared" si="1"/>
        <v>103</v>
      </c>
      <c r="V10" s="664" t="s">
        <v>14</v>
      </c>
      <c r="W10" s="665">
        <f t="shared" si="2"/>
        <v>103</v>
      </c>
      <c r="X10" s="666"/>
      <c r="Y10" s="3543"/>
      <c r="Z10" s="50" t="str">
        <f t="shared" si="7"/>
        <v>土地使用年限（年）</v>
      </c>
      <c r="AA10" s="50">
        <f t="shared" si="3"/>
        <v>0.970873786407767</v>
      </c>
      <c r="AB10" s="50">
        <f t="shared" si="4"/>
        <v>0.970873786407767</v>
      </c>
      <c r="AC10" s="50">
        <f t="shared" si="5"/>
        <v>0.970873786407767</v>
      </c>
    </row>
    <row r="11" spans="1:29" ht="15">
      <c r="A11" s="367"/>
      <c r="B11" s="364" t="s">
        <v>1687</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2"/>
      <c r="M11" s="2488"/>
      <c r="N11" s="2488"/>
      <c r="O11" s="2543"/>
      <c r="P11" s="3631"/>
      <c r="Q11" s="530" t="str">
        <f t="shared" si="6"/>
        <v>容积率</v>
      </c>
      <c r="R11" s="664" t="s">
        <v>14</v>
      </c>
      <c r="S11" s="665" t="e">
        <f t="shared" si="0"/>
        <v>#N/A</v>
      </c>
      <c r="T11" s="664" t="s">
        <v>14</v>
      </c>
      <c r="U11" s="665" t="e">
        <f t="shared" si="1"/>
        <v>#N/A</v>
      </c>
      <c r="V11" s="664" t="s">
        <v>14</v>
      </c>
      <c r="W11" s="665" t="e">
        <f t="shared" si="2"/>
        <v>#N/A</v>
      </c>
      <c r="X11" s="666"/>
      <c r="Y11" s="3543"/>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9"/>
      <c r="M12" s="2440"/>
      <c r="N12" s="2440"/>
      <c r="O12" s="2541"/>
      <c r="P12" s="3631"/>
      <c r="Q12" s="530">
        <f t="shared" si="6"/>
        <v>111</v>
      </c>
      <c r="R12" s="664" t="s">
        <v>14</v>
      </c>
      <c r="S12" s="665">
        <f t="shared" si="0"/>
        <v>100</v>
      </c>
      <c r="T12" s="664" t="s">
        <v>14</v>
      </c>
      <c r="U12" s="665">
        <f t="shared" si="1"/>
        <v>100</v>
      </c>
      <c r="V12" s="664" t="s">
        <v>14</v>
      </c>
      <c r="W12" s="665">
        <f t="shared" si="2"/>
        <v>100</v>
      </c>
      <c r="X12" s="666"/>
      <c r="Y12" s="3543"/>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3"/>
      <c r="M13" s="2488"/>
      <c r="N13" s="2488"/>
      <c r="O13" s="2543"/>
      <c r="P13" s="3631"/>
      <c r="Q13" s="530">
        <f t="shared" si="6"/>
        <v>111</v>
      </c>
      <c r="R13" s="664" t="s">
        <v>14</v>
      </c>
      <c r="S13" s="665">
        <f t="shared" si="0"/>
        <v>100</v>
      </c>
      <c r="T13" s="664" t="s">
        <v>14</v>
      </c>
      <c r="U13" s="665">
        <f t="shared" si="1"/>
        <v>100</v>
      </c>
      <c r="V13" s="664" t="s">
        <v>14</v>
      </c>
      <c r="W13" s="665">
        <f t="shared" si="2"/>
        <v>100</v>
      </c>
      <c r="X13" s="666"/>
      <c r="Y13" s="3543"/>
      <c r="Z13" s="50">
        <f t="shared" si="7"/>
        <v>111</v>
      </c>
      <c r="AA13" s="50">
        <f t="shared" si="3"/>
        <v>1</v>
      </c>
      <c r="AB13" s="50">
        <f t="shared" si="4"/>
        <v>1</v>
      </c>
      <c r="AC13" s="50">
        <f t="shared" si="5"/>
        <v>1</v>
      </c>
    </row>
    <row r="14" spans="1:29" ht="15.75"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3"/>
      <c r="M14" s="2488"/>
      <c r="N14" s="2488"/>
      <c r="O14" s="2543"/>
      <c r="P14" s="3631"/>
      <c r="Q14" s="530">
        <f t="shared" si="6"/>
        <v>111</v>
      </c>
      <c r="R14" s="664" t="s">
        <v>14</v>
      </c>
      <c r="S14" s="665">
        <f t="shared" si="0"/>
        <v>100</v>
      </c>
      <c r="T14" s="664" t="s">
        <v>14</v>
      </c>
      <c r="U14" s="665">
        <f t="shared" si="1"/>
        <v>100</v>
      </c>
      <c r="V14" s="664" t="s">
        <v>14</v>
      </c>
      <c r="W14" s="665">
        <f t="shared" si="2"/>
        <v>100</v>
      </c>
      <c r="X14" s="666"/>
      <c r="Y14" s="3543"/>
      <c r="Z14" s="50">
        <f t="shared" si="7"/>
        <v>111</v>
      </c>
      <c r="AA14" s="50">
        <f t="shared" si="3"/>
        <v>1</v>
      </c>
      <c r="AB14" s="50">
        <f t="shared" si="4"/>
        <v>1</v>
      </c>
      <c r="AC14" s="50">
        <f t="shared" si="5"/>
        <v>1</v>
      </c>
    </row>
    <row r="15" spans="1:29" ht="57">
      <c r="A15" s="379" t="s">
        <v>1688</v>
      </c>
      <c r="B15" s="554" t="s">
        <v>1918</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3"/>
      <c r="M15" s="2488"/>
      <c r="N15" s="2488"/>
      <c r="O15" s="2543"/>
      <c r="P15" s="3632" t="s">
        <v>1689</v>
      </c>
      <c r="Q15" s="1263" t="str">
        <f t="shared" si="6"/>
        <v>产业集聚程度</v>
      </c>
      <c r="R15" s="667" t="s">
        <v>14</v>
      </c>
      <c r="S15" s="668">
        <f t="shared" si="0"/>
        <v>100</v>
      </c>
      <c r="T15" s="667" t="s">
        <v>14</v>
      </c>
      <c r="U15" s="668">
        <f t="shared" si="1"/>
        <v>100</v>
      </c>
      <c r="V15" s="667" t="s">
        <v>14</v>
      </c>
      <c r="W15" s="668">
        <f t="shared" si="2"/>
        <v>100</v>
      </c>
      <c r="X15" s="1265"/>
      <c r="Y15" s="3632" t="s">
        <v>1689</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3"/>
      <c r="M16" s="2488"/>
      <c r="N16" s="2488"/>
      <c r="O16" s="2543"/>
      <c r="P16" s="3633"/>
      <c r="Q16" s="1263"/>
      <c r="R16" s="667"/>
      <c r="S16" s="668"/>
      <c r="T16" s="667"/>
      <c r="U16" s="668"/>
      <c r="V16" s="667"/>
      <c r="W16" s="668"/>
      <c r="X16" s="1265"/>
      <c r="Y16" s="3633"/>
      <c r="Z16" s="1264"/>
      <c r="AA16" s="1264">
        <v>1</v>
      </c>
      <c r="AB16" s="1264">
        <v>1</v>
      </c>
      <c r="AC16" s="1264">
        <v>1</v>
      </c>
    </row>
    <row r="17" spans="1:29" ht="85.5">
      <c r="A17" s="367"/>
      <c r="B17" s="556" t="s">
        <v>1831</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3"/>
      <c r="M17" s="2488"/>
      <c r="N17" s="2488"/>
      <c r="O17" s="2543"/>
      <c r="P17" s="3633"/>
      <c r="Q17" s="1263" t="str">
        <f>B17</f>
        <v>交通便捷度</v>
      </c>
      <c r="R17" s="667" t="s">
        <v>14</v>
      </c>
      <c r="S17" s="668">
        <f>F17</f>
        <v>100</v>
      </c>
      <c r="T17" s="667" t="s">
        <v>14</v>
      </c>
      <c r="U17" s="668">
        <f>H17</f>
        <v>100</v>
      </c>
      <c r="V17" s="667" t="s">
        <v>14</v>
      </c>
      <c r="W17" s="668">
        <f>J17</f>
        <v>100</v>
      </c>
      <c r="X17" s="1265"/>
      <c r="Y17" s="3633"/>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3"/>
      <c r="M18" s="2488"/>
      <c r="N18" s="2488"/>
      <c r="O18" s="2543"/>
      <c r="P18" s="3633"/>
      <c r="Q18" s="1263"/>
      <c r="R18" s="667"/>
      <c r="S18" s="668"/>
      <c r="T18" s="667"/>
      <c r="U18" s="668"/>
      <c r="V18" s="667"/>
      <c r="W18" s="668"/>
      <c r="X18" s="1265"/>
      <c r="Y18" s="3633"/>
      <c r="Z18" s="1264"/>
      <c r="AA18" s="1264">
        <v>1</v>
      </c>
      <c r="AB18" s="1264">
        <v>1</v>
      </c>
      <c r="AC18" s="1264">
        <v>1</v>
      </c>
    </row>
    <row r="19" spans="1:29" ht="15">
      <c r="A19" s="367"/>
      <c r="B19" s="556" t="s">
        <v>1869</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3"/>
      <c r="M19" s="2488"/>
      <c r="N19" s="2488"/>
      <c r="O19" s="2543"/>
      <c r="P19" s="3633"/>
      <c r="Q19" s="1263" t="str">
        <f t="shared" ref="Q19:Q33" si="8">B19</f>
        <v>区域土地利用方向</v>
      </c>
      <c r="R19" s="667" t="s">
        <v>14</v>
      </c>
      <c r="S19" s="668">
        <f>F19</f>
        <v>100</v>
      </c>
      <c r="T19" s="667" t="s">
        <v>14</v>
      </c>
      <c r="U19" s="668">
        <f>H19</f>
        <v>100</v>
      </c>
      <c r="V19" s="667" t="s">
        <v>14</v>
      </c>
      <c r="W19" s="668">
        <f>J19</f>
        <v>100</v>
      </c>
      <c r="X19" s="1265"/>
      <c r="Y19" s="3633"/>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3"/>
      <c r="M20" s="2488"/>
      <c r="N20" s="2488"/>
      <c r="O20" s="2543"/>
      <c r="P20" s="3633"/>
      <c r="Q20" s="1263"/>
      <c r="R20" s="667"/>
      <c r="S20" s="668"/>
      <c r="T20" s="667"/>
      <c r="U20" s="668"/>
      <c r="V20" s="667"/>
      <c r="W20" s="668"/>
      <c r="X20" s="1265"/>
      <c r="Y20" s="3633"/>
      <c r="Z20" s="1264"/>
      <c r="AA20" s="1264"/>
      <c r="AB20" s="1264"/>
      <c r="AC20" s="1264"/>
    </row>
    <row r="21" spans="1:29" ht="71.25">
      <c r="A21" s="348"/>
      <c r="B21" s="556" t="s">
        <v>1919</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3"/>
      <c r="M21" s="2488"/>
      <c r="N21" s="2488"/>
      <c r="O21" s="2543"/>
      <c r="P21" s="3633"/>
      <c r="Q21" s="1263" t="str">
        <f t="shared" si="8"/>
        <v>环境状况</v>
      </c>
      <c r="R21" s="667" t="s">
        <v>14</v>
      </c>
      <c r="S21" s="668">
        <f>F21</f>
        <v>100</v>
      </c>
      <c r="T21" s="667" t="s">
        <v>14</v>
      </c>
      <c r="U21" s="668">
        <f>H21</f>
        <v>100</v>
      </c>
      <c r="V21" s="667" t="s">
        <v>14</v>
      </c>
      <c r="W21" s="668">
        <f>J21</f>
        <v>100</v>
      </c>
      <c r="X21" s="1265"/>
      <c r="Y21" s="3633"/>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3"/>
      <c r="M22" s="2488"/>
      <c r="N22" s="2488"/>
      <c r="O22" s="2543"/>
      <c r="P22" s="3633"/>
      <c r="Q22" s="1263"/>
      <c r="R22" s="667"/>
      <c r="S22" s="668"/>
      <c r="T22" s="667"/>
      <c r="U22" s="668"/>
      <c r="V22" s="667"/>
      <c r="W22" s="668"/>
      <c r="X22" s="1265"/>
      <c r="Y22" s="3633"/>
      <c r="Z22" s="1264"/>
      <c r="AA22" s="1264">
        <v>1</v>
      </c>
      <c r="AB22" s="1264">
        <v>1</v>
      </c>
      <c r="AC22" s="1264">
        <v>1</v>
      </c>
    </row>
    <row r="23" spans="1:29" s="102" customFormat="1" ht="42.75">
      <c r="A23" s="443"/>
      <c r="B23" s="557" t="s">
        <v>1776</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9"/>
      <c r="M23" s="2440"/>
      <c r="N23" s="2440"/>
      <c r="O23" s="2541"/>
      <c r="P23" s="3633"/>
      <c r="Q23" s="530" t="str">
        <f t="shared" si="8"/>
        <v>公共配套设施</v>
      </c>
      <c r="R23" s="664" t="s">
        <v>14</v>
      </c>
      <c r="S23" s="665">
        <f>F23</f>
        <v>100</v>
      </c>
      <c r="T23" s="664" t="s">
        <v>14</v>
      </c>
      <c r="U23" s="665">
        <f>H23</f>
        <v>100</v>
      </c>
      <c r="V23" s="664" t="s">
        <v>14</v>
      </c>
      <c r="W23" s="665">
        <f>J23</f>
        <v>100</v>
      </c>
      <c r="X23" s="666"/>
      <c r="Y23" s="3633"/>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9"/>
      <c r="M24" s="2440"/>
      <c r="N24" s="2440"/>
      <c r="O24" s="2541"/>
      <c r="P24" s="3633"/>
      <c r="Q24" s="530"/>
      <c r="R24" s="664"/>
      <c r="S24" s="665"/>
      <c r="T24" s="664"/>
      <c r="U24" s="665"/>
      <c r="V24" s="664"/>
      <c r="W24" s="665"/>
      <c r="X24" s="666"/>
      <c r="Y24" s="3633"/>
      <c r="Z24" s="50"/>
      <c r="AA24" s="50">
        <v>1</v>
      </c>
      <c r="AB24" s="50">
        <v>1</v>
      </c>
      <c r="AC24" s="50">
        <v>1</v>
      </c>
    </row>
    <row r="25" spans="1:29" s="102" customFormat="1" ht="28.5">
      <c r="A25" s="443"/>
      <c r="B25" s="557" t="s">
        <v>1777</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9"/>
      <c r="M25" s="2440"/>
      <c r="N25" s="2440"/>
      <c r="O25" s="2541"/>
      <c r="P25" s="3633"/>
      <c r="Q25" s="530" t="str">
        <f t="shared" ref="Q25" si="9">B25</f>
        <v>基础设施水平</v>
      </c>
      <c r="R25" s="664" t="s">
        <v>14</v>
      </c>
      <c r="S25" s="665">
        <f>F25</f>
        <v>100</v>
      </c>
      <c r="T25" s="664" t="s">
        <v>14</v>
      </c>
      <c r="U25" s="665">
        <f>H25</f>
        <v>100</v>
      </c>
      <c r="V25" s="664" t="s">
        <v>14</v>
      </c>
      <c r="W25" s="665">
        <f>J25</f>
        <v>100</v>
      </c>
      <c r="X25" s="666"/>
      <c r="Y25" s="3633"/>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9"/>
      <c r="M26" s="2440"/>
      <c r="N26" s="2440"/>
      <c r="O26" s="2541"/>
      <c r="P26" s="3633"/>
      <c r="Q26" s="530"/>
      <c r="R26" s="664"/>
      <c r="S26" s="665"/>
      <c r="T26" s="664"/>
      <c r="U26" s="665"/>
      <c r="V26" s="664"/>
      <c r="W26" s="665"/>
      <c r="X26" s="666"/>
      <c r="Y26" s="3633"/>
      <c r="Z26" s="50"/>
      <c r="AA26" s="50">
        <v>1</v>
      </c>
      <c r="AB26" s="50">
        <v>1</v>
      </c>
      <c r="AC26" s="50">
        <v>1</v>
      </c>
    </row>
    <row r="27" spans="1:29" ht="15">
      <c r="A27" s="367"/>
      <c r="B27" s="401" t="s">
        <v>1778</v>
      </c>
      <c r="C27" s="542"/>
      <c r="D27" s="374">
        <v>100</v>
      </c>
      <c r="E27" s="558"/>
      <c r="F27" s="374">
        <f>SUMIF(95:95,E27,96:96)-SUMIF(95:95,C27,96:96)+100</f>
        <v>100</v>
      </c>
      <c r="G27" s="558"/>
      <c r="H27" s="374">
        <f>SUMIF(95:95,G27,96:96)-SUMIF(95:95,C27,96:96)+100</f>
        <v>100</v>
      </c>
      <c r="I27" s="558"/>
      <c r="J27" s="374">
        <f>SUMIF(95:95,I27,96:96)-SUMIF(95:95,C27,96:96)+100</f>
        <v>100</v>
      </c>
      <c r="K27" s="593"/>
      <c r="L27" s="2493"/>
      <c r="M27" s="2488"/>
      <c r="N27" s="2488"/>
      <c r="O27" s="2543"/>
      <c r="P27" s="3633"/>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633"/>
      <c r="Z27" s="1264" t="str">
        <f t="shared" ref="Z27:Z40" si="13">Q27</f>
        <v>临街状况</v>
      </c>
      <c r="AA27" s="1264">
        <f t="shared" si="3"/>
        <v>1</v>
      </c>
      <c r="AB27" s="1264">
        <f t="shared" si="4"/>
        <v>1</v>
      </c>
      <c r="AC27" s="1264">
        <f t="shared" si="5"/>
        <v>1</v>
      </c>
    </row>
    <row r="28" spans="1:29" ht="27">
      <c r="A28" s="367"/>
      <c r="B28" s="557" t="s">
        <v>1813</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3"/>
      <c r="M28" s="2488"/>
      <c r="N28" s="2488"/>
      <c r="O28" s="2543"/>
      <c r="P28" s="3633"/>
      <c r="Q28" s="1263" t="str">
        <f t="shared" si="8"/>
        <v>毗邻道路的类型与等级</v>
      </c>
      <c r="R28" s="667" t="s">
        <v>14</v>
      </c>
      <c r="S28" s="668">
        <f t="shared" si="10"/>
        <v>100</v>
      </c>
      <c r="T28" s="667" t="s">
        <v>14</v>
      </c>
      <c r="U28" s="668">
        <f t="shared" si="11"/>
        <v>100</v>
      </c>
      <c r="V28" s="667" t="s">
        <v>14</v>
      </c>
      <c r="W28" s="668">
        <f t="shared" si="12"/>
        <v>100</v>
      </c>
      <c r="X28" s="1265"/>
      <c r="Y28" s="3633"/>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3"/>
      <c r="M29" s="2488"/>
      <c r="N29" s="2488"/>
      <c r="O29" s="2543"/>
      <c r="P29" s="3633"/>
      <c r="Q29" s="1263"/>
      <c r="R29" s="667"/>
      <c r="S29" s="668"/>
      <c r="T29" s="667"/>
      <c r="U29" s="668"/>
      <c r="V29" s="667"/>
      <c r="W29" s="668"/>
      <c r="X29" s="1265"/>
      <c r="Y29" s="3633"/>
      <c r="Z29" s="1264"/>
      <c r="AA29" s="1264">
        <v>1</v>
      </c>
      <c r="AB29" s="1264">
        <v>1</v>
      </c>
      <c r="AC29" s="1264">
        <v>1</v>
      </c>
    </row>
    <row r="30" spans="1:29" ht="15">
      <c r="A30" s="367"/>
      <c r="B30" s="119" t="s">
        <v>1871</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3"/>
      <c r="M30" s="2488"/>
      <c r="N30" s="2488"/>
      <c r="O30" s="2543"/>
      <c r="P30" s="3633"/>
      <c r="Q30" s="1263" t="str">
        <f t="shared" si="8"/>
        <v>土地级别</v>
      </c>
      <c r="R30" s="667" t="s">
        <v>14</v>
      </c>
      <c r="S30" s="668">
        <f t="shared" si="10"/>
        <v>100</v>
      </c>
      <c r="T30" s="667" t="s">
        <v>14</v>
      </c>
      <c r="U30" s="668">
        <f t="shared" si="11"/>
        <v>100</v>
      </c>
      <c r="V30" s="667" t="s">
        <v>14</v>
      </c>
      <c r="W30" s="668">
        <f t="shared" si="12"/>
        <v>100</v>
      </c>
      <c r="X30" s="1265"/>
      <c r="Y30" s="3633"/>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3"/>
      <c r="M31" s="2488"/>
      <c r="N31" s="2488"/>
      <c r="O31" s="2543"/>
      <c r="P31" s="3633"/>
      <c r="Q31" s="1263">
        <f t="shared" si="8"/>
        <v>111</v>
      </c>
      <c r="R31" s="667" t="s">
        <v>14</v>
      </c>
      <c r="S31" s="668">
        <f t="shared" si="10"/>
        <v>100</v>
      </c>
      <c r="T31" s="667" t="s">
        <v>14</v>
      </c>
      <c r="U31" s="668">
        <f t="shared" si="11"/>
        <v>100</v>
      </c>
      <c r="V31" s="667" t="s">
        <v>14</v>
      </c>
      <c r="W31" s="668">
        <f t="shared" si="12"/>
        <v>100</v>
      </c>
      <c r="X31" s="1265"/>
      <c r="Y31" s="3633"/>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3"/>
      <c r="M32" s="2488"/>
      <c r="N32" s="2488"/>
      <c r="O32" s="2543"/>
      <c r="P32" s="3656" t="s">
        <v>1694</v>
      </c>
      <c r="Q32" s="1263">
        <f t="shared" si="8"/>
        <v>111</v>
      </c>
      <c r="R32" s="667" t="s">
        <v>14</v>
      </c>
      <c r="S32" s="668">
        <f t="shared" si="10"/>
        <v>100</v>
      </c>
      <c r="T32" s="667" t="s">
        <v>14</v>
      </c>
      <c r="U32" s="668">
        <f t="shared" si="11"/>
        <v>100</v>
      </c>
      <c r="V32" s="667" t="s">
        <v>14</v>
      </c>
      <c r="W32" s="668">
        <f t="shared" si="12"/>
        <v>100</v>
      </c>
      <c r="X32" s="1265"/>
      <c r="Y32" s="3637" t="s">
        <v>1694</v>
      </c>
      <c r="Z32" s="1264">
        <f t="shared" si="13"/>
        <v>111</v>
      </c>
      <c r="AA32" s="1264">
        <f t="shared" si="3"/>
        <v>1</v>
      </c>
      <c r="AB32" s="1264">
        <f t="shared" si="4"/>
        <v>1</v>
      </c>
      <c r="AC32" s="1264">
        <f t="shared" si="5"/>
        <v>1</v>
      </c>
    </row>
    <row r="33" spans="1:31" s="408" customFormat="1" ht="15.75"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2"/>
      <c r="M33" s="2494"/>
      <c r="N33" s="2494"/>
      <c r="O33" s="2544"/>
      <c r="P33" s="3637"/>
      <c r="Q33" s="1263">
        <f t="shared" si="8"/>
        <v>111</v>
      </c>
      <c r="R33" s="669" t="s">
        <v>14</v>
      </c>
      <c r="S33" s="670">
        <f t="shared" si="10"/>
        <v>100</v>
      </c>
      <c r="T33" s="669" t="s">
        <v>14</v>
      </c>
      <c r="U33" s="670">
        <f t="shared" si="11"/>
        <v>100</v>
      </c>
      <c r="V33" s="669" t="s">
        <v>14</v>
      </c>
      <c r="W33" s="670">
        <f t="shared" si="12"/>
        <v>100</v>
      </c>
      <c r="X33" s="671"/>
      <c r="Y33" s="3637"/>
      <c r="Z33" s="672">
        <f t="shared" si="13"/>
        <v>111</v>
      </c>
      <c r="AA33" s="1264">
        <f t="shared" si="3"/>
        <v>1</v>
      </c>
      <c r="AB33" s="1264">
        <f t="shared" si="4"/>
        <v>1</v>
      </c>
      <c r="AC33" s="1264">
        <f t="shared" si="5"/>
        <v>1</v>
      </c>
    </row>
    <row r="34" spans="1:31" ht="15">
      <c r="A34" s="379" t="s">
        <v>1692</v>
      </c>
      <c r="B34" s="395" t="s">
        <v>1872</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3"/>
      <c r="M34" s="2488"/>
      <c r="N34" s="2488"/>
      <c r="O34" s="2543"/>
      <c r="P34" s="3637"/>
      <c r="Q34" s="1263" t="str">
        <f>B34</f>
        <v>宗地面积</v>
      </c>
      <c r="R34" s="667" t="s">
        <v>14</v>
      </c>
      <c r="S34" s="668" t="e">
        <f t="shared" si="10"/>
        <v>#N/A</v>
      </c>
      <c r="T34" s="667" t="s">
        <v>14</v>
      </c>
      <c r="U34" s="668" t="e">
        <f t="shared" si="11"/>
        <v>#N/A</v>
      </c>
      <c r="V34" s="667" t="s">
        <v>14</v>
      </c>
      <c r="W34" s="668" t="e">
        <f t="shared" si="12"/>
        <v>#N/A</v>
      </c>
      <c r="X34" s="1265"/>
      <c r="Y34" s="3637"/>
      <c r="Z34" s="1264" t="str">
        <f t="shared" si="13"/>
        <v>宗地面积</v>
      </c>
      <c r="AA34" s="1264" t="e">
        <f t="shared" si="3"/>
        <v>#N/A</v>
      </c>
      <c r="AB34" s="1264" t="e">
        <f t="shared" si="4"/>
        <v>#N/A</v>
      </c>
      <c r="AC34" s="1264" t="e">
        <f t="shared" si="5"/>
        <v>#N/A</v>
      </c>
    </row>
    <row r="35" spans="1:31" ht="15">
      <c r="A35" s="409"/>
      <c r="B35" s="364" t="s">
        <v>1873</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3"/>
      <c r="M35" s="2488"/>
      <c r="N35" s="2488"/>
      <c r="O35" s="2543"/>
      <c r="P35" s="3637"/>
      <c r="Q35" s="1263" t="str">
        <f t="shared" ref="Q35:Q40" si="14">B35</f>
        <v>宗地形状</v>
      </c>
      <c r="R35" s="667" t="s">
        <v>14</v>
      </c>
      <c r="S35" s="668">
        <f t="shared" si="10"/>
        <v>100</v>
      </c>
      <c r="T35" s="667" t="s">
        <v>14</v>
      </c>
      <c r="U35" s="668">
        <f t="shared" si="11"/>
        <v>100</v>
      </c>
      <c r="V35" s="667" t="s">
        <v>14</v>
      </c>
      <c r="W35" s="668">
        <f t="shared" si="12"/>
        <v>100</v>
      </c>
      <c r="X35" s="1265"/>
      <c r="Y35" s="3637"/>
      <c r="Z35" s="1264" t="str">
        <f t="shared" si="13"/>
        <v>宗地形状</v>
      </c>
      <c r="AA35" s="1264">
        <f t="shared" si="3"/>
        <v>1</v>
      </c>
      <c r="AB35" s="1264">
        <f t="shared" si="4"/>
        <v>1</v>
      </c>
      <c r="AC35" s="1264">
        <f t="shared" si="5"/>
        <v>1</v>
      </c>
    </row>
    <row r="36" spans="1:31" s="102" customFormat="1" ht="15">
      <c r="A36" s="410"/>
      <c r="B36" s="364" t="s">
        <v>1875</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9"/>
      <c r="M36" s="2440"/>
      <c r="N36" s="2440"/>
      <c r="O36" s="2541"/>
      <c r="P36" s="3637"/>
      <c r="Q36" s="1263" t="str">
        <f t="shared" si="14"/>
        <v>宗地开发程度</v>
      </c>
      <c r="R36" s="664" t="s">
        <v>14</v>
      </c>
      <c r="S36" s="665">
        <f t="shared" si="10"/>
        <v>100</v>
      </c>
      <c r="T36" s="664" t="s">
        <v>14</v>
      </c>
      <c r="U36" s="665">
        <f t="shared" si="11"/>
        <v>100</v>
      </c>
      <c r="V36" s="664" t="s">
        <v>14</v>
      </c>
      <c r="W36" s="665">
        <f t="shared" si="12"/>
        <v>100</v>
      </c>
      <c r="X36" s="666"/>
      <c r="Y36" s="3637"/>
      <c r="Z36" s="50" t="str">
        <f t="shared" si="13"/>
        <v>宗地开发程度</v>
      </c>
      <c r="AA36" s="50">
        <f t="shared" si="3"/>
        <v>1</v>
      </c>
      <c r="AB36" s="50">
        <f t="shared" si="4"/>
        <v>1</v>
      </c>
      <c r="AC36" s="50">
        <f t="shared" si="5"/>
        <v>1</v>
      </c>
    </row>
    <row r="37" spans="1:31" ht="15">
      <c r="A37" s="409"/>
      <c r="B37" s="364" t="s">
        <v>1876</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3"/>
      <c r="M37" s="2488"/>
      <c r="N37" s="2488"/>
      <c r="O37" s="2543"/>
      <c r="P37" s="3637" t="s">
        <v>1694</v>
      </c>
      <c r="Q37" s="1263" t="str">
        <f t="shared" si="14"/>
        <v>工程地质条件</v>
      </c>
      <c r="R37" s="667" t="s">
        <v>14</v>
      </c>
      <c r="S37" s="668">
        <f t="shared" si="10"/>
        <v>100</v>
      </c>
      <c r="T37" s="667" t="s">
        <v>14</v>
      </c>
      <c r="U37" s="668">
        <f t="shared" si="11"/>
        <v>100</v>
      </c>
      <c r="V37" s="667" t="s">
        <v>14</v>
      </c>
      <c r="W37" s="668">
        <f t="shared" si="12"/>
        <v>100</v>
      </c>
      <c r="X37" s="1265"/>
      <c r="Y37" s="3637" t="s">
        <v>1694</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3"/>
      <c r="M38" s="2488"/>
      <c r="N38" s="2488"/>
      <c r="O38" s="2543"/>
      <c r="P38" s="3637"/>
      <c r="Q38" s="1263">
        <f t="shared" si="14"/>
        <v>111</v>
      </c>
      <c r="R38" s="667" t="s">
        <v>14</v>
      </c>
      <c r="S38" s="668">
        <f t="shared" si="10"/>
        <v>100</v>
      </c>
      <c r="T38" s="667" t="s">
        <v>14</v>
      </c>
      <c r="U38" s="668">
        <f t="shared" si="11"/>
        <v>100</v>
      </c>
      <c r="V38" s="667" t="s">
        <v>14</v>
      </c>
      <c r="W38" s="668">
        <f t="shared" si="12"/>
        <v>100</v>
      </c>
      <c r="X38" s="1265"/>
      <c r="Y38" s="3637"/>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3"/>
      <c r="M39" s="2488"/>
      <c r="N39" s="2488"/>
      <c r="O39" s="2543"/>
      <c r="P39" s="3637"/>
      <c r="Q39" s="1263">
        <f t="shared" si="14"/>
        <v>111</v>
      </c>
      <c r="R39" s="667" t="s">
        <v>14</v>
      </c>
      <c r="S39" s="668">
        <f t="shared" si="10"/>
        <v>100</v>
      </c>
      <c r="T39" s="667" t="s">
        <v>14</v>
      </c>
      <c r="U39" s="668">
        <f t="shared" si="11"/>
        <v>100</v>
      </c>
      <c r="V39" s="667" t="s">
        <v>14</v>
      </c>
      <c r="W39" s="668">
        <f t="shared" si="12"/>
        <v>100</v>
      </c>
      <c r="X39" s="1265"/>
      <c r="Y39" s="3637"/>
      <c r="Z39" s="1264">
        <f t="shared" si="13"/>
        <v>111</v>
      </c>
      <c r="AA39" s="1264">
        <f t="shared" si="3"/>
        <v>1</v>
      </c>
      <c r="AB39" s="1264">
        <f t="shared" si="4"/>
        <v>1</v>
      </c>
      <c r="AC39" s="1264">
        <f t="shared" si="5"/>
        <v>1</v>
      </c>
    </row>
    <row r="40" spans="1:31" s="408" customFormat="1" ht="15.75"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2"/>
      <c r="M40" s="2494"/>
      <c r="N40" s="2494"/>
      <c r="O40" s="2544"/>
      <c r="P40" s="3637"/>
      <c r="Q40" s="1263">
        <f t="shared" si="14"/>
        <v>111</v>
      </c>
      <c r="R40" s="669" t="s">
        <v>14</v>
      </c>
      <c r="S40" s="670">
        <f t="shared" si="10"/>
        <v>100</v>
      </c>
      <c r="T40" s="669" t="s">
        <v>14</v>
      </c>
      <c r="U40" s="670">
        <f t="shared" si="11"/>
        <v>100</v>
      </c>
      <c r="V40" s="669" t="s">
        <v>14</v>
      </c>
      <c r="W40" s="670">
        <f t="shared" si="12"/>
        <v>100</v>
      </c>
      <c r="X40" s="671"/>
      <c r="Y40" s="3637"/>
      <c r="Z40" s="672">
        <f t="shared" si="13"/>
        <v>111</v>
      </c>
      <c r="AA40" s="1264">
        <f t="shared" si="3"/>
        <v>1</v>
      </c>
      <c r="AB40" s="1264">
        <f t="shared" si="4"/>
        <v>1</v>
      </c>
      <c r="AC40" s="1264">
        <f t="shared" si="5"/>
        <v>1</v>
      </c>
    </row>
    <row r="41" spans="1:31" ht="15">
      <c r="A41" s="416" t="s">
        <v>1842</v>
      </c>
      <c r="B41" s="1830" t="s">
        <v>1920</v>
      </c>
      <c r="C41" s="602" t="s">
        <v>0</v>
      </c>
      <c r="D41" s="418"/>
      <c r="E41" s="419"/>
      <c r="F41" s="420"/>
      <c r="G41" s="421"/>
      <c r="H41" s="422"/>
      <c r="I41" s="419"/>
      <c r="J41" s="422"/>
      <c r="K41" s="674"/>
      <c r="L41" s="2495"/>
      <c r="M41" s="2488"/>
      <c r="N41" s="2488"/>
      <c r="O41" s="2488"/>
      <c r="P41" s="3631" t="str">
        <f>A41</f>
        <v>成交单价</v>
      </c>
      <c r="Q41" s="3631"/>
      <c r="R41" s="3626">
        <f>E41</f>
        <v>0</v>
      </c>
      <c r="S41" s="3626"/>
      <c r="T41" s="3626">
        <f>G41</f>
        <v>0</v>
      </c>
      <c r="U41" s="3626"/>
      <c r="V41" s="3626">
        <f>I41</f>
        <v>0</v>
      </c>
      <c r="W41" s="3626"/>
      <c r="X41" s="385"/>
      <c r="Y41" s="673"/>
      <c r="Z41" s="385"/>
      <c r="AA41" s="385"/>
      <c r="AB41" s="385"/>
      <c r="AC41" s="385"/>
    </row>
    <row r="42" spans="1:31" ht="15.75" thickBot="1">
      <c r="A42" s="423" t="s">
        <v>1791</v>
      </c>
      <c r="B42" s="603"/>
      <c r="C42" s="426" t="e">
        <f>R43</f>
        <v>#DIV/0!</v>
      </c>
      <c r="D42" s="2141" t="s">
        <v>2136</v>
      </c>
      <c r="E42" s="426" t="e">
        <f>R42</f>
        <v>#DIV/0!</v>
      </c>
      <c r="F42" s="2142"/>
      <c r="G42" s="425" t="e">
        <f>T42</f>
        <v>#DIV/0!</v>
      </c>
      <c r="H42" s="2142"/>
      <c r="I42" s="426" t="e">
        <f>V42</f>
        <v>#DIV/0!</v>
      </c>
      <c r="J42" s="2142"/>
      <c r="K42" s="2144">
        <f>F42+H42+J42</f>
        <v>0</v>
      </c>
      <c r="L42" s="2495"/>
      <c r="M42" s="2488"/>
      <c r="N42" s="2488"/>
      <c r="O42" s="2488"/>
      <c r="P42" s="3631" t="str">
        <f>A42</f>
        <v>比较价值（元/平方米）</v>
      </c>
      <c r="Q42" s="3631"/>
      <c r="R42" s="3658" t="e">
        <f>ROUND(PRODUCT(R41,AA7:AA40),0)</f>
        <v>#DIV/0!</v>
      </c>
      <c r="S42" s="3658"/>
      <c r="T42" s="3658" t="e">
        <f>ROUND(PRODUCT(T41,AB7:AB40),0)</f>
        <v>#DIV/0!</v>
      </c>
      <c r="U42" s="3658"/>
      <c r="V42" s="3658" t="e">
        <f>ROUND(PRODUCT(V41,AC7:AC40),0)</f>
        <v>#DIV/0!</v>
      </c>
      <c r="W42" s="3658"/>
      <c r="X42" s="385"/>
      <c r="Y42" s="385"/>
      <c r="Z42" s="385"/>
      <c r="AA42" s="385"/>
      <c r="AB42" s="385"/>
      <c r="AC42" s="385"/>
    </row>
    <row r="43" spans="1:31" ht="15.75" thickBot="1">
      <c r="A43" s="427" t="s">
        <v>1792</v>
      </c>
      <c r="B43" s="428"/>
      <c r="C43" s="429" t="e">
        <f>R43</f>
        <v>#DIV/0!</v>
      </c>
      <c r="D43" s="429"/>
      <c r="E43" s="429"/>
      <c r="F43" s="429"/>
      <c r="G43" s="429"/>
      <c r="H43" s="429"/>
      <c r="I43" s="429"/>
      <c r="J43" s="429"/>
      <c r="K43" s="675"/>
      <c r="L43" s="2495"/>
      <c r="M43" s="2488"/>
      <c r="N43" s="2488"/>
      <c r="O43" s="2488"/>
      <c r="P43" s="3628" t="str">
        <f>A43</f>
        <v>估价对象XX用房的比较价值（楼面单价，元/平方米）</v>
      </c>
      <c r="Q43" s="3629"/>
      <c r="R43" s="3659" t="e">
        <f>ROUND(IF(D42="简单平均",AVERAGE(R42:W42),R42*F42+T42*H42+V42*J42),0)</f>
        <v>#DIV/0!</v>
      </c>
      <c r="S43" s="3659"/>
      <c r="T43" s="3659"/>
      <c r="U43" s="3659"/>
      <c r="V43" s="3659"/>
      <c r="W43" s="3659"/>
      <c r="X43" s="385"/>
      <c r="Y43" s="385"/>
      <c r="Z43" s="385"/>
      <c r="AA43" s="385"/>
      <c r="AB43" s="385"/>
      <c r="AC43" s="385"/>
    </row>
    <row r="44" spans="1:31">
      <c r="A44" s="2488"/>
      <c r="B44" s="2488"/>
      <c r="C44" s="2488"/>
      <c r="D44" s="2488"/>
      <c r="E44" s="2488"/>
      <c r="F44" s="2488"/>
      <c r="G44" s="2499"/>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c r="AE44" s="2488"/>
    </row>
    <row r="45" spans="1:31">
      <c r="A45" s="2488"/>
      <c r="B45" s="2488"/>
      <c r="C45" s="2488"/>
      <c r="D45" s="2488"/>
      <c r="E45" s="2488"/>
      <c r="F45" s="2488"/>
      <c r="G45" s="2488"/>
      <c r="H45" s="2488"/>
      <c r="I45" s="2488"/>
      <c r="J45" s="2488"/>
      <c r="K45" s="2500"/>
      <c r="L45" s="2496"/>
      <c r="M45" s="2488"/>
      <c r="N45" s="2488"/>
      <c r="O45" s="2488"/>
      <c r="P45" s="2488"/>
      <c r="Q45" s="2488"/>
      <c r="R45" s="2488"/>
      <c r="S45" s="2488"/>
      <c r="T45" s="2488"/>
      <c r="U45" s="2488"/>
      <c r="V45" s="2488"/>
      <c r="W45" s="2488"/>
      <c r="X45" s="2488"/>
      <c r="Y45" s="2488"/>
      <c r="Z45" s="2488"/>
      <c r="AA45" s="2488"/>
      <c r="AB45" s="2488"/>
      <c r="AC45" s="2488"/>
      <c r="AD45" s="2488"/>
      <c r="AE45" s="2488"/>
    </row>
    <row r="46" spans="1:31" ht="13.5" customHeight="1">
      <c r="A46" s="2488"/>
      <c r="B46" s="2488"/>
      <c r="C46" s="432" t="s">
        <v>1793</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2496"/>
      <c r="M46" s="2488"/>
      <c r="N46" s="2488"/>
      <c r="O46" s="2488"/>
      <c r="P46" s="2488"/>
      <c r="Q46" s="2488"/>
      <c r="R46" s="2488"/>
      <c r="S46" s="2488"/>
      <c r="T46" s="2488"/>
      <c r="U46" s="2488"/>
      <c r="V46" s="2488"/>
      <c r="W46" s="2488"/>
      <c r="X46" s="2488"/>
      <c r="Y46" s="2488"/>
      <c r="Z46" s="2488"/>
      <c r="AA46" s="2488"/>
      <c r="AB46" s="2488"/>
      <c r="AC46" s="2488"/>
      <c r="AD46" s="2488"/>
      <c r="AE46" s="2488"/>
    </row>
    <row r="47" spans="1:31" ht="13.5" customHeight="1">
      <c r="A47" s="2488"/>
      <c r="B47" s="2488"/>
      <c r="C47" s="432" t="s">
        <v>1794</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2496"/>
      <c r="M47" s="2488"/>
      <c r="N47" s="2488"/>
      <c r="O47" s="2488"/>
      <c r="P47" s="2488"/>
      <c r="Q47" s="2488"/>
      <c r="R47" s="2488"/>
      <c r="S47" s="2488"/>
      <c r="T47" s="2488"/>
      <c r="U47" s="2488"/>
      <c r="V47" s="2488"/>
      <c r="W47" s="2488"/>
      <c r="X47" s="2488"/>
      <c r="Y47" s="2488"/>
      <c r="Z47" s="2488"/>
      <c r="AA47" s="2488"/>
      <c r="AB47" s="2488"/>
      <c r="AC47" s="2488"/>
      <c r="AD47" s="2488"/>
      <c r="AE47" s="2488"/>
    </row>
    <row r="48" spans="1:31" s="437" customFormat="1" ht="13.5" customHeight="1">
      <c r="A48" s="2498"/>
      <c r="B48" s="2498"/>
      <c r="C48" s="432" t="s">
        <v>1795</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2497"/>
      <c r="M48" s="2498"/>
      <c r="N48" s="2498"/>
      <c r="O48" s="2498"/>
      <c r="P48" s="2498"/>
      <c r="Q48" s="2498"/>
      <c r="R48" s="2498"/>
      <c r="S48" s="2498"/>
      <c r="T48" s="2498"/>
      <c r="U48" s="2498"/>
      <c r="V48" s="2498"/>
      <c r="W48" s="2498"/>
      <c r="X48" s="2498"/>
      <c r="Y48" s="2498"/>
      <c r="Z48" s="2498"/>
      <c r="AA48" s="2498"/>
      <c r="AB48" s="2498"/>
      <c r="AC48" s="2498"/>
      <c r="AD48" s="2498"/>
      <c r="AE48" s="2498"/>
    </row>
    <row r="49" spans="1:31" s="437" customFormat="1" ht="15" thickBot="1">
      <c r="A49" s="2498"/>
      <c r="B49" s="2501"/>
      <c r="C49" s="657"/>
      <c r="D49" s="655"/>
      <c r="E49" s="655"/>
      <c r="F49" s="655"/>
      <c r="G49" s="655"/>
      <c r="H49" s="655"/>
      <c r="I49" s="655"/>
      <c r="J49" s="655"/>
      <c r="K49" s="2503"/>
      <c r="L49" s="2497"/>
      <c r="M49" s="2498"/>
      <c r="N49" s="2498"/>
      <c r="O49" s="2498"/>
      <c r="P49" s="2498"/>
      <c r="Q49" s="2498"/>
      <c r="R49" s="2498"/>
      <c r="S49" s="2498"/>
      <c r="T49" s="2498"/>
      <c r="U49" s="2498"/>
      <c r="V49" s="2498"/>
      <c r="W49" s="2498"/>
      <c r="X49" s="2498"/>
      <c r="Y49" s="2498"/>
      <c r="Z49" s="2498"/>
      <c r="AA49" s="2498"/>
      <c r="AB49" s="2498"/>
      <c r="AC49" s="2498"/>
      <c r="AD49" s="2498"/>
      <c r="AE49" s="2498"/>
    </row>
    <row r="50" spans="1:31" ht="27">
      <c r="A50" s="604" t="s">
        <v>1879</v>
      </c>
      <c r="B50" s="605" t="s">
        <v>1880</v>
      </c>
      <c r="C50" s="1831" t="s">
        <v>1881</v>
      </c>
      <c r="D50" s="1832" t="s">
        <v>1882</v>
      </c>
      <c r="E50" s="606" t="s">
        <v>1883</v>
      </c>
      <c r="F50" s="607" t="s">
        <v>1884</v>
      </c>
      <c r="G50" s="3614" t="s">
        <v>1885</v>
      </c>
      <c r="H50" s="3660"/>
      <c r="I50" s="1264" t="s">
        <v>1921</v>
      </c>
      <c r="J50" s="1264">
        <f>项目基本情况!F35</f>
        <v>0</v>
      </c>
      <c r="K50" s="1834" t="s">
        <v>1887</v>
      </c>
      <c r="L50" s="2496"/>
      <c r="M50" s="2488"/>
      <c r="N50" s="2488"/>
      <c r="O50" s="2488"/>
      <c r="P50" s="2488"/>
      <c r="Q50" s="2488"/>
      <c r="R50" s="2488"/>
      <c r="S50" s="2488"/>
      <c r="T50" s="2488"/>
      <c r="U50" s="2488"/>
      <c r="V50" s="2488"/>
      <c r="W50" s="2488"/>
      <c r="X50" s="2488"/>
      <c r="Y50" s="2488"/>
      <c r="Z50" s="2488"/>
      <c r="AA50" s="2488"/>
      <c r="AB50" s="2488"/>
      <c r="AC50" s="2488"/>
      <c r="AD50" s="2488"/>
      <c r="AE50" s="2488"/>
    </row>
    <row r="51" spans="1:31" s="612" customFormat="1">
      <c r="A51" s="608" t="s">
        <v>1888</v>
      </c>
      <c r="B51" s="609" t="e">
        <f>C43</f>
        <v>#DIV/0!</v>
      </c>
      <c r="C51" s="610">
        <v>1</v>
      </c>
      <c r="D51" s="890">
        <v>1</v>
      </c>
      <c r="E51" s="610">
        <f>'数据-汇总表'!E8+'数据-汇总表'!E9</f>
        <v>194.07</v>
      </c>
      <c r="F51" s="611" t="e">
        <f t="shared" ref="F51:F60" si="15">ROUND(B51*E51/10000,0)</f>
        <v>#DIV/0!</v>
      </c>
      <c r="G51" s="3613"/>
      <c r="H51" s="3631"/>
      <c r="I51" s="727">
        <v>1</v>
      </c>
      <c r="J51" s="727">
        <v>1</v>
      </c>
      <c r="K51" s="2498"/>
      <c r="L51" s="2547"/>
      <c r="M51" s="2547"/>
      <c r="N51" s="2547"/>
      <c r="O51" s="2547"/>
      <c r="P51" s="2547"/>
      <c r="Q51" s="2547"/>
      <c r="R51" s="2547"/>
      <c r="S51" s="2547"/>
      <c r="T51" s="2547"/>
      <c r="U51" s="2547"/>
      <c r="V51" s="2547"/>
      <c r="W51" s="2547"/>
      <c r="X51" s="2547"/>
      <c r="Y51" s="2547"/>
      <c r="Z51" s="2547"/>
      <c r="AA51" s="2547"/>
      <c r="AB51" s="2547"/>
      <c r="AC51" s="2547"/>
      <c r="AD51" s="2547"/>
      <c r="AE51" s="2547"/>
    </row>
    <row r="52" spans="1:31" s="612" customFormat="1">
      <c r="A52" s="613" t="s">
        <v>1889</v>
      </c>
      <c r="B52" s="210" t="e">
        <f>ROUND($C$43*C52*D52,0)</f>
        <v>#DIV/0!</v>
      </c>
      <c r="C52" s="163">
        <f t="shared" ref="C52:C60" si="16">IF($C$50="北京市系数",I52,J52)</f>
        <v>0</v>
      </c>
      <c r="D52" s="891">
        <v>0.25</v>
      </c>
      <c r="E52" s="614"/>
      <c r="F52" s="611" t="e">
        <f t="shared" si="15"/>
        <v>#DIV/0!</v>
      </c>
      <c r="G52" s="2751" t="s">
        <v>1890</v>
      </c>
      <c r="H52" s="834">
        <f>项目基本情况!B37</f>
        <v>0</v>
      </c>
      <c r="I52" s="727">
        <f>SUMIF(修正!A57:A68,H52,修正!B57:B68)</f>
        <v>0</v>
      </c>
      <c r="J52" s="728"/>
      <c r="K52" s="2488"/>
      <c r="L52" s="2547"/>
      <c r="M52" s="2547"/>
      <c r="N52" s="2547"/>
      <c r="O52" s="2547"/>
      <c r="P52" s="2547"/>
      <c r="Q52" s="2547"/>
      <c r="R52" s="2547"/>
      <c r="S52" s="2547"/>
      <c r="T52" s="2547"/>
      <c r="U52" s="2547"/>
      <c r="V52" s="2547"/>
      <c r="W52" s="2547"/>
      <c r="X52" s="2547"/>
      <c r="Y52" s="2547"/>
      <c r="Z52" s="2547"/>
      <c r="AA52" s="2547"/>
      <c r="AB52" s="2547"/>
      <c r="AC52" s="2547"/>
      <c r="AD52" s="2547"/>
      <c r="AE52" s="2547"/>
    </row>
    <row r="53" spans="1:31" s="612" customFormat="1">
      <c r="A53" s="613" t="s">
        <v>1891</v>
      </c>
      <c r="B53" s="210" t="e">
        <f t="shared" ref="B53:B60" si="17">ROUND($C$43*C53*D53,0)</f>
        <v>#DIV/0!</v>
      </c>
      <c r="C53" s="163">
        <f t="shared" si="16"/>
        <v>0</v>
      </c>
      <c r="D53" s="891">
        <v>0.25</v>
      </c>
      <c r="E53" s="614"/>
      <c r="F53" s="611" t="e">
        <f t="shared" si="15"/>
        <v>#DIV/0!</v>
      </c>
      <c r="G53" s="2752"/>
      <c r="H53" s="834">
        <f>项目基本情况!B37</f>
        <v>0</v>
      </c>
      <c r="I53" s="727">
        <f>SUMIF(修正!A57:A68,H53,修正!C57:C68)</f>
        <v>0</v>
      </c>
      <c r="J53" s="728"/>
      <c r="K53" s="2498"/>
      <c r="L53" s="2547"/>
      <c r="M53" s="2547"/>
      <c r="N53" s="2547"/>
      <c r="O53" s="2547"/>
      <c r="P53" s="2547"/>
      <c r="Q53" s="2547"/>
      <c r="R53" s="2547"/>
      <c r="S53" s="2547"/>
      <c r="T53" s="2547"/>
      <c r="U53" s="2547"/>
      <c r="V53" s="2547"/>
      <c r="W53" s="2547"/>
      <c r="X53" s="2547"/>
      <c r="Y53" s="2547"/>
      <c r="Z53" s="2547"/>
      <c r="AA53" s="2547"/>
      <c r="AB53" s="2547"/>
      <c r="AC53" s="2547"/>
      <c r="AD53" s="2547"/>
      <c r="AE53" s="2547"/>
    </row>
    <row r="54" spans="1:31" s="612" customFormat="1">
      <c r="A54" s="613" t="s">
        <v>1892</v>
      </c>
      <c r="B54" s="210" t="e">
        <f t="shared" si="17"/>
        <v>#DIV/0!</v>
      </c>
      <c r="C54" s="163">
        <f t="shared" si="16"/>
        <v>0</v>
      </c>
      <c r="D54" s="891">
        <v>0.25</v>
      </c>
      <c r="E54" s="614"/>
      <c r="F54" s="611" t="e">
        <f t="shared" si="15"/>
        <v>#DIV/0!</v>
      </c>
      <c r="G54" s="2752"/>
      <c r="H54" s="834">
        <f>项目基本情况!B37</f>
        <v>0</v>
      </c>
      <c r="I54" s="727">
        <f>SUMIF(修正!A57:A68,H54,修正!D57:D68)</f>
        <v>0</v>
      </c>
      <c r="J54" s="728"/>
      <c r="K54" s="2488"/>
      <c r="L54" s="2547"/>
      <c r="M54" s="2547"/>
      <c r="N54" s="2547"/>
      <c r="O54" s="2547"/>
      <c r="P54" s="2547"/>
      <c r="Q54" s="2547"/>
      <c r="R54" s="2547"/>
      <c r="S54" s="2547"/>
      <c r="T54" s="2547"/>
      <c r="U54" s="2547"/>
      <c r="V54" s="2547"/>
      <c r="W54" s="2547"/>
      <c r="X54" s="2547"/>
      <c r="Y54" s="2547"/>
      <c r="Z54" s="2547"/>
      <c r="AA54" s="2547"/>
      <c r="AB54" s="2547"/>
      <c r="AC54" s="2547"/>
      <c r="AD54" s="2547"/>
      <c r="AE54" s="2547"/>
    </row>
    <row r="55" spans="1:31" s="612" customFormat="1" hidden="1">
      <c r="A55" s="613"/>
      <c r="B55" s="210"/>
      <c r="C55" s="163"/>
      <c r="D55" s="891"/>
      <c r="E55" s="614"/>
      <c r="F55" s="611"/>
      <c r="G55" s="2753"/>
      <c r="H55" s="834"/>
      <c r="I55" s="727"/>
      <c r="J55" s="728"/>
      <c r="K55" s="2498"/>
      <c r="L55" s="2547"/>
      <c r="M55" s="2547"/>
      <c r="N55" s="2547"/>
      <c r="O55" s="2547"/>
      <c r="P55" s="2547"/>
      <c r="Q55" s="2547"/>
      <c r="R55" s="2547"/>
      <c r="S55" s="2547"/>
      <c r="T55" s="2547"/>
      <c r="U55" s="2547"/>
      <c r="V55" s="2547"/>
      <c r="W55" s="2547"/>
      <c r="X55" s="2547"/>
      <c r="Y55" s="2547"/>
      <c r="Z55" s="2547"/>
      <c r="AA55" s="2547"/>
      <c r="AB55" s="2547"/>
      <c r="AC55" s="2547"/>
      <c r="AD55" s="2547"/>
      <c r="AE55" s="2547"/>
    </row>
    <row r="56" spans="1:31" s="612" customFormat="1">
      <c r="A56" s="613" t="s">
        <v>1893</v>
      </c>
      <c r="B56" s="210" t="e">
        <f t="shared" si="17"/>
        <v>#DIV/0!</v>
      </c>
      <c r="C56" s="163">
        <f t="shared" si="16"/>
        <v>0</v>
      </c>
      <c r="D56" s="891">
        <v>0.25</v>
      </c>
      <c r="E56" s="209">
        <f>'数据-汇总表'!E11</f>
        <v>0</v>
      </c>
      <c r="F56" s="611" t="e">
        <f t="shared" si="15"/>
        <v>#DIV/0!</v>
      </c>
      <c r="G56" s="1835" t="s">
        <v>1894</v>
      </c>
      <c r="H56" s="834">
        <f>项目基本情况!C37</f>
        <v>0</v>
      </c>
      <c r="I56" s="727">
        <f>SUMIF(修正!A57:A68,H56,修正!E57:E68)</f>
        <v>0</v>
      </c>
      <c r="J56" s="728"/>
      <c r="K56" s="2488"/>
      <c r="L56" s="2547"/>
      <c r="M56" s="2547"/>
      <c r="N56" s="2547"/>
      <c r="O56" s="2547"/>
      <c r="P56" s="2547"/>
      <c r="Q56" s="2547"/>
      <c r="R56" s="2547"/>
      <c r="S56" s="2547"/>
      <c r="T56" s="2547"/>
      <c r="U56" s="2547"/>
      <c r="V56" s="2547"/>
      <c r="W56" s="2547"/>
      <c r="X56" s="2547"/>
      <c r="Y56" s="2547"/>
      <c r="Z56" s="2547"/>
      <c r="AA56" s="2547"/>
      <c r="AB56" s="2547"/>
      <c r="AC56" s="2547"/>
      <c r="AD56" s="2547"/>
      <c r="AE56" s="2547"/>
    </row>
    <row r="57" spans="1:31" s="612" customFormat="1">
      <c r="A57" s="613" t="s">
        <v>1895</v>
      </c>
      <c r="B57" s="210" t="e">
        <f t="shared" si="17"/>
        <v>#DIV/0!</v>
      </c>
      <c r="C57" s="163">
        <f t="shared" si="16"/>
        <v>0</v>
      </c>
      <c r="D57" s="891">
        <v>0.25</v>
      </c>
      <c r="E57" s="209">
        <f>'数据-汇总表'!E12</f>
        <v>0</v>
      </c>
      <c r="F57" s="611" t="e">
        <f t="shared" si="15"/>
        <v>#DIV/0!</v>
      </c>
      <c r="G57" s="839" t="s">
        <v>1896</v>
      </c>
      <c r="H57" s="834">
        <f>IF(G57="商业",项目基本情况!B37,IF(G57="办公",项目基本情况!C37,IF(G57="住宅",项目基本情况!D37,项目基本情况!E37)))</f>
        <v>0</v>
      </c>
      <c r="I57" s="727">
        <f>SUMIF(修正!A57:A68,H57,修正!F57:F68)</f>
        <v>0</v>
      </c>
      <c r="J57" s="728"/>
      <c r="K57" s="2498"/>
      <c r="L57" s="2547"/>
      <c r="M57" s="2547"/>
      <c r="N57" s="2547"/>
      <c r="O57" s="2547"/>
      <c r="P57" s="2547"/>
      <c r="Q57" s="2547"/>
      <c r="R57" s="2547"/>
      <c r="S57" s="2547"/>
      <c r="T57" s="2547"/>
      <c r="U57" s="2547"/>
      <c r="V57" s="2547"/>
      <c r="W57" s="2547"/>
      <c r="X57" s="2547"/>
      <c r="Y57" s="2547"/>
      <c r="Z57" s="2547"/>
      <c r="AA57" s="2547"/>
      <c r="AB57" s="2547"/>
      <c r="AC57" s="2547"/>
      <c r="AD57" s="2547"/>
      <c r="AE57" s="2547"/>
    </row>
    <row r="58" spans="1:31" s="612" customFormat="1">
      <c r="A58" s="613" t="s">
        <v>1897</v>
      </c>
      <c r="B58" s="210" t="e">
        <f t="shared" si="17"/>
        <v>#DIV/0!</v>
      </c>
      <c r="C58" s="163">
        <f t="shared" si="16"/>
        <v>0</v>
      </c>
      <c r="D58" s="891">
        <v>0.25</v>
      </c>
      <c r="E58" s="209">
        <f>'数据-汇总表'!E13</f>
        <v>0</v>
      </c>
      <c r="F58" s="611" t="e">
        <f t="shared" si="15"/>
        <v>#DIV/0!</v>
      </c>
      <c r="G58" s="839" t="s">
        <v>1898</v>
      </c>
      <c r="H58" s="834">
        <f>IF(G58="商业",项目基本情况!B37,IF(G58="办公",项目基本情况!C37,IF(G58="住宅",项目基本情况!D37,项目基本情况!E37)))</f>
        <v>0</v>
      </c>
      <c r="I58" s="727">
        <f>SUMIF(修正!A57:A68,H58,修正!G57:G68)</f>
        <v>0</v>
      </c>
      <c r="J58" s="728"/>
      <c r="K58" s="2488"/>
      <c r="L58" s="2547"/>
      <c r="M58" s="2547"/>
      <c r="N58" s="2547"/>
      <c r="O58" s="2547"/>
      <c r="P58" s="2547"/>
      <c r="Q58" s="2547"/>
      <c r="R58" s="2547"/>
      <c r="S58" s="2547"/>
      <c r="T58" s="2547"/>
      <c r="U58" s="2547"/>
      <c r="V58" s="2547"/>
      <c r="W58" s="2547"/>
      <c r="X58" s="2547"/>
      <c r="Y58" s="2547"/>
      <c r="Z58" s="2547"/>
      <c r="AA58" s="2547"/>
      <c r="AB58" s="2547"/>
      <c r="AC58" s="2547"/>
      <c r="AD58" s="2547"/>
      <c r="AE58" s="2547"/>
    </row>
    <row r="59" spans="1:31" s="612" customFormat="1">
      <c r="A59" s="613" t="s">
        <v>1899</v>
      </c>
      <c r="B59" s="210" t="e">
        <f t="shared" si="17"/>
        <v>#DIV/0!</v>
      </c>
      <c r="C59" s="163">
        <f t="shared" si="16"/>
        <v>0</v>
      </c>
      <c r="D59" s="891">
        <v>0.25</v>
      </c>
      <c r="E59" s="209">
        <f>'数据-汇总表'!E14</f>
        <v>0</v>
      </c>
      <c r="F59" s="611" t="e">
        <f t="shared" si="15"/>
        <v>#DIV/0!</v>
      </c>
      <c r="G59" s="1835" t="s">
        <v>1890</v>
      </c>
      <c r="H59" s="834">
        <f>项目基本情况!B37</f>
        <v>0</v>
      </c>
      <c r="I59" s="727">
        <f>SUMIF(修正!A57:A68,H59,修正!G57:G68)</f>
        <v>0</v>
      </c>
      <c r="J59" s="728"/>
      <c r="K59" s="2498"/>
      <c r="L59" s="2547"/>
      <c r="M59" s="2547"/>
      <c r="N59" s="2547"/>
      <c r="O59" s="2547"/>
      <c r="P59" s="2547"/>
      <c r="Q59" s="2547"/>
      <c r="R59" s="2547"/>
      <c r="S59" s="2547"/>
      <c r="T59" s="2547"/>
      <c r="U59" s="2547"/>
      <c r="V59" s="2547"/>
      <c r="W59" s="2547"/>
      <c r="X59" s="2547"/>
      <c r="Y59" s="2547"/>
      <c r="Z59" s="2547"/>
      <c r="AA59" s="2547"/>
      <c r="AB59" s="2547"/>
      <c r="AC59" s="2547"/>
      <c r="AD59" s="2547"/>
      <c r="AE59" s="2547"/>
    </row>
    <row r="60" spans="1:31" s="612" customFormat="1" ht="15" thickBot="1">
      <c r="A60" s="613" t="s">
        <v>1900</v>
      </c>
      <c r="B60" s="210" t="e">
        <f t="shared" si="17"/>
        <v>#DIV/0!</v>
      </c>
      <c r="C60" s="163">
        <f t="shared" si="16"/>
        <v>0</v>
      </c>
      <c r="D60" s="891">
        <v>0.25</v>
      </c>
      <c r="E60" s="209">
        <f>'数据-汇总表'!E15</f>
        <v>0</v>
      </c>
      <c r="F60" s="611" t="e">
        <f t="shared" si="15"/>
        <v>#DIV/0!</v>
      </c>
      <c r="G60" s="1836" t="s">
        <v>1894</v>
      </c>
      <c r="H60" s="844">
        <f>项目基本情况!C37</f>
        <v>0</v>
      </c>
      <c r="I60" s="727">
        <f>SUMIF(修正!A57:A68,H60,修正!G57:G68)</f>
        <v>0</v>
      </c>
      <c r="J60" s="728"/>
      <c r="K60" s="2488"/>
      <c r="L60" s="2547"/>
      <c r="M60" s="2547"/>
      <c r="N60" s="2547"/>
      <c r="O60" s="2547"/>
      <c r="P60" s="2547"/>
      <c r="Q60" s="2547"/>
      <c r="R60" s="2547"/>
      <c r="S60" s="2547"/>
      <c r="T60" s="2547"/>
      <c r="U60" s="2547"/>
      <c r="V60" s="2547"/>
      <c r="W60" s="2547"/>
      <c r="X60" s="2547"/>
      <c r="Y60" s="2547"/>
      <c r="Z60" s="2547"/>
      <c r="AA60" s="2547"/>
      <c r="AB60" s="2547"/>
      <c r="AC60" s="2547"/>
      <c r="AD60" s="2547"/>
      <c r="AE60" s="2547"/>
    </row>
    <row r="61" spans="1:31" s="612" customFormat="1" ht="15" thickBot="1">
      <c r="A61" s="615" t="s">
        <v>1901</v>
      </c>
      <c r="B61" s="616" t="s">
        <v>22</v>
      </c>
      <c r="C61" s="616" t="s">
        <v>23</v>
      </c>
      <c r="D61" s="616" t="s">
        <v>392</v>
      </c>
      <c r="E61" s="616">
        <f>IF(B41="楼面地价",SUM(E51:E60),'数据-汇总表'!D3)</f>
        <v>109.97</v>
      </c>
      <c r="F61" s="617" t="e">
        <f>IF(B41="楼面地价",SUM(F51:F60),ROUND(C43*E61/10000,0))</f>
        <v>#DIV/0!</v>
      </c>
      <c r="G61" s="885"/>
      <c r="H61" s="885"/>
      <c r="I61" s="885"/>
      <c r="J61" s="885"/>
      <c r="K61" s="2500"/>
      <c r="L61" s="2547"/>
      <c r="M61" s="2547"/>
      <c r="N61" s="2547"/>
      <c r="O61" s="2547"/>
      <c r="P61" s="2547"/>
      <c r="Q61" s="2547"/>
      <c r="R61" s="2547"/>
      <c r="S61" s="2547"/>
      <c r="T61" s="2547"/>
      <c r="U61" s="2547"/>
      <c r="V61" s="2547"/>
      <c r="W61" s="2547"/>
      <c r="X61" s="2547"/>
      <c r="Y61" s="2547"/>
      <c r="Z61" s="2547"/>
      <c r="AA61" s="2547"/>
      <c r="AB61" s="2547"/>
      <c r="AC61" s="2547"/>
      <c r="AD61" s="2547"/>
      <c r="AE61" s="2547"/>
    </row>
    <row r="62" spans="1:31">
      <c r="A62" s="861"/>
      <c r="B62" s="875"/>
      <c r="C62" s="877"/>
      <c r="D62" s="861"/>
      <c r="E62" s="861"/>
      <c r="F62" s="861"/>
      <c r="G62" s="861"/>
      <c r="H62" s="861"/>
      <c r="I62" s="861"/>
      <c r="J62" s="861"/>
      <c r="K62" s="835"/>
      <c r="L62" s="836"/>
      <c r="M62" s="861"/>
      <c r="N62" s="861"/>
      <c r="O62" s="861"/>
      <c r="P62" s="2488"/>
      <c r="Q62" s="2488"/>
      <c r="R62" s="2488"/>
      <c r="S62" s="2488"/>
      <c r="T62" s="2488"/>
      <c r="U62" s="2488"/>
      <c r="V62" s="2488"/>
      <c r="W62" s="2488"/>
      <c r="X62" s="2488"/>
      <c r="Y62" s="2488"/>
      <c r="Z62" s="2488"/>
      <c r="AA62" s="2488"/>
      <c r="AB62" s="2488"/>
      <c r="AC62" s="2488"/>
      <c r="AD62" s="2488"/>
      <c r="AE62" s="2488"/>
    </row>
    <row r="63" spans="1:31">
      <c r="A63" s="861"/>
      <c r="B63" s="875"/>
      <c r="C63" s="656" t="str">
        <f>YEAR(C7)&amp;"-"&amp;MONTH(C7)&amp;"-1"</f>
        <v>2025-7-1</v>
      </c>
      <c r="D63" s="656">
        <f>EDATE(C63,-3)</f>
        <v>45748</v>
      </c>
      <c r="E63" s="656">
        <f>EDATE(D63,-3)</f>
        <v>45658</v>
      </c>
      <c r="F63" s="656">
        <f t="shared" ref="F63:O63" si="18">EDATE(E63,-3)</f>
        <v>45566</v>
      </c>
      <c r="G63" s="656">
        <f t="shared" si="18"/>
        <v>45474</v>
      </c>
      <c r="H63" s="656">
        <f t="shared" si="18"/>
        <v>45383</v>
      </c>
      <c r="I63" s="656">
        <f t="shared" si="18"/>
        <v>45292</v>
      </c>
      <c r="J63" s="656">
        <f t="shared" si="18"/>
        <v>45200</v>
      </c>
      <c r="K63" s="656">
        <f t="shared" si="18"/>
        <v>45108</v>
      </c>
      <c r="L63" s="656">
        <f t="shared" si="18"/>
        <v>45017</v>
      </c>
      <c r="M63" s="656">
        <f t="shared" si="18"/>
        <v>44927</v>
      </c>
      <c r="N63" s="656">
        <f t="shared" si="18"/>
        <v>44835</v>
      </c>
      <c r="O63" s="656">
        <f t="shared" si="18"/>
        <v>44743</v>
      </c>
      <c r="P63" s="2488"/>
      <c r="Q63" s="2488"/>
      <c r="R63" s="2488"/>
      <c r="S63" s="2488"/>
      <c r="T63" s="2488"/>
      <c r="U63" s="2488"/>
      <c r="V63" s="2488"/>
      <c r="W63" s="2488"/>
      <c r="X63" s="2488"/>
      <c r="Y63" s="2488"/>
      <c r="Z63" s="2488"/>
      <c r="AA63" s="2488"/>
      <c r="AB63" s="2488"/>
      <c r="AC63" s="2488"/>
      <c r="AD63" s="2488"/>
      <c r="AE63" s="2488"/>
    </row>
    <row r="64" spans="1:31" ht="21.75" thickBot="1">
      <c r="A64" s="658" t="s">
        <v>1796</v>
      </c>
      <c r="B64" s="385"/>
      <c r="C64" s="659"/>
      <c r="D64" s="659"/>
      <c r="E64" s="659"/>
      <c r="F64" s="660"/>
      <c r="G64" s="660"/>
      <c r="H64" s="659"/>
      <c r="I64" s="659"/>
      <c r="J64" s="659"/>
      <c r="K64" s="661"/>
      <c r="L64" s="662"/>
      <c r="M64" s="659"/>
      <c r="N64" s="659"/>
      <c r="O64" s="886"/>
      <c r="P64" s="2538"/>
      <c r="Q64" s="2509"/>
      <c r="R64" s="2488"/>
      <c r="S64" s="2488"/>
      <c r="T64" s="2488"/>
      <c r="U64" s="2488"/>
      <c r="V64" s="2488"/>
      <c r="W64" s="2488"/>
      <c r="X64" s="2488"/>
      <c r="Y64" s="2488"/>
      <c r="Z64" s="2488"/>
      <c r="AA64" s="2488"/>
      <c r="AB64" s="2488"/>
      <c r="AC64" s="2488"/>
      <c r="AD64" s="2488"/>
      <c r="AE64" s="2488"/>
    </row>
    <row r="65" spans="1:31" s="442" customFormat="1" ht="15">
      <c r="A65" s="1630" t="s">
        <v>1902</v>
      </c>
      <c r="B65" s="1046"/>
      <c r="C65" s="1101" t="str">
        <f>YEAR(C63)&amp;"-"&amp;ROUNDUP(MONTH(C63)/3,0)</f>
        <v>2025-3</v>
      </c>
      <c r="D65" s="1101" t="str">
        <f t="shared" ref="D65:O65" si="19">YEAR(D63)&amp;"-"&amp;ROUNDUP(MONTH(D63)/3,0)</f>
        <v>2025-2</v>
      </c>
      <c r="E65" s="1101" t="str">
        <f t="shared" si="19"/>
        <v>2025-1</v>
      </c>
      <c r="F65" s="1101" t="str">
        <f t="shared" si="19"/>
        <v>2024-4</v>
      </c>
      <c r="G65" s="1101" t="str">
        <f t="shared" si="19"/>
        <v>2024-3</v>
      </c>
      <c r="H65" s="1101" t="str">
        <f t="shared" si="19"/>
        <v>2024-2</v>
      </c>
      <c r="I65" s="1101" t="str">
        <f t="shared" si="19"/>
        <v>2024-1</v>
      </c>
      <c r="J65" s="1101" t="str">
        <f t="shared" si="19"/>
        <v>2023-4</v>
      </c>
      <c r="K65" s="1101" t="str">
        <f t="shared" si="19"/>
        <v>2023-3</v>
      </c>
      <c r="L65" s="1101" t="str">
        <f t="shared" si="19"/>
        <v>2023-2</v>
      </c>
      <c r="M65" s="1101" t="str">
        <f t="shared" si="19"/>
        <v>2023-1</v>
      </c>
      <c r="N65" s="1101" t="str">
        <f t="shared" si="19"/>
        <v>2022-4</v>
      </c>
      <c r="O65" s="1101" t="str">
        <f t="shared" si="19"/>
        <v>2022-3</v>
      </c>
      <c r="P65" s="2511"/>
      <c r="Q65" s="2511"/>
      <c r="R65" s="2511"/>
      <c r="S65" s="2511"/>
      <c r="T65" s="2511"/>
      <c r="U65" s="2511"/>
      <c r="V65" s="2511"/>
      <c r="W65" s="2511"/>
      <c r="X65" s="2511"/>
      <c r="Y65" s="2511"/>
      <c r="Z65" s="2511"/>
      <c r="AA65" s="2511"/>
      <c r="AB65" s="2511"/>
      <c r="AC65" s="2511"/>
      <c r="AD65" s="2511"/>
      <c r="AE65" s="2511"/>
    </row>
    <row r="66" spans="1:31" s="102" customFormat="1" ht="30.75" customHeight="1">
      <c r="A66" s="1841" t="s">
        <v>1922</v>
      </c>
      <c r="B66" s="280" t="str">
        <f>"北京市平均增长率"&amp;TEXT(基准地价修正!P28,"0.00%")</f>
        <v>北京市平均增长率0.00%</v>
      </c>
      <c r="C66" s="530">
        <v>100</v>
      </c>
      <c r="D66" s="6"/>
      <c r="E66" s="6"/>
      <c r="F66" s="6"/>
      <c r="G66" s="6"/>
      <c r="H66" s="6"/>
      <c r="I66" s="6"/>
      <c r="J66" s="6"/>
      <c r="K66" s="6"/>
      <c r="L66" s="6"/>
      <c r="M66" s="1066"/>
      <c r="N66" s="1066"/>
      <c r="O66" s="1099"/>
      <c r="P66" s="2509"/>
      <c r="Q66" s="2440"/>
      <c r="R66" s="2440"/>
      <c r="S66" s="2440"/>
      <c r="T66" s="2440"/>
      <c r="U66" s="2440"/>
      <c r="V66" s="2440"/>
      <c r="W66" s="2440"/>
      <c r="X66" s="2440"/>
      <c r="Y66" s="2440"/>
      <c r="Z66" s="2440"/>
      <c r="AA66" s="2440"/>
      <c r="AB66" s="2440"/>
      <c r="AC66" s="2440"/>
      <c r="AD66" s="2440"/>
      <c r="AE66" s="2440"/>
    </row>
    <row r="67" spans="1:31" s="102" customFormat="1" ht="15.75" thickBot="1">
      <c r="A67" s="449" t="s">
        <v>1714</v>
      </c>
      <c r="B67" s="450"/>
      <c r="C67" s="451"/>
      <c r="D67" s="452"/>
      <c r="E67" s="452"/>
      <c r="F67" s="452"/>
      <c r="G67" s="452"/>
      <c r="H67" s="452"/>
      <c r="I67" s="452"/>
      <c r="J67" s="452"/>
      <c r="K67" s="452"/>
      <c r="L67" s="452"/>
      <c r="M67" s="453"/>
      <c r="N67" s="453"/>
      <c r="O67" s="454"/>
      <c r="P67" s="2509"/>
      <c r="Q67" s="2509"/>
      <c r="R67" s="2440"/>
      <c r="S67" s="2440"/>
      <c r="T67" s="2440"/>
      <c r="U67" s="2440"/>
      <c r="V67" s="2440"/>
      <c r="W67" s="2440"/>
      <c r="X67" s="2440"/>
      <c r="Y67" s="2440"/>
      <c r="Z67" s="2440"/>
      <c r="AA67" s="2440"/>
      <c r="AB67" s="2440"/>
      <c r="AC67" s="2440"/>
      <c r="AD67" s="2440"/>
      <c r="AE67" s="2440"/>
    </row>
    <row r="68" spans="1:31" s="102" customFormat="1" ht="15">
      <c r="A68" s="455" t="s">
        <v>1679</v>
      </c>
      <c r="B68" s="444"/>
      <c r="C68" s="456" t="s">
        <v>1774</v>
      </c>
      <c r="D68" s="31"/>
      <c r="E68" s="31"/>
      <c r="F68" s="31"/>
      <c r="G68" s="31"/>
      <c r="H68" s="31"/>
      <c r="I68" s="31"/>
      <c r="J68" s="31"/>
      <c r="K68" s="31"/>
      <c r="L68" s="457"/>
      <c r="M68" s="458"/>
      <c r="N68" s="2521"/>
      <c r="O68" s="2521"/>
      <c r="P68" s="2545"/>
      <c r="Q68" s="2509"/>
      <c r="R68" s="2440"/>
      <c r="S68" s="2440"/>
      <c r="T68" s="2440"/>
      <c r="U68" s="2440"/>
      <c r="V68" s="2440"/>
      <c r="W68" s="2440"/>
      <c r="X68" s="2440"/>
      <c r="Y68" s="2440"/>
      <c r="Z68" s="2440"/>
      <c r="AA68" s="2440"/>
      <c r="AB68" s="2440"/>
      <c r="AC68" s="2440"/>
      <c r="AD68" s="2440"/>
      <c r="AE68" s="2440"/>
    </row>
    <row r="69" spans="1:31" s="102" customFormat="1" ht="15.75" thickBot="1">
      <c r="A69" s="455"/>
      <c r="B69" s="444"/>
      <c r="C69" s="563">
        <v>100</v>
      </c>
      <c r="D69" s="446"/>
      <c r="E69" s="446"/>
      <c r="F69" s="446"/>
      <c r="G69" s="446"/>
      <c r="H69" s="446"/>
      <c r="I69" s="446"/>
      <c r="J69" s="446"/>
      <c r="K69" s="446"/>
      <c r="L69" s="446"/>
      <c r="M69" s="448"/>
      <c r="N69" s="2521"/>
      <c r="O69" s="2521"/>
      <c r="P69" s="2509"/>
      <c r="Q69" s="2509"/>
      <c r="R69" s="2440"/>
      <c r="S69" s="2440"/>
      <c r="T69" s="2440"/>
      <c r="U69" s="2440"/>
      <c r="V69" s="2440"/>
      <c r="W69" s="2440"/>
      <c r="X69" s="2440"/>
      <c r="Y69" s="2440"/>
      <c r="Z69" s="2440"/>
      <c r="AA69" s="2440"/>
      <c r="AB69" s="2440"/>
      <c r="AC69" s="2440"/>
      <c r="AD69" s="2440"/>
      <c r="AE69" s="2440"/>
    </row>
    <row r="70" spans="1:31">
      <c r="A70" s="379" t="s">
        <v>1717</v>
      </c>
      <c r="B70" s="460" t="s">
        <v>1683</v>
      </c>
      <c r="C70" s="462"/>
      <c r="D70" s="462"/>
      <c r="E70" s="462"/>
      <c r="F70" s="462"/>
      <c r="G70" s="462"/>
      <c r="H70" s="462"/>
      <c r="I70" s="462"/>
      <c r="J70" s="462"/>
      <c r="K70" s="463"/>
      <c r="L70" s="464"/>
      <c r="M70" s="465"/>
      <c r="N70" s="2522"/>
      <c r="O70" s="2522"/>
      <c r="P70" s="2521"/>
      <c r="Q70" s="2509"/>
      <c r="R70" s="2488"/>
      <c r="S70" s="2488"/>
      <c r="T70" s="2488"/>
      <c r="U70" s="2488"/>
      <c r="V70" s="2488"/>
      <c r="W70" s="2488"/>
      <c r="X70" s="2488"/>
      <c r="Y70" s="2488"/>
      <c r="Z70" s="2488"/>
      <c r="AA70" s="2488"/>
      <c r="AB70" s="2488"/>
      <c r="AC70" s="2488"/>
      <c r="AD70" s="2488"/>
      <c r="AE70" s="2488"/>
    </row>
    <row r="71" spans="1:31" ht="15.75" thickBot="1">
      <c r="A71" s="367"/>
      <c r="B71" s="466"/>
      <c r="C71" s="467"/>
      <c r="D71" s="467"/>
      <c r="E71" s="467"/>
      <c r="F71" s="467"/>
      <c r="G71" s="467"/>
      <c r="H71" s="467"/>
      <c r="I71" s="467"/>
      <c r="J71" s="467"/>
      <c r="K71" s="467"/>
      <c r="L71" s="467"/>
      <c r="M71" s="468"/>
      <c r="N71" s="2523"/>
      <c r="O71" s="2523"/>
      <c r="P71" s="2521"/>
      <c r="Q71" s="2509"/>
      <c r="R71" s="2488"/>
      <c r="S71" s="2488"/>
      <c r="T71" s="2488"/>
      <c r="U71" s="2488"/>
      <c r="V71" s="2488"/>
      <c r="W71" s="2488"/>
      <c r="X71" s="2488"/>
      <c r="Y71" s="2488"/>
      <c r="Z71" s="2488"/>
      <c r="AA71" s="2488"/>
      <c r="AB71" s="2488"/>
      <c r="AC71" s="2488"/>
      <c r="AD71" s="2488"/>
      <c r="AE71" s="2488"/>
    </row>
    <row r="72" spans="1:31" ht="27.75" thickTop="1">
      <c r="A72" s="367"/>
      <c r="B72" s="469" t="s">
        <v>1686</v>
      </c>
      <c r="C72" s="470"/>
      <c r="D72" s="470"/>
      <c r="E72" s="470"/>
      <c r="F72" s="470"/>
      <c r="G72" s="470"/>
      <c r="H72" s="470"/>
      <c r="I72" s="470"/>
      <c r="J72" s="470"/>
      <c r="K72" s="471"/>
      <c r="L72" s="472"/>
      <c r="M72" s="473"/>
      <c r="N72" s="2522"/>
      <c r="O72" s="2522"/>
      <c r="P72" s="2521"/>
      <c r="Q72" s="2509"/>
      <c r="R72" s="2488"/>
      <c r="S72" s="2488"/>
      <c r="T72" s="2488"/>
      <c r="U72" s="2488"/>
      <c r="V72" s="2488"/>
      <c r="W72" s="2488"/>
      <c r="X72" s="2488"/>
      <c r="Y72" s="2488"/>
      <c r="Z72" s="2488"/>
      <c r="AA72" s="2488"/>
      <c r="AB72" s="2488"/>
      <c r="AC72" s="2488"/>
      <c r="AD72" s="2488"/>
      <c r="AE72" s="2488"/>
    </row>
    <row r="73" spans="1:31" ht="15.75" thickBot="1">
      <c r="A73" s="367"/>
      <c r="B73" s="474"/>
      <c r="C73" s="475"/>
      <c r="D73" s="475"/>
      <c r="E73" s="475"/>
      <c r="F73" s="475"/>
      <c r="G73" s="475"/>
      <c r="H73" s="475"/>
      <c r="I73" s="475"/>
      <c r="J73" s="475"/>
      <c r="K73" s="475"/>
      <c r="L73" s="475"/>
      <c r="M73" s="476"/>
      <c r="N73" s="2523"/>
      <c r="O73" s="2523"/>
      <c r="P73" s="2521"/>
      <c r="Q73" s="2509"/>
      <c r="R73" s="2488"/>
      <c r="S73" s="2488"/>
      <c r="T73" s="2488"/>
      <c r="U73" s="2488"/>
      <c r="V73" s="2488"/>
      <c r="W73" s="2488"/>
      <c r="X73" s="2488"/>
      <c r="Y73" s="2488"/>
      <c r="Z73" s="2488"/>
      <c r="AA73" s="2488"/>
      <c r="AB73" s="2488"/>
      <c r="AC73" s="2488"/>
      <c r="AD73" s="2488"/>
      <c r="AE73" s="2488"/>
    </row>
    <row r="74" spans="1:31" ht="15.75" thickTop="1">
      <c r="A74" s="367"/>
      <c r="B74" s="477" t="s">
        <v>1687</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3"/>
      <c r="O74" s="2523"/>
      <c r="P74" s="2521"/>
      <c r="Q74" s="2509"/>
      <c r="R74" s="2488"/>
      <c r="S74" s="2488"/>
      <c r="T74" s="2488"/>
      <c r="U74" s="2488"/>
      <c r="V74" s="2488"/>
      <c r="W74" s="2488"/>
      <c r="X74" s="2488"/>
      <c r="Y74" s="2488"/>
      <c r="Z74" s="2488"/>
      <c r="AA74" s="2488"/>
      <c r="AB74" s="2488"/>
      <c r="AC74" s="2488"/>
      <c r="AD74" s="2488"/>
      <c r="AE74" s="2488"/>
    </row>
    <row r="75" spans="1:31" ht="15">
      <c r="A75" s="367"/>
      <c r="B75" s="479"/>
      <c r="C75" s="480"/>
      <c r="D75" s="480"/>
      <c r="E75" s="480"/>
      <c r="F75" s="480"/>
      <c r="G75" s="480"/>
      <c r="H75" s="480"/>
      <c r="I75" s="480"/>
      <c r="J75" s="480"/>
      <c r="K75" s="481"/>
      <c r="L75" s="482"/>
      <c r="M75" s="483"/>
      <c r="N75" s="2522"/>
      <c r="O75" s="2522"/>
      <c r="P75" s="2521"/>
      <c r="Q75" s="2509"/>
      <c r="R75" s="2488"/>
      <c r="S75" s="2488"/>
      <c r="T75" s="2488"/>
      <c r="U75" s="2488"/>
      <c r="V75" s="2488"/>
      <c r="W75" s="2488"/>
      <c r="X75" s="2488"/>
      <c r="Y75" s="2488"/>
      <c r="Z75" s="2488"/>
      <c r="AA75" s="2488"/>
      <c r="AB75" s="2488"/>
      <c r="AC75" s="2488"/>
      <c r="AD75" s="2488"/>
      <c r="AE75" s="2488"/>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3"/>
      <c r="O76" s="2523"/>
      <c r="P76" s="2521"/>
      <c r="Q76" s="2509"/>
      <c r="R76" s="2488"/>
      <c r="S76" s="2488"/>
      <c r="T76" s="2488"/>
      <c r="U76" s="2488"/>
      <c r="V76" s="2488"/>
      <c r="W76" s="2488"/>
      <c r="X76" s="2488"/>
      <c r="Y76" s="2488"/>
      <c r="Z76" s="2488"/>
      <c r="AA76" s="2488"/>
      <c r="AB76" s="2488"/>
      <c r="AC76" s="2488"/>
      <c r="AD76" s="2488"/>
      <c r="AE76" s="2488"/>
    </row>
    <row r="77" spans="1:31" s="408" customFormat="1" ht="15.75" thickTop="1">
      <c r="A77" s="484"/>
      <c r="B77" s="469">
        <f>B12</f>
        <v>111</v>
      </c>
      <c r="C77" s="485"/>
      <c r="D77" s="485"/>
      <c r="E77" s="485"/>
      <c r="F77" s="485"/>
      <c r="G77" s="485"/>
      <c r="H77" s="486"/>
      <c r="I77" s="486"/>
      <c r="J77" s="486"/>
      <c r="K77" s="486"/>
      <c r="L77" s="487"/>
      <c r="M77" s="488"/>
      <c r="N77" s="2524"/>
      <c r="O77" s="2524"/>
      <c r="P77" s="2524"/>
      <c r="Q77" s="2516"/>
      <c r="R77" s="2494"/>
      <c r="S77" s="2494"/>
      <c r="T77" s="2494"/>
      <c r="U77" s="2494"/>
      <c r="V77" s="2494"/>
      <c r="W77" s="2494"/>
      <c r="X77" s="2494"/>
      <c r="Y77" s="2494"/>
      <c r="Z77" s="2494"/>
      <c r="AA77" s="2494"/>
      <c r="AB77" s="2494"/>
      <c r="AC77" s="2494"/>
      <c r="AD77" s="2494"/>
      <c r="AE77" s="2494"/>
    </row>
    <row r="78" spans="1:31" s="408" customFormat="1" ht="15.75" thickBot="1">
      <c r="A78" s="484"/>
      <c r="B78" s="474"/>
      <c r="C78" s="491"/>
      <c r="D78" s="467"/>
      <c r="E78" s="467"/>
      <c r="F78" s="467"/>
      <c r="G78" s="467"/>
      <c r="H78" s="467"/>
      <c r="I78" s="467"/>
      <c r="J78" s="467"/>
      <c r="K78" s="467"/>
      <c r="L78" s="467"/>
      <c r="M78" s="468"/>
      <c r="N78" s="2523"/>
      <c r="O78" s="2523"/>
      <c r="P78" s="2524"/>
      <c r="Q78" s="2516"/>
      <c r="R78" s="2494"/>
      <c r="S78" s="2494"/>
      <c r="T78" s="2494"/>
      <c r="U78" s="2494"/>
      <c r="V78" s="2494"/>
      <c r="W78" s="2494"/>
      <c r="X78" s="2494"/>
      <c r="Y78" s="2494"/>
      <c r="Z78" s="2494"/>
      <c r="AA78" s="2494"/>
      <c r="AB78" s="2494"/>
      <c r="AC78" s="2494"/>
      <c r="AD78" s="2494"/>
      <c r="AE78" s="2494"/>
    </row>
    <row r="79" spans="1:31" s="408" customFormat="1" ht="15.75" thickTop="1">
      <c r="A79" s="484"/>
      <c r="B79" s="469">
        <f>B13</f>
        <v>111</v>
      </c>
      <c r="C79" s="485"/>
      <c r="D79" s="485"/>
      <c r="E79" s="485"/>
      <c r="F79" s="485"/>
      <c r="G79" s="485"/>
      <c r="H79" s="486"/>
      <c r="I79" s="486"/>
      <c r="J79" s="486"/>
      <c r="K79" s="486"/>
      <c r="L79" s="487"/>
      <c r="M79" s="488"/>
      <c r="N79" s="2524"/>
      <c r="O79" s="2524"/>
      <c r="P79" s="2494"/>
      <c r="Q79" s="2518"/>
      <c r="R79" s="2494"/>
      <c r="S79" s="2494"/>
      <c r="T79" s="2494"/>
      <c r="U79" s="2494"/>
      <c r="V79" s="2494"/>
      <c r="W79" s="2494"/>
      <c r="X79" s="2494"/>
      <c r="Y79" s="2494"/>
      <c r="Z79" s="2494"/>
      <c r="AA79" s="2494"/>
      <c r="AB79" s="2494"/>
      <c r="AC79" s="2494"/>
      <c r="AD79" s="2494"/>
      <c r="AE79" s="2494"/>
    </row>
    <row r="80" spans="1:31" s="408" customFormat="1" ht="15.75" thickBot="1">
      <c r="A80" s="484"/>
      <c r="B80" s="474"/>
      <c r="C80" s="491"/>
      <c r="D80" s="491"/>
      <c r="E80" s="491"/>
      <c r="F80" s="491"/>
      <c r="G80" s="491"/>
      <c r="H80" s="493"/>
      <c r="I80" s="493"/>
      <c r="J80" s="493"/>
      <c r="K80" s="493"/>
      <c r="L80" s="493"/>
      <c r="M80" s="494"/>
      <c r="N80" s="2524"/>
      <c r="O80" s="2524"/>
      <c r="P80" s="2524"/>
      <c r="Q80" s="2516"/>
      <c r="R80" s="2494"/>
      <c r="S80" s="2494"/>
      <c r="T80" s="2494"/>
      <c r="U80" s="2494"/>
      <c r="V80" s="2494"/>
      <c r="W80" s="2494"/>
      <c r="X80" s="2494"/>
      <c r="Y80" s="2494"/>
      <c r="Z80" s="2494"/>
      <c r="AA80" s="2494"/>
      <c r="AB80" s="2494"/>
      <c r="AC80" s="2494"/>
      <c r="AD80" s="2494"/>
      <c r="AE80" s="2494"/>
    </row>
    <row r="81" spans="1:31" s="408" customFormat="1" ht="15.75" thickTop="1">
      <c r="A81" s="484"/>
      <c r="B81" s="477">
        <f>B14</f>
        <v>111</v>
      </c>
      <c r="C81" s="31"/>
      <c r="D81" s="31"/>
      <c r="E81" s="31"/>
      <c r="F81" s="31"/>
      <c r="G81" s="31"/>
      <c r="H81" s="495"/>
      <c r="I81" s="495"/>
      <c r="J81" s="495"/>
      <c r="K81" s="495"/>
      <c r="L81" s="496"/>
      <c r="M81" s="497"/>
      <c r="N81" s="2524"/>
      <c r="O81" s="2524"/>
      <c r="P81" s="2549"/>
      <c r="Q81" s="2516"/>
      <c r="R81" s="2494"/>
      <c r="S81" s="2494"/>
      <c r="T81" s="2494"/>
      <c r="U81" s="2494"/>
      <c r="V81" s="2494"/>
      <c r="W81" s="2494"/>
      <c r="X81" s="2494"/>
      <c r="Y81" s="2494"/>
      <c r="Z81" s="2494"/>
      <c r="AA81" s="2494"/>
      <c r="AB81" s="2494"/>
      <c r="AC81" s="2494"/>
      <c r="AD81" s="2494"/>
      <c r="AE81" s="2494"/>
    </row>
    <row r="82" spans="1:31" s="408" customFormat="1" ht="15.75" thickBot="1">
      <c r="A82" s="499"/>
      <c r="B82" s="500"/>
      <c r="C82" s="501"/>
      <c r="D82" s="501"/>
      <c r="E82" s="501"/>
      <c r="F82" s="501"/>
      <c r="G82" s="501"/>
      <c r="H82" s="502"/>
      <c r="I82" s="502"/>
      <c r="J82" s="502"/>
      <c r="K82" s="502"/>
      <c r="L82" s="502"/>
      <c r="M82" s="503"/>
      <c r="N82" s="2524"/>
      <c r="O82" s="2524"/>
      <c r="P82" s="2524"/>
      <c r="Q82" s="2516"/>
      <c r="R82" s="2494"/>
      <c r="S82" s="2494"/>
      <c r="T82" s="2494"/>
      <c r="U82" s="2494"/>
      <c r="V82" s="2494"/>
      <c r="W82" s="2494"/>
      <c r="X82" s="2494"/>
      <c r="Y82" s="2494"/>
      <c r="Z82" s="2494"/>
      <c r="AA82" s="2494"/>
      <c r="AB82" s="2494"/>
      <c r="AC82" s="2494"/>
      <c r="AD82" s="2494"/>
      <c r="AE82" s="2494"/>
    </row>
    <row r="83" spans="1:31">
      <c r="A83" s="379" t="s">
        <v>1688</v>
      </c>
      <c r="B83" s="460" t="s">
        <v>1827</v>
      </c>
      <c r="C83" s="504" t="s">
        <v>1719</v>
      </c>
      <c r="D83" s="504" t="s">
        <v>1720</v>
      </c>
      <c r="E83" s="504" t="s">
        <v>1721</v>
      </c>
      <c r="F83" s="504" t="s">
        <v>1722</v>
      </c>
      <c r="G83" s="504" t="s">
        <v>1723</v>
      </c>
      <c r="H83" s="461"/>
      <c r="I83" s="461"/>
      <c r="J83" s="461"/>
      <c r="K83" s="505"/>
      <c r="L83" s="506"/>
      <c r="M83" s="507"/>
      <c r="N83" s="2522"/>
      <c r="O83" s="2522"/>
      <c r="P83" s="2546"/>
      <c r="Q83" s="2509"/>
      <c r="R83" s="2488"/>
      <c r="S83" s="2488"/>
      <c r="T83" s="2488"/>
      <c r="U83" s="2488"/>
      <c r="V83" s="2488"/>
      <c r="W83" s="2488"/>
      <c r="X83" s="2488"/>
      <c r="Y83" s="2488"/>
      <c r="Z83" s="2488"/>
      <c r="AA83" s="2488"/>
      <c r="AB83" s="2488"/>
      <c r="AC83" s="2488"/>
      <c r="AD83" s="2488"/>
      <c r="AE83" s="2488"/>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3"/>
      <c r="O84" s="2523"/>
      <c r="P84" s="2521"/>
      <c r="Q84" s="2509"/>
      <c r="R84" s="2488"/>
      <c r="S84" s="2488"/>
      <c r="T84" s="2488"/>
      <c r="U84" s="2488"/>
      <c r="V84" s="2488"/>
      <c r="W84" s="2488"/>
      <c r="X84" s="2488"/>
      <c r="Y84" s="2488"/>
      <c r="Z84" s="2488"/>
      <c r="AA84" s="2488"/>
      <c r="AB84" s="2488"/>
      <c r="AC84" s="2488"/>
      <c r="AD84" s="2488"/>
      <c r="AE84" s="2488"/>
    </row>
    <row r="85" spans="1:31" ht="15.75" thickTop="1">
      <c r="A85" s="367"/>
      <c r="B85" s="469" t="s">
        <v>1724</v>
      </c>
      <c r="C85" s="509" t="s">
        <v>1719</v>
      </c>
      <c r="D85" s="509" t="s">
        <v>1720</v>
      </c>
      <c r="E85" s="509" t="s">
        <v>1721</v>
      </c>
      <c r="F85" s="509" t="s">
        <v>1722</v>
      </c>
      <c r="G85" s="509" t="s">
        <v>1723</v>
      </c>
      <c r="H85" s="470"/>
      <c r="I85" s="470"/>
      <c r="J85" s="470"/>
      <c r="K85" s="471"/>
      <c r="L85" s="472"/>
      <c r="M85" s="473"/>
      <c r="N85" s="2522"/>
      <c r="O85" s="2522"/>
      <c r="P85" s="2521"/>
      <c r="Q85" s="2509"/>
      <c r="R85" s="2488"/>
      <c r="S85" s="2488"/>
      <c r="T85" s="2488"/>
      <c r="U85" s="2488"/>
      <c r="V85" s="2488"/>
      <c r="W85" s="2488"/>
      <c r="X85" s="2488"/>
      <c r="Y85" s="2488"/>
      <c r="Z85" s="2488"/>
      <c r="AA85" s="2488"/>
      <c r="AB85" s="2488"/>
      <c r="AC85" s="2488"/>
      <c r="AD85" s="2488"/>
      <c r="AE85" s="2488"/>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3"/>
      <c r="O86" s="2523"/>
      <c r="P86" s="2521"/>
      <c r="Q86" s="2509"/>
      <c r="R86" s="2488"/>
      <c r="S86" s="2488"/>
      <c r="T86" s="2488"/>
      <c r="U86" s="2488"/>
      <c r="V86" s="2488"/>
      <c r="W86" s="2488"/>
      <c r="X86" s="2488"/>
      <c r="Y86" s="2488"/>
      <c r="Z86" s="2488"/>
      <c r="AA86" s="2488"/>
      <c r="AB86" s="2488"/>
      <c r="AC86" s="2488"/>
      <c r="AD86" s="2488"/>
      <c r="AE86" s="2488"/>
    </row>
    <row r="87" spans="1:31" s="102" customFormat="1" ht="15.75" thickTop="1">
      <c r="A87" s="370"/>
      <c r="B87" s="469" t="s">
        <v>1905</v>
      </c>
      <c r="C87" s="504" t="s">
        <v>1719</v>
      </c>
      <c r="D87" s="504" t="s">
        <v>1720</v>
      </c>
      <c r="E87" s="504" t="s">
        <v>1721</v>
      </c>
      <c r="F87" s="504" t="s">
        <v>1722</v>
      </c>
      <c r="G87" s="504" t="s">
        <v>1723</v>
      </c>
      <c r="H87" s="509"/>
      <c r="I87" s="509"/>
      <c r="J87" s="509"/>
      <c r="K87" s="509"/>
      <c r="L87" s="618"/>
      <c r="M87" s="547"/>
      <c r="N87" s="2521"/>
      <c r="O87" s="2521"/>
      <c r="P87" s="2521"/>
      <c r="Q87" s="2509"/>
      <c r="R87" s="2440"/>
      <c r="S87" s="2440"/>
      <c r="T87" s="2440"/>
      <c r="U87" s="2440"/>
      <c r="V87" s="2440"/>
      <c r="W87" s="2440"/>
      <c r="X87" s="2440"/>
      <c r="Y87" s="2440"/>
      <c r="Z87" s="2440"/>
      <c r="AA87" s="2440"/>
      <c r="AB87" s="2440"/>
      <c r="AC87" s="2440"/>
      <c r="AD87" s="2440"/>
      <c r="AE87" s="2440"/>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3"/>
      <c r="O88" s="2523"/>
      <c r="P88" s="2521"/>
      <c r="Q88" s="2509"/>
      <c r="R88" s="2440"/>
      <c r="S88" s="2440"/>
      <c r="T88" s="2440"/>
      <c r="U88" s="2440"/>
      <c r="V88" s="2440"/>
      <c r="W88" s="2440"/>
      <c r="X88" s="2440"/>
      <c r="Y88" s="2440"/>
      <c r="Z88" s="2440"/>
      <c r="AA88" s="2440"/>
      <c r="AB88" s="2440"/>
      <c r="AC88" s="2440"/>
      <c r="AD88" s="2440"/>
      <c r="AE88" s="2440"/>
    </row>
    <row r="89" spans="1:31" s="102" customFormat="1" ht="27.75" thickTop="1">
      <c r="A89" s="370"/>
      <c r="B89" s="469" t="s">
        <v>1906</v>
      </c>
      <c r="C89" s="504" t="s">
        <v>1719</v>
      </c>
      <c r="D89" s="504" t="s">
        <v>1720</v>
      </c>
      <c r="E89" s="504" t="s">
        <v>1721</v>
      </c>
      <c r="F89" s="504" t="s">
        <v>1722</v>
      </c>
      <c r="G89" s="504" t="s">
        <v>1723</v>
      </c>
      <c r="H89" s="509"/>
      <c r="I89" s="509"/>
      <c r="J89" s="509"/>
      <c r="K89" s="509"/>
      <c r="L89" s="509"/>
      <c r="M89" s="547"/>
      <c r="N89" s="2521"/>
      <c r="O89" s="2521"/>
      <c r="P89" s="2521"/>
      <c r="Q89" s="2509"/>
      <c r="R89" s="2440"/>
      <c r="S89" s="2440"/>
      <c r="T89" s="2440"/>
      <c r="U89" s="2440"/>
      <c r="V89" s="2440"/>
      <c r="W89" s="2440"/>
      <c r="X89" s="2440"/>
      <c r="Y89" s="2440"/>
      <c r="Z89" s="2440"/>
      <c r="AA89" s="2440"/>
      <c r="AB89" s="2440"/>
      <c r="AC89" s="2440"/>
      <c r="AD89" s="2440"/>
      <c r="AE89" s="2440"/>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3"/>
      <c r="O90" s="2523"/>
      <c r="P90" s="2521"/>
      <c r="Q90" s="2509"/>
      <c r="R90" s="2440"/>
      <c r="S90" s="2440"/>
      <c r="T90" s="2440"/>
      <c r="U90" s="2440"/>
      <c r="V90" s="2440"/>
      <c r="W90" s="2440"/>
      <c r="X90" s="2440"/>
      <c r="Y90" s="2440"/>
      <c r="Z90" s="2440"/>
      <c r="AA90" s="2440"/>
      <c r="AB90" s="2440"/>
      <c r="AC90" s="2440"/>
      <c r="AD90" s="2440"/>
      <c r="AE90" s="2440"/>
    </row>
    <row r="91" spans="1:31" s="408" customFormat="1" ht="15.75" thickTop="1">
      <c r="A91" s="484"/>
      <c r="B91" s="469" t="s">
        <v>1776</v>
      </c>
      <c r="C91" s="504" t="s">
        <v>1719</v>
      </c>
      <c r="D91" s="504" t="s">
        <v>1720</v>
      </c>
      <c r="E91" s="504" t="s">
        <v>1721</v>
      </c>
      <c r="F91" s="504" t="s">
        <v>1722</v>
      </c>
      <c r="G91" s="504" t="s">
        <v>1723</v>
      </c>
      <c r="H91" s="527"/>
      <c r="I91" s="527"/>
      <c r="J91" s="527"/>
      <c r="K91" s="527"/>
      <c r="L91" s="528"/>
      <c r="M91" s="529"/>
      <c r="N91" s="2524"/>
      <c r="O91" s="2524"/>
      <c r="P91" s="2524"/>
      <c r="Q91" s="2516"/>
      <c r="R91" s="2494"/>
      <c r="S91" s="2494"/>
      <c r="T91" s="2494"/>
      <c r="U91" s="2494"/>
      <c r="V91" s="2494"/>
      <c r="W91" s="2494"/>
      <c r="X91" s="2494"/>
      <c r="Y91" s="2494"/>
      <c r="Z91" s="2494"/>
      <c r="AA91" s="2494"/>
      <c r="AB91" s="2494"/>
      <c r="AC91" s="2494"/>
      <c r="AD91" s="2494"/>
      <c r="AE91" s="2494"/>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4"/>
      <c r="O92" s="2524"/>
      <c r="P92" s="2524"/>
      <c r="Q92" s="2516"/>
      <c r="R92" s="2494"/>
      <c r="S92" s="2494"/>
      <c r="T92" s="2494"/>
      <c r="U92" s="2494"/>
      <c r="V92" s="2494"/>
      <c r="W92" s="2494"/>
      <c r="X92" s="2494"/>
      <c r="Y92" s="2494"/>
      <c r="Z92" s="2494"/>
      <c r="AA92" s="2494"/>
      <c r="AB92" s="2494"/>
      <c r="AC92" s="2494"/>
      <c r="AD92" s="2494"/>
      <c r="AE92" s="2494"/>
    </row>
    <row r="93" spans="1:31" s="408" customFormat="1" ht="15.75" thickTop="1">
      <c r="A93" s="484"/>
      <c r="B93" s="477" t="s">
        <v>1923</v>
      </c>
      <c r="C93" s="581" t="s">
        <v>1797</v>
      </c>
      <c r="D93" s="581" t="s">
        <v>1798</v>
      </c>
      <c r="E93" s="581" t="s">
        <v>1799</v>
      </c>
      <c r="F93" s="581" t="s">
        <v>1800</v>
      </c>
      <c r="G93" s="581" t="s">
        <v>1801</v>
      </c>
      <c r="H93" s="527"/>
      <c r="I93" s="527"/>
      <c r="J93" s="527"/>
      <c r="K93" s="527"/>
      <c r="L93" s="527"/>
      <c r="M93" s="529"/>
      <c r="N93" s="2524"/>
      <c r="O93" s="2524"/>
      <c r="P93" s="2524"/>
      <c r="Q93" s="2516"/>
      <c r="R93" s="2494"/>
      <c r="S93" s="2494"/>
      <c r="T93" s="2494"/>
      <c r="U93" s="2494"/>
      <c r="V93" s="2494"/>
      <c r="W93" s="2494"/>
      <c r="X93" s="2494"/>
      <c r="Y93" s="2494"/>
      <c r="Z93" s="2494"/>
      <c r="AA93" s="2494"/>
      <c r="AB93" s="2494"/>
      <c r="AC93" s="2494"/>
      <c r="AD93" s="2494"/>
      <c r="AE93" s="2494"/>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4"/>
      <c r="O94" s="2524"/>
      <c r="P94" s="2524"/>
      <c r="Q94" s="2516"/>
      <c r="R94" s="2494"/>
      <c r="S94" s="2494"/>
      <c r="T94" s="2494"/>
      <c r="U94" s="2494"/>
      <c r="V94" s="2494"/>
      <c r="W94" s="2494"/>
      <c r="X94" s="2494"/>
      <c r="Y94" s="2494"/>
      <c r="Z94" s="2494"/>
      <c r="AA94" s="2494"/>
      <c r="AB94" s="2494"/>
      <c r="AC94" s="2494"/>
      <c r="AD94" s="2494"/>
      <c r="AE94" s="2494"/>
    </row>
    <row r="95" spans="1:31" ht="15.75" thickTop="1">
      <c r="A95" s="367"/>
      <c r="B95" s="469" t="str">
        <f>B27</f>
        <v>临街状况</v>
      </c>
      <c r="C95" s="470" t="s">
        <v>1907</v>
      </c>
      <c r="D95" s="470" t="s">
        <v>1908</v>
      </c>
      <c r="E95" s="470" t="s">
        <v>1909</v>
      </c>
      <c r="F95" s="470" t="s">
        <v>1910</v>
      </c>
      <c r="G95" s="470"/>
      <c r="H95" s="470"/>
      <c r="I95" s="470"/>
      <c r="J95" s="470"/>
      <c r="K95" s="471"/>
      <c r="L95" s="472"/>
      <c r="M95" s="473"/>
      <c r="N95" s="2522"/>
      <c r="O95" s="2522"/>
      <c r="P95" s="2521"/>
      <c r="Q95" s="2509"/>
      <c r="R95" s="2488"/>
      <c r="S95" s="2488"/>
      <c r="T95" s="2488"/>
      <c r="U95" s="2488"/>
      <c r="V95" s="2488"/>
      <c r="W95" s="2488"/>
      <c r="X95" s="2488"/>
      <c r="Y95" s="2488"/>
      <c r="Z95" s="2488"/>
      <c r="AA95" s="2488"/>
      <c r="AB95" s="2488"/>
      <c r="AC95" s="2488"/>
      <c r="AD95" s="2488"/>
      <c r="AE95" s="2488"/>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3"/>
      <c r="O96" s="2523"/>
      <c r="P96" s="2521"/>
      <c r="Q96" s="2509"/>
      <c r="R96" s="2488"/>
      <c r="S96" s="2488"/>
      <c r="T96" s="2488"/>
      <c r="U96" s="2488"/>
      <c r="V96" s="2488"/>
      <c r="W96" s="2488"/>
      <c r="X96" s="2488"/>
      <c r="Y96" s="2488"/>
      <c r="Z96" s="2488"/>
      <c r="AA96" s="2488"/>
      <c r="AB96" s="2488"/>
      <c r="AC96" s="2488"/>
      <c r="AD96" s="2488"/>
      <c r="AE96" s="2488"/>
    </row>
    <row r="97" spans="1:31" ht="27.75" thickTop="1">
      <c r="A97" s="367"/>
      <c r="B97" s="469" t="s">
        <v>1813</v>
      </c>
      <c r="C97" s="485"/>
      <c r="D97" s="485"/>
      <c r="E97" s="485"/>
      <c r="F97" s="485"/>
      <c r="G97" s="485"/>
      <c r="H97" s="513"/>
      <c r="I97" s="513"/>
      <c r="J97" s="513"/>
      <c r="K97" s="514"/>
      <c r="L97" s="515"/>
      <c r="M97" s="516"/>
      <c r="N97" s="2522"/>
      <c r="O97" s="2522"/>
      <c r="P97" s="2521"/>
      <c r="Q97" s="2509"/>
      <c r="R97" s="2488"/>
      <c r="S97" s="2488"/>
      <c r="T97" s="2488"/>
      <c r="U97" s="2488"/>
      <c r="V97" s="2488"/>
      <c r="W97" s="2488"/>
      <c r="X97" s="2488"/>
      <c r="Y97" s="2488"/>
      <c r="Z97" s="2488"/>
      <c r="AA97" s="2488"/>
      <c r="AB97" s="2488"/>
      <c r="AC97" s="2488"/>
      <c r="AD97" s="2488"/>
      <c r="AE97" s="2488"/>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3"/>
      <c r="O98" s="2523"/>
      <c r="P98" s="2521"/>
      <c r="Q98" s="2509"/>
      <c r="R98" s="2488"/>
      <c r="S98" s="2488"/>
      <c r="T98" s="2488"/>
      <c r="U98" s="2488"/>
      <c r="V98" s="2488"/>
      <c r="W98" s="2488"/>
      <c r="X98" s="2488"/>
      <c r="Y98" s="2488"/>
      <c r="Z98" s="2488"/>
      <c r="AA98" s="2488"/>
      <c r="AB98" s="2488"/>
      <c r="AC98" s="2488"/>
      <c r="AD98" s="2488"/>
      <c r="AE98" s="2488"/>
    </row>
    <row r="99" spans="1:31" ht="15.75" thickTop="1">
      <c r="A99" s="367"/>
      <c r="B99" s="469" t="s">
        <v>1871</v>
      </c>
      <c r="C99" s="513"/>
      <c r="D99" s="513"/>
      <c r="E99" s="513"/>
      <c r="F99" s="513"/>
      <c r="G99" s="513"/>
      <c r="H99" s="513"/>
      <c r="I99" s="513"/>
      <c r="J99" s="513"/>
      <c r="K99" s="514"/>
      <c r="L99" s="515"/>
      <c r="M99" s="516"/>
      <c r="N99" s="2522"/>
      <c r="O99" s="2522"/>
      <c r="P99" s="2521"/>
      <c r="Q99" s="2509"/>
      <c r="R99" s="2488"/>
      <c r="S99" s="2488"/>
      <c r="T99" s="2488"/>
      <c r="U99" s="2488"/>
      <c r="V99" s="2488"/>
      <c r="W99" s="2488"/>
      <c r="X99" s="2488"/>
      <c r="Y99" s="2488"/>
      <c r="Z99" s="2488"/>
      <c r="AA99" s="2488"/>
      <c r="AB99" s="2488"/>
      <c r="AC99" s="2488"/>
      <c r="AD99" s="2488"/>
      <c r="AE99" s="2488"/>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3"/>
      <c r="O100" s="2523"/>
      <c r="P100" s="2521"/>
      <c r="Q100" s="2509"/>
      <c r="R100" s="2488"/>
      <c r="S100" s="2488"/>
      <c r="T100" s="2488"/>
      <c r="U100" s="2488"/>
      <c r="V100" s="2488"/>
      <c r="W100" s="2488"/>
      <c r="X100" s="2488"/>
      <c r="Y100" s="2488"/>
      <c r="Z100" s="2488"/>
      <c r="AA100" s="2488"/>
      <c r="AB100" s="2488"/>
      <c r="AC100" s="2488"/>
      <c r="AD100" s="2488"/>
      <c r="AE100" s="2488"/>
    </row>
    <row r="101" spans="1:31" ht="15.75" thickTop="1">
      <c r="A101" s="367"/>
      <c r="B101" s="477">
        <f>B31</f>
        <v>111</v>
      </c>
      <c r="C101" s="485"/>
      <c r="D101" s="485"/>
      <c r="E101" s="485"/>
      <c r="F101" s="485"/>
      <c r="G101" s="517"/>
      <c r="H101" s="517"/>
      <c r="I101" s="517"/>
      <c r="J101" s="517"/>
      <c r="K101" s="518"/>
      <c r="L101" s="519"/>
      <c r="M101" s="520"/>
      <c r="N101" s="2522"/>
      <c r="O101" s="2522"/>
      <c r="P101" s="2521"/>
      <c r="Q101" s="2509"/>
      <c r="R101" s="2488"/>
      <c r="S101" s="2488"/>
      <c r="T101" s="2488"/>
      <c r="U101" s="2488"/>
      <c r="V101" s="2488"/>
      <c r="W101" s="2488"/>
      <c r="X101" s="2488"/>
      <c r="Y101" s="2488"/>
      <c r="Z101" s="2488"/>
      <c r="AA101" s="2488"/>
      <c r="AB101" s="2488"/>
      <c r="AC101" s="2488"/>
      <c r="AD101" s="2488"/>
      <c r="AE101" s="2488"/>
    </row>
    <row r="102" spans="1:31" ht="15.75" thickBot="1">
      <c r="A102" s="367"/>
      <c r="B102" s="500"/>
      <c r="C102" s="491"/>
      <c r="D102" s="467"/>
      <c r="E102" s="467"/>
      <c r="F102" s="467"/>
      <c r="G102" s="521"/>
      <c r="H102" s="521"/>
      <c r="I102" s="521"/>
      <c r="J102" s="521"/>
      <c r="K102" s="521"/>
      <c r="L102" s="521"/>
      <c r="M102" s="522"/>
      <c r="N102" s="2523"/>
      <c r="O102" s="2523"/>
      <c r="P102" s="2521"/>
      <c r="Q102" s="2509"/>
      <c r="R102" s="2488"/>
      <c r="S102" s="2488"/>
      <c r="T102" s="2488"/>
      <c r="U102" s="2488"/>
      <c r="V102" s="2488"/>
      <c r="W102" s="2488"/>
      <c r="X102" s="2488"/>
      <c r="Y102" s="2488"/>
      <c r="Z102" s="2488"/>
      <c r="AA102" s="2488"/>
      <c r="AB102" s="2488"/>
      <c r="AC102" s="2488"/>
      <c r="AD102" s="2488"/>
      <c r="AE102" s="2488"/>
    </row>
    <row r="103" spans="1:31" ht="15" thickTop="1">
      <c r="A103" s="595"/>
      <c r="B103" s="469">
        <f>B32</f>
        <v>111</v>
      </c>
      <c r="C103" s="485"/>
      <c r="D103" s="485"/>
      <c r="E103" s="485"/>
      <c r="F103" s="485"/>
      <c r="G103" s="513"/>
      <c r="H103" s="513"/>
      <c r="I103" s="513"/>
      <c r="J103" s="513"/>
      <c r="K103" s="514"/>
      <c r="L103" s="515"/>
      <c r="M103" s="516"/>
      <c r="N103" s="2522"/>
      <c r="O103" s="2522"/>
      <c r="P103" s="2521"/>
      <c r="Q103" s="2509"/>
      <c r="R103" s="2488"/>
      <c r="S103" s="2488"/>
      <c r="T103" s="2488"/>
      <c r="U103" s="2488"/>
      <c r="V103" s="2488"/>
      <c r="W103" s="2488"/>
      <c r="X103" s="2488"/>
      <c r="Y103" s="2488"/>
      <c r="Z103" s="2488"/>
      <c r="AA103" s="2488"/>
      <c r="AB103" s="2488"/>
      <c r="AC103" s="2488"/>
      <c r="AD103" s="2488"/>
      <c r="AE103" s="2488"/>
    </row>
    <row r="104" spans="1:31" ht="15.75" thickBot="1">
      <c r="A104" s="367"/>
      <c r="B104" s="474"/>
      <c r="C104" s="491"/>
      <c r="D104" s="491"/>
      <c r="E104" s="491"/>
      <c r="F104" s="491"/>
      <c r="G104" s="467"/>
      <c r="H104" s="467"/>
      <c r="I104" s="467"/>
      <c r="J104" s="467"/>
      <c r="K104" s="467"/>
      <c r="L104" s="467"/>
      <c r="M104" s="468"/>
      <c r="N104" s="2523"/>
      <c r="O104" s="2523"/>
      <c r="P104" s="2521"/>
      <c r="Q104" s="2509"/>
      <c r="R104" s="2488"/>
      <c r="S104" s="2488"/>
      <c r="T104" s="2488"/>
      <c r="U104" s="2488"/>
      <c r="V104" s="2488"/>
      <c r="W104" s="2488"/>
      <c r="X104" s="2488"/>
      <c r="Y104" s="2488"/>
      <c r="Z104" s="2488"/>
      <c r="AA104" s="2488"/>
      <c r="AB104" s="2488"/>
      <c r="AC104" s="2488"/>
      <c r="AD104" s="2488"/>
      <c r="AE104" s="2488"/>
    </row>
    <row r="105" spans="1:31" s="408" customFormat="1" ht="15" thickTop="1">
      <c r="A105" s="406"/>
      <c r="B105" s="523">
        <f>B33</f>
        <v>111</v>
      </c>
      <c r="C105" s="31"/>
      <c r="D105" s="31"/>
      <c r="E105" s="31"/>
      <c r="F105" s="31"/>
      <c r="G105" s="6"/>
      <c r="H105" s="6"/>
      <c r="I105" s="6"/>
      <c r="J105" s="524"/>
      <c r="K105" s="524"/>
      <c r="L105" s="525"/>
      <c r="M105" s="526"/>
      <c r="N105" s="2524"/>
      <c r="O105" s="2524"/>
      <c r="P105" s="2524"/>
      <c r="Q105" s="2516"/>
      <c r="R105" s="2494"/>
      <c r="S105" s="2494"/>
      <c r="T105" s="2494"/>
      <c r="U105" s="2494"/>
      <c r="V105" s="2494"/>
      <c r="W105" s="2494"/>
      <c r="X105" s="2494"/>
      <c r="Y105" s="2494"/>
      <c r="Z105" s="2494"/>
      <c r="AA105" s="2494"/>
      <c r="AB105" s="2494"/>
      <c r="AC105" s="2494"/>
      <c r="AD105" s="2494"/>
      <c r="AE105" s="2494"/>
    </row>
    <row r="106" spans="1:31" s="408" customFormat="1" ht="15.75" thickBot="1">
      <c r="A106" s="484"/>
      <c r="B106" s="477"/>
      <c r="C106" s="501"/>
      <c r="D106" s="501"/>
      <c r="E106" s="501"/>
      <c r="F106" s="501"/>
      <c r="G106" s="597"/>
      <c r="H106" s="597"/>
      <c r="I106" s="597"/>
      <c r="J106" s="597"/>
      <c r="K106" s="597"/>
      <c r="L106" s="597"/>
      <c r="M106" s="619"/>
      <c r="N106" s="2523"/>
      <c r="O106" s="2523"/>
      <c r="P106" s="2524"/>
      <c r="Q106" s="2516"/>
      <c r="R106" s="2494"/>
      <c r="S106" s="2494"/>
      <c r="T106" s="2494"/>
      <c r="U106" s="2494"/>
      <c r="V106" s="2494"/>
      <c r="W106" s="2494"/>
      <c r="X106" s="2494"/>
      <c r="Y106" s="2494"/>
      <c r="Z106" s="2494"/>
      <c r="AA106" s="2494"/>
      <c r="AB106" s="2494"/>
      <c r="AC106" s="2494"/>
      <c r="AD106" s="2494"/>
      <c r="AE106" s="2494"/>
    </row>
    <row r="107" spans="1:31">
      <c r="A107" s="379" t="s">
        <v>1692</v>
      </c>
      <c r="B107" s="460" t="s">
        <v>1911</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2"/>
      <c r="O107" s="2522"/>
      <c r="P107" s="2521"/>
      <c r="Q107" s="2509"/>
      <c r="R107" s="2488"/>
      <c r="S107" s="2488"/>
      <c r="T107" s="2488"/>
      <c r="U107" s="2488"/>
      <c r="V107" s="2488"/>
      <c r="W107" s="2488"/>
      <c r="X107" s="2488"/>
      <c r="Y107" s="2488"/>
      <c r="Z107" s="2488"/>
      <c r="AA107" s="2488"/>
      <c r="AB107" s="2488"/>
      <c r="AC107" s="2488"/>
      <c r="AD107" s="2488"/>
      <c r="AE107" s="2488"/>
    </row>
    <row r="108" spans="1:31" ht="15">
      <c r="A108" s="367"/>
      <c r="B108" s="477"/>
      <c r="C108" s="6"/>
      <c r="D108" s="6"/>
      <c r="E108" s="6"/>
      <c r="F108" s="6"/>
      <c r="G108" s="6"/>
      <c r="H108" s="6"/>
      <c r="I108" s="6"/>
      <c r="J108" s="524"/>
      <c r="K108" s="524"/>
      <c r="L108" s="525"/>
      <c r="M108" s="526"/>
      <c r="N108" s="2522"/>
      <c r="O108" s="2522"/>
      <c r="P108" s="2521"/>
      <c r="Q108" s="2509"/>
      <c r="R108" s="2488"/>
      <c r="S108" s="2488"/>
      <c r="T108" s="2488"/>
      <c r="U108" s="2488"/>
      <c r="V108" s="2488"/>
      <c r="W108" s="2488"/>
      <c r="X108" s="2488"/>
      <c r="Y108" s="2488"/>
      <c r="Z108" s="2488"/>
      <c r="AA108" s="2488"/>
      <c r="AB108" s="2488"/>
      <c r="AC108" s="2488"/>
      <c r="AD108" s="2488"/>
      <c r="AE108" s="2488"/>
    </row>
    <row r="109" spans="1:31" ht="15.75" thickBot="1">
      <c r="A109" s="367"/>
      <c r="B109" s="474"/>
      <c r="C109" s="501"/>
      <c r="D109" s="521"/>
      <c r="E109" s="521"/>
      <c r="F109" s="521"/>
      <c r="G109" s="521"/>
      <c r="H109" s="521"/>
      <c r="I109" s="521"/>
      <c r="J109" s="521"/>
      <c r="K109" s="521"/>
      <c r="L109" s="521"/>
      <c r="M109" s="522"/>
      <c r="N109" s="2523"/>
      <c r="O109" s="2523"/>
      <c r="P109" s="2521"/>
      <c r="Q109" s="2509"/>
      <c r="R109" s="2488"/>
      <c r="S109" s="2488"/>
      <c r="T109" s="2488"/>
      <c r="U109" s="2488"/>
      <c r="V109" s="2488"/>
      <c r="W109" s="2488"/>
      <c r="X109" s="2488"/>
      <c r="Y109" s="2488"/>
      <c r="Z109" s="2488"/>
      <c r="AA109" s="2488"/>
      <c r="AB109" s="2488"/>
      <c r="AC109" s="2488"/>
      <c r="AD109" s="2488"/>
      <c r="AE109" s="2488"/>
    </row>
    <row r="110" spans="1:31" ht="15" thickTop="1">
      <c r="A110" s="409"/>
      <c r="B110" s="469" t="s">
        <v>1912</v>
      </c>
      <c r="C110" s="513"/>
      <c r="D110" s="513"/>
      <c r="E110" s="513"/>
      <c r="F110" s="513"/>
      <c r="G110" s="513"/>
      <c r="H110" s="513"/>
      <c r="I110" s="513"/>
      <c r="J110" s="513"/>
      <c r="K110" s="514"/>
      <c r="L110" s="515"/>
      <c r="M110" s="516"/>
      <c r="N110" s="2522"/>
      <c r="O110" s="2522"/>
      <c r="P110" s="2521"/>
      <c r="Q110" s="2509"/>
      <c r="R110" s="2488"/>
      <c r="S110" s="2488"/>
      <c r="T110" s="2488"/>
      <c r="U110" s="2488"/>
      <c r="V110" s="2488"/>
      <c r="W110" s="2488"/>
      <c r="X110" s="2488"/>
      <c r="Y110" s="2488"/>
      <c r="Z110" s="2488"/>
      <c r="AA110" s="2488"/>
      <c r="AB110" s="2488"/>
      <c r="AC110" s="2488"/>
      <c r="AD110" s="2488"/>
      <c r="AE110" s="2488"/>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3"/>
      <c r="O111" s="2523"/>
      <c r="P111" s="2521"/>
      <c r="Q111" s="2509"/>
      <c r="R111" s="2488"/>
      <c r="S111" s="2488"/>
      <c r="T111" s="2488"/>
      <c r="U111" s="2488"/>
      <c r="V111" s="2488"/>
      <c r="W111" s="2488"/>
      <c r="X111" s="2488"/>
      <c r="Y111" s="2488"/>
      <c r="Z111" s="2488"/>
      <c r="AA111" s="2488"/>
      <c r="AB111" s="2488"/>
      <c r="AC111" s="2488"/>
      <c r="AD111" s="2488"/>
      <c r="AE111" s="2488"/>
    </row>
    <row r="112" spans="1:31" s="408" customFormat="1" ht="15" thickTop="1">
      <c r="A112" s="406"/>
      <c r="B112" s="469" t="s">
        <v>1914</v>
      </c>
      <c r="C112" s="485"/>
      <c r="D112" s="485"/>
      <c r="E112" s="485"/>
      <c r="F112" s="485"/>
      <c r="G112" s="485"/>
      <c r="H112" s="513"/>
      <c r="I112" s="513"/>
      <c r="J112" s="513"/>
      <c r="K112" s="514"/>
      <c r="L112" s="515"/>
      <c r="M112" s="516"/>
      <c r="N112" s="2524"/>
      <c r="O112" s="2524"/>
      <c r="P112" s="2524"/>
      <c r="Q112" s="2516"/>
      <c r="R112" s="2494"/>
      <c r="S112" s="2494"/>
      <c r="T112" s="2494"/>
      <c r="U112" s="2494"/>
      <c r="V112" s="2494"/>
      <c r="W112" s="2494"/>
      <c r="X112" s="2494"/>
      <c r="Y112" s="2494"/>
      <c r="Z112" s="2494"/>
      <c r="AA112" s="2494"/>
      <c r="AB112" s="2494"/>
      <c r="AC112" s="2494"/>
      <c r="AD112" s="2494"/>
      <c r="AE112" s="2494"/>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4"/>
      <c r="O113" s="2524"/>
      <c r="P113" s="2524"/>
      <c r="Q113" s="2516"/>
      <c r="R113" s="2494"/>
      <c r="S113" s="2494"/>
      <c r="T113" s="2494"/>
      <c r="U113" s="2494"/>
      <c r="V113" s="2494"/>
      <c r="W113" s="2494"/>
      <c r="X113" s="2494"/>
      <c r="Y113" s="2494"/>
      <c r="Z113" s="2494"/>
      <c r="AA113" s="2494"/>
      <c r="AB113" s="2494"/>
      <c r="AC113" s="2494"/>
      <c r="AD113" s="2494"/>
      <c r="AE113" s="2494"/>
    </row>
    <row r="114" spans="1:31" ht="15" thickTop="1">
      <c r="A114" s="409"/>
      <c r="B114" s="469" t="s">
        <v>1915</v>
      </c>
      <c r="C114" s="485"/>
      <c r="D114" s="485"/>
      <c r="E114" s="513"/>
      <c r="F114" s="513"/>
      <c r="G114" s="513"/>
      <c r="H114" s="513"/>
      <c r="I114" s="513"/>
      <c r="J114" s="513"/>
      <c r="K114" s="514"/>
      <c r="L114" s="515"/>
      <c r="M114" s="516"/>
      <c r="N114" s="2522"/>
      <c r="O114" s="2522"/>
      <c r="P114" s="2521"/>
      <c r="Q114" s="2509"/>
      <c r="R114" s="2488"/>
      <c r="S114" s="2488"/>
      <c r="T114" s="2488"/>
      <c r="U114" s="2488"/>
      <c r="V114" s="2488"/>
      <c r="W114" s="2488"/>
      <c r="X114" s="2488"/>
      <c r="Y114" s="2488"/>
      <c r="Z114" s="2488"/>
      <c r="AA114" s="2488"/>
      <c r="AB114" s="2488"/>
      <c r="AC114" s="2488"/>
      <c r="AD114" s="2488"/>
      <c r="AE114" s="2488"/>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21"/>
      <c r="Q115" s="2509"/>
      <c r="R115" s="2488"/>
      <c r="S115" s="2488"/>
      <c r="T115" s="2488"/>
      <c r="U115" s="2488"/>
      <c r="V115" s="2488"/>
      <c r="W115" s="2488"/>
      <c r="X115" s="2488"/>
      <c r="Y115" s="2488"/>
      <c r="Z115" s="2488"/>
      <c r="AA115" s="2488"/>
      <c r="AB115" s="2488"/>
      <c r="AC115" s="2488"/>
      <c r="AD115" s="2488"/>
      <c r="AE115" s="2488"/>
    </row>
    <row r="116" spans="1:31" ht="15" thickTop="1">
      <c r="A116" s="409"/>
      <c r="B116" s="469">
        <f>B38</f>
        <v>111</v>
      </c>
      <c r="C116" s="485"/>
      <c r="D116" s="485"/>
      <c r="E116" s="485"/>
      <c r="F116" s="485"/>
      <c r="G116" s="485"/>
      <c r="H116" s="513"/>
      <c r="I116" s="513"/>
      <c r="J116" s="513"/>
      <c r="K116" s="514"/>
      <c r="L116" s="515"/>
      <c r="M116" s="516"/>
      <c r="N116" s="2522"/>
      <c r="O116" s="2522"/>
      <c r="P116" s="2521"/>
      <c r="Q116" s="2509"/>
      <c r="R116" s="2488"/>
      <c r="S116" s="2488"/>
      <c r="T116" s="2488"/>
      <c r="U116" s="2488"/>
      <c r="V116" s="2488"/>
      <c r="W116" s="2488"/>
      <c r="X116" s="2488"/>
      <c r="Y116" s="2488"/>
      <c r="Z116" s="2488"/>
      <c r="AA116" s="2488"/>
      <c r="AB116" s="2488"/>
      <c r="AC116" s="2488"/>
      <c r="AD116" s="2488"/>
      <c r="AE116" s="2488"/>
    </row>
    <row r="117" spans="1:31" ht="15.75" thickBot="1">
      <c r="A117" s="367"/>
      <c r="B117" s="474"/>
      <c r="C117" s="491"/>
      <c r="D117" s="467"/>
      <c r="E117" s="467"/>
      <c r="F117" s="467"/>
      <c r="G117" s="467"/>
      <c r="H117" s="467"/>
      <c r="I117" s="467"/>
      <c r="J117" s="467"/>
      <c r="K117" s="467"/>
      <c r="L117" s="467"/>
      <c r="M117" s="468"/>
      <c r="N117" s="2523"/>
      <c r="O117" s="2523"/>
      <c r="P117" s="2521"/>
      <c r="Q117" s="2509"/>
      <c r="R117" s="2488"/>
      <c r="S117" s="2488"/>
      <c r="T117" s="2488"/>
      <c r="U117" s="2488"/>
      <c r="V117" s="2488"/>
      <c r="W117" s="2488"/>
      <c r="X117" s="2488"/>
      <c r="Y117" s="2488"/>
      <c r="Z117" s="2488"/>
      <c r="AA117" s="2488"/>
      <c r="AB117" s="2488"/>
      <c r="AC117" s="2488"/>
      <c r="AD117" s="2488"/>
      <c r="AE117" s="2488"/>
    </row>
    <row r="118" spans="1:31" ht="15" thickTop="1">
      <c r="A118" s="409"/>
      <c r="B118" s="469">
        <f>B39</f>
        <v>111</v>
      </c>
      <c r="C118" s="485"/>
      <c r="D118" s="485"/>
      <c r="E118" s="485"/>
      <c r="F118" s="485"/>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c r="AD118" s="2488"/>
      <c r="AE118" s="2488"/>
    </row>
    <row r="119" spans="1:31" ht="15.75" thickBot="1">
      <c r="A119" s="367"/>
      <c r="B119" s="474"/>
      <c r="C119" s="491"/>
      <c r="D119" s="491"/>
      <c r="E119" s="491"/>
      <c r="F119" s="491"/>
      <c r="G119" s="467"/>
      <c r="H119" s="467"/>
      <c r="I119" s="467"/>
      <c r="J119" s="467"/>
      <c r="K119" s="467"/>
      <c r="L119" s="467"/>
      <c r="M119" s="468"/>
      <c r="N119" s="2523"/>
      <c r="O119" s="2523"/>
      <c r="P119" s="2521"/>
      <c r="Q119" s="2509"/>
      <c r="R119" s="2488"/>
      <c r="S119" s="2488"/>
      <c r="T119" s="2488"/>
      <c r="U119" s="2488"/>
      <c r="V119" s="2488"/>
      <c r="W119" s="2488"/>
      <c r="X119" s="2488"/>
      <c r="Y119" s="2488"/>
      <c r="Z119" s="2488"/>
      <c r="AA119" s="2488"/>
      <c r="AB119" s="2488"/>
      <c r="AC119" s="2488"/>
      <c r="AD119" s="2488"/>
      <c r="AE119" s="2488"/>
    </row>
    <row r="120" spans="1:31" s="408" customFormat="1" ht="15" thickTop="1">
      <c r="A120" s="406"/>
      <c r="B120" s="469">
        <f>B40</f>
        <v>111</v>
      </c>
      <c r="C120" s="31"/>
      <c r="D120" s="31"/>
      <c r="E120" s="31"/>
      <c r="F120" s="31"/>
      <c r="G120" s="486"/>
      <c r="H120" s="486"/>
      <c r="I120" s="486"/>
      <c r="J120" s="486"/>
      <c r="K120" s="486"/>
      <c r="L120" s="487"/>
      <c r="M120" s="488"/>
      <c r="N120" s="2524"/>
      <c r="O120" s="2524"/>
      <c r="P120" s="2524"/>
      <c r="Q120" s="2516"/>
      <c r="R120" s="2494"/>
      <c r="S120" s="2494"/>
      <c r="T120" s="2494"/>
      <c r="U120" s="2494"/>
      <c r="V120" s="2494"/>
      <c r="W120" s="2494"/>
      <c r="X120" s="2494"/>
      <c r="Y120" s="2494"/>
      <c r="Z120" s="2494"/>
      <c r="AA120" s="2494"/>
      <c r="AB120" s="2494"/>
      <c r="AC120" s="2494"/>
      <c r="AD120" s="2494"/>
      <c r="AE120" s="2494"/>
    </row>
    <row r="121" spans="1:31" s="408" customFormat="1" ht="15.75" thickBot="1">
      <c r="A121" s="499"/>
      <c r="B121" s="620"/>
      <c r="C121" s="501"/>
      <c r="D121" s="501"/>
      <c r="E121" s="501"/>
      <c r="F121" s="501"/>
      <c r="G121" s="521"/>
      <c r="H121" s="521"/>
      <c r="I121" s="521"/>
      <c r="J121" s="521"/>
      <c r="K121" s="521"/>
      <c r="L121" s="521"/>
      <c r="M121" s="522"/>
      <c r="N121" s="2524"/>
      <c r="O121" s="2524"/>
      <c r="P121" s="2524"/>
      <c r="Q121" s="2516"/>
      <c r="R121" s="2494"/>
      <c r="S121" s="2494"/>
      <c r="T121" s="2494"/>
      <c r="U121" s="2494"/>
      <c r="V121" s="2494"/>
      <c r="W121" s="2494"/>
      <c r="X121" s="2494"/>
      <c r="Y121" s="2494"/>
      <c r="Z121" s="2494"/>
      <c r="AA121" s="2494"/>
      <c r="AB121" s="2494"/>
      <c r="AC121" s="2494"/>
      <c r="AD121" s="2494"/>
      <c r="AE121" s="2494"/>
    </row>
    <row r="122" spans="1:31">
      <c r="N122" s="2488"/>
      <c r="O122" s="2488"/>
      <c r="P122" s="2488"/>
      <c r="Q122" s="2488"/>
      <c r="R122" s="2488"/>
      <c r="S122" s="2488"/>
      <c r="T122" s="2488"/>
      <c r="U122" s="2488"/>
      <c r="V122" s="2488"/>
      <c r="W122" s="2488"/>
      <c r="X122" s="2488"/>
      <c r="Y122" s="2488"/>
      <c r="Z122" s="2488"/>
      <c r="AA122" s="2488"/>
      <c r="AB122" s="2488"/>
      <c r="AC122" s="2488"/>
      <c r="AD122" s="2488"/>
      <c r="AE122" s="2488"/>
    </row>
    <row r="123" spans="1:31">
      <c r="P123" s="2488"/>
      <c r="Q123" s="2488"/>
      <c r="R123" s="2488"/>
      <c r="S123" s="2488"/>
      <c r="T123" s="2488"/>
      <c r="U123" s="2488"/>
      <c r="V123" s="2488"/>
      <c r="W123" s="2488"/>
      <c r="X123" s="2488"/>
      <c r="Y123" s="2488"/>
      <c r="Z123" s="2488"/>
      <c r="AA123" s="2488"/>
      <c r="AB123" s="2488"/>
      <c r="AC123" s="2488"/>
      <c r="AD123" s="2488"/>
      <c r="AE123" s="2488"/>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4" type="noConversion"/>
  <conditionalFormatting sqref="E46">
    <cfRule type="expression" dxfId="27" priority="13" stopIfTrue="1">
      <formula>$F$46="超过30%"</formula>
    </cfRule>
  </conditionalFormatting>
  <conditionalFormatting sqref="E47">
    <cfRule type="expression" dxfId="26" priority="53" stopIfTrue="1">
      <formula>#REF!+$F$47="超过20%"</formula>
    </cfRule>
  </conditionalFormatting>
  <conditionalFormatting sqref="E48">
    <cfRule type="expression" dxfId="25" priority="10" stopIfTrue="1">
      <formula>$F$48="超过30%"</formula>
    </cfRule>
  </conditionalFormatting>
  <conditionalFormatting sqref="F7:F40 H7:H40 J7:J40">
    <cfRule type="cellIs" dxfId="24" priority="1" operator="notEqual">
      <formula>100</formula>
    </cfRule>
  </conditionalFormatting>
  <conditionalFormatting sqref="F42">
    <cfRule type="expression" dxfId="23" priority="4">
      <formula>$D$42="简单平均"</formula>
    </cfRule>
  </conditionalFormatting>
  <conditionalFormatting sqref="F46:F48 H46:H48 J46:J48">
    <cfRule type="containsText" dxfId="22" priority="14" stopIfTrue="1" operator="containsText" text="超过">
      <formula>NOT(ISERROR(SEARCH("超过",F46)))</formula>
    </cfRule>
  </conditionalFormatting>
  <conditionalFormatting sqref="G46">
    <cfRule type="expression" dxfId="21" priority="9" stopIfTrue="1">
      <formula>$H$46="超过30%"</formula>
    </cfRule>
  </conditionalFormatting>
  <conditionalFormatting sqref="G47">
    <cfRule type="expression" dxfId="20" priority="8" stopIfTrue="1">
      <formula>$H$47="超过20%"</formula>
    </cfRule>
  </conditionalFormatting>
  <conditionalFormatting sqref="G48">
    <cfRule type="expression" dxfId="19" priority="12" stopIfTrue="1">
      <formula>$H$48="超过30%"</formula>
    </cfRule>
  </conditionalFormatting>
  <conditionalFormatting sqref="H42">
    <cfRule type="expression" dxfId="18" priority="3">
      <formula>$D$42="简单平均"</formula>
    </cfRule>
  </conditionalFormatting>
  <conditionalFormatting sqref="I46">
    <cfRule type="expression" dxfId="17" priority="7" stopIfTrue="1">
      <formula>$J$46="超过30%"</formula>
    </cfRule>
  </conditionalFormatting>
  <conditionalFormatting sqref="I47">
    <cfRule type="expression" dxfId="16" priority="6" stopIfTrue="1">
      <formula>$J$47="超过20%"</formula>
    </cfRule>
  </conditionalFormatting>
  <conditionalFormatting sqref="I48">
    <cfRule type="expression" dxfId="15" priority="5" stopIfTrue="1">
      <formula>$J$48="超过30%"</formula>
    </cfRule>
  </conditionalFormatting>
  <conditionalFormatting sqref="J42">
    <cfRule type="expression" dxfId="14" priority="2">
      <formula>$D$42="简单平均"</formula>
    </cfRule>
  </conditionalFormatting>
  <dataValidations count="20">
    <dataValidation type="list" allowBlank="1" showInputMessage="1" showErrorMessage="1" sqref="B41" xr:uid="{00000000-0002-0000-1F00-000000000000}">
      <formula1>单价内涵</formula1>
    </dataValidation>
    <dataValidation type="list" allowBlank="1" showInputMessage="1" showErrorMessage="1" sqref="C22 E22 G22 I22" xr:uid="{00000000-0002-0000-1F00-000001000000}">
      <formula1>环境</formula1>
    </dataValidation>
    <dataValidation type="list" allowBlank="1" showInputMessage="1" showErrorMessage="1" sqref="E18 C18 G18 I18" xr:uid="{00000000-0002-0000-1F00-000002000000}">
      <formula1>交通便捷度</formula1>
    </dataValidation>
    <dataValidation type="list" allowBlank="1" showInputMessage="1" showErrorMessage="1" sqref="E24 C24 G24 I24" xr:uid="{00000000-0002-0000-1F00-000003000000}">
      <formula1>公共配套设施</formula1>
    </dataValidation>
    <dataValidation type="list" allowBlank="1" showInputMessage="1" showErrorMessage="1" sqref="C8 E8 G8 I8" xr:uid="{00000000-0002-0000-1F00-000004000000}">
      <formula1>套工交易情况</formula1>
    </dataValidation>
    <dataValidation type="list" allowBlank="1" showInputMessage="1" showErrorMessage="1" sqref="C9 E9 G9 I9" xr:uid="{00000000-0002-0000-1F00-000005000000}">
      <formula1>套工用途</formula1>
    </dataValidation>
    <dataValidation type="list" allowBlank="1" showInputMessage="1" showErrorMessage="1" sqref="I30 E30 G30" xr:uid="{00000000-0002-0000-1F00-000006000000}">
      <formula1>套工土地级别</formula1>
    </dataValidation>
    <dataValidation type="list" allowBlank="1" showInputMessage="1" showErrorMessage="1" sqref="C27 E27 G27 I27" xr:uid="{00000000-0002-0000-1F00-000007000000}">
      <formula1>临街状况</formula1>
    </dataValidation>
    <dataValidation type="list" allowBlank="1" showInputMessage="1" showErrorMessage="1" sqref="E20 G20 I20 C20" xr:uid="{00000000-0002-0000-1F00-000008000000}">
      <formula1>区域土地利用方向</formula1>
    </dataValidation>
    <dataValidation type="list" allowBlank="1" showInputMessage="1" showErrorMessage="1" sqref="C50" xr:uid="{00000000-0002-0000-1F00-000009000000}">
      <formula1>"北京市系数,其他省市系数"</formula1>
    </dataValidation>
    <dataValidation type="list" allowBlank="1" showInputMessage="1" showErrorMessage="1" sqref="C16 E16 G16 I16" xr:uid="{00000000-0002-0000-1F00-00000A000000}">
      <formula1>产业集聚程度</formula1>
    </dataValidation>
    <dataValidation type="list" allowBlank="1" showInputMessage="1" showErrorMessage="1" sqref="C29 E29 G29 I29" xr:uid="{00000000-0002-0000-1F00-00000B000000}">
      <formula1>套工道路等级</formula1>
    </dataValidation>
    <dataValidation type="list" allowBlank="1" showInputMessage="1" showErrorMessage="1" sqref="C35 E35 G35 I35" xr:uid="{00000000-0002-0000-1F00-00000C000000}">
      <formula1>套工宗地形状</formula1>
    </dataValidation>
    <dataValidation type="list" allowBlank="1" showInputMessage="1" showErrorMessage="1" sqref="C36 E36 G36 I36" xr:uid="{00000000-0002-0000-1F00-00000D000000}">
      <formula1>套工宗地开发程度</formula1>
    </dataValidation>
    <dataValidation type="list" allowBlank="1" showInputMessage="1" showErrorMessage="1" sqref="C37 E37 G37 I37" xr:uid="{00000000-0002-0000-1F00-00000E000000}">
      <formula1>套工地质条件</formula1>
    </dataValidation>
    <dataValidation type="list" allowBlank="1" showInputMessage="1" showErrorMessage="1" sqref="G58" xr:uid="{00000000-0002-0000-1F00-00000F000000}">
      <formula1>"住宅,工业"</formula1>
    </dataValidation>
    <dataValidation type="list" allowBlank="1" showInputMessage="1" showErrorMessage="1" sqref="G57" xr:uid="{00000000-0002-0000-1F00-000010000000}">
      <formula1>"商业,办公,住宅,工业"</formula1>
    </dataValidation>
    <dataValidation type="list" allowBlank="1" showInputMessage="1" showErrorMessage="1" sqref="D52:D60" xr:uid="{00000000-0002-0000-1F00-000011000000}">
      <formula1>"25%,1"</formula1>
    </dataValidation>
    <dataValidation type="list" allowBlank="1" showInputMessage="1" showErrorMessage="1" sqref="C26 E26 G26 I26" xr:uid="{00000000-0002-0000-1F00-000012000000}">
      <formula1>基础设施水平</formula1>
    </dataValidation>
    <dataValidation type="list" allowBlank="1" showInputMessage="1" showErrorMessage="1" sqref="D42" xr:uid="{00000000-0002-0000-1F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2081</v>
      </c>
      <c r="C1" s="3668" t="s">
        <v>2082</v>
      </c>
      <c r="D1" s="3669"/>
      <c r="E1" s="3669"/>
      <c r="F1" s="3669"/>
      <c r="G1" s="3669"/>
      <c r="H1" s="3669"/>
      <c r="I1" s="3669"/>
      <c r="J1" s="3669"/>
      <c r="K1" s="3669"/>
      <c r="L1" s="3669"/>
      <c r="M1" s="3669"/>
      <c r="N1" s="3669"/>
      <c r="O1" s="3669"/>
      <c r="P1" s="3669"/>
      <c r="Q1" s="3669"/>
      <c r="R1" s="3669"/>
      <c r="S1" s="3670"/>
      <c r="T1" s="929" t="s">
        <v>2083</v>
      </c>
    </row>
    <row r="2" spans="1:45" s="625" customFormat="1">
      <c r="A2" s="930"/>
      <c r="B2" s="622" t="s">
        <v>2084</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2085</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2086</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2087</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2088</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2089</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2090</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2091</v>
      </c>
      <c r="B17" s="1987" t="s">
        <v>2092</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2093</v>
      </c>
      <c r="E19" s="1253"/>
      <c r="F19" s="1253"/>
      <c r="G19" s="1253"/>
      <c r="H19" s="996"/>
      <c r="I19" s="151"/>
      <c r="J19" s="151"/>
      <c r="K19" s="151"/>
      <c r="L19" s="151"/>
      <c r="M19" s="151"/>
      <c r="N19" s="151"/>
      <c r="O19" s="151"/>
      <c r="P19" s="151"/>
      <c r="Q19" s="151"/>
      <c r="R19" s="151"/>
      <c r="S19" s="121"/>
    </row>
    <row r="20" spans="1:45" ht="16.5" thickBot="1">
      <c r="A20" s="632" t="s">
        <v>2094</v>
      </c>
      <c r="B20" s="286" t="e">
        <f ca="1">IF(D20="——",S22,S22-F20)</f>
        <v>#REF!</v>
      </c>
      <c r="C20" s="151"/>
      <c r="D20" s="1989"/>
      <c r="E20" s="1254"/>
      <c r="F20" s="929" t="e">
        <f ca="1">SUMIF(INDIRECT("'"&amp;H20&amp;"'"&amp;"!A:A"),"承租人权益价值",INDIRECT("'"&amp;H20&amp;"'"&amp;"!c:c"))</f>
        <v>#REF!</v>
      </c>
      <c r="G20" s="929" t="s">
        <v>2095</v>
      </c>
      <c r="H20" s="1990"/>
      <c r="I20" s="151"/>
      <c r="J20" s="151"/>
      <c r="K20" s="151"/>
      <c r="L20" s="151"/>
      <c r="M20" s="151"/>
      <c r="N20" s="151"/>
      <c r="O20" s="151"/>
      <c r="P20" s="151"/>
      <c r="Q20" s="151"/>
      <c r="R20" s="151"/>
      <c r="S20" s="121"/>
    </row>
    <row r="21" spans="1:45" ht="15.75">
      <c r="A21" s="632" t="s">
        <v>2096</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2097</v>
      </c>
      <c r="B22" s="21">
        <f>SUM(B24:B10000)</f>
        <v>0</v>
      </c>
      <c r="C22" s="3665" t="s">
        <v>27</v>
      </c>
      <c r="D22" s="3666"/>
      <c r="E22" s="3666"/>
      <c r="F22" s="3666"/>
      <c r="G22" s="3666"/>
      <c r="H22" s="3666"/>
      <c r="I22" s="3666"/>
      <c r="J22" s="3666"/>
      <c r="K22" s="3666"/>
      <c r="L22" s="3666"/>
      <c r="M22" s="3666"/>
      <c r="N22" s="3666"/>
      <c r="O22" s="3666"/>
      <c r="P22" s="3666"/>
      <c r="Q22" s="3667"/>
      <c r="R22" s="21" t="e">
        <f>ROUND(S22*10000/B22,0)</f>
        <v>#DIV/0!</v>
      </c>
      <c r="S22" s="21">
        <f>SUM(S24:S10000)</f>
        <v>0</v>
      </c>
    </row>
    <row r="23" spans="1:45" s="9" customFormat="1" ht="24">
      <c r="A23" s="8" t="s">
        <v>2098</v>
      </c>
      <c r="B23" s="8" t="s">
        <v>2099</v>
      </c>
      <c r="C23" s="8" t="s">
        <v>2100</v>
      </c>
      <c r="D23" s="8" t="str">
        <f>B5</f>
        <v>修正项2</v>
      </c>
      <c r="E23" s="8" t="s">
        <v>2100</v>
      </c>
      <c r="F23" s="8" t="str">
        <f>B7</f>
        <v>修正项3</v>
      </c>
      <c r="G23" s="8" t="s">
        <v>2100</v>
      </c>
      <c r="H23" s="8" t="str">
        <f>B9</f>
        <v>修正项4</v>
      </c>
      <c r="I23" s="8" t="s">
        <v>2100</v>
      </c>
      <c r="J23" s="8" t="str">
        <f>B11</f>
        <v>修正项5</v>
      </c>
      <c r="K23" s="8" t="s">
        <v>2100</v>
      </c>
      <c r="L23" s="8" t="str">
        <f>B13</f>
        <v>修正项6</v>
      </c>
      <c r="M23" s="8" t="s">
        <v>2100</v>
      </c>
      <c r="N23" s="8" t="str">
        <f>B15</f>
        <v>修正项7</v>
      </c>
      <c r="O23" s="8" t="s">
        <v>2100</v>
      </c>
      <c r="P23" s="8" t="str">
        <f>B17</f>
        <v>楼层</v>
      </c>
      <c r="Q23" s="8" t="s">
        <v>2100</v>
      </c>
      <c r="R23" s="8" t="s">
        <v>2101</v>
      </c>
      <c r="S23" s="8" t="s">
        <v>2102</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2103</v>
      </c>
      <c r="B24" s="633"/>
      <c r="C24" s="2571">
        <v>1</v>
      </c>
      <c r="D24" s="2572"/>
      <c r="E24" s="2571">
        <v>1</v>
      </c>
      <c r="F24" s="2572"/>
      <c r="G24" s="2571">
        <v>1</v>
      </c>
      <c r="H24" s="2572"/>
      <c r="I24" s="2571">
        <v>1</v>
      </c>
      <c r="J24" s="2572"/>
      <c r="K24" s="2571">
        <v>1</v>
      </c>
      <c r="L24" s="2572"/>
      <c r="M24" s="2571">
        <v>1</v>
      </c>
      <c r="N24" s="2572"/>
      <c r="O24" s="2571">
        <v>1</v>
      </c>
      <c r="P24" s="2572"/>
      <c r="Q24" s="2571">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6" type="noConversion"/>
  <conditionalFormatting sqref="C24:C524 E24:E524 G24:G524 I24:I524 K24:K524 M24:M524 O24:O524 Q24:Q524">
    <cfRule type="cellIs" dxfId="13" priority="1" operator="notEqual">
      <formula>1</formula>
    </cfRule>
  </conditionalFormatting>
  <dataValidations count="9">
    <dataValidation type="list" allowBlank="1" showInputMessage="1" showErrorMessage="1" sqref="D24:D524" xr:uid="{00000000-0002-0000-2000-000000000000}">
      <formula1>一修多修正项2</formula1>
    </dataValidation>
    <dataValidation type="list" allowBlank="1" showInputMessage="1" showErrorMessage="1" sqref="F24:F524" xr:uid="{00000000-0002-0000-2000-000001000000}">
      <formula1>一修多修正项3</formula1>
    </dataValidation>
    <dataValidation type="list" allowBlank="1" showInputMessage="1" showErrorMessage="1" sqref="H24:H524" xr:uid="{00000000-0002-0000-2000-000002000000}">
      <formula1>一修多修正项4</formula1>
    </dataValidation>
    <dataValidation type="list" allowBlank="1" showInputMessage="1" showErrorMessage="1" sqref="J24:J524" xr:uid="{00000000-0002-0000-2000-000003000000}">
      <formula1>一修多修正项5</formula1>
    </dataValidation>
    <dataValidation type="list" allowBlank="1" showInputMessage="1" showErrorMessage="1" sqref="L24:L524" xr:uid="{00000000-0002-0000-2000-000004000000}">
      <formula1>一修多修正项6</formula1>
    </dataValidation>
    <dataValidation type="list" allowBlank="1" showInputMessage="1" showErrorMessage="1" sqref="N24:N524" xr:uid="{00000000-0002-0000-2000-000005000000}">
      <formula1>一修多修正项7</formula1>
    </dataValidation>
    <dataValidation type="list" allowBlank="1" showInputMessage="1" showErrorMessage="1" sqref="P24:P524" xr:uid="{00000000-0002-0000-2000-000006000000}">
      <formula1>一修多修正项8</formula1>
    </dataValidation>
    <dataValidation type="list" allowBlank="1" showInputMessage="1" showErrorMessage="1" sqref="D20" xr:uid="{00000000-0002-0000-2000-000007000000}">
      <formula1>"需扣减承租人权益,——"</formula1>
    </dataValidation>
    <dataValidation type="list" allowBlank="1" showInputMessage="1" showErrorMessage="1" sqref="H20" xr:uid="{00000000-0002-0000-2000-000008000000}">
      <formula1>估价方法</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5" t="s">
        <v>2079</v>
      </c>
      <c r="B1" s="4"/>
      <c r="C1" s="4"/>
      <c r="D1" s="4"/>
      <c r="E1" s="4"/>
      <c r="F1" s="2545"/>
      <c r="G1" s="2545"/>
      <c r="H1" s="2545"/>
      <c r="I1" s="2545"/>
      <c r="J1" s="2545"/>
      <c r="K1" s="2545"/>
      <c r="L1" s="2545"/>
      <c r="M1" s="2545"/>
      <c r="N1" s="2545"/>
      <c r="O1" s="2545"/>
      <c r="P1" s="2545"/>
    </row>
    <row r="2" spans="1:16" ht="15.75">
      <c r="A2" s="1984" t="s">
        <v>2071</v>
      </c>
      <c r="B2" s="2388" t="e">
        <f ca="1">SUMIF(B6:B13,"&lt;&gt;#ref!",B6:B13)</f>
        <v>#DIV/0!</v>
      </c>
      <c r="C2" s="1984" t="s">
        <v>2072</v>
      </c>
      <c r="D2" s="1984" t="s">
        <v>2073</v>
      </c>
      <c r="E2" s="2398">
        <f ca="1">SUMIF(E6:E13,"&lt;&gt;#ref!",E6:E13)</f>
        <v>0</v>
      </c>
      <c r="F2" s="2545"/>
      <c r="G2" s="2545"/>
      <c r="H2" s="2545"/>
      <c r="I2" s="2545"/>
      <c r="J2" s="2545"/>
      <c r="K2" s="2545"/>
      <c r="L2" s="2545"/>
      <c r="M2" s="2545"/>
      <c r="N2" s="2545"/>
      <c r="O2" s="2545"/>
      <c r="P2" s="2545"/>
    </row>
    <row r="3" spans="1:16" ht="15.75">
      <c r="A3" s="1984" t="s">
        <v>2074</v>
      </c>
      <c r="B3" s="2388" t="e">
        <f ca="1">ROUND(B2*10000/E2,0)</f>
        <v>#DIV/0!</v>
      </c>
      <c r="C3" s="1984" t="s">
        <v>2080</v>
      </c>
      <c r="D3" s="2545"/>
      <c r="E3" s="2545"/>
      <c r="F3" s="2545"/>
      <c r="G3" s="2545"/>
      <c r="H3" s="2545"/>
      <c r="I3" s="2545"/>
      <c r="J3" s="2545"/>
      <c r="K3" s="2545"/>
      <c r="L3" s="2545"/>
      <c r="M3" s="2545"/>
      <c r="N3" s="2545"/>
      <c r="O3" s="2545"/>
      <c r="P3" s="2545"/>
    </row>
    <row r="4" spans="1:16" ht="15.75">
      <c r="A4" s="2557"/>
      <c r="B4" s="2545"/>
      <c r="C4" s="2545"/>
      <c r="D4" s="2545"/>
      <c r="E4" s="2545"/>
      <c r="F4" s="2545"/>
      <c r="G4" s="2545"/>
      <c r="H4" s="2545"/>
      <c r="I4" s="2545"/>
      <c r="J4" s="2545"/>
      <c r="K4" s="2545"/>
      <c r="L4" s="2545"/>
      <c r="M4" s="2545"/>
      <c r="N4" s="2545"/>
      <c r="O4" s="2545"/>
      <c r="P4" s="2545"/>
    </row>
    <row r="5" spans="1:16" ht="28.5">
      <c r="A5" s="2394" t="s">
        <v>2075</v>
      </c>
      <c r="B5" s="2396" t="s">
        <v>2076</v>
      </c>
      <c r="C5" s="1985"/>
      <c r="D5" s="2545"/>
      <c r="E5" s="2397" t="s">
        <v>2077</v>
      </c>
      <c r="F5" s="2545"/>
      <c r="G5" s="2545"/>
      <c r="H5" s="2545"/>
      <c r="I5" s="2545"/>
      <c r="J5" s="2545"/>
      <c r="K5" s="2545"/>
      <c r="L5" s="2545"/>
      <c r="M5" s="2545"/>
      <c r="N5" s="2545"/>
      <c r="O5" s="2545"/>
      <c r="P5" s="2545"/>
    </row>
    <row r="6" spans="1:16" ht="15.75">
      <c r="A6" s="2395" t="s">
        <v>2078</v>
      </c>
      <c r="B6" s="2388" t="e">
        <f ca="1">SUMIF(INDIRECT("'"&amp;A6&amp;"'"&amp;"!A:A"),"总价",INDIRECT("'"&amp;A6&amp;"'"&amp;"!B:B"))</f>
        <v>#DIV/0!</v>
      </c>
      <c r="C6" s="1984" t="s">
        <v>2072</v>
      </c>
      <c r="D6" s="2545"/>
      <c r="E6" s="2398">
        <f ca="1">SUMIF(INDIRECT("'"&amp;A6&amp;"'"&amp;"!C:C"),"建筑面积",INDIRECT("'"&amp;A6&amp;"'"&amp;"!D:D"))</f>
        <v>0</v>
      </c>
      <c r="F6" s="2545"/>
      <c r="G6" s="2545"/>
      <c r="H6" s="2545"/>
      <c r="I6" s="2545"/>
      <c r="J6" s="2545"/>
      <c r="K6" s="2545"/>
      <c r="L6" s="2545"/>
      <c r="M6" s="2545"/>
      <c r="N6" s="2545"/>
      <c r="O6" s="2545"/>
      <c r="P6" s="2545"/>
    </row>
    <row r="7" spans="1:16" ht="15.75">
      <c r="A7" s="2395"/>
      <c r="B7" s="2388" t="e">
        <f ca="1">SUMIF(INDIRECT("'"&amp;A7&amp;"'"&amp;"!A:A"),"总价",INDIRECT("'"&amp;A7&amp;"'"&amp;"!B:B"))</f>
        <v>#REF!</v>
      </c>
      <c r="C7" s="1984" t="s">
        <v>2072</v>
      </c>
      <c r="D7" s="2545"/>
      <c r="E7" s="2398" t="e">
        <f t="shared" ref="E7:E13" ca="1" si="0">SUMIF(INDIRECT("'"&amp;A7&amp;"'"&amp;"!C:C"),"建筑面积",INDIRECT("'"&amp;A7&amp;"'"&amp;"!D:D"))</f>
        <v>#REF!</v>
      </c>
      <c r="F7" s="2545"/>
      <c r="G7" s="2545"/>
      <c r="H7" s="2545"/>
      <c r="I7" s="2545"/>
      <c r="J7" s="2545"/>
      <c r="K7" s="2545"/>
      <c r="L7" s="2545"/>
      <c r="M7" s="2545"/>
      <c r="N7" s="2545"/>
      <c r="O7" s="2545"/>
      <c r="P7" s="2545"/>
    </row>
    <row r="8" spans="1:16" ht="15.75">
      <c r="A8" s="2395"/>
      <c r="B8" s="2388" t="e">
        <f t="shared" ref="B8:B13" ca="1" si="1">SUMIF(INDIRECT("'"&amp;A8&amp;"'"&amp;"!A:A"),"总价",INDIRECT("'"&amp;A8&amp;"'"&amp;"!B:B"))</f>
        <v>#REF!</v>
      </c>
      <c r="C8" s="1984" t="s">
        <v>2072</v>
      </c>
      <c r="D8" s="2545"/>
      <c r="E8" s="2398" t="e">
        <f t="shared" ca="1" si="0"/>
        <v>#REF!</v>
      </c>
      <c r="F8" s="2545"/>
      <c r="G8" s="2545"/>
      <c r="H8" s="2545"/>
      <c r="I8" s="2545"/>
      <c r="J8" s="2545"/>
      <c r="K8" s="2545"/>
      <c r="L8" s="2545"/>
      <c r="M8" s="2545"/>
      <c r="N8" s="2545"/>
      <c r="O8" s="2545"/>
      <c r="P8" s="2545"/>
    </row>
    <row r="9" spans="1:16" ht="15.75">
      <c r="A9" s="2395"/>
      <c r="B9" s="2388" t="e">
        <f t="shared" ca="1" si="1"/>
        <v>#REF!</v>
      </c>
      <c r="C9" s="1984" t="s">
        <v>2072</v>
      </c>
      <c r="D9" s="2545"/>
      <c r="E9" s="2398" t="e">
        <f t="shared" ca="1" si="0"/>
        <v>#REF!</v>
      </c>
      <c r="F9" s="2545"/>
      <c r="G9" s="2545"/>
      <c r="H9" s="2545"/>
      <c r="I9" s="2545"/>
      <c r="J9" s="2545"/>
      <c r="K9" s="2545"/>
      <c r="L9" s="2545"/>
      <c r="M9" s="2545"/>
      <c r="N9" s="2545"/>
      <c r="O9" s="2545"/>
      <c r="P9" s="2545"/>
    </row>
    <row r="10" spans="1:16" ht="15.75">
      <c r="A10" s="2395"/>
      <c r="B10" s="2388" t="e">
        <f t="shared" ca="1" si="1"/>
        <v>#REF!</v>
      </c>
      <c r="C10" s="1984" t="s">
        <v>2072</v>
      </c>
      <c r="D10" s="2545"/>
      <c r="E10" s="2398" t="e">
        <f t="shared" ca="1" si="0"/>
        <v>#REF!</v>
      </c>
      <c r="F10" s="2545"/>
      <c r="G10" s="2545"/>
      <c r="H10" s="2545"/>
      <c r="I10" s="2545"/>
      <c r="J10" s="2545"/>
      <c r="K10" s="2545"/>
      <c r="L10" s="2545"/>
      <c r="M10" s="2545"/>
      <c r="N10" s="2545"/>
      <c r="O10" s="2545"/>
      <c r="P10" s="2545"/>
    </row>
    <row r="11" spans="1:16" ht="15.75">
      <c r="A11" s="2395"/>
      <c r="B11" s="2388" t="e">
        <f t="shared" ca="1" si="1"/>
        <v>#REF!</v>
      </c>
      <c r="C11" s="1984" t="s">
        <v>2072</v>
      </c>
      <c r="D11" s="2545"/>
      <c r="E11" s="2398" t="e">
        <f t="shared" ca="1" si="0"/>
        <v>#REF!</v>
      </c>
      <c r="F11" s="2545"/>
      <c r="G11" s="2545"/>
      <c r="H11" s="2545"/>
      <c r="I11" s="2545"/>
      <c r="J11" s="2545"/>
      <c r="K11" s="2545"/>
      <c r="L11" s="2545"/>
      <c r="M11" s="2545"/>
      <c r="N11" s="2545"/>
      <c r="O11" s="2545"/>
      <c r="P11" s="2545"/>
    </row>
    <row r="12" spans="1:16" ht="15.75">
      <c r="A12" s="2395"/>
      <c r="B12" s="2388" t="e">
        <f t="shared" ca="1" si="1"/>
        <v>#REF!</v>
      </c>
      <c r="C12" s="1984" t="s">
        <v>2072</v>
      </c>
      <c r="D12" s="2545"/>
      <c r="E12" s="2398" t="e">
        <f t="shared" ca="1" si="0"/>
        <v>#REF!</v>
      </c>
      <c r="F12" s="2545"/>
      <c r="G12" s="2545"/>
      <c r="H12" s="2545"/>
      <c r="I12" s="2545"/>
      <c r="J12" s="2545"/>
      <c r="K12" s="2545"/>
      <c r="L12" s="2545"/>
      <c r="M12" s="2545"/>
      <c r="N12" s="2545"/>
      <c r="O12" s="2545"/>
      <c r="P12" s="2545"/>
    </row>
    <row r="13" spans="1:16" ht="15.75">
      <c r="A13" s="2395"/>
      <c r="B13" s="2388" t="e">
        <f t="shared" ca="1" si="1"/>
        <v>#REF!</v>
      </c>
      <c r="C13" s="1984" t="s">
        <v>2072</v>
      </c>
      <c r="D13" s="2545"/>
      <c r="E13" s="2398" t="e">
        <f t="shared" ca="1" si="0"/>
        <v>#REF!</v>
      </c>
      <c r="F13" s="2545"/>
      <c r="G13" s="2545"/>
      <c r="H13" s="2545"/>
      <c r="I13" s="2545"/>
      <c r="J13" s="2545"/>
      <c r="K13" s="2545"/>
      <c r="L13" s="2545"/>
      <c r="M13" s="2545"/>
      <c r="N13" s="2545"/>
      <c r="O13" s="2545"/>
      <c r="P13" s="2545"/>
    </row>
    <row r="14" spans="1:16">
      <c r="A14" s="2545"/>
      <c r="B14" s="2545"/>
      <c r="C14" s="2545"/>
      <c r="D14" s="2545"/>
      <c r="E14" s="2545"/>
      <c r="F14" s="2545"/>
      <c r="G14" s="2545"/>
      <c r="H14" s="2545"/>
      <c r="I14" s="2545"/>
      <c r="J14" s="2545"/>
      <c r="K14" s="2545"/>
      <c r="L14" s="2545"/>
      <c r="M14" s="2545"/>
      <c r="N14" s="2545"/>
      <c r="O14" s="2545"/>
      <c r="P14" s="2545"/>
    </row>
    <row r="15" spans="1:16">
      <c r="A15" s="2545"/>
      <c r="B15" s="2545"/>
      <c r="C15" s="2545"/>
      <c r="D15" s="2545"/>
      <c r="E15" s="2545"/>
      <c r="F15" s="2545"/>
      <c r="G15" s="2545"/>
      <c r="H15" s="2545"/>
      <c r="I15" s="2545"/>
      <c r="J15" s="2545"/>
      <c r="K15" s="2545"/>
      <c r="L15" s="2545"/>
      <c r="M15" s="2545"/>
      <c r="N15" s="2545"/>
      <c r="O15" s="2545"/>
      <c r="P15" s="2545"/>
    </row>
    <row r="16" spans="1:16">
      <c r="A16" s="2545"/>
      <c r="B16" s="2545"/>
      <c r="C16" s="2545"/>
      <c r="D16" s="2545"/>
      <c r="E16" s="2545"/>
      <c r="F16" s="2545"/>
      <c r="G16" s="2545"/>
      <c r="H16" s="2545"/>
      <c r="I16" s="2545"/>
      <c r="J16" s="2545"/>
      <c r="K16" s="2545"/>
      <c r="L16" s="2545"/>
      <c r="M16" s="2545"/>
      <c r="N16" s="2545"/>
      <c r="O16" s="2545"/>
      <c r="P16" s="2545"/>
    </row>
    <row r="17" spans="1:16">
      <c r="A17" s="2545"/>
      <c r="B17" s="2545"/>
      <c r="C17" s="2545"/>
      <c r="D17" s="2545"/>
      <c r="E17" s="2545"/>
      <c r="F17" s="2545"/>
      <c r="G17" s="2545"/>
      <c r="H17" s="2545"/>
      <c r="I17" s="2545"/>
      <c r="J17" s="2545"/>
      <c r="K17" s="2545"/>
      <c r="L17" s="2545"/>
      <c r="M17" s="2545"/>
      <c r="N17" s="2545"/>
      <c r="O17" s="2545"/>
      <c r="P17" s="2545"/>
    </row>
    <row r="18" spans="1:16">
      <c r="A18" s="2545"/>
      <c r="B18" s="2545"/>
      <c r="C18" s="2545"/>
      <c r="D18" s="2545"/>
      <c r="E18" s="2545"/>
      <c r="F18" s="2545"/>
      <c r="G18" s="2545"/>
      <c r="H18" s="2545"/>
      <c r="I18" s="2545"/>
      <c r="J18" s="2545"/>
      <c r="K18" s="2545"/>
      <c r="L18" s="2545"/>
      <c r="M18" s="2545"/>
      <c r="N18" s="2545"/>
      <c r="O18" s="2545"/>
      <c r="P18" s="2545"/>
    </row>
    <row r="19" spans="1:16">
      <c r="A19" s="2545"/>
      <c r="B19" s="2545"/>
      <c r="C19" s="2545"/>
      <c r="D19" s="2545"/>
      <c r="E19" s="2545"/>
      <c r="F19" s="2545"/>
      <c r="G19" s="2545"/>
      <c r="H19" s="2545"/>
      <c r="I19" s="2545"/>
      <c r="J19" s="2545"/>
      <c r="K19" s="2545"/>
      <c r="L19" s="2545"/>
      <c r="M19" s="2545"/>
      <c r="N19" s="2545"/>
      <c r="O19" s="2545"/>
      <c r="P19" s="2545"/>
    </row>
    <row r="20" spans="1:16">
      <c r="A20" s="2545"/>
      <c r="B20" s="2545"/>
      <c r="C20" s="2545"/>
      <c r="D20" s="2545"/>
      <c r="E20" s="2545"/>
      <c r="F20" s="2545"/>
      <c r="G20" s="2545"/>
      <c r="H20" s="2545"/>
      <c r="I20" s="2545"/>
      <c r="J20" s="2545"/>
      <c r="K20" s="2545"/>
      <c r="L20" s="2545"/>
      <c r="M20" s="2545"/>
      <c r="N20" s="2545"/>
      <c r="O20" s="2545"/>
      <c r="P20" s="2545"/>
    </row>
    <row r="21" spans="1:16">
      <c r="A21" s="2545"/>
      <c r="B21" s="2545"/>
      <c r="C21" s="2545"/>
      <c r="D21" s="2545"/>
      <c r="E21" s="2545"/>
      <c r="F21" s="2545"/>
      <c r="G21" s="2545"/>
      <c r="H21" s="2545"/>
      <c r="I21" s="2545"/>
      <c r="J21" s="2545"/>
      <c r="K21" s="2545"/>
      <c r="L21" s="2545"/>
      <c r="M21" s="2545"/>
      <c r="N21" s="2545"/>
      <c r="O21" s="2545"/>
      <c r="P21" s="2545"/>
    </row>
  </sheetData>
  <sheetProtection password="CEE9" sheet="1" objects="1" scenarios="1" formatCells="0" formatColumns="0" formatRows="0"/>
  <phoneticPr fontId="136" type="noConversion"/>
  <dataValidations count="1">
    <dataValidation type="list" allowBlank="1" showInputMessage="1" showErrorMessage="1" sqref="A6:A13" xr:uid="{00000000-0002-0000-2100-000000000000}">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AK122"/>
  <sheetViews>
    <sheetView view="pageBreakPreview" zoomScaleNormal="80" zoomScaleSheetLayoutView="100" workbookViewId="0">
      <selection activeCell="C23" sqref="C23"/>
    </sheetView>
  </sheetViews>
  <sheetFormatPr defaultColWidth="12" defaultRowHeight="12.75"/>
  <cols>
    <col min="1" max="1" width="9.75" style="1895" customWidth="1"/>
    <col min="2" max="2" width="22.5" style="1983" customWidth="1"/>
    <col min="3" max="3" width="12" style="1845"/>
    <col min="4" max="4" width="14.875" style="1845" customWidth="1"/>
    <col min="5" max="5" width="14.625" style="1845" customWidth="1"/>
    <col min="6" max="8" width="12" style="1845"/>
    <col min="9" max="9" width="12.25" style="1845" bestFit="1" customWidth="1"/>
    <col min="10" max="10" width="12" style="1845"/>
    <col min="11" max="11" width="8.125" style="1891" customWidth="1"/>
    <col min="12" max="12" width="19.5" style="1845" customWidth="1"/>
    <col min="13" max="13" width="8.5" style="1845" customWidth="1"/>
    <col min="14" max="14" width="9.75" style="1845" customWidth="1"/>
    <col min="15" max="25" width="12" style="1845"/>
    <col min="26" max="26" width="9.375" style="1895" customWidth="1"/>
    <col min="27" max="32" width="9.375" style="1058" customWidth="1"/>
    <col min="33" max="36" width="9.375" style="1895" customWidth="1"/>
    <col min="37" max="38" width="9.375" style="1845" customWidth="1"/>
    <col min="39" max="16384" width="12" style="1845"/>
  </cols>
  <sheetData>
    <row r="1" spans="1:36" ht="28.5">
      <c r="A1" s="188" t="s">
        <v>1924</v>
      </c>
      <c r="B1" s="189"/>
      <c r="C1" s="193" t="s">
        <v>1925</v>
      </c>
      <c r="D1" s="333">
        <f>SUM(D33:D34,D37:D42)</f>
        <v>0</v>
      </c>
      <c r="E1" s="1842"/>
      <c r="F1" s="1842"/>
      <c r="G1" s="1842"/>
      <c r="H1" s="1842"/>
      <c r="I1" s="1842"/>
      <c r="J1" s="1842"/>
      <c r="K1" s="1056"/>
      <c r="L1" s="1843" t="s">
        <v>1926</v>
      </c>
      <c r="M1" s="810">
        <f>SUMPRODUCT((区片价!B5:B9=I2)*(区片价!C3:G3=E2)*(区片价!C5:G9))</f>
        <v>0</v>
      </c>
      <c r="N1" s="813">
        <f>SUMPRODUCT((因素修正幅度!B5:B9=I2)*(因素修正幅度!C3:G3=E2)*(因素修正幅度!C5:G9))</f>
        <v>0</v>
      </c>
      <c r="O1" s="1844"/>
      <c r="P1" s="1844"/>
      <c r="Q1" s="1056"/>
      <c r="R1" s="1129" t="s">
        <v>1927</v>
      </c>
      <c r="S1" s="1129" t="s">
        <v>1928</v>
      </c>
      <c r="T1" s="1129" t="s">
        <v>1929</v>
      </c>
      <c r="U1" s="1129" t="s">
        <v>1930</v>
      </c>
      <c r="V1" s="1129" t="s">
        <v>1931</v>
      </c>
      <c r="W1" s="1133"/>
      <c r="X1" s="1133"/>
      <c r="Y1" s="1133"/>
      <c r="Z1" s="1133"/>
      <c r="AA1" s="1133"/>
      <c r="AB1" s="1133"/>
      <c r="AC1" s="1134"/>
      <c r="AD1" s="1135"/>
      <c r="AE1" s="1135"/>
      <c r="AF1" s="1135"/>
      <c r="AG1" s="1135"/>
      <c r="AH1" s="1135"/>
      <c r="AI1" s="1135"/>
      <c r="AJ1" s="1136"/>
    </row>
    <row r="2" spans="1:36" ht="15.75">
      <c r="A2" s="193" t="s">
        <v>1932</v>
      </c>
      <c r="B2" s="196" t="e">
        <f>C30</f>
        <v>#DIV/0!</v>
      </c>
      <c r="C2" s="1846" t="s">
        <v>1933</v>
      </c>
      <c r="D2" s="162" t="s">
        <v>1934</v>
      </c>
      <c r="E2" s="3121"/>
      <c r="F2" s="162" t="s">
        <v>1935</v>
      </c>
      <c r="G2" s="163">
        <f>IF(E2="商业",项目基本情况!B37,IF(E2="办公",项目基本情况!C37,IF(E2="住宅",项目基本情况!D37,IF(E2="工业",项目基本情况!E37,项目基本情况!F37))))</f>
        <v>0</v>
      </c>
      <c r="H2" s="162" t="s">
        <v>1936</v>
      </c>
      <c r="I2" s="163">
        <f>IF(E2="商业",项目基本情况!B38,IF(E2="办公",项目基本情况!C38,IF(E2="住宅",项目基本情况!D38,IF(E2="工业",项目基本情况!E38,项目基本情况!F38))))</f>
        <v>0</v>
      </c>
      <c r="J2" s="1842"/>
      <c r="K2" s="1056"/>
      <c r="L2" s="1847" t="s">
        <v>1937</v>
      </c>
      <c r="M2" s="811">
        <f>SUMPRODUCT((区片价!B10:B29=I2)*(区片价!C3:G3=E2)*(区片价!C10:G29))</f>
        <v>0</v>
      </c>
      <c r="N2" s="813">
        <f>SUMPRODUCT((因素修正幅度!B10:B29=I2)*(因素修正幅度!C3:G3=E2)*(因素修正幅度!C10:G29))</f>
        <v>0</v>
      </c>
      <c r="O2" s="1056"/>
      <c r="P2" s="1056"/>
      <c r="Q2" s="1056"/>
      <c r="R2" s="1129">
        <v>1</v>
      </c>
      <c r="S2" s="3064">
        <f>ROUND(SUMPRODUCT((B106:B110=R2)*(C105:N105=G2)*(C106:N110)),4)</f>
        <v>0</v>
      </c>
      <c r="T2" s="3064" t="e">
        <f t="shared" ref="T2:T16" si="0">ROUND($C$5*$C$22*$C$23*$C$24*S2*$C$28,0)</f>
        <v>#DIV/0!</v>
      </c>
      <c r="U2" s="1130"/>
      <c r="V2" s="3064" t="e">
        <f>ROUND(T2*U2/10000,0)</f>
        <v>#DIV/0!</v>
      </c>
      <c r="W2" s="1133"/>
      <c r="X2" s="1133"/>
      <c r="Y2" s="1133"/>
      <c r="Z2" s="1133"/>
      <c r="AA2" s="1133"/>
      <c r="AB2" s="1133"/>
      <c r="AC2" s="1134"/>
      <c r="AD2" s="1135"/>
      <c r="AE2" s="1135"/>
      <c r="AF2" s="1135"/>
      <c r="AG2" s="1135"/>
      <c r="AH2" s="1135"/>
      <c r="AI2" s="1135"/>
      <c r="AJ2" s="1136"/>
    </row>
    <row r="3" spans="1:36" ht="15.75">
      <c r="A3" s="195" t="s">
        <v>1938</v>
      </c>
      <c r="B3" s="196" t="e">
        <f>ROUND(B2*10000/D1,0)</f>
        <v>#DIV/0!</v>
      </c>
      <c r="C3" s="1846" t="s">
        <v>1939</v>
      </c>
      <c r="D3" s="162" t="s">
        <v>1940</v>
      </c>
      <c r="E3" s="3119"/>
      <c r="F3" s="1848"/>
      <c r="G3" s="708">
        <f>IF(F3="宗地容积率",'数据-汇总表'!I4,IF(F3="估价对象容积率",'数据-汇总表'!I6,'数据-汇总表'!I7))</f>
        <v>0</v>
      </c>
      <c r="H3" s="162" t="s">
        <v>1941</v>
      </c>
      <c r="I3" s="729"/>
      <c r="J3" s="1842" t="s">
        <v>1942</v>
      </c>
      <c r="K3" s="1056"/>
      <c r="L3" s="1847" t="s">
        <v>1943</v>
      </c>
      <c r="M3" s="811">
        <f>SUMPRODUCT((区片价!B30:B54=I2)*(区片价!C3:G3=E2)*(区片价!C30:G54))</f>
        <v>0</v>
      </c>
      <c r="N3" s="813">
        <f>SUMPRODUCT((因素修正幅度!B30:B54=I2)*(因素修正幅度!C3:G3=E2)*(因素修正幅度!C30:G54))</f>
        <v>0</v>
      </c>
      <c r="O3" s="1056"/>
      <c r="P3" s="1056"/>
      <c r="Q3" s="1056"/>
      <c r="R3" s="1129">
        <v>2</v>
      </c>
      <c r="S3" s="3064">
        <f>ROUND(SUMPRODUCT((B106:B110=R3)*(C105:N105=G2)*(C106:N110)),4)</f>
        <v>0</v>
      </c>
      <c r="T3" s="3064" t="e">
        <f t="shared" si="0"/>
        <v>#DIV/0!</v>
      </c>
      <c r="U3" s="1130"/>
      <c r="V3" s="3064" t="e">
        <f t="shared" ref="V3:V16" si="1">ROUND(T3*U3/10000,0)</f>
        <v>#DIV/0!</v>
      </c>
      <c r="W3" s="1133"/>
      <c r="X3" s="1133"/>
      <c r="Y3" s="1133"/>
      <c r="Z3" s="1133"/>
      <c r="AA3" s="1133"/>
      <c r="AB3" s="1133"/>
      <c r="AC3" s="1134"/>
      <c r="AD3" s="1135"/>
      <c r="AE3" s="1135"/>
      <c r="AF3" s="1135"/>
      <c r="AG3" s="1135"/>
      <c r="AH3" s="1135"/>
      <c r="AI3" s="1135"/>
      <c r="AJ3" s="1136"/>
    </row>
    <row r="4" spans="1:36" ht="15.75">
      <c r="A4" s="3678"/>
      <c r="B4" s="3679"/>
      <c r="C4" s="3679"/>
      <c r="D4" s="3680"/>
      <c r="E4" s="3680"/>
      <c r="F4" s="3680"/>
      <c r="G4" s="3680"/>
      <c r="H4" s="3680"/>
      <c r="I4" s="3680"/>
      <c r="J4" s="3681"/>
      <c r="K4" s="1056"/>
      <c r="L4" s="1847" t="s">
        <v>1944</v>
      </c>
      <c r="M4" s="811">
        <f>SUMPRODUCT((区片价!B55:B86=I2)*(区片价!C3:G3=E2)*(区片价!C55:G86))</f>
        <v>0</v>
      </c>
      <c r="N4" s="813">
        <f>SUMPRODUCT((因素修正幅度!B55:B86=I2)*(因素修正幅度!C3:G3=E2)*(因素修正幅度!C55:G86))</f>
        <v>0</v>
      </c>
      <c r="O4" s="1056"/>
      <c r="P4" s="1056"/>
      <c r="Q4" s="1056"/>
      <c r="R4" s="1129">
        <v>3</v>
      </c>
      <c r="S4" s="3064">
        <f>ROUND(SUMPRODUCT((B106:B110=R4)*(C105:N105=G2)*(C106:N110)),4)</f>
        <v>0</v>
      </c>
      <c r="T4" s="3064" t="e">
        <f t="shared" si="0"/>
        <v>#DIV/0!</v>
      </c>
      <c r="U4" s="1130"/>
      <c r="V4" s="3064" t="e">
        <f t="shared" si="1"/>
        <v>#DIV/0!</v>
      </c>
      <c r="W4" s="1133"/>
      <c r="X4" s="1133"/>
      <c r="Y4" s="1133"/>
      <c r="Z4" s="1133"/>
      <c r="AA4" s="1133"/>
      <c r="AB4" s="1133"/>
      <c r="AC4" s="1134"/>
      <c r="AD4" s="1135"/>
      <c r="AE4" s="1135"/>
      <c r="AF4" s="1135"/>
      <c r="AG4" s="1135"/>
      <c r="AH4" s="1135"/>
      <c r="AI4" s="1135"/>
      <c r="AJ4" s="1136"/>
    </row>
    <row r="5" spans="1:36" s="1858" customFormat="1" ht="15.75" thickBot="1">
      <c r="A5" s="1849" t="s">
        <v>362</v>
      </c>
      <c r="B5" s="1850" t="s">
        <v>1945</v>
      </c>
      <c r="C5" s="709" t="e">
        <f>ROUND(IF(E2="商业",C6*C7*C17+C20,(IF(E2="住宅",C6*C13*C17+C20,IF(E2="办公",C6*C12*C17+C20,C6+C20)))),0)</f>
        <v>#DIV/0!</v>
      </c>
      <c r="D5" s="1252" t="e">
        <f>ROUND(C6*C17+C20,0)</f>
        <v>#DIV/0!</v>
      </c>
      <c r="E5" s="1252"/>
      <c r="F5" s="1851"/>
      <c r="G5" s="1852"/>
      <c r="H5" s="1852"/>
      <c r="I5" s="1852"/>
      <c r="J5" s="1853"/>
      <c r="K5" s="1854"/>
      <c r="L5" s="1847" t="s">
        <v>1946</v>
      </c>
      <c r="M5" s="811">
        <f>SUMPRODUCT((区片价!B87:B126=I2)*(区片价!C3:G3=E2)*(区片价!C87:G126))</f>
        <v>0</v>
      </c>
      <c r="N5" s="813">
        <f>SUMPRODUCT((因素修正幅度!B87:B126=I2)*(因素修正幅度!C3:G3=E2)*(因素修正幅度!C87:G126))</f>
        <v>0</v>
      </c>
      <c r="O5" s="1056"/>
      <c r="P5" s="1056"/>
      <c r="Q5" s="1056"/>
      <c r="R5" s="1129">
        <v>4</v>
      </c>
      <c r="S5" s="3064">
        <f>ROUND(SUMPRODUCT((B106:B110=R5)*(C105:N105=G2)*(C106:N110)),4)</f>
        <v>0</v>
      </c>
      <c r="T5" s="3064" t="e">
        <f t="shared" si="0"/>
        <v>#DIV/0!</v>
      </c>
      <c r="U5" s="1130"/>
      <c r="V5" s="3064" t="e">
        <f t="shared" si="1"/>
        <v>#DIV/0!</v>
      </c>
      <c r="W5" s="1133"/>
      <c r="X5" s="1133"/>
      <c r="Y5" s="1133"/>
      <c r="Z5" s="1133"/>
      <c r="AA5" s="1133"/>
      <c r="AB5" s="1133"/>
      <c r="AC5" s="1855"/>
      <c r="AD5" s="1856"/>
      <c r="AE5" s="1856"/>
      <c r="AF5" s="1856"/>
      <c r="AG5" s="1856"/>
      <c r="AH5" s="1856"/>
      <c r="AI5" s="1856"/>
      <c r="AJ5" s="1857"/>
    </row>
    <row r="6" spans="1:36" ht="15.75" thickBot="1">
      <c r="A6" s="1859" t="s">
        <v>1947</v>
      </c>
      <c r="B6" s="1860" t="s">
        <v>1948</v>
      </c>
      <c r="C6" s="710">
        <f>SUMIF(L1:L12,G2,M1:M12)</f>
        <v>0</v>
      </c>
      <c r="D6" s="1861"/>
      <c r="E6" s="1862"/>
      <c r="F6" s="1862"/>
      <c r="G6" s="1863"/>
      <c r="H6" s="1863"/>
      <c r="I6" s="1863"/>
      <c r="J6" s="1864"/>
      <c r="K6" s="1292"/>
      <c r="L6" s="1847" t="s">
        <v>1949</v>
      </c>
      <c r="M6" s="811">
        <f>SUMPRODUCT((区片价!B127:B189=I2)*(区片价!C3:G3=E2)*(区片价!C127:G189))</f>
        <v>0</v>
      </c>
      <c r="N6" s="813">
        <f>SUMPRODUCT((因素修正幅度!B127:B189=I2)*(因素修正幅度!C3:G3=E2)*(因素修正幅度!C127:G189))</f>
        <v>0</v>
      </c>
      <c r="O6" s="1056"/>
      <c r="P6" s="1056"/>
      <c r="Q6" s="1056"/>
      <c r="R6" s="1129">
        <v>5</v>
      </c>
      <c r="S6" s="3064">
        <f>ROUND(SUMPRODUCT((B106:B110=R6)*(C105:N105=G2)*(C106:N110)),4)</f>
        <v>0</v>
      </c>
      <c r="T6" s="3064" t="e">
        <f t="shared" si="0"/>
        <v>#DIV/0!</v>
      </c>
      <c r="U6" s="1130"/>
      <c r="V6" s="3064" t="e">
        <f t="shared" si="1"/>
        <v>#DIV/0!</v>
      </c>
      <c r="W6" s="1133"/>
      <c r="X6" s="1133"/>
      <c r="Y6" s="1133"/>
      <c r="Z6" s="1133"/>
      <c r="AA6" s="1133"/>
      <c r="AB6" s="1133"/>
      <c r="AC6" s="1855"/>
      <c r="AD6" s="1856"/>
      <c r="AE6" s="1856"/>
      <c r="AF6" s="1856"/>
      <c r="AG6" s="1856"/>
      <c r="AH6" s="1856"/>
      <c r="AI6" s="1856"/>
      <c r="AJ6" s="1857"/>
    </row>
    <row r="7" spans="1:36" ht="24.75" thickBot="1">
      <c r="A7" s="3013" t="s">
        <v>3235</v>
      </c>
      <c r="B7" s="1865" t="s">
        <v>1950</v>
      </c>
      <c r="C7" s="711" t="e">
        <f>IF(C8="不临65条商业街",1,ROUND(1+(1.6*E8+1.2*E9+0.8*E10+0.4*E11)*C9,4))</f>
        <v>#DIV/0!</v>
      </c>
      <c r="D7" s="1866" t="s">
        <v>1951</v>
      </c>
      <c r="E7" s="730"/>
      <c r="F7" s="1867"/>
      <c r="G7" s="1868"/>
      <c r="H7" s="1868"/>
      <c r="I7" s="1868"/>
      <c r="J7" s="1869"/>
      <c r="K7" s="1292"/>
      <c r="L7" s="1847" t="s">
        <v>1952</v>
      </c>
      <c r="M7" s="811">
        <f>SUMPRODUCT((区片价!B190:B233=I2)*(区片价!C3:G3=E2)*(区片价!C190:G233))</f>
        <v>0</v>
      </c>
      <c r="N7" s="813">
        <f>SUMPRODUCT((因素修正幅度!B190:B233=I2)*(因素修正幅度!C3:G3=E2)*(因素修正幅度!C190:G233))</f>
        <v>0</v>
      </c>
      <c r="O7" s="1056"/>
      <c r="P7" s="1056"/>
      <c r="Q7" s="1056"/>
      <c r="R7" s="1129">
        <v>6</v>
      </c>
      <c r="S7" s="3118"/>
      <c r="T7" s="3064" t="e">
        <f t="shared" si="0"/>
        <v>#DIV/0!</v>
      </c>
      <c r="U7" s="1130"/>
      <c r="V7" s="3064" t="e">
        <f t="shared" si="1"/>
        <v>#DIV/0!</v>
      </c>
      <c r="W7" s="1267" t="s">
        <v>1953</v>
      </c>
      <c r="X7" s="1131">
        <f>G2</f>
        <v>0</v>
      </c>
      <c r="Y7" s="1131" t="s">
        <v>1954</v>
      </c>
      <c r="Z7" s="1132">
        <f>G3</f>
        <v>0</v>
      </c>
      <c r="AA7" s="1133"/>
      <c r="AB7" s="1133"/>
      <c r="AC7" s="1134"/>
      <c r="AD7" s="1135"/>
      <c r="AE7" s="1135"/>
      <c r="AF7" s="1135"/>
      <c r="AG7" s="1135"/>
      <c r="AH7" s="1135"/>
      <c r="AI7" s="1135"/>
      <c r="AJ7" s="1136"/>
    </row>
    <row r="8" spans="1:36" ht="15">
      <c r="A8" s="3010"/>
      <c r="B8" s="162" t="s">
        <v>1955</v>
      </c>
      <c r="C8" s="1870"/>
      <c r="D8" s="712" t="s">
        <v>112</v>
      </c>
      <c r="E8" s="713" t="e">
        <f>ROUND(C11/E7,4)</f>
        <v>#DIV/0!</v>
      </c>
      <c r="F8" s="1871" t="s">
        <v>1956</v>
      </c>
      <c r="G8" s="1872"/>
      <c r="H8" s="1872"/>
      <c r="I8" s="1872"/>
      <c r="J8" s="1873"/>
      <c r="K8" s="1056"/>
      <c r="L8" s="1847" t="s">
        <v>1957</v>
      </c>
      <c r="M8" s="811">
        <f>SUMPRODUCT((区片价!B234:B276=I2)*(区片价!C3:G3=E2)*(区片价!C234:G276))</f>
        <v>0</v>
      </c>
      <c r="N8" s="813">
        <f>SUMPRODUCT((因素修正幅度!B234:B276=I2)*(因素修正幅度!C3:G3=E2)*(因素修正幅度!C234:G276))</f>
        <v>0</v>
      </c>
      <c r="O8" s="1056"/>
      <c r="P8" s="1056"/>
      <c r="Q8" s="1056"/>
      <c r="R8" s="1129">
        <v>7</v>
      </c>
      <c r="S8" s="1130"/>
      <c r="T8" s="3064" t="e">
        <f t="shared" si="0"/>
        <v>#DIV/0!</v>
      </c>
      <c r="U8" s="1130"/>
      <c r="V8" s="3064" t="e">
        <f t="shared" si="1"/>
        <v>#DIV/0!</v>
      </c>
      <c r="W8" s="3675" t="s">
        <v>1958</v>
      </c>
      <c r="X8" s="3676"/>
      <c r="Y8" s="1137" t="s">
        <v>1959</v>
      </c>
      <c r="Z8" s="1137" t="s">
        <v>1960</v>
      </c>
      <c r="AA8" s="1137" t="s">
        <v>1961</v>
      </c>
      <c r="AB8" s="1137" t="s">
        <v>1962</v>
      </c>
      <c r="AC8" s="1137" t="s">
        <v>1963</v>
      </c>
      <c r="AD8" s="1137" t="s">
        <v>1964</v>
      </c>
      <c r="AE8" s="1137" t="s">
        <v>1965</v>
      </c>
      <c r="AF8" s="1137" t="s">
        <v>1966</v>
      </c>
      <c r="AG8" s="1137" t="s">
        <v>1967</v>
      </c>
      <c r="AH8" s="1137" t="s">
        <v>1968</v>
      </c>
      <c r="AI8" s="1137" t="s">
        <v>1969</v>
      </c>
      <c r="AJ8" s="1137" t="s">
        <v>1970</v>
      </c>
    </row>
    <row r="9" spans="1:36" ht="15">
      <c r="A9" s="3010"/>
      <c r="B9" s="162" t="s">
        <v>1971</v>
      </c>
      <c r="C9" s="714">
        <f>SUMIF(修正!C71:C138,C8,修正!E71:E138)</f>
        <v>0</v>
      </c>
      <c r="D9" s="163" t="s">
        <v>113</v>
      </c>
      <c r="E9" s="163" t="e">
        <f>ROUND(C11/E7,4)</f>
        <v>#DIV/0!</v>
      </c>
      <c r="F9" s="1871" t="s">
        <v>1972</v>
      </c>
      <c r="G9" s="1872"/>
      <c r="H9" s="1872"/>
      <c r="I9" s="1872"/>
      <c r="J9" s="1873"/>
      <c r="K9" s="1056"/>
      <c r="L9" s="1847" t="s">
        <v>1973</v>
      </c>
      <c r="M9" s="811">
        <f>SUMPRODUCT((区片价!B277:B326=I2)*(区片价!C3:G3=E2)*(区片价!C277:G326))</f>
        <v>0</v>
      </c>
      <c r="N9" s="813">
        <f>SUMPRODUCT((因素修正幅度!B277:B326=I2)*(因素修正幅度!C3:G3=E2)*(因素修正幅度!C277:G326))</f>
        <v>0</v>
      </c>
      <c r="O9" s="1056"/>
      <c r="P9" s="1056"/>
      <c r="Q9" s="1056"/>
      <c r="R9" s="1129">
        <v>8</v>
      </c>
      <c r="S9" s="1130"/>
      <c r="T9" s="3064" t="e">
        <f t="shared" si="0"/>
        <v>#DIV/0!</v>
      </c>
      <c r="U9" s="1130"/>
      <c r="V9" s="3064" t="e">
        <f t="shared" si="1"/>
        <v>#DIV/0!</v>
      </c>
      <c r="W9" s="3677"/>
      <c r="X9" s="3065" t="s">
        <v>3266</v>
      </c>
      <c r="Y9" s="3066">
        <v>6</v>
      </c>
      <c r="Z9" s="3067">
        <f>$Y$9</f>
        <v>6</v>
      </c>
      <c r="AA9" s="3067">
        <f t="shared" ref="AA9:AJ9" si="2">$Y$9</f>
        <v>6</v>
      </c>
      <c r="AB9" s="3067">
        <f t="shared" si="2"/>
        <v>6</v>
      </c>
      <c r="AC9" s="3067">
        <f t="shared" si="2"/>
        <v>6</v>
      </c>
      <c r="AD9" s="3067">
        <f t="shared" si="2"/>
        <v>6</v>
      </c>
      <c r="AE9" s="3067">
        <f t="shared" si="2"/>
        <v>6</v>
      </c>
      <c r="AF9" s="3067">
        <f t="shared" si="2"/>
        <v>6</v>
      </c>
      <c r="AG9" s="3067">
        <f t="shared" si="2"/>
        <v>6</v>
      </c>
      <c r="AH9" s="3067">
        <f t="shared" si="2"/>
        <v>6</v>
      </c>
      <c r="AI9" s="3067">
        <f t="shared" si="2"/>
        <v>6</v>
      </c>
      <c r="AJ9" s="3067">
        <f t="shared" si="2"/>
        <v>6</v>
      </c>
    </row>
    <row r="10" spans="1:36" ht="15">
      <c r="A10" s="3010"/>
      <c r="B10" s="162" t="s">
        <v>1974</v>
      </c>
      <c r="C10" s="163">
        <f>SUMIF(修正!C71:C138,C8,修正!F71:F138)</f>
        <v>0</v>
      </c>
      <c r="D10" s="163" t="s">
        <v>114</v>
      </c>
      <c r="E10" s="163" t="e">
        <f>ROUND(C11/E7,4)</f>
        <v>#DIV/0!</v>
      </c>
      <c r="F10" s="1871" t="s">
        <v>1975</v>
      </c>
      <c r="G10" s="1872"/>
      <c r="H10" s="1872"/>
      <c r="I10" s="1872"/>
      <c r="J10" s="1873"/>
      <c r="K10" s="1056"/>
      <c r="L10" s="1847" t="s">
        <v>1976</v>
      </c>
      <c r="M10" s="811">
        <f>SUMPRODUCT((区片价!B327:B357=I2)*(区片价!C3:G3=E2)*(区片价!C327:G357))</f>
        <v>0</v>
      </c>
      <c r="N10" s="813">
        <f>SUMPRODUCT((因素修正幅度!B327:B357=I2)*(因素修正幅度!C3:G3=E2)*(因素修正幅度!C327:G357))</f>
        <v>0</v>
      </c>
      <c r="O10" s="1056"/>
      <c r="P10" s="1056"/>
      <c r="Q10" s="1056"/>
      <c r="R10" s="1129">
        <v>9</v>
      </c>
      <c r="S10" s="1130"/>
      <c r="T10" s="3064" t="e">
        <f t="shared" si="0"/>
        <v>#DIV/0!</v>
      </c>
      <c r="U10" s="1130"/>
      <c r="V10" s="3064" t="e">
        <f t="shared" si="1"/>
        <v>#DIV/0!</v>
      </c>
      <c r="W10" s="3677"/>
      <c r="X10" s="3065">
        <v>6</v>
      </c>
      <c r="Y10" s="3068">
        <f>ROUND((-0.5556*(Y9^2)-0.2719*Y9+8944)*(10^(-4)),4)</f>
        <v>0.89219999999999999</v>
      </c>
      <c r="Z10" s="3068">
        <f>ROUND((-0.5556*(Z9^2)-0.2719*Z9+8944)*(10^(-4)),4)</f>
        <v>0.89219999999999999</v>
      </c>
      <c r="AA10" s="3068">
        <f>ROUND((-0.7912*(AA9^2)-11.3794*AA9+8482)*(10^(-4)),4)</f>
        <v>0.83850000000000002</v>
      </c>
      <c r="AB10" s="3068">
        <f>ROUND((-0.7912*(AB9^2)-11.3794*AB9+8482)*(10^(-4)),4)</f>
        <v>0.83850000000000002</v>
      </c>
      <c r="AC10" s="3068">
        <f>ROUND((-0.7912*(AC9^2)-11.3794*AC9+8482)*(10^(-4)),4)</f>
        <v>0.83850000000000002</v>
      </c>
      <c r="AD10" s="3068">
        <f>ROUND((-0.7912*(AD9^2)-11.3794*AD9+8482)*(10^(-4)),4)</f>
        <v>0.83850000000000002</v>
      </c>
      <c r="AE10" s="3068">
        <f>ROUND((-0.7912*(AE9^2)-11.3794*AE9+8482)*(10^(-4)),4)</f>
        <v>0.83850000000000002</v>
      </c>
      <c r="AF10" s="3068">
        <f>ROUND((-0.989*(AF9^2)-63.78*AF9+7771)*(10^(-4)),4)</f>
        <v>0.73529999999999995</v>
      </c>
      <c r="AG10" s="3068">
        <f>ROUND((-0.989*(AG9^2)-63.78*AG9+7771)*(10^(-4)),4)</f>
        <v>0.73529999999999995</v>
      </c>
      <c r="AH10" s="3068">
        <f>ROUND((-0.989*(AH9^2)-63.78*AH9+7771)*(10^(-4)),4)</f>
        <v>0.73529999999999995</v>
      </c>
      <c r="AI10" s="3068">
        <f>ROUND((-0.989*(AI9^2)-63.78*AI9+7771)*(10^(-4)),4)</f>
        <v>0.73529999999999995</v>
      </c>
      <c r="AJ10" s="3068">
        <f>ROUND((-0.989*(AJ9^2)-63.78*AJ9+7771)*(10^(-4)),4)</f>
        <v>0.73529999999999995</v>
      </c>
    </row>
    <row r="11" spans="1:36" ht="15.75" thickBot="1">
      <c r="A11" s="3012"/>
      <c r="B11" s="1874" t="s">
        <v>1977</v>
      </c>
      <c r="C11" s="715">
        <f>C10/4</f>
        <v>0</v>
      </c>
      <c r="D11" s="715" t="s">
        <v>115</v>
      </c>
      <c r="E11" s="715" t="e">
        <f>ROUND(C11/E7,4)</f>
        <v>#DIV/0!</v>
      </c>
      <c r="F11" s="1875" t="s">
        <v>1978</v>
      </c>
      <c r="G11" s="1876"/>
      <c r="H11" s="1876"/>
      <c r="I11" s="1876"/>
      <c r="J11" s="1877"/>
      <c r="K11" s="1056"/>
      <c r="L11" s="1847" t="s">
        <v>1979</v>
      </c>
      <c r="M11" s="811">
        <f>SUMPRODUCT((区片价!B358:B377=I2)*(区片价!C3:G3=E2)*(区片价!C358:G377))</f>
        <v>0</v>
      </c>
      <c r="N11" s="813">
        <f>SUMPRODUCT((因素修正幅度!B358:B377=I2)*(因素修正幅度!C3:G3=E2)*(因素修正幅度!C358:G377))</f>
        <v>0</v>
      </c>
      <c r="O11" s="1056"/>
      <c r="P11" s="1056"/>
      <c r="Q11" s="1056"/>
      <c r="R11" s="1129">
        <v>10</v>
      </c>
      <c r="S11" s="1130"/>
      <c r="T11" s="3064" t="e">
        <f t="shared" si="0"/>
        <v>#DIV/0!</v>
      </c>
      <c r="U11" s="1130"/>
      <c r="V11" s="3064" t="e">
        <f t="shared" si="1"/>
        <v>#DIV/0!</v>
      </c>
      <c r="W11" s="1133"/>
      <c r="X11" s="1133"/>
      <c r="Y11" s="1133"/>
      <c r="Z11" s="1133"/>
      <c r="AA11" s="1133"/>
      <c r="AB11" s="1133"/>
      <c r="AC11" s="1134"/>
      <c r="AD11" s="2554"/>
      <c r="AE11" s="2554"/>
      <c r="AF11" s="2554"/>
      <c r="AG11" s="2554"/>
      <c r="AH11" s="2554"/>
      <c r="AI11" s="2554"/>
      <c r="AJ11" s="2555"/>
    </row>
    <row r="12" spans="1:36" ht="25.5" thickBot="1">
      <c r="A12" s="3013" t="s">
        <v>3236</v>
      </c>
      <c r="B12" s="3014" t="s">
        <v>3237</v>
      </c>
      <c r="C12" s="3015"/>
      <c r="D12" s="3016" t="s">
        <v>3238</v>
      </c>
      <c r="E12" s="3017" t="s">
        <v>3239</v>
      </c>
      <c r="F12" s="3018"/>
      <c r="G12" s="3019"/>
      <c r="H12" s="3019"/>
      <c r="I12" s="3019"/>
      <c r="J12" s="3020"/>
      <c r="K12" s="1056"/>
      <c r="L12" s="1796" t="s">
        <v>1982</v>
      </c>
      <c r="M12" s="812">
        <f>SUMPRODUCT((区片价!B378:B384=I2)*(区片价!C3:G3=E2)*(区片价!C378:G384))</f>
        <v>0</v>
      </c>
      <c r="N12" s="813">
        <f>SUMPRODUCT((因素修正幅度!B378:B384=I2)*(因素修正幅度!C3:G3=E2)*(因素修正幅度!C378:G384))</f>
        <v>0</v>
      </c>
      <c r="O12" s="1056"/>
      <c r="P12" s="1056"/>
      <c r="Q12" s="1056"/>
      <c r="R12" s="1129">
        <v>11</v>
      </c>
      <c r="S12" s="1130"/>
      <c r="T12" s="3064" t="e">
        <f t="shared" si="0"/>
        <v>#DIV/0!</v>
      </c>
      <c r="U12" s="1130"/>
      <c r="V12" s="3064" t="e">
        <f t="shared" si="1"/>
        <v>#DIV/0!</v>
      </c>
      <c r="W12" s="1133"/>
      <c r="X12" s="1133"/>
      <c r="Y12" s="1133"/>
      <c r="Z12" s="1133"/>
      <c r="AA12" s="1133"/>
      <c r="AB12" s="1133"/>
      <c r="AC12" s="1134"/>
      <c r="AD12" s="2554"/>
      <c r="AE12" s="2554"/>
      <c r="AF12" s="2554"/>
      <c r="AG12" s="2554"/>
      <c r="AH12" s="2554"/>
      <c r="AI12" s="2554"/>
      <c r="AJ12" s="2555"/>
    </row>
    <row r="13" spans="1:36" ht="15.75" thickBot="1">
      <c r="A13" s="3013" t="s">
        <v>3240</v>
      </c>
      <c r="B13" s="1878" t="s">
        <v>1980</v>
      </c>
      <c r="C13" s="711">
        <f>ROUND(C16*D16*E16*F16*G16*H16*I16*J16,4)</f>
        <v>0</v>
      </c>
      <c r="D13" s="1879" t="s">
        <v>1981</v>
      </c>
      <c r="E13" s="1880"/>
      <c r="F13" s="1880"/>
      <c r="G13" s="1881"/>
      <c r="H13" s="1881"/>
      <c r="I13" s="1881"/>
      <c r="J13" s="1882"/>
      <c r="K13" s="1056"/>
      <c r="L13" s="3"/>
      <c r="M13" s="4"/>
      <c r="N13" s="3011"/>
      <c r="O13" s="1056"/>
      <c r="P13" s="1056"/>
      <c r="Q13" s="1056"/>
      <c r="R13" s="1129">
        <v>12</v>
      </c>
      <c r="S13" s="1130"/>
      <c r="T13" s="3064" t="e">
        <f t="shared" si="0"/>
        <v>#DIV/0!</v>
      </c>
      <c r="U13" s="1130"/>
      <c r="V13" s="3064" t="e">
        <f t="shared" si="1"/>
        <v>#DIV/0!</v>
      </c>
      <c r="W13" s="1133"/>
      <c r="X13" s="1133"/>
      <c r="Y13" s="1133"/>
      <c r="Z13" s="1133"/>
      <c r="AA13" s="1133"/>
      <c r="AB13" s="1133"/>
      <c r="AC13" s="1134"/>
      <c r="AD13" s="2554"/>
      <c r="AE13" s="2554"/>
      <c r="AF13" s="2554"/>
      <c r="AG13" s="2554"/>
      <c r="AH13" s="2554"/>
      <c r="AI13" s="2554"/>
      <c r="AJ13" s="2555"/>
    </row>
    <row r="14" spans="1:36" ht="15">
      <c r="A14" s="3009"/>
      <c r="B14" s="1883" t="s">
        <v>1983</v>
      </c>
      <c r="C14" s="1884" t="s">
        <v>1984</v>
      </c>
      <c r="D14" s="1261" t="s">
        <v>1985</v>
      </c>
      <c r="E14" s="27" t="s">
        <v>1986</v>
      </c>
      <c r="F14" s="3021" t="s">
        <v>3241</v>
      </c>
      <c r="G14" s="3021" t="s">
        <v>3241</v>
      </c>
      <c r="H14" s="3021" t="s">
        <v>3241</v>
      </c>
      <c r="I14" s="3021" t="s">
        <v>3241</v>
      </c>
      <c r="J14" s="3021" t="s">
        <v>3241</v>
      </c>
      <c r="K14" s="1056"/>
      <c r="L14" s="1056"/>
      <c r="M14" s="1056"/>
      <c r="N14" s="1056"/>
      <c r="O14" s="1056"/>
      <c r="P14" s="1056"/>
      <c r="Q14" s="1056"/>
      <c r="R14" s="1129">
        <v>13</v>
      </c>
      <c r="S14" s="1130"/>
      <c r="T14" s="3064" t="e">
        <f t="shared" si="0"/>
        <v>#DIV/0!</v>
      </c>
      <c r="U14" s="1130"/>
      <c r="V14" s="3064" t="e">
        <f t="shared" si="1"/>
        <v>#DIV/0!</v>
      </c>
      <c r="W14" s="1133"/>
      <c r="X14" s="1133"/>
      <c r="Y14" s="1133"/>
      <c r="Z14" s="1133"/>
      <c r="AA14" s="1133"/>
      <c r="AB14" s="1133"/>
      <c r="AC14" s="1134"/>
      <c r="AD14" s="2554"/>
      <c r="AE14" s="2554"/>
      <c r="AF14" s="2554"/>
      <c r="AG14" s="2554"/>
      <c r="AH14" s="2554"/>
      <c r="AI14" s="2554"/>
      <c r="AJ14" s="2555"/>
    </row>
    <row r="15" spans="1:36" ht="15">
      <c r="A15" s="3009"/>
      <c r="B15" s="1885"/>
      <c r="C15" s="1886"/>
      <c r="D15" s="1887"/>
      <c r="E15" s="1888"/>
      <c r="F15" s="1470" t="s">
        <v>3242</v>
      </c>
      <c r="G15" s="1928"/>
      <c r="H15" s="3022"/>
      <c r="I15" s="3023"/>
      <c r="J15" s="3024"/>
      <c r="K15" s="1056"/>
      <c r="L15" s="1056"/>
      <c r="M15" s="1056"/>
      <c r="N15" s="1056"/>
      <c r="O15" s="1056"/>
      <c r="P15" s="1056"/>
      <c r="Q15" s="1056"/>
      <c r="R15" s="1129">
        <v>14</v>
      </c>
      <c r="S15" s="1130"/>
      <c r="T15" s="3064" t="e">
        <f t="shared" si="0"/>
        <v>#DIV/0!</v>
      </c>
      <c r="U15" s="1130"/>
      <c r="V15" s="3064" t="e">
        <f t="shared" si="1"/>
        <v>#DIV/0!</v>
      </c>
      <c r="W15" s="1133"/>
      <c r="X15" s="1133"/>
      <c r="Y15" s="1133"/>
      <c r="Z15" s="1133"/>
      <c r="AA15" s="1133"/>
      <c r="AB15" s="1133"/>
      <c r="AC15" s="1134"/>
      <c r="AD15" s="2554"/>
      <c r="AE15" s="2554"/>
      <c r="AF15" s="2554"/>
      <c r="AG15" s="2554"/>
      <c r="AH15" s="2554"/>
      <c r="AI15" s="2554"/>
      <c r="AJ15" s="2555"/>
    </row>
    <row r="16" spans="1:36" ht="15.75" thickBot="1">
      <c r="A16" s="3009"/>
      <c r="B16" s="3027" t="s">
        <v>1987</v>
      </c>
      <c r="C16" s="3025"/>
      <c r="D16" s="3025"/>
      <c r="E16" s="3025"/>
      <c r="F16" s="3025">
        <v>1</v>
      </c>
      <c r="G16" s="3025">
        <v>1</v>
      </c>
      <c r="H16" s="3025">
        <v>1</v>
      </c>
      <c r="I16" s="3025">
        <v>1</v>
      </c>
      <c r="J16" s="3026">
        <v>1</v>
      </c>
      <c r="K16" s="1056"/>
      <c r="L16" s="1844"/>
      <c r="M16" s="1844"/>
      <c r="N16" s="1844"/>
      <c r="O16" s="1844"/>
      <c r="P16" s="1844"/>
      <c r="Q16" s="1056"/>
      <c r="R16" s="1129">
        <v>15</v>
      </c>
      <c r="S16" s="1130"/>
      <c r="T16" s="3064" t="e">
        <f t="shared" si="0"/>
        <v>#DIV/0!</v>
      </c>
      <c r="U16" s="1130"/>
      <c r="V16" s="3064" t="e">
        <f t="shared" si="1"/>
        <v>#DIV/0!</v>
      </c>
      <c r="W16" s="1133"/>
      <c r="X16" s="1133"/>
      <c r="Y16" s="1133"/>
      <c r="Z16" s="1133"/>
      <c r="AA16" s="1133"/>
      <c r="AB16" s="1133"/>
      <c r="AC16" s="1134"/>
      <c r="AD16" s="2554"/>
      <c r="AE16" s="2554"/>
      <c r="AF16" s="2554"/>
      <c r="AG16" s="2554"/>
      <c r="AH16" s="2554"/>
      <c r="AI16" s="2554"/>
      <c r="AJ16" s="2555"/>
    </row>
    <row r="17" spans="1:37">
      <c r="A17" s="3036" t="s">
        <v>3243</v>
      </c>
      <c r="B17" s="3028" t="s">
        <v>3244</v>
      </c>
      <c r="C17" s="3037">
        <f>ROUND(IF(OR(E2="工业",E2="公共服务"),1,IF(AND(E18=0,E19=0),1,IF(AND(E18=J24,E19=G19),0.8,IF(E19=0,1+E17*(-0.2),1+E17*G17*(-0.2))))),4)</f>
        <v>1</v>
      </c>
      <c r="D17" s="3029" t="s">
        <v>3245</v>
      </c>
      <c r="E17" s="3037" t="e">
        <f>ROUND(G18/I18,2)</f>
        <v>#DIV/0!</v>
      </c>
      <c r="F17" s="3029" t="s">
        <v>3248</v>
      </c>
      <c r="G17" s="3037" t="e">
        <f>ROUND(E19/G19,2)</f>
        <v>#DIV/0!</v>
      </c>
      <c r="H17" s="3037"/>
      <c r="I17" s="3037"/>
      <c r="J17" s="3038"/>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25">
      <c r="A18" s="3039"/>
      <c r="B18" s="2310"/>
      <c r="C18" s="3035"/>
      <c r="D18" s="3030" t="s">
        <v>3246</v>
      </c>
      <c r="E18" s="2357"/>
      <c r="F18" s="3031" t="s">
        <v>3249</v>
      </c>
      <c r="G18" s="3035">
        <f>ROUND(1-(1/(POWER(1+G24,E18))),4)</f>
        <v>0</v>
      </c>
      <c r="H18" s="3031" t="s">
        <v>3251</v>
      </c>
      <c r="I18" s="3035">
        <f>ROUND(1-(1/(POWER(1+G24,J24))),4)</f>
        <v>0</v>
      </c>
      <c r="J18" s="3040"/>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3"/>
    </row>
    <row r="19" spans="1:37" s="1858" customFormat="1" ht="15" thickBot="1">
      <c r="A19" s="3041"/>
      <c r="B19" s="3042"/>
      <c r="C19" s="3043"/>
      <c r="D19" s="3043" t="s">
        <v>3247</v>
      </c>
      <c r="E19" s="3044"/>
      <c r="F19" s="3045" t="s">
        <v>3250</v>
      </c>
      <c r="G19" s="3044"/>
      <c r="H19" s="3043"/>
      <c r="I19" s="3043"/>
      <c r="J19" s="3046"/>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6"/>
      <c r="AH19" s="1980"/>
      <c r="AI19" s="561"/>
      <c r="AJ19" s="561"/>
      <c r="AK19" s="1899"/>
    </row>
    <row r="20" spans="1:37" s="1858" customFormat="1" ht="14.25">
      <c r="A20" s="3682" t="s">
        <v>3252</v>
      </c>
      <c r="B20" s="159" t="s">
        <v>1992</v>
      </c>
      <c r="C20" s="3032" t="e">
        <f>ROUND(IF(F21="与级别开发程度一致",0,(G21-E21)/C21),0)</f>
        <v>#DIV/0!</v>
      </c>
      <c r="D20" s="3047" t="s">
        <v>1996</v>
      </c>
      <c r="E20" s="3048"/>
      <c r="F20" s="3688" t="s">
        <v>1993</v>
      </c>
      <c r="G20" s="3689"/>
      <c r="H20" s="3033"/>
      <c r="I20" s="3033"/>
      <c r="J20" s="3034"/>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3"/>
      <c r="AH20" s="2553"/>
      <c r="AI20" s="2553"/>
      <c r="AJ20" s="2553"/>
    </row>
    <row r="21" spans="1:37" s="1858" customFormat="1" ht="15" thickBot="1">
      <c r="A21" s="3683"/>
      <c r="B21" s="2002" t="s">
        <v>1995</v>
      </c>
      <c r="C21" s="2003">
        <f>IF(E3="M4科研用地",SUMPRODUCT((修正!A2:A7=E3)*(修正!B1:M1=G2)*(修正!B2:M7)),SUMPRODUCT((修正!A2:A7=E2)*(修正!B1:M1=G2)*(修正!B2:M7)))</f>
        <v>0</v>
      </c>
      <c r="D21" s="179" t="str">
        <f>IF(OR(G2="八级",G2="九级",G2="十级",G2="十一级",G2="十二级"),"五通一平","七通一平")</f>
        <v>七通一平</v>
      </c>
      <c r="E21" s="1993">
        <f>SUMPRODUCT((修正!B1:M1=G2)*(修正!B17:M17))</f>
        <v>0</v>
      </c>
      <c r="F21" s="1994"/>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3"/>
      <c r="R21" s="1060"/>
      <c r="S21" s="1060"/>
      <c r="T21" s="1057"/>
      <c r="U21" s="1057"/>
      <c r="V21" s="1057"/>
      <c r="W21" s="1056"/>
      <c r="X21" s="1056"/>
      <c r="Y21" s="1056"/>
      <c r="Z21" s="1061"/>
      <c r="AA21" s="1061"/>
      <c r="AB21" s="1061"/>
      <c r="AC21" s="1061"/>
      <c r="AD21" s="1061"/>
      <c r="AE21" s="1061"/>
      <c r="AF21" s="1061"/>
      <c r="AG21" s="2553"/>
      <c r="AH21" s="2553"/>
      <c r="AI21" s="2553"/>
      <c r="AJ21" s="2553"/>
    </row>
    <row r="22" spans="1:37" s="1858" customFormat="1" ht="15.75" thickBot="1">
      <c r="A22" s="1996" t="s">
        <v>363</v>
      </c>
      <c r="B22" s="1997" t="s">
        <v>1998</v>
      </c>
      <c r="C22" s="1998">
        <f>SUMIF(修正!C20:C51,E3,修正!E20:E51)</f>
        <v>0</v>
      </c>
      <c r="D22" s="1999"/>
      <c r="E22" s="2000"/>
      <c r="F22" s="2000"/>
      <c r="G22" s="2000"/>
      <c r="H22" s="2000"/>
      <c r="I22" s="2000"/>
      <c r="J22" s="2001"/>
      <c r="K22" s="1061"/>
      <c r="L22" s="2553"/>
      <c r="M22" s="2553"/>
      <c r="N22" s="2553"/>
      <c r="O22" s="1059"/>
      <c r="P22" s="1059"/>
      <c r="Q22" s="2553"/>
      <c r="R22" s="1060"/>
      <c r="S22" s="1060"/>
      <c r="T22" s="1057"/>
      <c r="U22" s="1057"/>
      <c r="V22" s="1057"/>
      <c r="W22" s="1056"/>
      <c r="X22" s="1056"/>
      <c r="Y22" s="1056"/>
      <c r="Z22" s="1061"/>
      <c r="AA22" s="1061"/>
      <c r="AB22" s="1061"/>
      <c r="AC22" s="1061"/>
      <c r="AD22" s="1061"/>
      <c r="AE22" s="1061"/>
      <c r="AF22" s="1061"/>
      <c r="AG22" s="2553"/>
      <c r="AH22" s="2553"/>
      <c r="AI22" s="2553"/>
      <c r="AJ22" s="2553"/>
    </row>
    <row r="23" spans="1:37" ht="26.25" thickBot="1">
      <c r="A23" s="1892" t="s">
        <v>364</v>
      </c>
      <c r="B23" s="1893" t="s">
        <v>1999</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1896" t="s">
        <v>2000</v>
      </c>
      <c r="E23" s="717">
        <v>44197</v>
      </c>
      <c r="F23" s="1896" t="s">
        <v>2001</v>
      </c>
      <c r="G23" s="718">
        <f>'数据-取费表'!B2</f>
        <v>45839</v>
      </c>
      <c r="H23" s="3049" t="s">
        <v>3254</v>
      </c>
      <c r="I23" s="3050" t="str">
        <f>IF(H23="季度增幅（自定义）",SUMIF(N25:N28,E2,O25:O28),"")</f>
        <v/>
      </c>
      <c r="J23" s="3142" t="s">
        <v>3253</v>
      </c>
      <c r="K23" s="1061"/>
      <c r="L23" s="1897" t="s">
        <v>2002</v>
      </c>
      <c r="M23" s="1241">
        <f>ROUND(SUMIF(地价!B2:G2,E2,地价!B16:G16),0)</f>
        <v>0</v>
      </c>
      <c r="N23" s="1898" t="s">
        <v>2003</v>
      </c>
      <c r="O23" s="719">
        <f>ROUNDDOWN(DATEDIF(E23,G23,"M")/3,0)</f>
        <v>18</v>
      </c>
      <c r="P23" s="1057"/>
      <c r="Q23" s="2553"/>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75" thickBot="1">
      <c r="A24" s="1900" t="s">
        <v>365</v>
      </c>
      <c r="B24" s="1901" t="s">
        <v>2004</v>
      </c>
      <c r="C24" s="720" t="e">
        <f>ROUND(POWER(1+G24,J24-I24)*(POWER(1+G24,I24)-1)/(POWER(1+G24,J24)-1),4)</f>
        <v>#DIV/0!</v>
      </c>
      <c r="D24" s="1902" t="s">
        <v>2005</v>
      </c>
      <c r="E24" s="1248">
        <f>存贷款利率!E28/100</f>
        <v>4.3499999999999997E-2</v>
      </c>
      <c r="F24" s="1902" t="s">
        <v>1997</v>
      </c>
      <c r="G24" s="724">
        <f>SUMIF(M30:Q30,E2,M33:Q33)</f>
        <v>0</v>
      </c>
      <c r="H24" s="1902" t="s">
        <v>2006</v>
      </c>
      <c r="I24" s="725" t="e">
        <f>SUMIF('数据-取费表'!C6:C15,E2,'数据-取费表'!F6:F15)/COUNTIF('数据-取费表'!C6:C15,E2)</f>
        <v>#DIV/0!</v>
      </c>
      <c r="J24" s="726">
        <f>IF(E2="住宅",70,IF(E2="商业",40,50))</f>
        <v>50</v>
      </c>
      <c r="K24" s="1061"/>
      <c r="L24" s="1903" t="s">
        <v>2007</v>
      </c>
      <c r="M24" s="1242">
        <f>ROUND(SUMPRODUCT((地价!A4:A16=YEAR(G23)&amp;"-"&amp;ROUNDUP(MONTH(G23)/3,0))*(地价!B2:G2=E2)*(地价!B4:G16)),0)</f>
        <v>0</v>
      </c>
      <c r="N24" s="1904" t="s">
        <v>2008</v>
      </c>
      <c r="O24" s="1905" t="s">
        <v>2009</v>
      </c>
      <c r="P24" s="1906" t="s">
        <v>2010</v>
      </c>
      <c r="Q24" s="1844"/>
      <c r="R24" s="1060"/>
      <c r="S24" s="1060"/>
      <c r="T24" s="1057"/>
      <c r="U24" s="1057"/>
      <c r="V24" s="1057"/>
      <c r="W24" s="1056"/>
      <c r="X24" s="1056"/>
      <c r="Y24" s="1056"/>
      <c r="Z24" s="1061"/>
      <c r="AA24" s="1061"/>
      <c r="AB24" s="1061"/>
      <c r="AC24" s="1061"/>
      <c r="AD24" s="1061"/>
      <c r="AE24" s="1061"/>
      <c r="AF24" s="1061"/>
      <c r="AG24" s="2553"/>
      <c r="AH24" s="2553"/>
      <c r="AI24" s="2553"/>
      <c r="AJ24" s="2553"/>
    </row>
    <row r="25" spans="1:37" ht="15">
      <c r="A25" s="1907" t="s">
        <v>366</v>
      </c>
      <c r="B25" s="1908" t="s">
        <v>3333</v>
      </c>
      <c r="C25" s="461">
        <f>IF(B25="容积率修正",IF(G3&lt;10,D26,J26),C27)</f>
        <v>0</v>
      </c>
      <c r="D25" s="1909"/>
      <c r="E25" s="1909"/>
      <c r="F25" s="1909"/>
      <c r="G25" s="1909"/>
      <c r="H25" s="1909"/>
      <c r="I25" s="1909"/>
      <c r="J25" s="1910"/>
      <c r="K25" s="1061"/>
      <c r="L25" s="2553"/>
      <c r="M25" s="2553"/>
      <c r="N25" s="1911" t="s">
        <v>2011</v>
      </c>
      <c r="O25" s="1093"/>
      <c r="P25" s="1094">
        <f>SUMPRODUCT((地价!A3:A40=YEAR(G23)&amp;"-"&amp;ROUNDUP(MONTH(G23)/3,0))*(地价!AD2:AH2=N25)*(地价!AD3:AH40))</f>
        <v>0</v>
      </c>
      <c r="Q25" s="2553"/>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25">
      <c r="A26" s="1806" t="s">
        <v>2012</v>
      </c>
      <c r="B26" s="1912" t="s">
        <v>2013</v>
      </c>
      <c r="C26" s="1912" t="s">
        <v>3255</v>
      </c>
      <c r="D26" s="1263">
        <f>IF(E26=G26,F26,IF(G3&lt;10,ROUND(F26+(H26-F26)*(G3-E26)/(G26-E26),4),"——"))</f>
        <v>0</v>
      </c>
      <c r="E26" s="708">
        <f>ROUNDDOWN(G3,1)</f>
        <v>0</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0</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2" t="s">
        <v>3256</v>
      </c>
      <c r="J26" s="374" t="str">
        <f>IF(G3&gt;=10,D115,"——")</f>
        <v>——</v>
      </c>
      <c r="K26" s="1061"/>
      <c r="L26" s="2553"/>
      <c r="M26" s="2553"/>
      <c r="N26" s="1911" t="s">
        <v>2014</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75" thickBot="1">
      <c r="A27" s="1806" t="s">
        <v>2015</v>
      </c>
      <c r="B27" s="1913" t="s">
        <v>2016</v>
      </c>
      <c r="C27" s="791">
        <f>ROUND(IF(I3&lt;6,SUMPRODUCT((B106:B110=I3)*(C105:N105=G2)*(C106:N110)),SUMIF(C105:N105,G2,C112:N112)),4)</f>
        <v>0</v>
      </c>
      <c r="D27" s="1842"/>
      <c r="E27" s="1842"/>
      <c r="F27" s="1914"/>
      <c r="G27" s="1915"/>
      <c r="H27" s="1916"/>
      <c r="I27" s="1917"/>
      <c r="J27" s="1918"/>
      <c r="K27" s="1056"/>
      <c r="L27" s="1844"/>
      <c r="M27" s="1844"/>
      <c r="N27" s="1911" t="s">
        <v>2017</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75" thickBot="1">
      <c r="A28" s="1900" t="s">
        <v>367</v>
      </c>
      <c r="B28" s="1893" t="s">
        <v>2018</v>
      </c>
      <c r="C28" s="716">
        <f>SUMIF(A47:A101,E2,B47:B101)</f>
        <v>0</v>
      </c>
      <c r="D28" s="1894"/>
      <c r="E28" s="1919"/>
      <c r="F28" s="1919"/>
      <c r="G28" s="1919"/>
      <c r="H28" s="1919"/>
      <c r="I28" s="1919"/>
      <c r="J28" s="1920"/>
      <c r="K28" s="1061"/>
      <c r="L28" s="2553"/>
      <c r="M28" s="2553"/>
      <c r="N28" s="1921" t="s">
        <v>2019</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75" thickBot="1">
      <c r="A29" s="1900" t="s">
        <v>368</v>
      </c>
      <c r="B29" s="1922" t="s">
        <v>2020</v>
      </c>
      <c r="C29" s="721"/>
      <c r="D29" s="1868"/>
      <c r="E29" s="1868"/>
      <c r="F29" s="1923"/>
      <c r="G29" s="1868"/>
      <c r="H29" s="1868"/>
      <c r="I29" s="1868"/>
      <c r="J29" s="1869"/>
      <c r="K29" s="1056"/>
      <c r="L29" s="1844"/>
      <c r="M29" s="1844"/>
      <c r="N29" s="2550" t="s">
        <v>2021</v>
      </c>
      <c r="O29" s="2551"/>
      <c r="P29" s="2552">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5">
      <c r="A30" s="1924"/>
      <c r="B30" s="1912" t="s">
        <v>2022</v>
      </c>
      <c r="C30" s="2145" t="e">
        <f>IF(B25="容积率修正",E33+SUM(E37:E42),SUM(V2:V16)+SUM(E37:E42))</f>
        <v>#DIV/0!</v>
      </c>
      <c r="D30" s="1925"/>
      <c r="E30" s="1842"/>
      <c r="F30" s="1926"/>
      <c r="G30" s="1842"/>
      <c r="H30" s="1842"/>
      <c r="I30" s="1842"/>
      <c r="J30" s="1927"/>
      <c r="K30" s="1056"/>
      <c r="L30" s="3056" t="s">
        <v>1934</v>
      </c>
      <c r="M30" s="3057" t="s">
        <v>1988</v>
      </c>
      <c r="N30" s="3057" t="s">
        <v>1989</v>
      </c>
      <c r="O30" s="3057" t="s">
        <v>1990</v>
      </c>
      <c r="P30" s="3057" t="s">
        <v>1991</v>
      </c>
      <c r="Q30" s="3060" t="s">
        <v>3260</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75" thickBot="1">
      <c r="A31" s="1924"/>
      <c r="B31" s="1928" t="s">
        <v>2023</v>
      </c>
      <c r="C31" s="722" t="e">
        <f>E34+SUM(I37:I42)</f>
        <v>#DIV/0!</v>
      </c>
      <c r="D31" s="1929"/>
      <c r="E31" s="1930"/>
      <c r="F31" s="1931"/>
      <c r="G31" s="1930"/>
      <c r="H31" s="1930"/>
      <c r="I31" s="1930"/>
      <c r="J31" s="1932"/>
      <c r="K31" s="1056"/>
      <c r="L31" s="3058" t="s">
        <v>1994</v>
      </c>
      <c r="M31" s="162">
        <v>0.25</v>
      </c>
      <c r="N31" s="162">
        <v>0.2</v>
      </c>
      <c r="O31" s="162">
        <v>0.15</v>
      </c>
      <c r="P31" s="162">
        <v>0.1</v>
      </c>
      <c r="Q31" s="3053">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75" thickBot="1">
      <c r="A32" s="1933"/>
      <c r="B32" s="1934" t="s">
        <v>2024</v>
      </c>
      <c r="C32" s="1935" t="s">
        <v>2025</v>
      </c>
      <c r="D32" s="1935" t="s">
        <v>2026</v>
      </c>
      <c r="E32" s="1936" t="s">
        <v>2027</v>
      </c>
      <c r="F32" s="1937"/>
      <c r="G32" s="1881"/>
      <c r="H32" s="1881"/>
      <c r="I32" s="1881"/>
      <c r="J32" s="1882"/>
      <c r="K32" s="1056"/>
      <c r="L32" s="3059" t="s">
        <v>1997</v>
      </c>
      <c r="M32" s="2356">
        <f>ROUND($E$24*(1+M31),3)</f>
        <v>5.3999999999999999E-2</v>
      </c>
      <c r="N32" s="2356">
        <f>ROUND($E$24*(1+N31),3)</f>
        <v>5.1999999999999998E-2</v>
      </c>
      <c r="O32" s="2356">
        <f>ROUND($E$24*(1+O31),3)</f>
        <v>0.05</v>
      </c>
      <c r="P32" s="2356">
        <f>ROUND($E$24*(1+P31),3)</f>
        <v>4.8000000000000001E-2</v>
      </c>
      <c r="Q32" s="3061">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25">
      <c r="A33" s="1938"/>
      <c r="B33" s="1939" t="s">
        <v>2028</v>
      </c>
      <c r="C33" s="167" t="e">
        <f>ROUND(C5*C22*C23*C24*C25*C28,0)</f>
        <v>#DIV/0!</v>
      </c>
      <c r="D33" s="1940"/>
      <c r="E33" s="727" t="e">
        <f>ROUND(C33*D33/10000,0)</f>
        <v>#DIV/0!</v>
      </c>
      <c r="F33" s="3051" t="s">
        <v>3258</v>
      </c>
      <c r="G33" s="1941"/>
      <c r="H33" s="1941"/>
      <c r="I33" s="1941"/>
      <c r="J33" s="1942"/>
      <c r="K33" s="1056"/>
      <c r="L33" s="3054" t="s">
        <v>3261</v>
      </c>
      <c r="M33" s="3055">
        <v>5.5E-2</v>
      </c>
      <c r="N33" s="3055">
        <v>5.5E-2</v>
      </c>
      <c r="O33" s="3055">
        <v>0.05</v>
      </c>
      <c r="P33" s="3055">
        <v>0.05</v>
      </c>
      <c r="Q33" s="3055">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5" thickBot="1">
      <c r="A34" s="1943"/>
      <c r="B34" s="1944" t="s">
        <v>2029</v>
      </c>
      <c r="C34" s="179" t="e">
        <f>ROUND(IF(E2="工业",C33*M42,IF(B25="楼层修正",SUM(V2:V16)*M41*10000/D34,C33*M41)),0)</f>
        <v>#DIV/0!</v>
      </c>
      <c r="D34" s="1945"/>
      <c r="E34" s="727" t="e">
        <f>ROUND(IF(B25="楼层修正",SUM(V2:V16)*M40,C34*D34/10000),0)</f>
        <v>#DIV/0!</v>
      </c>
      <c r="F34" s="1946" t="s">
        <v>2030</v>
      </c>
      <c r="G34" s="1947"/>
      <c r="H34" s="1947"/>
      <c r="I34" s="1947"/>
      <c r="J34" s="1948"/>
      <c r="K34" s="1056"/>
      <c r="L34" s="3054" t="s">
        <v>3262</v>
      </c>
      <c r="M34" s="3055">
        <v>6.5000000000000002E-2</v>
      </c>
      <c r="N34" s="3055">
        <v>6.5000000000000002E-2</v>
      </c>
      <c r="O34" s="3055">
        <v>0.06</v>
      </c>
      <c r="P34" s="3055">
        <v>0.06</v>
      </c>
      <c r="Q34" s="3055">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2031</v>
      </c>
      <c r="C35" s="3052" t="s">
        <v>3259</v>
      </c>
      <c r="D35" s="1881"/>
      <c r="E35" s="1951"/>
      <c r="F35" s="1951"/>
      <c r="G35" s="1879" t="s">
        <v>2032</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4.75" thickBot="1">
      <c r="A36" s="1938"/>
      <c r="B36" s="1953"/>
      <c r="C36" s="436" t="s">
        <v>2025</v>
      </c>
      <c r="D36" s="433" t="s">
        <v>2026</v>
      </c>
      <c r="E36" s="433" t="s">
        <v>2027</v>
      </c>
      <c r="F36" s="333" t="s">
        <v>2033</v>
      </c>
      <c r="G36" s="1954" t="s">
        <v>2025</v>
      </c>
      <c r="H36" s="1954" t="s">
        <v>2026</v>
      </c>
      <c r="I36" s="1954" t="s">
        <v>2027</v>
      </c>
      <c r="J36" s="235"/>
      <c r="K36" s="1964" t="s">
        <v>3263</v>
      </c>
      <c r="L36" s="3143">
        <f ca="1">'数据-取费表'!B40</f>
        <v>0.03</v>
      </c>
      <c r="M36" s="2366">
        <f ca="1">ROUND($L$36*(1+M31),3)</f>
        <v>3.7999999999999999E-2</v>
      </c>
      <c r="N36" s="2366">
        <f ca="1">ROUND($L$36*(1+N31),3)</f>
        <v>3.5999999999999997E-2</v>
      </c>
      <c r="O36" s="2366">
        <f ca="1">ROUND($L$36*(1+O31),3)</f>
        <v>3.5000000000000003E-2</v>
      </c>
      <c r="P36" s="2366">
        <f ca="1">ROUND($L$36*(1+P31),3)</f>
        <v>3.3000000000000002E-2</v>
      </c>
      <c r="Q36" s="2366">
        <f ca="1">ROUND($L$36*(1+Q31),3)</f>
        <v>3.5000000000000003E-2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75" thickBot="1">
      <c r="A37" s="3686"/>
      <c r="B37" s="1955" t="s">
        <v>2034</v>
      </c>
      <c r="C37" s="167" t="e">
        <f>ROUND(D5*C22*C23*C24*C28*F37,0)</f>
        <v>#DIV/0!</v>
      </c>
      <c r="D37" s="1940"/>
      <c r="E37" s="163" t="e">
        <f>ROUND(C37*D37/10000,0)</f>
        <v>#DIV/0!</v>
      </c>
      <c r="F37" s="163">
        <f>SUMIF(修正!A57:A68,G2,修正!B57:B68)</f>
        <v>0</v>
      </c>
      <c r="G37" s="163" t="e">
        <f>ROUND(IF(E2="工业",C37*$M$42,C37*$M$41),0)</f>
        <v>#DIV/0!</v>
      </c>
      <c r="H37" s="163">
        <f>D37</f>
        <v>0</v>
      </c>
      <c r="I37" s="163" t="e">
        <f>ROUND(G37*H37/10000,0)</f>
        <v>#DIV/0!</v>
      </c>
      <c r="J37" s="2755"/>
      <c r="K37" s="3062" t="s">
        <v>3264</v>
      </c>
      <c r="L37" s="1964">
        <f ca="1">L36+K38</f>
        <v>3.4999999999999996E-2</v>
      </c>
      <c r="M37" s="2366">
        <f ca="1">ROUND($L$37*(1+M31),3)</f>
        <v>4.3999999999999997E-2</v>
      </c>
      <c r="N37" s="2366">
        <f t="shared" ref="N37:Q37" ca="1" si="3">ROUND($L$37*(1+N31),3)</f>
        <v>4.2000000000000003E-2</v>
      </c>
      <c r="O37" s="2366">
        <f t="shared" ca="1" si="3"/>
        <v>0.04</v>
      </c>
      <c r="P37" s="2366">
        <f t="shared" ca="1" si="3"/>
        <v>3.9E-2</v>
      </c>
      <c r="Q37" s="2366">
        <f t="shared" ca="1" si="3"/>
        <v>0.04</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687"/>
      <c r="B38" s="1884" t="s">
        <v>2035</v>
      </c>
      <c r="C38" s="167" t="e">
        <f>ROUND(D5*C22*C23*C24*C28*F38,0)</f>
        <v>#DIV/0!</v>
      </c>
      <c r="D38" s="1940"/>
      <c r="E38" s="163" t="e">
        <f t="shared" ref="E38:E42" si="4">ROUND(C38*D38/10000,0)</f>
        <v>#DIV/0!</v>
      </c>
      <c r="F38" s="163">
        <f>SUMIF(修正!A57:A68,G2,修正!C57:C68)</f>
        <v>0</v>
      </c>
      <c r="G38" s="163" t="e">
        <f>ROUND(IF(E2="工业",C38*$M$42,C38*$M$41),0)</f>
        <v>#DIV/0!</v>
      </c>
      <c r="H38" s="163">
        <f t="shared" ref="H38:H42" si="5">D38</f>
        <v>0</v>
      </c>
      <c r="I38" s="163" t="e">
        <f t="shared" ref="I38:I42" si="6">ROUND(G38*H38/10000,0)</f>
        <v>#DIV/0!</v>
      </c>
      <c r="J38" s="2754"/>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687"/>
      <c r="B39" s="1884" t="s">
        <v>3257</v>
      </c>
      <c r="C39" s="167" t="e">
        <f>ROUND(D5*C22*C23*C24*C28*F39,0)</f>
        <v>#DIV/0!</v>
      </c>
      <c r="D39" s="1940"/>
      <c r="E39" s="163" t="e">
        <f t="shared" si="4"/>
        <v>#DIV/0!</v>
      </c>
      <c r="F39" s="163">
        <f>SUMIF(修正!A57:A68,G2,修正!D57:D68)</f>
        <v>0</v>
      </c>
      <c r="G39" s="163" t="e">
        <f>ROUND(IF(E2="工业",C39*$M$42,C39*$M$41),0)</f>
        <v>#DIV/0!</v>
      </c>
      <c r="H39" s="163">
        <f t="shared" si="5"/>
        <v>0</v>
      </c>
      <c r="I39" s="163" t="e">
        <f t="shared" si="6"/>
        <v>#DIV/0!</v>
      </c>
      <c r="J39" s="2754"/>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2036</v>
      </c>
      <c r="C40" s="163" t="e">
        <f>ROUND(D5*C22*C23*C24*C28*F40,0)</f>
        <v>#DIV/0!</v>
      </c>
      <c r="D40" s="1940"/>
      <c r="E40" s="163" t="e">
        <f t="shared" si="4"/>
        <v>#DIV/0!</v>
      </c>
      <c r="F40" s="167">
        <f>SUMIF(修正!A57:A68,G2,修正!E57:E68)</f>
        <v>0</v>
      </c>
      <c r="G40" s="163" t="e">
        <f>ROUND(IF(E2="工业",C40*$M$42,C40*$M$41),0)</f>
        <v>#DIV/0!</v>
      </c>
      <c r="H40" s="163">
        <f t="shared" si="5"/>
        <v>0</v>
      </c>
      <c r="I40" s="163" t="e">
        <f t="shared" si="6"/>
        <v>#DIV/0!</v>
      </c>
      <c r="J40" s="939"/>
      <c r="L40" s="1957" t="s">
        <v>2037</v>
      </c>
      <c r="M40" s="1958"/>
      <c r="Z40" s="1057"/>
      <c r="AA40" s="1057"/>
      <c r="AB40" s="1057"/>
      <c r="AC40" s="1057"/>
      <c r="AD40" s="1057"/>
      <c r="AE40" s="1057"/>
      <c r="AF40" s="1057"/>
      <c r="AG40" s="1057"/>
      <c r="AH40" s="1057"/>
      <c r="AI40" s="1057"/>
      <c r="AJ40" s="1057"/>
    </row>
    <row r="41" spans="1:37" s="1056" customFormat="1">
      <c r="A41" s="1956"/>
      <c r="B41" s="1884" t="s">
        <v>2038</v>
      </c>
      <c r="C41" s="163" t="e">
        <f>ROUND(D5*C22*C23*C44*C28*F41,0)</f>
        <v>#DIV/0!</v>
      </c>
      <c r="D41" s="1940"/>
      <c r="E41" s="163" t="e">
        <f t="shared" si="4"/>
        <v>#DIV/0!</v>
      </c>
      <c r="F41" s="167">
        <f>SUMIF(修正!A57:A68,G2,修正!F57:F68)</f>
        <v>0</v>
      </c>
      <c r="G41" s="163" t="e">
        <f>ROUND(IF(E2="工业",C41*$M$42,C41*$M$41),0)</f>
        <v>#DIV/0!</v>
      </c>
      <c r="H41" s="163">
        <f t="shared" si="5"/>
        <v>0</v>
      </c>
      <c r="I41" s="163" t="e">
        <f t="shared" si="6"/>
        <v>#DIV/0!</v>
      </c>
      <c r="J41" s="939"/>
      <c r="L41" s="3063" t="s">
        <v>3265</v>
      </c>
      <c r="M41" s="1959">
        <v>0.25</v>
      </c>
      <c r="Z41" s="1057"/>
      <c r="AA41" s="1057"/>
      <c r="AB41" s="1057"/>
      <c r="AC41" s="1057"/>
      <c r="AD41" s="1057"/>
      <c r="AE41" s="1057"/>
      <c r="AF41" s="1057"/>
      <c r="AG41" s="1057"/>
      <c r="AH41" s="1057"/>
      <c r="AI41" s="1057"/>
      <c r="AJ41" s="1057"/>
    </row>
    <row r="42" spans="1:37" s="1056" customFormat="1" ht="13.5" thickBot="1">
      <c r="A42" s="1943"/>
      <c r="B42" s="1960" t="s">
        <v>2039</v>
      </c>
      <c r="C42" s="179" t="e">
        <f>ROUND(D5*C22*C23*C44*C28*F42,0)</f>
        <v>#DIV/0!</v>
      </c>
      <c r="D42" s="1945"/>
      <c r="E42" s="179" t="e">
        <f t="shared" si="4"/>
        <v>#DIV/0!</v>
      </c>
      <c r="F42" s="723">
        <f>SUMIF(修正!A57:A68,G2,修正!G57:G68)</f>
        <v>0</v>
      </c>
      <c r="G42" s="179" t="e">
        <f>ROUND(IF(E2="工业",C42*$M$42,C42*$M$41),0)</f>
        <v>#DIV/0!</v>
      </c>
      <c r="H42" s="179">
        <f t="shared" si="5"/>
        <v>0</v>
      </c>
      <c r="I42" s="179" t="e">
        <f t="shared" si="6"/>
        <v>#DIV/0!</v>
      </c>
      <c r="J42" s="1961"/>
      <c r="L42" s="1962" t="s">
        <v>1991</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2" t="s">
        <v>2120</v>
      </c>
      <c r="C44" s="333" t="e">
        <f>ROUND(POWER(1+E44,H44-G44)*(POWER(1+E44,G44)-1)/(POWER(1+E44,H44)-1),4)</f>
        <v>#DIV/0!</v>
      </c>
      <c r="D44" s="163" t="s">
        <v>1997</v>
      </c>
      <c r="E44" s="1991">
        <f>G24</f>
        <v>0</v>
      </c>
      <c r="F44" s="163" t="s">
        <v>2006</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75" thickBot="1">
      <c r="A47" s="1965" t="s">
        <v>2040</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c r="A48" s="1967" t="s">
        <v>2041</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c r="A49" s="1970" t="s">
        <v>2042</v>
      </c>
      <c r="B49" s="1262" t="s">
        <v>2043</v>
      </c>
      <c r="C49" s="1262" t="s">
        <v>2044</v>
      </c>
      <c r="D49" s="1262" t="s">
        <v>2045</v>
      </c>
      <c r="E49" s="701" t="s">
        <v>2046</v>
      </c>
      <c r="F49" s="1971" t="s">
        <v>2047</v>
      </c>
      <c r="G49" s="1262" t="s">
        <v>310</v>
      </c>
      <c r="H49" s="1972" t="s">
        <v>2048</v>
      </c>
      <c r="I49" s="1262" t="s">
        <v>2049</v>
      </c>
      <c r="J49" s="530" t="s">
        <v>1719</v>
      </c>
      <c r="K49" s="530" t="s">
        <v>1720</v>
      </c>
      <c r="L49" s="530" t="s">
        <v>1721</v>
      </c>
      <c r="M49" s="530" t="s">
        <v>1722</v>
      </c>
      <c r="N49" s="530" t="s">
        <v>1723</v>
      </c>
      <c r="AA49" s="1057"/>
      <c r="AB49" s="1057"/>
      <c r="AC49" s="1057"/>
      <c r="AD49" s="1057"/>
      <c r="AE49" s="1057"/>
      <c r="AF49" s="1057"/>
      <c r="AG49" s="1057"/>
      <c r="AH49" s="1057"/>
      <c r="AI49" s="1057"/>
      <c r="AJ49" s="1057"/>
      <c r="AK49" s="1057"/>
    </row>
    <row r="50" spans="1:37" s="1056" customFormat="1" ht="38.25">
      <c r="A50" s="1970" t="s">
        <v>2050</v>
      </c>
      <c r="B50" s="1973" t="str">
        <f>估价对象房地状况!C4</f>
        <v>估价对象位于XX商圈，周边商业氛围成熟，人流量大，商业繁华度好</v>
      </c>
      <c r="C50" s="1887"/>
      <c r="D50" s="1002">
        <f t="shared" ref="D50:D58" si="7">SUMIF($J$49:$N$49,C50,J50:N50)</f>
        <v>0</v>
      </c>
      <c r="E50" s="702">
        <f>ROUND(SUM(D50:D58),4)</f>
        <v>0</v>
      </c>
      <c r="F50" s="1675" t="str">
        <f>IF(E2="商业",SUMIF(L1:L12,G2,N1:N12),"——")</f>
        <v>——</v>
      </c>
      <c r="G50" s="1000"/>
      <c r="H50" s="1003" t="str">
        <f t="shared" ref="H50:H58" si="8">IFERROR(ROUNDDOWN($F$50*I50/2,4),"——")</f>
        <v>——</v>
      </c>
      <c r="I50" s="3069">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38.25">
      <c r="A51" s="1970" t="s">
        <v>2051</v>
      </c>
      <c r="B51" s="1262" t="str">
        <f>估价对象房地状况!C18</f>
        <v>估价对象周边道路状况、公共交通通达情况、停车便捷程度，综合评价交通便捷度较好</v>
      </c>
      <c r="C51" s="1887"/>
      <c r="D51" s="1002">
        <f t="shared" si="7"/>
        <v>0</v>
      </c>
      <c r="E51" s="703"/>
      <c r="F51" s="1675"/>
      <c r="G51" s="1000"/>
      <c r="H51" s="1003" t="str">
        <f t="shared" si="8"/>
        <v>——</v>
      </c>
      <c r="I51" s="3069">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6">
      <c r="A52" s="3071" t="s">
        <v>3267</v>
      </c>
      <c r="B52" s="1262">
        <f>估价对象房地状况!C19</f>
        <v>0</v>
      </c>
      <c r="C52" s="1887"/>
      <c r="D52" s="1002">
        <f t="shared" si="7"/>
        <v>0</v>
      </c>
      <c r="E52" s="703"/>
      <c r="F52" s="1675"/>
      <c r="G52" s="1000"/>
      <c r="H52" s="1003" t="str">
        <f t="shared" si="8"/>
        <v>——</v>
      </c>
      <c r="I52" s="3069">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6.75">
      <c r="A53" s="1970" t="s">
        <v>2052</v>
      </c>
      <c r="B53" s="1974" t="s">
        <v>2053</v>
      </c>
      <c r="C53" s="1887"/>
      <c r="D53" s="1002">
        <f t="shared" si="7"/>
        <v>0</v>
      </c>
      <c r="E53" s="703"/>
      <c r="F53" s="1675"/>
      <c r="G53" s="1000"/>
      <c r="H53" s="1003" t="str">
        <f t="shared" si="8"/>
        <v>——</v>
      </c>
      <c r="I53" s="3069">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70" t="s">
        <v>2054</v>
      </c>
      <c r="B54" s="1262">
        <f>估价对象房地状况!C24</f>
        <v>0</v>
      </c>
      <c r="C54" s="1887"/>
      <c r="D54" s="1002">
        <f t="shared" si="7"/>
        <v>0</v>
      </c>
      <c r="E54" s="703"/>
      <c r="F54" s="1675"/>
      <c r="G54" s="1000"/>
      <c r="H54" s="1003" t="str">
        <f t="shared" si="8"/>
        <v>——</v>
      </c>
      <c r="I54" s="3069">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4">
      <c r="A55" s="1970" t="s">
        <v>2055</v>
      </c>
      <c r="B55" s="1975" t="s">
        <v>2056</v>
      </c>
      <c r="C55" s="1887"/>
      <c r="D55" s="1002">
        <f t="shared" si="7"/>
        <v>0</v>
      </c>
      <c r="E55" s="703"/>
      <c r="F55" s="1675"/>
      <c r="G55" s="1000"/>
      <c r="H55" s="1003" t="str">
        <f t="shared" si="8"/>
        <v>——</v>
      </c>
      <c r="I55" s="3069">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5.5">
      <c r="A56" s="1976" t="s">
        <v>2057</v>
      </c>
      <c r="B56" s="1240" t="str">
        <f>估价对象房地状况!C21</f>
        <v>估价对象所在区域公共配套设施齐备情况</v>
      </c>
      <c r="C56" s="1887"/>
      <c r="D56" s="1002">
        <f t="shared" si="7"/>
        <v>0</v>
      </c>
      <c r="E56" s="703"/>
      <c r="F56" s="1675"/>
      <c r="G56" s="1000"/>
      <c r="H56" s="1003" t="str">
        <f t="shared" si="8"/>
        <v>——</v>
      </c>
      <c r="I56" s="3069">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5.5">
      <c r="A57" s="1976" t="s">
        <v>2058</v>
      </c>
      <c r="B57" s="1262" t="str">
        <f>估价对象房地状况!C22</f>
        <v>估价对象所在区域基础设施水平</v>
      </c>
      <c r="C57" s="1887"/>
      <c r="D57" s="1002">
        <f t="shared" si="7"/>
        <v>0</v>
      </c>
      <c r="E57" s="703"/>
      <c r="F57" s="1675"/>
      <c r="G57" s="1000"/>
      <c r="H57" s="1003" t="str">
        <f t="shared" si="8"/>
        <v>——</v>
      </c>
      <c r="I57" s="3069">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26.25" thickBot="1">
      <c r="A58" s="1977" t="s">
        <v>2059</v>
      </c>
      <c r="B58" s="1978" t="str">
        <f>估价对象房地状况!C20</f>
        <v>区域自然环境：；人文环境；综合评价环境状况一般</v>
      </c>
      <c r="C58" s="1887"/>
      <c r="D58" s="1002">
        <f t="shared" si="7"/>
        <v>0</v>
      </c>
      <c r="E58" s="704"/>
      <c r="F58" s="1675"/>
      <c r="G58" s="1000"/>
      <c r="H58" s="1003" t="str">
        <f t="shared" si="8"/>
        <v>——</v>
      </c>
      <c r="I58" s="3070">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5">
      <c r="A59" s="1967" t="s">
        <v>2060</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70" t="s">
        <v>2042</v>
      </c>
      <c r="B60" s="1262"/>
      <c r="C60" s="1262" t="s">
        <v>2044</v>
      </c>
      <c r="D60" s="1262" t="s">
        <v>2045</v>
      </c>
      <c r="E60" s="701" t="s">
        <v>2046</v>
      </c>
      <c r="F60" s="1971" t="s">
        <v>2061</v>
      </c>
      <c r="G60" s="1262" t="s">
        <v>310</v>
      </c>
      <c r="H60" s="1972" t="s">
        <v>2048</v>
      </c>
      <c r="I60" s="1262" t="s">
        <v>2049</v>
      </c>
      <c r="J60" s="530" t="s">
        <v>1719</v>
      </c>
      <c r="K60" s="530" t="s">
        <v>1720</v>
      </c>
      <c r="L60" s="530" t="s">
        <v>1721</v>
      </c>
      <c r="M60" s="530" t="s">
        <v>1722</v>
      </c>
      <c r="N60" s="530" t="s">
        <v>1723</v>
      </c>
      <c r="AA60" s="1057"/>
      <c r="AB60" s="1057"/>
      <c r="AC60" s="1057"/>
      <c r="AD60" s="1057"/>
      <c r="AE60" s="1057"/>
      <c r="AF60" s="1057"/>
      <c r="AG60" s="1057"/>
      <c r="AH60" s="1057"/>
      <c r="AI60" s="1057"/>
      <c r="AJ60" s="1057"/>
      <c r="AK60" s="1057"/>
    </row>
    <row r="61" spans="1:37" s="1056" customFormat="1" ht="38.25">
      <c r="A61" s="1970" t="s">
        <v>2062</v>
      </c>
      <c r="B61" s="1973" t="str">
        <f>估价对象房地状况!C17</f>
        <v>估价对象位于XX商圈，周边办公楼项目较多，入驻率高，办公集聚程度较好</v>
      </c>
      <c r="C61" s="1887"/>
      <c r="D61" s="1002">
        <f t="shared" ref="D61:D69" si="12">SUMIF($J$60:$N$60,C61,J61:N61)</f>
        <v>0</v>
      </c>
      <c r="E61" s="702">
        <f>ROUND(SUM(D61:D69),4)</f>
        <v>0</v>
      </c>
      <c r="F61" s="1675" t="str">
        <f>IF(E2="办公",SUMIF(L1:L12,G2,N1:N12),"——")</f>
        <v>——</v>
      </c>
      <c r="G61" s="1000"/>
      <c r="H61" s="1003" t="str">
        <f t="shared" ref="H61:H69" si="13">IFERROR(ROUNDDOWN($F$61*I61/2,4),"——")</f>
        <v>——</v>
      </c>
      <c r="I61" s="3069">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38.25">
      <c r="A62" s="1970" t="s">
        <v>2051</v>
      </c>
      <c r="B62" s="1262" t="str">
        <f>估价对象房地状况!C18</f>
        <v>估价对象周边道路状况、公共交通通达情况、停车便捷程度，综合评价交通便捷度较好</v>
      </c>
      <c r="C62" s="1887"/>
      <c r="D62" s="1002">
        <f t="shared" si="12"/>
        <v>0</v>
      </c>
      <c r="E62" s="703"/>
      <c r="F62" s="1675"/>
      <c r="G62" s="1000"/>
      <c r="H62" s="1003" t="str">
        <f t="shared" si="13"/>
        <v>——</v>
      </c>
      <c r="I62" s="3069">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6">
      <c r="A63" s="3071" t="s">
        <v>3267</v>
      </c>
      <c r="B63" s="1262">
        <f>估价对象房地状况!C19</f>
        <v>0</v>
      </c>
      <c r="C63" s="1887"/>
      <c r="D63" s="1002">
        <f t="shared" si="12"/>
        <v>0</v>
      </c>
      <c r="E63" s="703"/>
      <c r="F63" s="1675"/>
      <c r="G63" s="1000"/>
      <c r="H63" s="1003" t="str">
        <f t="shared" si="13"/>
        <v>——</v>
      </c>
      <c r="I63" s="3069">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6.75">
      <c r="A64" s="1970" t="s">
        <v>2052</v>
      </c>
      <c r="B64" s="1974" t="s">
        <v>2053</v>
      </c>
      <c r="C64" s="1887"/>
      <c r="D64" s="1002">
        <f t="shared" si="12"/>
        <v>0</v>
      </c>
      <c r="E64" s="703"/>
      <c r="F64" s="1675"/>
      <c r="G64" s="1000"/>
      <c r="H64" s="1003" t="str">
        <f t="shared" si="13"/>
        <v>——</v>
      </c>
      <c r="I64" s="3069">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70" t="s">
        <v>2054</v>
      </c>
      <c r="B65" s="1262">
        <f>估价对象房地状况!C24</f>
        <v>0</v>
      </c>
      <c r="C65" s="1887"/>
      <c r="D65" s="1002">
        <f t="shared" si="12"/>
        <v>0</v>
      </c>
      <c r="E65" s="703"/>
      <c r="F65" s="1675"/>
      <c r="G65" s="1000"/>
      <c r="H65" s="1003" t="str">
        <f t="shared" si="13"/>
        <v>——</v>
      </c>
      <c r="I65" s="3069">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4">
      <c r="A66" s="1970" t="s">
        <v>2055</v>
      </c>
      <c r="B66" s="1975" t="s">
        <v>2056</v>
      </c>
      <c r="C66" s="1887"/>
      <c r="D66" s="1002">
        <f t="shared" si="12"/>
        <v>0</v>
      </c>
      <c r="E66" s="703"/>
      <c r="F66" s="1675"/>
      <c r="G66" s="1000"/>
      <c r="H66" s="1003" t="str">
        <f t="shared" si="13"/>
        <v>——</v>
      </c>
      <c r="I66" s="3069">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5.5">
      <c r="A67" s="1970" t="s">
        <v>2057</v>
      </c>
      <c r="B67" s="1240" t="str">
        <f>估价对象房地状况!C21</f>
        <v>估价对象所在区域公共配套设施齐备情况</v>
      </c>
      <c r="C67" s="1887"/>
      <c r="D67" s="1002">
        <f t="shared" si="12"/>
        <v>0</v>
      </c>
      <c r="E67" s="703"/>
      <c r="F67" s="1675"/>
      <c r="G67" s="1000"/>
      <c r="H67" s="1003" t="str">
        <f t="shared" si="13"/>
        <v>——</v>
      </c>
      <c r="I67" s="3069">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5.5">
      <c r="A68" s="1970" t="s">
        <v>2058</v>
      </c>
      <c r="B68" s="1240" t="str">
        <f>估价对象房地状况!C22</f>
        <v>估价对象所在区域基础设施水平</v>
      </c>
      <c r="C68" s="1887"/>
      <c r="D68" s="1002">
        <f t="shared" si="12"/>
        <v>0</v>
      </c>
      <c r="E68" s="703"/>
      <c r="F68" s="1675"/>
      <c r="G68" s="1000"/>
      <c r="H68" s="1003" t="str">
        <f t="shared" si="13"/>
        <v>——</v>
      </c>
      <c r="I68" s="3069">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26.25" thickBot="1">
      <c r="A69" s="1977" t="s">
        <v>2059</v>
      </c>
      <c r="B69" s="1979" t="str">
        <f>估价对象房地状况!C20</f>
        <v>区域自然环境：；人文环境；综合评价环境状况一般</v>
      </c>
      <c r="C69" s="1887"/>
      <c r="D69" s="1002">
        <f t="shared" si="12"/>
        <v>0</v>
      </c>
      <c r="E69" s="704"/>
      <c r="F69" s="1675"/>
      <c r="G69" s="1000"/>
      <c r="H69" s="1003" t="str">
        <f t="shared" si="13"/>
        <v>——</v>
      </c>
      <c r="I69" s="3070">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5">
      <c r="A70" s="1967" t="s">
        <v>2063</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70" t="s">
        <v>2042</v>
      </c>
      <c r="B71" s="1262"/>
      <c r="C71" s="1262" t="s">
        <v>2044</v>
      </c>
      <c r="D71" s="1262" t="s">
        <v>2045</v>
      </c>
      <c r="E71" s="701" t="s">
        <v>2046</v>
      </c>
      <c r="F71" s="1971" t="s">
        <v>2061</v>
      </c>
      <c r="G71" s="1262" t="s">
        <v>310</v>
      </c>
      <c r="H71" s="1972" t="s">
        <v>2048</v>
      </c>
      <c r="I71" s="1262" t="s">
        <v>2049</v>
      </c>
      <c r="J71" s="530" t="s">
        <v>1719</v>
      </c>
      <c r="K71" s="530" t="s">
        <v>1720</v>
      </c>
      <c r="L71" s="530" t="s">
        <v>1721</v>
      </c>
      <c r="M71" s="530" t="s">
        <v>1722</v>
      </c>
      <c r="N71" s="530" t="s">
        <v>1723</v>
      </c>
      <c r="AA71" s="1057"/>
      <c r="AB71" s="1057"/>
      <c r="AC71" s="1057"/>
      <c r="AD71" s="1057"/>
      <c r="AE71" s="1057"/>
      <c r="AF71" s="1057"/>
      <c r="AG71" s="1057"/>
      <c r="AH71" s="1057"/>
      <c r="AI71" s="1057"/>
      <c r="AJ71" s="1057"/>
      <c r="AK71" s="1057"/>
    </row>
    <row r="72" spans="1:37" s="1056" customFormat="1" ht="51">
      <c r="A72" s="1970" t="s">
        <v>2064</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9">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38.25">
      <c r="A73" s="1970" t="s">
        <v>2051</v>
      </c>
      <c r="B73" s="1262" t="str">
        <f>估价对象房地状况!C18</f>
        <v>估价对象周边道路状况、公共交通通达情况、停车便捷程度，综合评价交通便捷度较好</v>
      </c>
      <c r="C73" s="1887"/>
      <c r="D73" s="1002">
        <f t="shared" si="17"/>
        <v>0</v>
      </c>
      <c r="E73" s="705"/>
      <c r="F73" s="1675"/>
      <c r="G73" s="1000"/>
      <c r="H73" s="1003" t="str">
        <f t="shared" si="18"/>
        <v>——</v>
      </c>
      <c r="I73" s="3069">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36">
      <c r="A74" s="3071" t="s">
        <v>3267</v>
      </c>
      <c r="B74" s="1262">
        <f>估价对象房地状况!C19</f>
        <v>0</v>
      </c>
      <c r="C74" s="1887"/>
      <c r="D74" s="1002">
        <f t="shared" si="17"/>
        <v>0</v>
      </c>
      <c r="E74" s="705"/>
      <c r="F74" s="1675"/>
      <c r="G74" s="1000"/>
      <c r="H74" s="1003" t="str">
        <f t="shared" si="18"/>
        <v>——</v>
      </c>
      <c r="I74" s="3069">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4.25">
      <c r="A75" s="1970" t="s">
        <v>2065</v>
      </c>
      <c r="B75" s="1262">
        <f>估价对象房地状况!C24</f>
        <v>0</v>
      </c>
      <c r="C75" s="1887"/>
      <c r="D75" s="1002">
        <f t="shared" si="17"/>
        <v>0</v>
      </c>
      <c r="E75" s="705"/>
      <c r="F75" s="1675"/>
      <c r="G75" s="1000"/>
      <c r="H75" s="1003" t="str">
        <f t="shared" si="18"/>
        <v>——</v>
      </c>
      <c r="I75" s="3069">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5.5">
      <c r="A76" s="1970" t="s">
        <v>2057</v>
      </c>
      <c r="B76" s="1240" t="str">
        <f>估价对象房地状况!C21</f>
        <v>估价对象所在区域公共配套设施齐备情况</v>
      </c>
      <c r="C76" s="1887"/>
      <c r="D76" s="1002">
        <f t="shared" si="17"/>
        <v>0</v>
      </c>
      <c r="E76" s="705"/>
      <c r="F76" s="1675"/>
      <c r="G76" s="1000"/>
      <c r="H76" s="1003" t="str">
        <f t="shared" si="18"/>
        <v>——</v>
      </c>
      <c r="I76" s="3069">
        <v>0.08</v>
      </c>
      <c r="J76" s="1001">
        <f t="shared" si="19"/>
        <v>0</v>
      </c>
      <c r="K76" s="1001">
        <f t="shared" si="20"/>
        <v>0</v>
      </c>
      <c r="L76" s="1001">
        <v>0</v>
      </c>
      <c r="M76" s="1001">
        <f t="shared" si="21"/>
        <v>0</v>
      </c>
      <c r="N76" s="1001">
        <f t="shared" si="21"/>
        <v>0</v>
      </c>
      <c r="O76" s="1056"/>
      <c r="P76" s="1056"/>
      <c r="Z76" s="1845"/>
      <c r="AA76" s="1895"/>
      <c r="AG76" s="1058"/>
      <c r="AK76" s="1895"/>
    </row>
    <row r="77" spans="1:37" ht="25.5">
      <c r="A77" s="1970" t="s">
        <v>2058</v>
      </c>
      <c r="B77" s="1240" t="str">
        <f>估价对象房地状况!C22</f>
        <v>估价对象所在区域基础设施水平</v>
      </c>
      <c r="C77" s="1887"/>
      <c r="D77" s="1002">
        <f t="shared" si="17"/>
        <v>0</v>
      </c>
      <c r="E77" s="705"/>
      <c r="F77" s="1675"/>
      <c r="G77" s="1000"/>
      <c r="H77" s="1003" t="str">
        <f t="shared" si="18"/>
        <v>——</v>
      </c>
      <c r="I77" s="3069">
        <v>0.09</v>
      </c>
      <c r="J77" s="1001">
        <f t="shared" si="19"/>
        <v>0</v>
      </c>
      <c r="K77" s="1001">
        <f t="shared" si="20"/>
        <v>0</v>
      </c>
      <c r="L77" s="1001">
        <v>0</v>
      </c>
      <c r="M77" s="1001">
        <f t="shared" si="21"/>
        <v>0</v>
      </c>
      <c r="N77" s="1001">
        <f t="shared" si="21"/>
        <v>0</v>
      </c>
      <c r="O77" s="1056"/>
      <c r="P77" s="1056"/>
      <c r="Z77" s="1845"/>
      <c r="AA77" s="1895"/>
      <c r="AG77" s="1058"/>
      <c r="AK77" s="1895"/>
    </row>
    <row r="78" spans="1:37" ht="24">
      <c r="A78" s="1970" t="s">
        <v>2055</v>
      </c>
      <c r="B78" s="1975" t="s">
        <v>2056</v>
      </c>
      <c r="C78" s="1887"/>
      <c r="D78" s="1002">
        <f t="shared" si="17"/>
        <v>0</v>
      </c>
      <c r="E78" s="705"/>
      <c r="F78" s="1675"/>
      <c r="G78" s="1000"/>
      <c r="H78" s="1003" t="str">
        <f t="shared" si="18"/>
        <v>——</v>
      </c>
      <c r="I78" s="3069">
        <v>0.05</v>
      </c>
      <c r="J78" s="1001">
        <f t="shared" si="19"/>
        <v>0</v>
      </c>
      <c r="K78" s="1001">
        <f t="shared" si="20"/>
        <v>0</v>
      </c>
      <c r="L78" s="1001">
        <v>0</v>
      </c>
      <c r="M78" s="1001">
        <f t="shared" si="21"/>
        <v>0</v>
      </c>
      <c r="N78" s="1001">
        <f t="shared" si="21"/>
        <v>0</v>
      </c>
      <c r="O78" s="1844"/>
      <c r="P78" s="1844"/>
      <c r="Z78" s="1845"/>
      <c r="AA78" s="1895"/>
      <c r="AG78" s="1058"/>
      <c r="AK78" s="1895"/>
    </row>
    <row r="79" spans="1:37" ht="25.5">
      <c r="A79" s="1970" t="s">
        <v>2059</v>
      </c>
      <c r="B79" s="1973" t="str">
        <f>估价对象房地状况!C20</f>
        <v>区域自然环境：；人文环境；综合评价环境状况一般</v>
      </c>
      <c r="C79" s="1887"/>
      <c r="D79" s="1002">
        <f t="shared" si="17"/>
        <v>0</v>
      </c>
      <c r="E79" s="705"/>
      <c r="F79" s="1675"/>
      <c r="G79" s="1000"/>
      <c r="H79" s="1003" t="str">
        <f t="shared" si="18"/>
        <v>——</v>
      </c>
      <c r="I79" s="3069">
        <v>0.12</v>
      </c>
      <c r="J79" s="1001">
        <f t="shared" si="19"/>
        <v>0</v>
      </c>
      <c r="K79" s="1001">
        <f t="shared" si="20"/>
        <v>0</v>
      </c>
      <c r="L79" s="1001">
        <v>0</v>
      </c>
      <c r="M79" s="1001">
        <f t="shared" si="21"/>
        <v>0</v>
      </c>
      <c r="N79" s="1001">
        <f t="shared" si="21"/>
        <v>0</v>
      </c>
      <c r="Z79" s="1845"/>
      <c r="AA79" s="1895"/>
      <c r="AG79" s="1058"/>
      <c r="AK79" s="1895"/>
    </row>
    <row r="80" spans="1:37" ht="24.75" thickBot="1">
      <c r="A80" s="1977" t="s">
        <v>2066</v>
      </c>
      <c r="B80" s="1981"/>
      <c r="C80" s="1887"/>
      <c r="D80" s="1002">
        <f t="shared" si="17"/>
        <v>0</v>
      </c>
      <c r="E80" s="706"/>
      <c r="F80" s="1675"/>
      <c r="G80" s="1000"/>
      <c r="H80" s="1003" t="str">
        <f t="shared" si="18"/>
        <v>——</v>
      </c>
      <c r="I80" s="3070">
        <v>0.05</v>
      </c>
      <c r="J80" s="1001">
        <f t="shared" si="19"/>
        <v>0</v>
      </c>
      <c r="K80" s="1001">
        <f t="shared" si="20"/>
        <v>0</v>
      </c>
      <c r="L80" s="1001">
        <v>0</v>
      </c>
      <c r="M80" s="1001">
        <f t="shared" si="21"/>
        <v>0</v>
      </c>
      <c r="N80" s="1001">
        <f t="shared" si="21"/>
        <v>0</v>
      </c>
      <c r="Z80" s="1845"/>
      <c r="AA80" s="1895"/>
      <c r="AG80" s="1058"/>
      <c r="AK80" s="1895"/>
    </row>
    <row r="81" spans="1:37" ht="15">
      <c r="A81" s="1967" t="s">
        <v>2067</v>
      </c>
      <c r="B81" s="1968">
        <f>1+E83</f>
        <v>1</v>
      </c>
      <c r="C81" s="699"/>
      <c r="D81" s="699"/>
      <c r="E81" s="700"/>
      <c r="F81" s="1969"/>
      <c r="G81" s="3"/>
      <c r="H81" s="3"/>
      <c r="I81" s="3"/>
      <c r="J81" s="4"/>
      <c r="K81" s="4"/>
      <c r="L81" s="4"/>
      <c r="M81" s="4"/>
      <c r="N81" s="4"/>
      <c r="Z81" s="1845"/>
      <c r="AA81" s="1895"/>
      <c r="AG81" s="1058"/>
      <c r="AK81" s="1895"/>
    </row>
    <row r="82" spans="1:37" ht="24.75">
      <c r="A82" s="1970" t="s">
        <v>2042</v>
      </c>
      <c r="B82" s="1262"/>
      <c r="C82" s="1262" t="s">
        <v>2044</v>
      </c>
      <c r="D82" s="1262" t="s">
        <v>2045</v>
      </c>
      <c r="E82" s="701" t="s">
        <v>2046</v>
      </c>
      <c r="F82" s="1971" t="s">
        <v>2061</v>
      </c>
      <c r="G82" s="1262" t="s">
        <v>310</v>
      </c>
      <c r="H82" s="1972" t="s">
        <v>2048</v>
      </c>
      <c r="I82" s="1262" t="s">
        <v>2049</v>
      </c>
      <c r="J82" s="530" t="s">
        <v>1719</v>
      </c>
      <c r="K82" s="530" t="s">
        <v>1720</v>
      </c>
      <c r="L82" s="530" t="s">
        <v>1721</v>
      </c>
      <c r="M82" s="530" t="s">
        <v>1722</v>
      </c>
      <c r="N82" s="530" t="s">
        <v>1723</v>
      </c>
      <c r="Z82" s="1845"/>
      <c r="AA82" s="1895"/>
      <c r="AG82" s="1058"/>
      <c r="AK82" s="1895"/>
    </row>
    <row r="83" spans="1:37" ht="38.25">
      <c r="A83" s="1970" t="s">
        <v>2068</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9">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38.25">
      <c r="A84" s="1970" t="s">
        <v>2051</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9">
        <v>0.3</v>
      </c>
      <c r="J84" s="1001">
        <f t="shared" si="24"/>
        <v>0</v>
      </c>
      <c r="K84" s="1001">
        <f t="shared" si="25"/>
        <v>0</v>
      </c>
      <c r="L84" s="1001">
        <v>0</v>
      </c>
      <c r="M84" s="1001">
        <f t="shared" si="26"/>
        <v>0</v>
      </c>
      <c r="N84" s="1001">
        <f t="shared" si="26"/>
        <v>0</v>
      </c>
      <c r="Z84" s="1845"/>
      <c r="AA84" s="1895"/>
      <c r="AG84" s="1058"/>
      <c r="AK84" s="1895"/>
    </row>
    <row r="85" spans="1:37" ht="36">
      <c r="A85" s="3071" t="s">
        <v>3268</v>
      </c>
      <c r="B85" s="1262">
        <f>估价对象房地状况!G17</f>
        <v>0</v>
      </c>
      <c r="C85" s="1887"/>
      <c r="D85" s="1002">
        <f t="shared" si="22"/>
        <v>0</v>
      </c>
      <c r="E85" s="705"/>
      <c r="F85" s="1675"/>
      <c r="G85" s="1000"/>
      <c r="H85" s="1003" t="str">
        <f t="shared" si="23"/>
        <v>——</v>
      </c>
      <c r="I85" s="3069">
        <v>0.1</v>
      </c>
      <c r="J85" s="1001">
        <f t="shared" si="24"/>
        <v>0</v>
      </c>
      <c r="K85" s="1001">
        <f t="shared" si="25"/>
        <v>0</v>
      </c>
      <c r="L85" s="1001">
        <v>0</v>
      </c>
      <c r="M85" s="1001">
        <f t="shared" si="26"/>
        <v>0</v>
      </c>
      <c r="N85" s="1001">
        <f t="shared" si="26"/>
        <v>0</v>
      </c>
      <c r="Z85" s="1845"/>
      <c r="AA85" s="1895"/>
      <c r="AG85" s="1058"/>
      <c r="AK85" s="1895"/>
    </row>
    <row r="86" spans="1:37" ht="14.25">
      <c r="A86" s="1970" t="s">
        <v>2065</v>
      </c>
      <c r="B86" s="1262">
        <f>估价对象房地状况!G22</f>
        <v>0</v>
      </c>
      <c r="C86" s="1887"/>
      <c r="D86" s="1002">
        <f t="shared" si="22"/>
        <v>0</v>
      </c>
      <c r="E86" s="705"/>
      <c r="F86" s="1675"/>
      <c r="G86" s="1000"/>
      <c r="H86" s="1003" t="str">
        <f t="shared" si="23"/>
        <v>——</v>
      </c>
      <c r="I86" s="3069">
        <v>0.05</v>
      </c>
      <c r="J86" s="1001">
        <f t="shared" si="24"/>
        <v>0</v>
      </c>
      <c r="K86" s="1001">
        <f t="shared" si="25"/>
        <v>0</v>
      </c>
      <c r="L86" s="1001">
        <v>0</v>
      </c>
      <c r="M86" s="1001">
        <f t="shared" si="26"/>
        <v>0</v>
      </c>
      <c r="N86" s="1001">
        <f t="shared" si="26"/>
        <v>0</v>
      </c>
      <c r="Z86" s="1845"/>
      <c r="AA86" s="1895"/>
      <c r="AG86" s="1058"/>
      <c r="AK86" s="1895"/>
    </row>
    <row r="87" spans="1:37" ht="25.5">
      <c r="A87" s="1970" t="s">
        <v>2057</v>
      </c>
      <c r="B87" s="1240" t="str">
        <f>估价对象房地状况!G19</f>
        <v>估价对象所在区域公共配套设施齐备情况</v>
      </c>
      <c r="C87" s="1887"/>
      <c r="D87" s="1002">
        <f t="shared" si="22"/>
        <v>0</v>
      </c>
      <c r="E87" s="705"/>
      <c r="F87" s="1675"/>
      <c r="G87" s="1000"/>
      <c r="H87" s="1003" t="str">
        <f t="shared" si="23"/>
        <v>——</v>
      </c>
      <c r="I87" s="3069">
        <v>0.06</v>
      </c>
      <c r="J87" s="1001">
        <f t="shared" si="24"/>
        <v>0</v>
      </c>
      <c r="K87" s="1001">
        <f t="shared" si="25"/>
        <v>0</v>
      </c>
      <c r="L87" s="1001">
        <v>0</v>
      </c>
      <c r="M87" s="1001">
        <f t="shared" si="26"/>
        <v>0</v>
      </c>
      <c r="N87" s="1001">
        <f t="shared" si="26"/>
        <v>0</v>
      </c>
    </row>
    <row r="88" spans="1:37" ht="25.5">
      <c r="A88" s="1970" t="s">
        <v>2058</v>
      </c>
      <c r="B88" s="1240" t="str">
        <f>估价对象房地状况!G20</f>
        <v>估价对象所在区域基础设施水平</v>
      </c>
      <c r="C88" s="1887"/>
      <c r="D88" s="1002">
        <f t="shared" si="22"/>
        <v>0</v>
      </c>
      <c r="E88" s="705"/>
      <c r="F88" s="1675"/>
      <c r="G88" s="1000"/>
      <c r="H88" s="1003" t="str">
        <f t="shared" si="23"/>
        <v>——</v>
      </c>
      <c r="I88" s="3069">
        <v>0.12</v>
      </c>
      <c r="J88" s="1001">
        <f t="shared" si="24"/>
        <v>0</v>
      </c>
      <c r="K88" s="1001">
        <f t="shared" si="25"/>
        <v>0</v>
      </c>
      <c r="L88" s="1001">
        <v>0</v>
      </c>
      <c r="M88" s="1001">
        <f t="shared" si="26"/>
        <v>0</v>
      </c>
      <c r="N88" s="1001">
        <f t="shared" si="26"/>
        <v>0</v>
      </c>
    </row>
    <row r="89" spans="1:37" ht="24">
      <c r="A89" s="1970" t="s">
        <v>2055</v>
      </c>
      <c r="B89" s="1975" t="s">
        <v>2069</v>
      </c>
      <c r="C89" s="1887"/>
      <c r="D89" s="1002">
        <f t="shared" si="22"/>
        <v>0</v>
      </c>
      <c r="E89" s="705"/>
      <c r="F89" s="1675"/>
      <c r="G89" s="1000"/>
      <c r="H89" s="1003" t="str">
        <f t="shared" si="23"/>
        <v>——</v>
      </c>
      <c r="I89" s="3069">
        <v>0.06</v>
      </c>
      <c r="J89" s="1001">
        <f t="shared" si="24"/>
        <v>0</v>
      </c>
      <c r="K89" s="1001">
        <f t="shared" si="25"/>
        <v>0</v>
      </c>
      <c r="L89" s="1001">
        <v>0</v>
      </c>
      <c r="M89" s="1001">
        <f t="shared" si="26"/>
        <v>0</v>
      </c>
      <c r="N89" s="1001">
        <f t="shared" si="26"/>
        <v>0</v>
      </c>
    </row>
    <row r="90" spans="1:37" ht="39" thickBot="1">
      <c r="A90" s="1977" t="s">
        <v>2070</v>
      </c>
      <c r="B90" s="1982" t="str">
        <f>估价对象房地状况!G18</f>
        <v>该园区内是否有污染型企业，绿化情况，卫生条件，整体环境状况判断</v>
      </c>
      <c r="C90" s="1887"/>
      <c r="D90" s="1002">
        <f t="shared" si="22"/>
        <v>0</v>
      </c>
      <c r="E90" s="706"/>
      <c r="F90" s="1675"/>
      <c r="G90" s="1000"/>
      <c r="H90" s="1003" t="str">
        <f t="shared" si="23"/>
        <v>——</v>
      </c>
      <c r="I90" s="3070">
        <v>0.05</v>
      </c>
      <c r="J90" s="1001">
        <f t="shared" si="24"/>
        <v>0</v>
      </c>
      <c r="K90" s="1001">
        <f t="shared" si="25"/>
        <v>0</v>
      </c>
      <c r="L90" s="1001">
        <v>0</v>
      </c>
      <c r="M90" s="1001">
        <f t="shared" si="26"/>
        <v>0</v>
      </c>
      <c r="N90" s="1001">
        <f t="shared" si="26"/>
        <v>0</v>
      </c>
    </row>
    <row r="91" spans="1:37" ht="15">
      <c r="A91" s="3079" t="s">
        <v>2610</v>
      </c>
      <c r="B91" s="3080">
        <f>1+E93</f>
        <v>1</v>
      </c>
      <c r="C91" s="3073"/>
      <c r="D91" s="3074"/>
      <c r="E91" s="1675"/>
      <c r="F91" s="1675"/>
      <c r="G91" s="3075"/>
      <c r="H91" s="3076"/>
      <c r="I91" s="3077"/>
      <c r="J91" s="3078"/>
      <c r="K91" s="3078"/>
      <c r="L91" s="3078"/>
      <c r="M91" s="3078"/>
      <c r="N91" s="3078"/>
    </row>
    <row r="92" spans="1:37" ht="24.75">
      <c r="A92" s="3081" t="s">
        <v>3269</v>
      </c>
      <c r="B92" s="2310"/>
      <c r="C92" s="2310" t="s">
        <v>3278</v>
      </c>
      <c r="D92" s="2310" t="s">
        <v>3279</v>
      </c>
      <c r="E92" s="3053" t="s">
        <v>3280</v>
      </c>
      <c r="F92" s="3083" t="s">
        <v>3281</v>
      </c>
      <c r="G92" s="2310" t="s">
        <v>3282</v>
      </c>
      <c r="H92" s="3090" t="s">
        <v>3285</v>
      </c>
      <c r="I92" s="2310" t="s">
        <v>3286</v>
      </c>
      <c r="J92" s="2150" t="s">
        <v>3287</v>
      </c>
      <c r="K92" s="2150" t="s">
        <v>3288</v>
      </c>
      <c r="L92" s="2150" t="s">
        <v>3289</v>
      </c>
      <c r="M92" s="2150" t="s">
        <v>3290</v>
      </c>
      <c r="N92" s="2150" t="s">
        <v>3291</v>
      </c>
    </row>
    <row r="93" spans="1:37" ht="24">
      <c r="A93" s="3071" t="s">
        <v>3270</v>
      </c>
      <c r="B93" s="1221"/>
      <c r="C93" s="1887"/>
      <c r="D93" s="2310">
        <f>SUMIF($J$92:$N$92,C93,J93:N93)</f>
        <v>0</v>
      </c>
      <c r="E93" s="3084">
        <f>ROUND(SUM(D93:D101),4)</f>
        <v>0</v>
      </c>
      <c r="F93" s="1675" t="str">
        <f>IF(E2="公共服务",SUMIF(L1:L12,G2,N1:N12),"——")</f>
        <v>——</v>
      </c>
      <c r="G93" s="3075"/>
      <c r="H93" s="3120" t="str">
        <f>IFERROR(ROUNDDOWN($F$93*I93/2,4),"——")</f>
        <v>——</v>
      </c>
      <c r="I93" s="3069">
        <v>0.25</v>
      </c>
      <c r="J93" s="1912">
        <f t="shared" ref="J93:J101" si="27">K93+$G93</f>
        <v>0</v>
      </c>
      <c r="K93" s="1912">
        <f t="shared" ref="K93:K101" si="28">$L93+$G93</f>
        <v>0</v>
      </c>
      <c r="L93" s="1912">
        <v>0</v>
      </c>
      <c r="M93" s="1912">
        <f t="shared" ref="M93:N101" si="29">L93-$G93</f>
        <v>0</v>
      </c>
      <c r="N93" s="1912">
        <f t="shared" si="29"/>
        <v>0</v>
      </c>
    </row>
    <row r="94" spans="1:37" ht="38.25">
      <c r="A94" s="3081" t="s">
        <v>3271</v>
      </c>
      <c r="B94" s="3072" t="str">
        <f>估价对象房地状况!C18</f>
        <v>估价对象周边道路状况、公共交通通达情况、停车便捷程度，综合评价交通便捷度较好</v>
      </c>
      <c r="C94" s="1887"/>
      <c r="D94" s="2310">
        <f t="shared" ref="D94:D101" si="30">SUMIF($J$60:$N$60,C94,J94:N94)</f>
        <v>0</v>
      </c>
      <c r="E94" s="3085"/>
      <c r="F94" s="1675"/>
      <c r="G94" s="3075"/>
      <c r="H94" s="3120" t="str">
        <f>IFERROR(ROUNDDOWN($F$93*I94/2,4),"——")</f>
        <v>——</v>
      </c>
      <c r="I94" s="3069">
        <v>0.26</v>
      </c>
      <c r="J94" s="1912">
        <f t="shared" si="27"/>
        <v>0</v>
      </c>
      <c r="K94" s="1912">
        <f t="shared" si="28"/>
        <v>0</v>
      </c>
      <c r="L94" s="1912">
        <v>0</v>
      </c>
      <c r="M94" s="1912">
        <f t="shared" si="29"/>
        <v>0</v>
      </c>
      <c r="N94" s="1912">
        <f t="shared" si="29"/>
        <v>0</v>
      </c>
    </row>
    <row r="95" spans="1:37" ht="36">
      <c r="A95" s="3071" t="s">
        <v>3267</v>
      </c>
      <c r="B95" s="3072">
        <f>估价对象房地状况!C19</f>
        <v>0</v>
      </c>
      <c r="C95" s="1887"/>
      <c r="D95" s="2310">
        <f t="shared" si="30"/>
        <v>0</v>
      </c>
      <c r="E95" s="3085"/>
      <c r="F95" s="1675"/>
      <c r="G95" s="3075"/>
      <c r="H95" s="3120" t="str">
        <f t="shared" ref="H95:H101" si="31">IFERROR(ROUNDDOWN($F$93*I95/2,4),"——")</f>
        <v>——</v>
      </c>
      <c r="I95" s="3069">
        <v>0.11</v>
      </c>
      <c r="J95" s="1912">
        <f t="shared" si="27"/>
        <v>0</v>
      </c>
      <c r="K95" s="1912">
        <f t="shared" si="28"/>
        <v>0</v>
      </c>
      <c r="L95" s="1912">
        <v>0</v>
      </c>
      <c r="M95" s="1912">
        <f t="shared" si="29"/>
        <v>0</v>
      </c>
      <c r="N95" s="1912">
        <f t="shared" si="29"/>
        <v>0</v>
      </c>
    </row>
    <row r="96" spans="1:37" ht="36.75">
      <c r="A96" s="3081" t="s">
        <v>3272</v>
      </c>
      <c r="B96" s="3087" t="s">
        <v>3283</v>
      </c>
      <c r="C96" s="1887"/>
      <c r="D96" s="2310">
        <f t="shared" si="30"/>
        <v>0</v>
      </c>
      <c r="E96" s="3085"/>
      <c r="F96" s="1675"/>
      <c r="G96" s="3075"/>
      <c r="H96" s="3120" t="str">
        <f t="shared" si="31"/>
        <v>——</v>
      </c>
      <c r="I96" s="3069">
        <v>0.05</v>
      </c>
      <c r="J96" s="1912">
        <f t="shared" si="27"/>
        <v>0</v>
      </c>
      <c r="K96" s="1912">
        <f t="shared" si="28"/>
        <v>0</v>
      </c>
      <c r="L96" s="1912">
        <v>0</v>
      </c>
      <c r="M96" s="1912">
        <f t="shared" si="29"/>
        <v>0</v>
      </c>
      <c r="N96" s="1912">
        <f t="shared" si="29"/>
        <v>0</v>
      </c>
    </row>
    <row r="97" spans="1:14" ht="24">
      <c r="A97" s="3081" t="s">
        <v>3273</v>
      </c>
      <c r="B97" s="3072">
        <f>估价对象房地状况!C24</f>
        <v>0</v>
      </c>
      <c r="C97" s="1887"/>
      <c r="D97" s="2310">
        <f t="shared" si="30"/>
        <v>0</v>
      </c>
      <c r="E97" s="3085"/>
      <c r="F97" s="1675"/>
      <c r="G97" s="3075"/>
      <c r="H97" s="3120" t="str">
        <f t="shared" si="31"/>
        <v>——</v>
      </c>
      <c r="I97" s="3069">
        <v>0.05</v>
      </c>
      <c r="J97" s="1912">
        <f t="shared" si="27"/>
        <v>0</v>
      </c>
      <c r="K97" s="1912">
        <f t="shared" si="28"/>
        <v>0</v>
      </c>
      <c r="L97" s="1912">
        <v>0</v>
      </c>
      <c r="M97" s="1912">
        <f t="shared" si="29"/>
        <v>0</v>
      </c>
      <c r="N97" s="1912">
        <f t="shared" si="29"/>
        <v>0</v>
      </c>
    </row>
    <row r="98" spans="1:14" ht="24">
      <c r="A98" s="3081" t="s">
        <v>3274</v>
      </c>
      <c r="B98" s="3088" t="s">
        <v>3284</v>
      </c>
      <c r="C98" s="1887"/>
      <c r="D98" s="2310">
        <f t="shared" si="30"/>
        <v>0</v>
      </c>
      <c r="E98" s="3085"/>
      <c r="F98" s="1675"/>
      <c r="G98" s="3075"/>
      <c r="H98" s="3120" t="str">
        <f t="shared" si="31"/>
        <v>——</v>
      </c>
      <c r="I98" s="3069">
        <v>0.06</v>
      </c>
      <c r="J98" s="1912">
        <f t="shared" si="27"/>
        <v>0</v>
      </c>
      <c r="K98" s="1912">
        <f t="shared" si="28"/>
        <v>0</v>
      </c>
      <c r="L98" s="1912">
        <v>0</v>
      </c>
      <c r="M98" s="1912">
        <f t="shared" si="29"/>
        <v>0</v>
      </c>
      <c r="N98" s="1912">
        <f t="shared" si="29"/>
        <v>0</v>
      </c>
    </row>
    <row r="99" spans="1:14" ht="25.5">
      <c r="A99" s="3081" t="s">
        <v>3275</v>
      </c>
      <c r="B99" s="3072" t="str">
        <f>估价对象房地状况!C21</f>
        <v>估价对象所在区域公共配套设施齐备情况</v>
      </c>
      <c r="C99" s="1887"/>
      <c r="D99" s="2310">
        <f t="shared" si="30"/>
        <v>0</v>
      </c>
      <c r="E99" s="3085"/>
      <c r="F99" s="1675"/>
      <c r="G99" s="3075"/>
      <c r="H99" s="3120" t="str">
        <f t="shared" si="31"/>
        <v>——</v>
      </c>
      <c r="I99" s="3069">
        <v>0.06</v>
      </c>
      <c r="J99" s="1912">
        <f t="shared" si="27"/>
        <v>0</v>
      </c>
      <c r="K99" s="1912">
        <f t="shared" si="28"/>
        <v>0</v>
      </c>
      <c r="L99" s="1912">
        <v>0</v>
      </c>
      <c r="M99" s="1912">
        <f t="shared" si="29"/>
        <v>0</v>
      </c>
      <c r="N99" s="1912">
        <f t="shared" si="29"/>
        <v>0</v>
      </c>
    </row>
    <row r="100" spans="1:14" ht="25.5">
      <c r="A100" s="3081" t="s">
        <v>3276</v>
      </c>
      <c r="B100" s="3072" t="str">
        <f>估价对象房地状况!C22</f>
        <v>估价对象所在区域基础设施水平</v>
      </c>
      <c r="C100" s="1887"/>
      <c r="D100" s="2310">
        <f t="shared" si="30"/>
        <v>0</v>
      </c>
      <c r="E100" s="3085"/>
      <c r="F100" s="1675"/>
      <c r="G100" s="3075"/>
      <c r="H100" s="3120" t="str">
        <f t="shared" si="31"/>
        <v>——</v>
      </c>
      <c r="I100" s="3069">
        <v>0.09</v>
      </c>
      <c r="J100" s="1912">
        <f t="shared" si="27"/>
        <v>0</v>
      </c>
      <c r="K100" s="1912">
        <f t="shared" si="28"/>
        <v>0</v>
      </c>
      <c r="L100" s="1912">
        <v>0</v>
      </c>
      <c r="M100" s="1912">
        <f t="shared" si="29"/>
        <v>0</v>
      </c>
      <c r="N100" s="1912">
        <f t="shared" si="29"/>
        <v>0</v>
      </c>
    </row>
    <row r="101" spans="1:14" ht="26.25" thickBot="1">
      <c r="A101" s="3082" t="s">
        <v>3277</v>
      </c>
      <c r="B101" s="3089" t="str">
        <f>估价对象房地状况!C20</f>
        <v>区域自然环境：；人文环境；综合评价环境状况一般</v>
      </c>
      <c r="C101" s="1887"/>
      <c r="D101" s="2310">
        <f t="shared" si="30"/>
        <v>0</v>
      </c>
      <c r="E101" s="3086"/>
      <c r="F101" s="1675"/>
      <c r="G101" s="3075"/>
      <c r="H101" s="3120" t="str">
        <f t="shared" si="31"/>
        <v>——</v>
      </c>
      <c r="I101" s="3070">
        <v>7.0000000000000007E-2</v>
      </c>
      <c r="J101" s="1912">
        <f t="shared" si="27"/>
        <v>0</v>
      </c>
      <c r="K101" s="1912">
        <f t="shared" si="28"/>
        <v>0</v>
      </c>
      <c r="L101" s="1912">
        <v>0</v>
      </c>
      <c r="M101" s="1912">
        <f t="shared" si="29"/>
        <v>0</v>
      </c>
      <c r="N101" s="1912">
        <f t="shared" si="29"/>
        <v>0</v>
      </c>
    </row>
    <row r="103" spans="1:14">
      <c r="A103" s="3684" t="s">
        <v>3292</v>
      </c>
      <c r="B103" s="3684"/>
      <c r="C103" s="3684"/>
      <c r="D103" s="3684"/>
      <c r="E103" s="3684"/>
      <c r="F103" s="3684"/>
      <c r="G103" s="3684"/>
      <c r="H103" s="3684"/>
      <c r="I103" s="3684"/>
      <c r="J103" s="3684"/>
      <c r="K103" s="1667"/>
      <c r="L103" s="1667"/>
      <c r="M103" s="1667"/>
      <c r="N103" s="1667"/>
    </row>
    <row r="104" spans="1:14">
      <c r="A104" s="3685" t="s">
        <v>3293</v>
      </c>
      <c r="B104" s="3685" t="s">
        <v>3294</v>
      </c>
      <c r="C104" s="3091" t="s">
        <v>3295</v>
      </c>
      <c r="D104" s="3092"/>
      <c r="E104" s="3092"/>
      <c r="F104" s="3092"/>
      <c r="G104" s="3092"/>
      <c r="H104" s="3092"/>
      <c r="I104" s="3092"/>
      <c r="J104" s="3093"/>
      <c r="K104" s="3094"/>
      <c r="L104" s="3094"/>
      <c r="M104" s="3094"/>
      <c r="N104" s="3094"/>
    </row>
    <row r="105" spans="1:14">
      <c r="A105" s="3685"/>
      <c r="B105" s="3685"/>
      <c r="C105" s="3095" t="s">
        <v>3296</v>
      </c>
      <c r="D105" s="3095" t="s">
        <v>3297</v>
      </c>
      <c r="E105" s="3095" t="s">
        <v>3298</v>
      </c>
      <c r="F105" s="3095" t="s">
        <v>3299</v>
      </c>
      <c r="G105" s="3095" t="s">
        <v>3300</v>
      </c>
      <c r="H105" s="3095" t="s">
        <v>3301</v>
      </c>
      <c r="I105" s="3095" t="s">
        <v>3302</v>
      </c>
      <c r="J105" s="3095" t="s">
        <v>3303</v>
      </c>
      <c r="K105" s="3095" t="s">
        <v>3304</v>
      </c>
      <c r="L105" s="3095" t="s">
        <v>3305</v>
      </c>
      <c r="M105" s="3095" t="s">
        <v>3306</v>
      </c>
      <c r="N105" s="3095" t="s">
        <v>3307</v>
      </c>
    </row>
    <row r="106" spans="1:14">
      <c r="A106" s="3671" t="s">
        <v>3308</v>
      </c>
      <c r="B106" s="3095">
        <v>1</v>
      </c>
      <c r="C106" s="3095">
        <v>1.5206</v>
      </c>
      <c r="D106" s="3095">
        <v>1.5206</v>
      </c>
      <c r="E106" s="3095">
        <v>1.5019</v>
      </c>
      <c r="F106" s="3095">
        <v>1.5019</v>
      </c>
      <c r="G106" s="3095">
        <v>1.5019</v>
      </c>
      <c r="H106" s="3095">
        <v>1.5019</v>
      </c>
      <c r="I106" s="3095">
        <v>1.5019</v>
      </c>
      <c r="J106" s="3095">
        <v>1.5418000000000001</v>
      </c>
      <c r="K106" s="3095">
        <v>1.5418000000000001</v>
      </c>
      <c r="L106" s="3095">
        <v>1.5418000000000001</v>
      </c>
      <c r="M106" s="3095">
        <v>1.5418000000000001</v>
      </c>
      <c r="N106" s="3095">
        <v>1.5418000000000001</v>
      </c>
    </row>
    <row r="107" spans="1:14">
      <c r="A107" s="3672"/>
      <c r="B107" s="3095">
        <v>2</v>
      </c>
      <c r="C107" s="3095">
        <v>1.2072000000000001</v>
      </c>
      <c r="D107" s="3095">
        <v>1.2072000000000001</v>
      </c>
      <c r="E107" s="3095">
        <v>1.1838</v>
      </c>
      <c r="F107" s="3095">
        <v>1.1838</v>
      </c>
      <c r="G107" s="3095">
        <v>1.1838</v>
      </c>
      <c r="H107" s="3095">
        <v>1.1838</v>
      </c>
      <c r="I107" s="3095">
        <v>1.1838</v>
      </c>
      <c r="J107" s="3095">
        <v>1.1883999999999999</v>
      </c>
      <c r="K107" s="3095">
        <v>1.1883999999999999</v>
      </c>
      <c r="L107" s="3095">
        <v>1.1883999999999999</v>
      </c>
      <c r="M107" s="3095">
        <v>1.1883999999999999</v>
      </c>
      <c r="N107" s="3095">
        <v>1.1883999999999999</v>
      </c>
    </row>
    <row r="108" spans="1:14">
      <c r="A108" s="3672"/>
      <c r="B108" s="3095">
        <v>3</v>
      </c>
      <c r="C108" s="3095">
        <v>1.0430999999999999</v>
      </c>
      <c r="D108" s="3095">
        <v>1.0430999999999999</v>
      </c>
      <c r="E108" s="3095">
        <v>1.0004999999999999</v>
      </c>
      <c r="F108" s="3095">
        <v>1.0004999999999999</v>
      </c>
      <c r="G108" s="3095">
        <v>1.0004999999999999</v>
      </c>
      <c r="H108" s="3095">
        <v>1.0004999999999999</v>
      </c>
      <c r="I108" s="3095">
        <v>1.0004999999999999</v>
      </c>
      <c r="J108" s="3095">
        <v>0.96940000000000004</v>
      </c>
      <c r="K108" s="3095">
        <v>0.96940000000000004</v>
      </c>
      <c r="L108" s="3095">
        <v>0.96940000000000004</v>
      </c>
      <c r="M108" s="3095">
        <v>0.96940000000000004</v>
      </c>
      <c r="N108" s="3095">
        <v>0.96940000000000004</v>
      </c>
    </row>
    <row r="109" spans="1:14">
      <c r="A109" s="3672"/>
      <c r="B109" s="3095">
        <v>4</v>
      </c>
      <c r="C109" s="3095">
        <v>0.94389999999999996</v>
      </c>
      <c r="D109" s="3095">
        <v>0.94389999999999996</v>
      </c>
      <c r="E109" s="3095">
        <v>0.88239999999999996</v>
      </c>
      <c r="F109" s="3095">
        <v>0.88239999999999996</v>
      </c>
      <c r="G109" s="3095">
        <v>0.88239999999999996</v>
      </c>
      <c r="H109" s="3095">
        <v>0.88239999999999996</v>
      </c>
      <c r="I109" s="3095">
        <v>0.88239999999999996</v>
      </c>
      <c r="J109" s="3095">
        <v>0.82299999999999995</v>
      </c>
      <c r="K109" s="3095">
        <v>0.82299999999999995</v>
      </c>
      <c r="L109" s="3095">
        <v>0.82299999999999995</v>
      </c>
      <c r="M109" s="3095">
        <v>0.82299999999999995</v>
      </c>
      <c r="N109" s="3095">
        <v>0.82299999999999995</v>
      </c>
    </row>
    <row r="110" spans="1:14">
      <c r="A110" s="3672"/>
      <c r="B110" s="3095">
        <v>5</v>
      </c>
      <c r="C110" s="3095">
        <v>0.89959999999999996</v>
      </c>
      <c r="D110" s="3095">
        <v>0.89959999999999996</v>
      </c>
      <c r="E110" s="3095">
        <v>0.84799999999999998</v>
      </c>
      <c r="F110" s="3095">
        <v>0.84799999999999998</v>
      </c>
      <c r="G110" s="3095">
        <v>0.84799999999999998</v>
      </c>
      <c r="H110" s="3095">
        <v>0.84799999999999998</v>
      </c>
      <c r="I110" s="3095">
        <v>0.84799999999999998</v>
      </c>
      <c r="J110" s="3095">
        <v>0.74980000000000002</v>
      </c>
      <c r="K110" s="3095">
        <v>0.74980000000000002</v>
      </c>
      <c r="L110" s="3095">
        <v>0.74980000000000002</v>
      </c>
      <c r="M110" s="3095">
        <v>0.74980000000000002</v>
      </c>
      <c r="N110" s="3095">
        <v>0.74980000000000002</v>
      </c>
    </row>
    <row r="111" spans="1:14">
      <c r="A111" s="3672"/>
      <c r="B111" s="3095" t="s">
        <v>3266</v>
      </c>
      <c r="C111" s="3096">
        <f>$I$3</f>
        <v>0</v>
      </c>
      <c r="D111" s="3096">
        <f t="shared" ref="D111:M111" si="32">$I$3</f>
        <v>0</v>
      </c>
      <c r="E111" s="3096">
        <f t="shared" si="32"/>
        <v>0</v>
      </c>
      <c r="F111" s="3096">
        <f t="shared" si="32"/>
        <v>0</v>
      </c>
      <c r="G111" s="3096">
        <f t="shared" si="32"/>
        <v>0</v>
      </c>
      <c r="H111" s="3096">
        <f t="shared" si="32"/>
        <v>0</v>
      </c>
      <c r="I111" s="3096">
        <f t="shared" si="32"/>
        <v>0</v>
      </c>
      <c r="J111" s="3096">
        <f t="shared" si="32"/>
        <v>0</v>
      </c>
      <c r="K111" s="3096">
        <f t="shared" si="32"/>
        <v>0</v>
      </c>
      <c r="L111" s="3096">
        <f t="shared" si="32"/>
        <v>0</v>
      </c>
      <c r="M111" s="3096">
        <f t="shared" si="32"/>
        <v>0</v>
      </c>
      <c r="N111" s="3096">
        <f>$I$3</f>
        <v>0</v>
      </c>
    </row>
    <row r="112" spans="1:14">
      <c r="A112" s="3673"/>
      <c r="B112" s="3095">
        <v>6</v>
      </c>
      <c r="C112" s="3090">
        <f>(-0.5556*(C111^2)-0.2719*C111+8944)*(10^(-4))</f>
        <v>0.89440000000000008</v>
      </c>
      <c r="D112" s="3090">
        <f>(-0.5556*(D111^2)-0.2719*D111+8944)*(10^(-4))</f>
        <v>0.89440000000000008</v>
      </c>
      <c r="E112" s="3090">
        <f>(-0.7912*(E111^2)-11.3794*E111+8482)*(10^(-4))</f>
        <v>0.84820000000000007</v>
      </c>
      <c r="F112" s="3090">
        <f t="shared" ref="F112:I112" si="33">(-0.7912*(F111^2)-11.3794*F111+8482)*(10^(-4))</f>
        <v>0.84820000000000007</v>
      </c>
      <c r="G112" s="3090">
        <f t="shared" si="33"/>
        <v>0.84820000000000007</v>
      </c>
      <c r="H112" s="3090">
        <f t="shared" si="33"/>
        <v>0.84820000000000007</v>
      </c>
      <c r="I112" s="3090">
        <f t="shared" si="33"/>
        <v>0.84820000000000007</v>
      </c>
      <c r="J112" s="3090">
        <f>(-0.989*(J111^2)-63.78*J111+7771)*(10^(-4))</f>
        <v>0.77710000000000001</v>
      </c>
      <c r="K112" s="3090">
        <f t="shared" ref="K112:N112" si="34">(-0.989*(K111^2)-63.78*K111+7771)*(10^(-4))</f>
        <v>0.77710000000000001</v>
      </c>
      <c r="L112" s="3090">
        <f t="shared" si="34"/>
        <v>0.77710000000000001</v>
      </c>
      <c r="M112" s="3090">
        <f t="shared" si="34"/>
        <v>0.77710000000000001</v>
      </c>
      <c r="N112" s="3090">
        <f t="shared" si="34"/>
        <v>0.77710000000000001</v>
      </c>
    </row>
    <row r="113" spans="1:14">
      <c r="A113" s="3674" t="s">
        <v>3309</v>
      </c>
      <c r="B113" s="3674"/>
      <c r="C113" s="3674"/>
      <c r="D113" s="3674"/>
      <c r="E113" s="3674"/>
      <c r="F113" s="3674"/>
      <c r="G113" s="3674"/>
      <c r="H113" s="3674"/>
      <c r="I113" s="3674"/>
      <c r="J113" s="3674"/>
      <c r="K113" s="3097"/>
      <c r="L113" s="3097"/>
      <c r="M113" s="3097"/>
      <c r="N113" s="3097"/>
    </row>
    <row r="114" spans="1:14">
      <c r="A114" s="3098"/>
      <c r="B114" s="3098"/>
      <c r="C114" s="3098"/>
      <c r="D114" s="3098"/>
      <c r="E114" s="3098"/>
      <c r="F114" s="3098"/>
      <c r="G114" s="3098"/>
      <c r="H114" s="3098"/>
      <c r="I114" s="3098"/>
      <c r="J114" s="3098"/>
      <c r="K114" s="1964"/>
      <c r="L114" s="3098"/>
      <c r="M114" s="3098"/>
      <c r="N114" s="3098"/>
    </row>
    <row r="115" spans="1:14" ht="13.5" thickBot="1">
      <c r="A115" s="3098"/>
      <c r="B115" s="3098"/>
      <c r="C115" s="3098"/>
      <c r="D115" s="3098"/>
      <c r="E115" s="3098"/>
      <c r="F115" s="3098"/>
      <c r="G115" s="3098"/>
      <c r="H115" s="3098"/>
      <c r="I115" s="3098"/>
      <c r="J115" s="3098"/>
      <c r="K115" s="1964"/>
      <c r="L115" s="3098"/>
      <c r="M115" s="3098"/>
      <c r="N115" s="3098"/>
    </row>
    <row r="116" spans="1:14" ht="25.5" thickBot="1">
      <c r="A116" s="3099" t="s">
        <v>3310</v>
      </c>
      <c r="B116" s="3115">
        <f>G3</f>
        <v>0</v>
      </c>
      <c r="C116" s="3100" t="s">
        <v>3311</v>
      </c>
      <c r="D116" s="3101">
        <f>SUMPRODUCT((A118:A122=F116)*(B117:M117=H116)*B118:M122)</f>
        <v>0</v>
      </c>
      <c r="E116" s="162" t="s">
        <v>3312</v>
      </c>
      <c r="F116" s="3102">
        <f>E2</f>
        <v>0</v>
      </c>
      <c r="G116" s="162" t="s">
        <v>3313</v>
      </c>
      <c r="H116" s="3102">
        <f>G2</f>
        <v>0</v>
      </c>
      <c r="I116" s="162"/>
      <c r="J116" s="3103"/>
      <c r="K116" s="3103"/>
      <c r="L116" s="3103"/>
      <c r="M116" s="3103"/>
      <c r="N116" s="3098"/>
    </row>
    <row r="117" spans="1:14">
      <c r="A117" s="3104"/>
      <c r="B117" s="3105" t="s">
        <v>3314</v>
      </c>
      <c r="C117" s="3105" t="s">
        <v>3315</v>
      </c>
      <c r="D117" s="3105" t="s">
        <v>3316</v>
      </c>
      <c r="E117" s="3106" t="s">
        <v>3317</v>
      </c>
      <c r="F117" s="3106" t="s">
        <v>3318</v>
      </c>
      <c r="G117" s="3106" t="s">
        <v>3319</v>
      </c>
      <c r="H117" s="3107" t="s">
        <v>3320</v>
      </c>
      <c r="I117" s="3107" t="s">
        <v>3321</v>
      </c>
      <c r="J117" s="3108" t="s">
        <v>3322</v>
      </c>
      <c r="K117" s="3108" t="s">
        <v>3323</v>
      </c>
      <c r="L117" s="3108" t="s">
        <v>3324</v>
      </c>
      <c r="M117" s="3109" t="s">
        <v>3325</v>
      </c>
      <c r="N117" s="3098"/>
    </row>
    <row r="118" spans="1:14">
      <c r="A118" s="3058" t="s">
        <v>3326</v>
      </c>
      <c r="B118" s="3090">
        <f>ROUND(0.9968-0.011*B116,4)</f>
        <v>0.99680000000000002</v>
      </c>
      <c r="C118" s="3090">
        <f>B118</f>
        <v>0.99680000000000002</v>
      </c>
      <c r="D118" s="3090">
        <f>ROUND(0.949-0.014*B116,4)</f>
        <v>0.94899999999999995</v>
      </c>
      <c r="E118" s="3090">
        <f>D118</f>
        <v>0.94899999999999995</v>
      </c>
      <c r="F118" s="3090">
        <f>E118</f>
        <v>0.94899999999999995</v>
      </c>
      <c r="G118" s="3090">
        <f>F118</f>
        <v>0.94899999999999995</v>
      </c>
      <c r="H118" s="3090">
        <f>G118</f>
        <v>0.94899999999999995</v>
      </c>
      <c r="I118" s="3090">
        <f>ROUND(0.8486-0.018*B116,4)</f>
        <v>0.84860000000000002</v>
      </c>
      <c r="J118" s="3090">
        <f t="shared" ref="J118:M122" si="35">I118</f>
        <v>0.84860000000000002</v>
      </c>
      <c r="K118" s="3090">
        <f t="shared" si="35"/>
        <v>0.84860000000000002</v>
      </c>
      <c r="L118" s="3090">
        <f t="shared" si="35"/>
        <v>0.84860000000000002</v>
      </c>
      <c r="M118" s="3110">
        <f t="shared" si="35"/>
        <v>0.84860000000000002</v>
      </c>
      <c r="N118" s="3098"/>
    </row>
    <row r="119" spans="1:14">
      <c r="A119" s="3058" t="s">
        <v>3327</v>
      </c>
      <c r="B119" s="3090">
        <f>ROUND(0.993-0.0112*B116,4)</f>
        <v>0.99299999999999999</v>
      </c>
      <c r="C119" s="3090">
        <f>B119</f>
        <v>0.99299999999999999</v>
      </c>
      <c r="D119" s="3090">
        <f>ROUND(0.9415-0.0142*B116,4)</f>
        <v>0.9415</v>
      </c>
      <c r="E119" s="3090">
        <f t="shared" ref="E119:H120" si="36">D119</f>
        <v>0.9415</v>
      </c>
      <c r="F119" s="3090">
        <f t="shared" si="36"/>
        <v>0.9415</v>
      </c>
      <c r="G119" s="3090">
        <f t="shared" si="36"/>
        <v>0.9415</v>
      </c>
      <c r="H119" s="3090">
        <f t="shared" si="36"/>
        <v>0.9415</v>
      </c>
      <c r="I119" s="3090">
        <f>ROUND(0.838-0.0182*B116,4)</f>
        <v>0.83799999999999997</v>
      </c>
      <c r="J119" s="3090">
        <f t="shared" si="35"/>
        <v>0.83799999999999997</v>
      </c>
      <c r="K119" s="3090">
        <f t="shared" si="35"/>
        <v>0.83799999999999997</v>
      </c>
      <c r="L119" s="3090">
        <f t="shared" si="35"/>
        <v>0.83799999999999997</v>
      </c>
      <c r="M119" s="3110">
        <f t="shared" si="35"/>
        <v>0.83799999999999997</v>
      </c>
      <c r="N119" s="3098"/>
    </row>
    <row r="120" spans="1:14">
      <c r="A120" s="3058" t="s">
        <v>3328</v>
      </c>
      <c r="B120" s="3090">
        <f>ROUND(0.9448-0.0115*B116,4)</f>
        <v>0.94479999999999997</v>
      </c>
      <c r="C120" s="3090">
        <f>B120</f>
        <v>0.94479999999999997</v>
      </c>
      <c r="D120" s="3090">
        <f>ROUND(0.937-0.0145*B116,4)</f>
        <v>0.93700000000000006</v>
      </c>
      <c r="E120" s="3090">
        <f t="shared" si="36"/>
        <v>0.93700000000000006</v>
      </c>
      <c r="F120" s="3090">
        <f t="shared" si="36"/>
        <v>0.93700000000000006</v>
      </c>
      <c r="G120" s="3090">
        <f t="shared" si="36"/>
        <v>0.93700000000000006</v>
      </c>
      <c r="H120" s="3090">
        <f t="shared" si="36"/>
        <v>0.93700000000000006</v>
      </c>
      <c r="I120" s="3090">
        <f>ROUND(0.7965-0.0185*B116,4)</f>
        <v>0.79649999999999999</v>
      </c>
      <c r="J120" s="3090">
        <f t="shared" si="35"/>
        <v>0.79649999999999999</v>
      </c>
      <c r="K120" s="3090">
        <f t="shared" si="35"/>
        <v>0.79649999999999999</v>
      </c>
      <c r="L120" s="3090">
        <f t="shared" si="35"/>
        <v>0.79649999999999999</v>
      </c>
      <c r="M120" s="3110">
        <f t="shared" si="35"/>
        <v>0.79649999999999999</v>
      </c>
      <c r="N120" s="3098"/>
    </row>
    <row r="121" spans="1:14" ht="13.5" thickBot="1">
      <c r="A121" s="3111" t="s">
        <v>3329</v>
      </c>
      <c r="B121" s="3112">
        <f>ROUND(0.7836-0.012*B116,4)</f>
        <v>0.78359999999999996</v>
      </c>
      <c r="C121" s="3112">
        <f>B121</f>
        <v>0.78359999999999996</v>
      </c>
      <c r="D121" s="3112">
        <f>ROUND(0.753-0.015*B116,4)</f>
        <v>0.753</v>
      </c>
      <c r="E121" s="3112">
        <f>D121</f>
        <v>0.753</v>
      </c>
      <c r="F121" s="3112">
        <f>E121</f>
        <v>0.753</v>
      </c>
      <c r="G121" s="3112">
        <f>ROUND(0.6612-0.018*B116,4)</f>
        <v>0.66120000000000001</v>
      </c>
      <c r="H121" s="3112">
        <f>G121</f>
        <v>0.66120000000000001</v>
      </c>
      <c r="I121" s="3112">
        <f>ROUND(0.5905-0.019*B116,4)</f>
        <v>0.59050000000000002</v>
      </c>
      <c r="J121" s="3112">
        <f t="shared" si="35"/>
        <v>0.59050000000000002</v>
      </c>
      <c r="K121" s="3112">
        <f t="shared" si="35"/>
        <v>0.59050000000000002</v>
      </c>
      <c r="L121" s="3112">
        <f t="shared" si="35"/>
        <v>0.59050000000000002</v>
      </c>
      <c r="M121" s="3113">
        <f t="shared" si="35"/>
        <v>0.59050000000000002</v>
      </c>
      <c r="N121" s="3098"/>
    </row>
    <row r="122" spans="1:14">
      <c r="A122" s="3114" t="s">
        <v>2610</v>
      </c>
      <c r="B122" s="3090">
        <f>ROUND(0.9404-0.0106*B116,4)</f>
        <v>0.94040000000000001</v>
      </c>
      <c r="C122" s="3090">
        <f>B122</f>
        <v>0.94040000000000001</v>
      </c>
      <c r="D122" s="3090">
        <f>ROUND(0.8955-0.0135*B116,4)</f>
        <v>0.89549999999999996</v>
      </c>
      <c r="E122" s="3090">
        <f t="shared" ref="E122:H122" si="37">D122</f>
        <v>0.89549999999999996</v>
      </c>
      <c r="F122" s="3090">
        <f t="shared" si="37"/>
        <v>0.89549999999999996</v>
      </c>
      <c r="G122" s="3090">
        <f t="shared" si="37"/>
        <v>0.89549999999999996</v>
      </c>
      <c r="H122" s="3090">
        <f t="shared" si="37"/>
        <v>0.89549999999999996</v>
      </c>
      <c r="I122" s="3090">
        <f>ROUND(0.7632-0.0166*B116,4)</f>
        <v>0.76319999999999999</v>
      </c>
      <c r="J122" s="3090">
        <f t="shared" si="35"/>
        <v>0.76319999999999999</v>
      </c>
      <c r="K122" s="3090">
        <f t="shared" si="35"/>
        <v>0.76319999999999999</v>
      </c>
      <c r="L122" s="3090">
        <f t="shared" si="35"/>
        <v>0.76319999999999999</v>
      </c>
      <c r="M122" s="3110">
        <f t="shared" si="35"/>
        <v>0.76319999999999999</v>
      </c>
      <c r="N122" s="30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8" type="noConversion"/>
  <conditionalFormatting sqref="F50">
    <cfRule type="cellIs" dxfId="12" priority="6" stopIfTrue="1" operator="notEqual">
      <formula>"——"</formula>
    </cfRule>
  </conditionalFormatting>
  <conditionalFormatting sqref="F61">
    <cfRule type="cellIs" dxfId="11" priority="5" stopIfTrue="1" operator="notEqual">
      <formula>"——"</formula>
    </cfRule>
  </conditionalFormatting>
  <conditionalFormatting sqref="F72">
    <cfRule type="cellIs" dxfId="10" priority="4" stopIfTrue="1" operator="notEqual">
      <formula>"——"</formula>
    </cfRule>
  </conditionalFormatting>
  <conditionalFormatting sqref="F83">
    <cfRule type="cellIs" dxfId="9" priority="3" stopIfTrue="1" operator="notEqual">
      <formula>"——"</formula>
    </cfRule>
  </conditionalFormatting>
  <conditionalFormatting sqref="H50:H58 H61:H69 H72:H80 H83:H91">
    <cfRule type="cellIs" dxfId="8" priority="2" operator="notEqual">
      <formula>"——"</formula>
    </cfRule>
  </conditionalFormatting>
  <conditionalFormatting sqref="H93:H101">
    <cfRule type="cellIs" dxfId="7" priority="1" operator="notEqual">
      <formula>"——"</formula>
    </cfRule>
  </conditionalFormatting>
  <dataValidations count="12">
    <dataValidation type="list" allowBlank="1" showInputMessage="1" showErrorMessage="1" sqref="E15" xr:uid="{00000000-0002-0000-2200-000000000000}">
      <formula1>"500米范围内,500-1000米,1000米以外"</formula1>
    </dataValidation>
    <dataValidation type="list" allowBlank="1" showInputMessage="1" showErrorMessage="1" sqref="C15:D15" xr:uid="{00000000-0002-0000-2200-000001000000}">
      <formula1>"有,无"</formula1>
    </dataValidation>
    <dataValidation type="list" allowBlank="1" showInputMessage="1" showErrorMessage="1" sqref="B25" xr:uid="{00000000-0002-0000-2200-000002000000}">
      <formula1>"容积率修正,楼层修正"</formula1>
    </dataValidation>
    <dataValidation type="list" allowBlank="1" showInputMessage="1" showErrorMessage="1" sqref="F21" xr:uid="{00000000-0002-0000-2200-000003000000}">
      <formula1>"与级别开发程度一致,与级别开发程度不一致"</formula1>
    </dataValidation>
    <dataValidation type="list" allowBlank="1" showInputMessage="1" showErrorMessage="1" sqref="E2" xr:uid="{00000000-0002-0000-2200-000004000000}">
      <formula1>"商业,办公,住宅,工业,公共服务"</formula1>
    </dataValidation>
    <dataValidation type="list" allowBlank="1" showInputMessage="1" showErrorMessage="1" sqref="F3" xr:uid="{00000000-0002-0000-2200-000005000000}">
      <formula1>"宗地容积率,估价对象容积率,自定义容积率"</formula1>
    </dataValidation>
    <dataValidation type="list" allowBlank="1" showInputMessage="1" showErrorMessage="1" sqref="C8" xr:uid="{00000000-0002-0000-2200-000006000000}">
      <formula1>商业街名称</formula1>
    </dataValidation>
    <dataValidation type="list" allowBlank="1" showInputMessage="1" showErrorMessage="1" sqref="E3" xr:uid="{00000000-0002-0000-2200-000007000000}">
      <formula1>二级分类</formula1>
    </dataValidation>
    <dataValidation type="list" allowBlank="1" showInputMessage="1" showErrorMessage="1" sqref="C61:C69 C72:C80 C50:C58 C83:C91 C93:C101" xr:uid="{00000000-0002-0000-2200-000008000000}">
      <formula1>五等判定</formula1>
    </dataValidation>
    <dataValidation type="list" allowBlank="1" showInputMessage="1" showErrorMessage="1" sqref="H23" xr:uid="{00000000-0002-0000-2200-000009000000}">
      <formula1>"地价指数,季度增幅（自定义）,按公示增长率计算"</formula1>
    </dataValidation>
    <dataValidation type="list" allowBlank="1" showInputMessage="1" showErrorMessage="1" sqref="H20:O20" xr:uid="{00000000-0002-0000-2200-00000A000000}">
      <formula1>七通一平</formula1>
    </dataValidation>
    <dataValidation type="list" allowBlank="1" showInputMessage="1" showErrorMessage="1" sqref="J23" xr:uid="{00000000-0002-0000-22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T865"/>
  <sheetViews>
    <sheetView zoomScaleNormal="100" workbookViewId="0">
      <pane xSplit="4" ySplit="1" topLeftCell="E2" activePane="bottomRight" state="frozen"/>
      <selection pane="topRight" activeCell="E1" sqref="E1"/>
      <selection pane="bottomLeft" activeCell="A2" sqref="A2"/>
      <selection pane="bottomRight" activeCell="I50" sqref="I50"/>
    </sheetView>
  </sheetViews>
  <sheetFormatPr defaultColWidth="9" defaultRowHeight="13.5"/>
  <cols>
    <col min="1" max="1" width="4.875" style="3172" customWidth="1"/>
    <col min="2" max="2" width="6.5" style="3172" customWidth="1"/>
    <col min="3" max="3" width="23.625" style="3172" bestFit="1" customWidth="1"/>
    <col min="4" max="4" width="19.25" style="3172" bestFit="1" customWidth="1"/>
    <col min="5" max="5" width="11.875" style="3172" customWidth="1"/>
    <col min="6" max="6" width="11.375" style="3172" bestFit="1" customWidth="1"/>
    <col min="7" max="7" width="9.375" style="3191" bestFit="1" customWidth="1"/>
    <col min="8" max="8" width="13.25" style="3193" bestFit="1" customWidth="1"/>
    <col min="9" max="10" width="12.5" style="3172" bestFit="1" customWidth="1"/>
    <col min="11" max="11" width="12.125" style="3172" customWidth="1"/>
    <col min="12" max="12" width="15.5" style="3194" bestFit="1" customWidth="1"/>
    <col min="13" max="13" width="16.625" style="3172" bestFit="1" customWidth="1"/>
    <col min="14" max="14" width="16.625" style="3195" customWidth="1"/>
    <col min="15" max="15" width="11.625" style="3195" bestFit="1" customWidth="1"/>
    <col min="16" max="16" width="11.625" style="3172" bestFit="1" customWidth="1"/>
    <col min="17" max="17" width="9.375" style="3172" bestFit="1" customWidth="1"/>
    <col min="18" max="18" width="9.25" style="3172" bestFit="1" customWidth="1"/>
    <col min="19" max="19" width="9" style="3172"/>
    <col min="20" max="20" width="9" style="3192"/>
    <col min="21" max="16384" width="9" style="3172"/>
  </cols>
  <sheetData>
    <row r="1" spans="1:20">
      <c r="A1" s="3164" t="s">
        <v>3442</v>
      </c>
      <c r="B1" s="3164" t="s">
        <v>3443</v>
      </c>
      <c r="C1" s="3164" t="s">
        <v>3444</v>
      </c>
      <c r="D1" s="3165" t="s">
        <v>3445</v>
      </c>
      <c r="E1" s="3164" t="s">
        <v>3446</v>
      </c>
      <c r="F1" s="3164" t="s">
        <v>3447</v>
      </c>
      <c r="G1" s="3166" t="s">
        <v>3416</v>
      </c>
      <c r="H1" s="3167" t="s">
        <v>3448</v>
      </c>
      <c r="I1" s="3164" t="s">
        <v>3449</v>
      </c>
      <c r="J1" s="3164" t="s">
        <v>3450</v>
      </c>
      <c r="K1" s="3164" t="s">
        <v>3451</v>
      </c>
      <c r="L1" s="3168" t="s">
        <v>3452</v>
      </c>
      <c r="M1" s="3164" t="s">
        <v>3453</v>
      </c>
      <c r="N1" s="3169" t="s">
        <v>3454</v>
      </c>
      <c r="O1" s="3170" t="s">
        <v>3455</v>
      </c>
      <c r="P1" s="3164" t="s">
        <v>3456</v>
      </c>
      <c r="Q1" s="3170" t="s">
        <v>3457</v>
      </c>
      <c r="R1" s="3170" t="s">
        <v>3458</v>
      </c>
      <c r="S1" s="3164" t="s">
        <v>3459</v>
      </c>
      <c r="T1" s="3171" t="s">
        <v>3460</v>
      </c>
    </row>
    <row r="2" spans="1:20">
      <c r="A2" s="3165">
        <v>1</v>
      </c>
      <c r="B2" s="3165" t="s">
        <v>3461</v>
      </c>
      <c r="C2" s="3165" t="s">
        <v>3462</v>
      </c>
      <c r="D2" s="3173">
        <v>7</v>
      </c>
      <c r="E2" s="3174"/>
      <c r="F2" s="3165">
        <v>44</v>
      </c>
      <c r="G2" s="3175">
        <v>122.87</v>
      </c>
      <c r="H2" s="3165"/>
      <c r="I2" s="3165">
        <v>123.31</v>
      </c>
      <c r="J2" s="3165">
        <v>70.760000000000005</v>
      </c>
      <c r="K2" s="3165"/>
      <c r="L2" s="3165">
        <f>I2+J2</f>
        <v>194.07</v>
      </c>
      <c r="M2" s="3165">
        <v>253.4</v>
      </c>
      <c r="N2" s="3165">
        <f>I2+J2+M2</f>
        <v>447.47</v>
      </c>
      <c r="O2" s="3176">
        <v>44578</v>
      </c>
      <c r="P2" s="3177">
        <v>44981</v>
      </c>
      <c r="Q2" s="3178">
        <v>1179.21</v>
      </c>
      <c r="R2" s="3165">
        <f t="shared" ref="R2:R19" si="0">Q2/N2*10000</f>
        <v>26352.8281225557</v>
      </c>
      <c r="S2" s="3165" t="s">
        <v>3463</v>
      </c>
      <c r="T2" s="3171"/>
    </row>
    <row r="3" spans="1:20">
      <c r="A3" s="3165">
        <v>2</v>
      </c>
      <c r="B3" s="3165" t="s">
        <v>3464</v>
      </c>
      <c r="C3" s="3165" t="s">
        <v>3462</v>
      </c>
      <c r="D3" s="3173">
        <v>8</v>
      </c>
      <c r="E3" s="3174"/>
      <c r="F3" s="3165">
        <v>51</v>
      </c>
      <c r="G3" s="3175">
        <v>122.87</v>
      </c>
      <c r="H3" s="3165"/>
      <c r="I3" s="3165">
        <v>123.31</v>
      </c>
      <c r="J3" s="3165">
        <v>70.760000000000005</v>
      </c>
      <c r="K3" s="3165"/>
      <c r="L3" s="3165">
        <f>I3+J3</f>
        <v>194.07</v>
      </c>
      <c r="M3" s="3165">
        <v>253.4</v>
      </c>
      <c r="N3" s="3165">
        <f>I3+J3+M3</f>
        <v>447.47</v>
      </c>
      <c r="O3" s="3165"/>
      <c r="P3" s="3165"/>
      <c r="Q3" s="3165"/>
      <c r="R3" s="3165">
        <f t="shared" si="0"/>
        <v>0</v>
      </c>
      <c r="S3" s="3165" t="s">
        <v>3463</v>
      </c>
      <c r="T3" s="3171"/>
    </row>
    <row r="4" spans="1:20">
      <c r="A4" s="3165">
        <v>3</v>
      </c>
      <c r="B4" s="3165" t="s">
        <v>3461</v>
      </c>
      <c r="C4" s="3165" t="s">
        <v>3462</v>
      </c>
      <c r="D4" s="3173">
        <v>10</v>
      </c>
      <c r="E4" s="3174">
        <v>101</v>
      </c>
      <c r="F4" s="3165">
        <v>43</v>
      </c>
      <c r="G4" s="3175">
        <v>122.87</v>
      </c>
      <c r="H4" s="3165">
        <v>109.97</v>
      </c>
      <c r="I4" s="3165">
        <v>123.31</v>
      </c>
      <c r="J4" s="3165">
        <v>70.760000000000005</v>
      </c>
      <c r="K4" s="3165"/>
      <c r="L4" s="3165">
        <f>I4+J4+K4</f>
        <v>194.07</v>
      </c>
      <c r="M4" s="3165">
        <v>253.4</v>
      </c>
      <c r="N4" s="3165">
        <f>I4+J4+M4+K4</f>
        <v>447.47</v>
      </c>
      <c r="O4" s="3176">
        <v>44578</v>
      </c>
      <c r="P4" s="3177">
        <v>45320</v>
      </c>
      <c r="Q4" s="3178">
        <v>1521.02</v>
      </c>
      <c r="R4" s="3165">
        <f t="shared" si="0"/>
        <v>33991.552506313274</v>
      </c>
      <c r="S4" s="3165" t="s">
        <v>3463</v>
      </c>
      <c r="T4" s="3171"/>
    </row>
    <row r="5" spans="1:20">
      <c r="A5" s="3165">
        <v>4</v>
      </c>
      <c r="B5" s="3165" t="s">
        <v>3461</v>
      </c>
      <c r="C5" s="3165" t="s">
        <v>3462</v>
      </c>
      <c r="D5" s="3173">
        <v>14</v>
      </c>
      <c r="E5" s="3174"/>
      <c r="F5" s="3165">
        <v>41</v>
      </c>
      <c r="G5" s="3175">
        <v>122.87</v>
      </c>
      <c r="H5" s="3165"/>
      <c r="I5" s="3165">
        <v>123.31</v>
      </c>
      <c r="J5" s="3165">
        <v>70.760000000000005</v>
      </c>
      <c r="K5" s="3165"/>
      <c r="L5" s="3165">
        <f>I5+J5+K5</f>
        <v>194.07</v>
      </c>
      <c r="M5" s="3165">
        <v>255.11</v>
      </c>
      <c r="N5" s="3165">
        <f>I5+J5+M5+K5</f>
        <v>449.18</v>
      </c>
      <c r="O5" s="3176">
        <v>44578</v>
      </c>
      <c r="P5" s="3177">
        <v>45156</v>
      </c>
      <c r="Q5" s="3178">
        <v>1262.8800000000001</v>
      </c>
      <c r="R5" s="3165">
        <f t="shared" si="0"/>
        <v>28115.23220089942</v>
      </c>
      <c r="S5" s="3165" t="s">
        <v>3463</v>
      </c>
      <c r="T5" s="3171"/>
    </row>
    <row r="6" spans="1:20" s="3184" customFormat="1">
      <c r="A6" s="3164">
        <v>5</v>
      </c>
      <c r="B6" s="3164" t="s">
        <v>3464</v>
      </c>
      <c r="C6" s="3164" t="s">
        <v>3462</v>
      </c>
      <c r="D6" s="3179">
        <v>31</v>
      </c>
      <c r="E6" s="3180"/>
      <c r="F6" s="3164">
        <v>104</v>
      </c>
      <c r="G6" s="3183">
        <v>199.49</v>
      </c>
      <c r="H6" s="3164"/>
      <c r="I6" s="3164">
        <v>199.67</v>
      </c>
      <c r="J6" s="3164">
        <v>134.57</v>
      </c>
      <c r="K6" s="3164"/>
      <c r="L6" s="3164">
        <f>I6+J6</f>
        <v>334.24</v>
      </c>
      <c r="M6" s="3164">
        <v>451.21</v>
      </c>
      <c r="N6" s="3164">
        <f>I6+J6+M6</f>
        <v>785.45</v>
      </c>
      <c r="O6" s="3181">
        <v>44698</v>
      </c>
      <c r="P6" s="3182">
        <v>44941</v>
      </c>
      <c r="Q6" s="3170">
        <v>2519.1</v>
      </c>
      <c r="R6" s="3164">
        <f t="shared" si="0"/>
        <v>32072.060602202557</v>
      </c>
      <c r="S6" s="3164" t="s">
        <v>3463</v>
      </c>
      <c r="T6" s="3171"/>
    </row>
    <row r="7" spans="1:20" s="3186" customFormat="1">
      <c r="A7" s="3164">
        <v>6</v>
      </c>
      <c r="B7" s="3164" t="s">
        <v>3464</v>
      </c>
      <c r="C7" s="3164" t="s">
        <v>3462</v>
      </c>
      <c r="D7" s="3179">
        <v>48</v>
      </c>
      <c r="E7" s="3180"/>
      <c r="F7" s="3164">
        <v>108</v>
      </c>
      <c r="G7" s="3185">
        <v>199.49</v>
      </c>
      <c r="H7" s="3164"/>
      <c r="I7" s="3164">
        <v>199.67</v>
      </c>
      <c r="J7" s="3164">
        <v>134.57</v>
      </c>
      <c r="K7" s="3164"/>
      <c r="L7" s="3164">
        <f>I7+J7</f>
        <v>334.24</v>
      </c>
      <c r="M7" s="3164">
        <v>353.1</v>
      </c>
      <c r="N7" s="3164">
        <f>I7+J7+M7</f>
        <v>687.34</v>
      </c>
      <c r="O7" s="3181">
        <v>44698</v>
      </c>
      <c r="P7" s="3182">
        <v>45585</v>
      </c>
      <c r="Q7" s="3170">
        <v>2784.91</v>
      </c>
      <c r="R7" s="3164">
        <f t="shared" si="0"/>
        <v>40517.211278261122</v>
      </c>
      <c r="S7" s="3164" t="s">
        <v>3463</v>
      </c>
      <c r="T7" s="3171" t="s">
        <v>3465</v>
      </c>
    </row>
    <row r="8" spans="1:20">
      <c r="A8" s="3164">
        <v>7</v>
      </c>
      <c r="B8" s="3187"/>
      <c r="C8" s="3187" t="s">
        <v>3462</v>
      </c>
      <c r="D8" s="3188">
        <v>73</v>
      </c>
      <c r="E8" s="3189">
        <v>101</v>
      </c>
      <c r="F8" s="3187">
        <v>77</v>
      </c>
      <c r="G8" s="3199">
        <v>182.75</v>
      </c>
      <c r="H8" s="3187"/>
      <c r="I8" s="3187">
        <v>88.79</v>
      </c>
      <c r="J8" s="3187">
        <v>40.72</v>
      </c>
      <c r="K8" s="3187">
        <v>43.26</v>
      </c>
      <c r="L8" s="3187">
        <f>I8+J8+K8</f>
        <v>172.76999999999998</v>
      </c>
      <c r="M8" s="3187">
        <v>161.85</v>
      </c>
      <c r="N8" s="3187">
        <f>I8+J8+M8+K8</f>
        <v>334.62</v>
      </c>
      <c r="O8" s="3187"/>
      <c r="P8" s="3187"/>
      <c r="Q8" s="3187"/>
      <c r="R8" s="3164">
        <f t="shared" si="0"/>
        <v>0</v>
      </c>
      <c r="S8" s="3190" t="s">
        <v>3466</v>
      </c>
      <c r="T8" s="3171"/>
    </row>
    <row r="10" spans="1:20" ht="15" customHeight="1">
      <c r="A10" s="3165">
        <v>9</v>
      </c>
      <c r="B10" s="3165" t="s">
        <v>3461</v>
      </c>
      <c r="C10" s="3165" t="s">
        <v>3462</v>
      </c>
      <c r="D10" s="3173">
        <v>80</v>
      </c>
      <c r="E10" s="3174"/>
      <c r="F10" s="3165">
        <v>39</v>
      </c>
      <c r="G10" s="3175">
        <v>122.87</v>
      </c>
      <c r="H10" s="3165"/>
      <c r="I10" s="3165">
        <v>123.31</v>
      </c>
      <c r="J10" s="3165">
        <v>70.760000000000005</v>
      </c>
      <c r="K10" s="3165"/>
      <c r="L10" s="3165">
        <f>I10+J10+K10</f>
        <v>194.07</v>
      </c>
      <c r="M10" s="3165">
        <v>203</v>
      </c>
      <c r="N10" s="3165">
        <f>I10+J10+M10+K10</f>
        <v>397.07</v>
      </c>
      <c r="O10" s="3176">
        <v>44578</v>
      </c>
      <c r="P10" s="3177">
        <v>45174</v>
      </c>
      <c r="Q10" s="3178">
        <v>1067.22</v>
      </c>
      <c r="R10" s="3165">
        <f t="shared" si="0"/>
        <v>26877.37678494976</v>
      </c>
      <c r="S10" s="3165" t="s">
        <v>3463</v>
      </c>
      <c r="T10" s="3171"/>
    </row>
    <row r="11" spans="1:20">
      <c r="A11" s="3165">
        <v>10</v>
      </c>
      <c r="B11" s="3165" t="s">
        <v>3461</v>
      </c>
      <c r="C11" s="3165" t="s">
        <v>3462</v>
      </c>
      <c r="D11" s="3173">
        <v>85</v>
      </c>
      <c r="E11" s="3174"/>
      <c r="F11" s="3165">
        <v>34</v>
      </c>
      <c r="G11" s="3175">
        <v>122.87</v>
      </c>
      <c r="H11" s="3165"/>
      <c r="I11" s="3165">
        <v>123.31</v>
      </c>
      <c r="J11" s="3165">
        <v>70.760000000000005</v>
      </c>
      <c r="K11" s="3165"/>
      <c r="L11" s="3165">
        <f>I11+J11</f>
        <v>194.07</v>
      </c>
      <c r="M11" s="3165">
        <v>205.8</v>
      </c>
      <c r="N11" s="3165">
        <f>I11+J11+M11</f>
        <v>399.87</v>
      </c>
      <c r="O11" s="3176">
        <v>44578</v>
      </c>
      <c r="P11" s="3177">
        <v>45128</v>
      </c>
      <c r="Q11" s="3178">
        <v>1158.99</v>
      </c>
      <c r="R11" s="3165">
        <f t="shared" si="0"/>
        <v>28984.169855202937</v>
      </c>
      <c r="S11" s="3165" t="s">
        <v>3463</v>
      </c>
      <c r="T11" s="3171"/>
    </row>
    <row r="12" spans="1:20">
      <c r="A12" s="3165">
        <v>11</v>
      </c>
      <c r="B12" s="3165" t="s">
        <v>3461</v>
      </c>
      <c r="C12" s="3165" t="s">
        <v>3462</v>
      </c>
      <c r="D12" s="3173">
        <v>86</v>
      </c>
      <c r="E12" s="3174"/>
      <c r="F12" s="3165">
        <v>33</v>
      </c>
      <c r="G12" s="3175">
        <v>122.87</v>
      </c>
      <c r="H12" s="3165"/>
      <c r="I12" s="3165">
        <v>123.31</v>
      </c>
      <c r="J12" s="3165">
        <v>70.760000000000005</v>
      </c>
      <c r="K12" s="3165"/>
      <c r="L12" s="3165">
        <f>I12+J12</f>
        <v>194.07</v>
      </c>
      <c r="M12" s="3165">
        <v>205.8</v>
      </c>
      <c r="N12" s="3165">
        <f>I12+J12+M12</f>
        <v>399.87</v>
      </c>
      <c r="O12" s="3176">
        <v>44526</v>
      </c>
      <c r="P12" s="3177">
        <v>45162</v>
      </c>
      <c r="Q12" s="3178">
        <v>1197.72</v>
      </c>
      <c r="R12" s="3165">
        <f t="shared" si="0"/>
        <v>29952.734638757596</v>
      </c>
      <c r="S12" s="3165" t="s">
        <v>3463</v>
      </c>
      <c r="T12" s="3171"/>
    </row>
    <row r="13" spans="1:20">
      <c r="A13" s="3165">
        <v>12</v>
      </c>
      <c r="B13" s="3201" t="s">
        <v>3461</v>
      </c>
      <c r="C13" s="3201" t="s">
        <v>3462</v>
      </c>
      <c r="D13" s="3202">
        <v>87</v>
      </c>
      <c r="E13" s="3203"/>
      <c r="F13" s="3203">
        <v>32</v>
      </c>
      <c r="G13" s="3201">
        <v>122.87</v>
      </c>
      <c r="H13" s="3201"/>
      <c r="I13" s="3201">
        <v>123.31</v>
      </c>
      <c r="J13" s="3201">
        <v>70.760000000000005</v>
      </c>
      <c r="K13" s="3201"/>
      <c r="L13" s="3201">
        <f>I13+J13</f>
        <v>194.07</v>
      </c>
      <c r="M13" s="3201">
        <v>205.8</v>
      </c>
      <c r="N13" s="3201">
        <f>I13+J13+M13</f>
        <v>399.87</v>
      </c>
      <c r="O13" s="3204">
        <v>44526</v>
      </c>
      <c r="P13" s="3205">
        <v>44783</v>
      </c>
      <c r="Q13" s="3206">
        <v>778.33</v>
      </c>
      <c r="R13" s="3165">
        <f t="shared" si="0"/>
        <v>19464.57598719584</v>
      </c>
      <c r="S13" s="3165" t="s">
        <v>3463</v>
      </c>
      <c r="T13" s="3171" t="s">
        <v>3468</v>
      </c>
    </row>
    <row r="14" spans="1:20">
      <c r="A14" s="3165">
        <v>13</v>
      </c>
      <c r="B14" s="3165" t="s">
        <v>3461</v>
      </c>
      <c r="C14" s="3165" t="s">
        <v>3462</v>
      </c>
      <c r="D14" s="3173">
        <v>88</v>
      </c>
      <c r="E14" s="3174"/>
      <c r="F14" s="3165">
        <v>31</v>
      </c>
      <c r="G14" s="3175">
        <v>122.87</v>
      </c>
      <c r="H14" s="3165"/>
      <c r="I14" s="3165">
        <v>123.31</v>
      </c>
      <c r="J14" s="3165">
        <v>70.760000000000005</v>
      </c>
      <c r="K14" s="3165"/>
      <c r="L14" s="3165">
        <f>I14+J14+K14</f>
        <v>194.07</v>
      </c>
      <c r="M14" s="3165">
        <v>205.8</v>
      </c>
      <c r="N14" s="3165">
        <f>I14+J14+M14+K14</f>
        <v>399.87</v>
      </c>
      <c r="O14" s="3176">
        <v>44526</v>
      </c>
      <c r="P14" s="3177">
        <v>45185</v>
      </c>
      <c r="Q14" s="3178">
        <v>1129.97</v>
      </c>
      <c r="R14" s="3165">
        <f t="shared" si="0"/>
        <v>28258.433991047092</v>
      </c>
      <c r="S14" s="3165" t="s">
        <v>3463</v>
      </c>
      <c r="T14" s="3171"/>
    </row>
    <row r="15" spans="1:20">
      <c r="A15" s="3165">
        <v>14</v>
      </c>
      <c r="B15" s="3165" t="s">
        <v>3461</v>
      </c>
      <c r="C15" s="3165" t="s">
        <v>3462</v>
      </c>
      <c r="D15" s="3173">
        <v>98</v>
      </c>
      <c r="E15" s="3174"/>
      <c r="F15" s="3174">
        <v>23</v>
      </c>
      <c r="G15" s="3175">
        <v>122.87</v>
      </c>
      <c r="H15" s="3165"/>
      <c r="I15" s="3165">
        <v>123.31</v>
      </c>
      <c r="J15" s="3165">
        <v>70.760000000000005</v>
      </c>
      <c r="K15" s="3165"/>
      <c r="L15" s="3165">
        <f>I15+J15</f>
        <v>194.07</v>
      </c>
      <c r="M15" s="3165">
        <v>253.4</v>
      </c>
      <c r="N15" s="3165">
        <f>I15+J15+M15</f>
        <v>447.47</v>
      </c>
      <c r="O15" s="3176">
        <v>44487</v>
      </c>
      <c r="P15" s="3177">
        <v>44528</v>
      </c>
      <c r="Q15" s="3178">
        <v>990.35</v>
      </c>
      <c r="R15" s="3165">
        <f t="shared" si="0"/>
        <v>22132.209980557356</v>
      </c>
      <c r="S15" s="3165" t="s">
        <v>3463</v>
      </c>
      <c r="T15" s="3171" t="s">
        <v>3468</v>
      </c>
    </row>
    <row r="16" spans="1:20">
      <c r="A16" s="3164">
        <v>15</v>
      </c>
      <c r="B16" s="3164" t="s">
        <v>3464</v>
      </c>
      <c r="C16" s="3164" t="s">
        <v>3462</v>
      </c>
      <c r="D16" s="3179">
        <v>100</v>
      </c>
      <c r="E16" s="3180"/>
      <c r="F16" s="3164">
        <v>122</v>
      </c>
      <c r="G16" s="3166">
        <v>153.27000000000001</v>
      </c>
      <c r="H16" s="3164"/>
      <c r="I16" s="3164">
        <v>153.61000000000001</v>
      </c>
      <c r="J16" s="3164">
        <v>92.47</v>
      </c>
      <c r="K16" s="3164"/>
      <c r="L16" s="3164">
        <f>I16+J16</f>
        <v>246.08</v>
      </c>
      <c r="M16" s="3164">
        <v>311.24</v>
      </c>
      <c r="N16" s="3164">
        <f>I16+J16+M16</f>
        <v>557.32000000000005</v>
      </c>
      <c r="O16" s="3181">
        <v>44487</v>
      </c>
      <c r="P16" s="3182">
        <v>44696</v>
      </c>
      <c r="Q16" s="3170">
        <v>1003.82</v>
      </c>
      <c r="R16" s="3164">
        <f t="shared" si="0"/>
        <v>18011.555300366039</v>
      </c>
      <c r="S16" s="3164" t="s">
        <v>3463</v>
      </c>
      <c r="T16" s="3171" t="s">
        <v>3468</v>
      </c>
    </row>
    <row r="17" spans="1:20">
      <c r="A17" s="3165">
        <v>16</v>
      </c>
      <c r="B17" s="3165" t="s">
        <v>3461</v>
      </c>
      <c r="C17" s="3165" t="s">
        <v>3462</v>
      </c>
      <c r="D17" s="3173">
        <v>107</v>
      </c>
      <c r="E17" s="3174"/>
      <c r="F17" s="3165">
        <v>18</v>
      </c>
      <c r="G17" s="3175">
        <v>122.87</v>
      </c>
      <c r="H17" s="3165"/>
      <c r="I17" s="3165">
        <v>123.31</v>
      </c>
      <c r="J17" s="3165">
        <v>70.760000000000005</v>
      </c>
      <c r="K17" s="3165"/>
      <c r="L17" s="3165">
        <f>I17+J17+K17</f>
        <v>194.07</v>
      </c>
      <c r="M17" s="3165">
        <v>253.4</v>
      </c>
      <c r="N17" s="3165">
        <f>I17+J17+M17+K17</f>
        <v>447.47</v>
      </c>
      <c r="O17" s="3176">
        <v>44487</v>
      </c>
      <c r="P17" s="3177">
        <v>44792</v>
      </c>
      <c r="Q17" s="3178">
        <v>1092.7</v>
      </c>
      <c r="R17" s="3165">
        <f t="shared" si="0"/>
        <v>24419.514157373676</v>
      </c>
      <c r="S17" s="3165" t="s">
        <v>3463</v>
      </c>
      <c r="T17" s="3171"/>
    </row>
    <row r="18" spans="1:20">
      <c r="A18" s="3165">
        <v>17</v>
      </c>
      <c r="B18" s="3165" t="s">
        <v>3461</v>
      </c>
      <c r="C18" s="3165" t="s">
        <v>3462</v>
      </c>
      <c r="D18" s="3173">
        <v>111</v>
      </c>
      <c r="E18" s="3174"/>
      <c r="F18" s="3165">
        <v>16</v>
      </c>
      <c r="G18" s="3175">
        <v>122.87</v>
      </c>
      <c r="H18" s="3165"/>
      <c r="I18" s="3165">
        <v>123.31</v>
      </c>
      <c r="J18" s="3165">
        <v>70.760000000000005</v>
      </c>
      <c r="K18" s="3165"/>
      <c r="L18" s="3165">
        <f>I18+J18</f>
        <v>194.07</v>
      </c>
      <c r="M18" s="3165">
        <v>266.26</v>
      </c>
      <c r="N18" s="3165">
        <f>I18+J18+M18</f>
        <v>460.33</v>
      </c>
      <c r="O18" s="3176">
        <v>44487</v>
      </c>
      <c r="P18" s="3177">
        <v>44891</v>
      </c>
      <c r="Q18" s="3178">
        <v>1166.28</v>
      </c>
      <c r="R18" s="3165">
        <f t="shared" si="0"/>
        <v>25335.737405774118</v>
      </c>
      <c r="S18" s="3165" t="s">
        <v>3463</v>
      </c>
      <c r="T18" s="3171"/>
    </row>
    <row r="19" spans="1:20" s="3186" customFormat="1">
      <c r="A19" s="3165">
        <v>18</v>
      </c>
      <c r="B19" s="3165" t="s">
        <v>3461</v>
      </c>
      <c r="C19" s="3165" t="s">
        <v>3462</v>
      </c>
      <c r="D19" s="3173">
        <v>117</v>
      </c>
      <c r="E19" s="3174"/>
      <c r="F19" s="3165">
        <v>11</v>
      </c>
      <c r="G19" s="3175">
        <v>122.87</v>
      </c>
      <c r="H19" s="3165"/>
      <c r="I19" s="3165">
        <v>123.31</v>
      </c>
      <c r="J19" s="3165">
        <v>70.760000000000005</v>
      </c>
      <c r="K19" s="3165"/>
      <c r="L19" s="3165">
        <f>I19+J19+K19</f>
        <v>194.07</v>
      </c>
      <c r="M19" s="3165">
        <v>236</v>
      </c>
      <c r="N19" s="3165">
        <f>I19+J19+M19+K19</f>
        <v>430.07</v>
      </c>
      <c r="O19" s="3176">
        <v>44487</v>
      </c>
      <c r="P19" s="3177">
        <v>45044</v>
      </c>
      <c r="Q19" s="3178">
        <v>1439.2</v>
      </c>
      <c r="R19" s="3165">
        <f t="shared" si="0"/>
        <v>33464.319761899227</v>
      </c>
      <c r="S19" s="3165" t="s">
        <v>3463</v>
      </c>
      <c r="T19" s="3171"/>
    </row>
    <row r="20" spans="1:20">
      <c r="H20" s="3172"/>
      <c r="L20" s="3172"/>
      <c r="N20" s="3172"/>
      <c r="O20" s="3172"/>
    </row>
    <row r="21" spans="1:20">
      <c r="H21" s="3172"/>
      <c r="L21" s="3172"/>
      <c r="N21" s="3172"/>
      <c r="O21" s="3172"/>
    </row>
    <row r="22" spans="1:20">
      <c r="H22" s="3172"/>
      <c r="L22" s="3172"/>
      <c r="N22" s="3172"/>
      <c r="O22" s="3172"/>
    </row>
    <row r="23" spans="1:20">
      <c r="H23" s="3172"/>
      <c r="L23" s="3172"/>
      <c r="N23" s="3172"/>
      <c r="O23" s="3172"/>
    </row>
    <row r="24" spans="1:20">
      <c r="C24" s="3172">
        <v>1</v>
      </c>
      <c r="H24" s="3172"/>
      <c r="L24" s="3172"/>
      <c r="N24" s="3172"/>
      <c r="O24" s="3172"/>
    </row>
    <row r="25" spans="1:20">
      <c r="C25" s="3172">
        <v>0.8</v>
      </c>
      <c r="H25" s="3172">
        <f>I4</f>
        <v>123.31</v>
      </c>
      <c r="J25" s="3172">
        <v>1</v>
      </c>
      <c r="K25" s="3172">
        <f>H25*J25</f>
        <v>123.31</v>
      </c>
      <c r="L25" s="3172">
        <f>I29/K28</f>
        <v>4.3767185804079816</v>
      </c>
      <c r="M25" s="3172">
        <f>L25*H25</f>
        <v>539.69316815010825</v>
      </c>
      <c r="N25" s="3172"/>
      <c r="O25" s="3172"/>
    </row>
    <row r="26" spans="1:20">
      <c r="C26" s="3172">
        <v>0.7</v>
      </c>
      <c r="H26" s="3172">
        <f>J4</f>
        <v>70.760000000000005</v>
      </c>
      <c r="J26" s="3172">
        <v>1.02</v>
      </c>
      <c r="K26" s="3172">
        <f t="shared" ref="K26:K27" si="1">H26*J26</f>
        <v>72.175200000000004</v>
      </c>
      <c r="L26" s="3172">
        <f>L25*J26</f>
        <v>4.4642529520161416</v>
      </c>
      <c r="M26" s="3172">
        <f t="shared" ref="M26:M27" si="2">L26*H26</f>
        <v>315.89053888466219</v>
      </c>
      <c r="N26" s="3172"/>
      <c r="O26" s="3172"/>
    </row>
    <row r="27" spans="1:20">
      <c r="H27" s="3172">
        <f>M4</f>
        <v>253.4</v>
      </c>
      <c r="J27" s="3172">
        <v>0.6</v>
      </c>
      <c r="K27" s="3172">
        <f t="shared" si="1"/>
        <v>152.04</v>
      </c>
      <c r="L27" s="3172">
        <f>L25*J27</f>
        <v>2.6260311482447887</v>
      </c>
      <c r="M27" s="3172">
        <f t="shared" si="2"/>
        <v>665.43629296522943</v>
      </c>
      <c r="N27" s="3172"/>
      <c r="O27" s="3172"/>
    </row>
    <row r="28" spans="1:20">
      <c r="H28" s="3172">
        <f>SUM(H25:H27)</f>
        <v>447.47</v>
      </c>
      <c r="I28" s="3172">
        <f>Q4</f>
        <v>1521.02</v>
      </c>
      <c r="J28" s="3172">
        <f>(J25*H25+H26*J26+H27*J27)/H28</f>
        <v>0.77664469126421887</v>
      </c>
      <c r="K28" s="3172">
        <f>(K25+K26+K27)/H28</f>
        <v>0.77664469126421887</v>
      </c>
      <c r="L28" s="3172"/>
      <c r="M28" s="3172">
        <f>SUM(M25:M27)</f>
        <v>1521.02</v>
      </c>
      <c r="N28" s="3172"/>
      <c r="O28" s="3172"/>
    </row>
    <row r="29" spans="1:20">
      <c r="H29" s="3172"/>
      <c r="I29" s="3172">
        <f>I28/H28</f>
        <v>3.3991552506313272</v>
      </c>
      <c r="J29" s="3172">
        <f>I29/J28</f>
        <v>4.3767185804079816</v>
      </c>
      <c r="L29" s="3172"/>
      <c r="N29" s="3172"/>
      <c r="O29" s="3172"/>
    </row>
    <row r="30" spans="1:20">
      <c r="H30" s="3172"/>
      <c r="L30" s="3172"/>
      <c r="N30" s="3172"/>
      <c r="O30" s="3172"/>
    </row>
    <row r="31" spans="1:20">
      <c r="H31" s="3172"/>
      <c r="L31" s="3172"/>
      <c r="N31" s="3172"/>
      <c r="O31" s="3172"/>
    </row>
    <row r="32" spans="1:20">
      <c r="H32" s="3172"/>
      <c r="L32" s="3172"/>
      <c r="N32" s="3172"/>
      <c r="O32" s="3172"/>
    </row>
    <row r="33" spans="1:20">
      <c r="H33" s="3172"/>
      <c r="L33" s="3172"/>
      <c r="N33" s="3172"/>
      <c r="O33" s="3172"/>
    </row>
    <row r="34" spans="1:20">
      <c r="H34" s="3172"/>
      <c r="L34" s="3172"/>
      <c r="N34" s="3172"/>
      <c r="O34" s="3172"/>
    </row>
    <row r="35" spans="1:20">
      <c r="H35" s="3172"/>
      <c r="L35" s="3172"/>
      <c r="N35" s="3172"/>
      <c r="O35" s="3172"/>
    </row>
    <row r="36" spans="1:20" hidden="1">
      <c r="H36" s="3172"/>
      <c r="L36" s="3172"/>
      <c r="N36" s="3172"/>
      <c r="O36" s="3172"/>
    </row>
    <row r="37" spans="1:20">
      <c r="H37" s="3172"/>
      <c r="L37" s="3172"/>
      <c r="N37" s="3172"/>
      <c r="O37" s="3172"/>
    </row>
    <row r="38" spans="1:20">
      <c r="H38" s="3172"/>
      <c r="L38" s="3172"/>
      <c r="N38" s="3172"/>
      <c r="O38" s="3172"/>
    </row>
    <row r="39" spans="1:20">
      <c r="H39" s="3172"/>
      <c r="L39" s="3172"/>
      <c r="N39" s="3172"/>
      <c r="O39" s="3172"/>
    </row>
    <row r="40" spans="1:20">
      <c r="H40" s="3172"/>
      <c r="L40" s="3172"/>
      <c r="N40" s="3172"/>
      <c r="O40" s="3172"/>
    </row>
    <row r="41" spans="1:20">
      <c r="H41" s="3172"/>
      <c r="L41" s="3172"/>
      <c r="N41" s="3172"/>
      <c r="O41" s="3172"/>
    </row>
    <row r="42" spans="1:20">
      <c r="H42" s="3172"/>
      <c r="L42" s="3172"/>
      <c r="N42" s="3172"/>
      <c r="O42" s="3172"/>
    </row>
    <row r="43" spans="1:20">
      <c r="H43" s="3172"/>
      <c r="L43" s="3172"/>
      <c r="N43" s="3172"/>
      <c r="O43" s="3172"/>
    </row>
    <row r="44" spans="1:20">
      <c r="A44" s="3172">
        <v>5</v>
      </c>
      <c r="B44" s="3172" t="s">
        <v>3461</v>
      </c>
      <c r="C44" s="3164" t="s">
        <v>3462</v>
      </c>
      <c r="D44" s="3173">
        <v>125</v>
      </c>
      <c r="E44" s="3180"/>
      <c r="F44" s="3164">
        <v>3</v>
      </c>
      <c r="G44" s="3166">
        <v>122.87</v>
      </c>
      <c r="H44" s="3167"/>
      <c r="I44" s="3164">
        <v>122.99</v>
      </c>
      <c r="J44" s="3164">
        <v>110.96</v>
      </c>
      <c r="K44" s="3164"/>
      <c r="L44" s="3168">
        <f>I44+J44+K44</f>
        <v>233.95</v>
      </c>
      <c r="M44" s="3164">
        <v>318.67</v>
      </c>
      <c r="N44" s="3169">
        <f>I44+J44+M44+K44</f>
        <v>552.62</v>
      </c>
      <c r="O44" s="3169"/>
      <c r="P44" s="3164"/>
    </row>
    <row r="45" spans="1:20">
      <c r="A45" s="3164">
        <v>8</v>
      </c>
      <c r="B45" s="3187"/>
      <c r="C45" s="3187" t="s">
        <v>3462</v>
      </c>
      <c r="D45" s="3188" t="s">
        <v>3467</v>
      </c>
      <c r="E45" s="3189">
        <v>102</v>
      </c>
      <c r="F45" s="3187">
        <v>77</v>
      </c>
      <c r="G45" s="3200"/>
      <c r="H45" s="3187"/>
      <c r="I45" s="3187">
        <v>88.79</v>
      </c>
      <c r="J45" s="3187">
        <v>40.72</v>
      </c>
      <c r="K45" s="3187">
        <v>43.26</v>
      </c>
      <c r="L45" s="3187">
        <f>I45+J45+K45</f>
        <v>172.76999999999998</v>
      </c>
      <c r="M45" s="3187">
        <v>172.03</v>
      </c>
      <c r="N45" s="3187">
        <f>I45+J45+M45+K45</f>
        <v>344.79999999999995</v>
      </c>
      <c r="O45" s="3187"/>
      <c r="P45" s="3187"/>
      <c r="Q45" s="3187"/>
      <c r="R45" s="3164">
        <f>Q45/N45*10000</f>
        <v>0</v>
      </c>
      <c r="S45" s="3190" t="s">
        <v>3466</v>
      </c>
      <c r="T45" s="3171"/>
    </row>
    <row r="46" spans="1:20">
      <c r="H46" s="3172"/>
      <c r="L46" s="3172"/>
      <c r="N46" s="3172"/>
      <c r="O46" s="3172"/>
    </row>
    <row r="47" spans="1:20">
      <c r="H47" s="3172"/>
      <c r="L47" s="3172"/>
      <c r="N47" s="3172"/>
      <c r="O47" s="3172"/>
    </row>
    <row r="48" spans="1:20">
      <c r="H48" s="3172"/>
      <c r="L48" s="3172"/>
      <c r="N48" s="3172"/>
      <c r="O48" s="3172"/>
    </row>
    <row r="49" spans="8:15">
      <c r="H49" s="3172"/>
      <c r="L49" s="3172"/>
      <c r="N49" s="3172"/>
      <c r="O49" s="3172"/>
    </row>
    <row r="50" spans="8:15">
      <c r="H50" s="3172"/>
      <c r="L50" s="3172"/>
      <c r="N50" s="3172"/>
      <c r="O50" s="3172"/>
    </row>
    <row r="51" spans="8:15">
      <c r="H51" s="3172"/>
      <c r="L51" s="3172"/>
      <c r="N51" s="3172"/>
      <c r="O51" s="3172"/>
    </row>
    <row r="52" spans="8:15">
      <c r="H52" s="3172"/>
      <c r="L52" s="3172"/>
      <c r="N52" s="3172"/>
      <c r="O52" s="3172"/>
    </row>
    <row r="53" spans="8:15">
      <c r="H53" s="3172"/>
      <c r="L53" s="3172"/>
      <c r="N53" s="3172"/>
      <c r="O53" s="3172"/>
    </row>
    <row r="54" spans="8:15">
      <c r="H54" s="3172"/>
      <c r="L54" s="3172"/>
      <c r="N54" s="3172"/>
      <c r="O54" s="3172"/>
    </row>
    <row r="55" spans="8:15">
      <c r="H55" s="3172"/>
      <c r="L55" s="3172"/>
      <c r="N55" s="3172"/>
      <c r="O55" s="3172"/>
    </row>
    <row r="56" spans="8:15">
      <c r="H56" s="3172"/>
      <c r="L56" s="3172"/>
      <c r="N56" s="3172"/>
      <c r="O56" s="3172"/>
    </row>
    <row r="57" spans="8:15">
      <c r="H57" s="3172"/>
      <c r="L57" s="3172"/>
      <c r="N57" s="3172"/>
      <c r="O57" s="3172"/>
    </row>
    <row r="58" spans="8:15">
      <c r="H58" s="3172"/>
      <c r="L58" s="3172"/>
      <c r="N58" s="3172"/>
      <c r="O58" s="3172"/>
    </row>
    <row r="59" spans="8:15">
      <c r="H59" s="3172"/>
      <c r="L59" s="3172"/>
      <c r="N59" s="3172"/>
      <c r="O59" s="3172"/>
    </row>
    <row r="60" spans="8:15">
      <c r="H60" s="3172"/>
      <c r="L60" s="3172"/>
      <c r="N60" s="3172"/>
      <c r="O60" s="3172"/>
    </row>
    <row r="61" spans="8:15">
      <c r="H61" s="3172"/>
      <c r="L61" s="3172"/>
      <c r="N61" s="3172"/>
      <c r="O61" s="3172"/>
    </row>
    <row r="62" spans="8:15">
      <c r="H62" s="3172"/>
      <c r="L62" s="3172"/>
      <c r="N62" s="3172"/>
      <c r="O62" s="3172"/>
    </row>
    <row r="63" spans="8:15">
      <c r="H63" s="3172"/>
      <c r="L63" s="3172"/>
      <c r="N63" s="3172"/>
      <c r="O63" s="3172"/>
    </row>
    <row r="64" spans="8:15">
      <c r="H64" s="3172"/>
      <c r="L64" s="3172"/>
      <c r="N64" s="3172"/>
      <c r="O64" s="3172"/>
    </row>
    <row r="65" spans="8:15">
      <c r="H65" s="3172"/>
      <c r="L65" s="3172"/>
      <c r="N65" s="3172"/>
      <c r="O65" s="3172"/>
    </row>
    <row r="66" spans="8:15">
      <c r="H66" s="3172"/>
      <c r="L66" s="3172"/>
      <c r="N66" s="3172"/>
      <c r="O66" s="3172"/>
    </row>
    <row r="67" spans="8:15">
      <c r="H67" s="3172"/>
      <c r="L67" s="3172"/>
      <c r="N67" s="3172"/>
      <c r="O67" s="3172"/>
    </row>
    <row r="68" spans="8:15">
      <c r="H68" s="3172"/>
      <c r="L68" s="3172"/>
      <c r="N68" s="3172"/>
      <c r="O68" s="3172"/>
    </row>
    <row r="69" spans="8:15">
      <c r="H69" s="3172"/>
      <c r="L69" s="3172"/>
      <c r="N69" s="3172"/>
      <c r="O69" s="3172"/>
    </row>
    <row r="70" spans="8:15">
      <c r="H70" s="3172"/>
      <c r="L70" s="3172"/>
      <c r="N70" s="3172"/>
      <c r="O70" s="3172"/>
    </row>
    <row r="71" spans="8:15">
      <c r="H71" s="3172"/>
      <c r="L71" s="3172"/>
      <c r="N71" s="3172"/>
      <c r="O71" s="3172"/>
    </row>
    <row r="72" spans="8:15">
      <c r="H72" s="3172"/>
      <c r="L72" s="3172"/>
      <c r="N72" s="3172"/>
      <c r="O72" s="3172"/>
    </row>
    <row r="73" spans="8:15">
      <c r="H73" s="3172"/>
      <c r="L73" s="3172"/>
      <c r="N73" s="3172"/>
      <c r="O73" s="3172"/>
    </row>
    <row r="74" spans="8:15">
      <c r="H74" s="3172"/>
      <c r="L74" s="3172"/>
      <c r="N74" s="3172"/>
      <c r="O74" s="3172"/>
    </row>
    <row r="75" spans="8:15">
      <c r="H75" s="3172"/>
      <c r="L75" s="3172"/>
      <c r="N75" s="3172"/>
      <c r="O75" s="3172"/>
    </row>
    <row r="76" spans="8:15">
      <c r="H76" s="3172"/>
      <c r="L76" s="3172"/>
      <c r="N76" s="3172"/>
      <c r="O76" s="3172"/>
    </row>
    <row r="77" spans="8:15">
      <c r="H77" s="3172"/>
      <c r="L77" s="3172"/>
      <c r="N77" s="3172"/>
      <c r="O77" s="3172"/>
    </row>
    <row r="78" spans="8:15">
      <c r="H78" s="3172"/>
      <c r="L78" s="3172"/>
      <c r="N78" s="3172"/>
      <c r="O78" s="3172"/>
    </row>
    <row r="79" spans="8:15">
      <c r="H79" s="3172"/>
      <c r="L79" s="3172"/>
      <c r="N79" s="3172"/>
      <c r="O79" s="3172"/>
    </row>
    <row r="80" spans="8:15">
      <c r="H80" s="3172"/>
      <c r="L80" s="3172"/>
      <c r="N80" s="3172"/>
      <c r="O80" s="3172"/>
    </row>
    <row r="81" spans="8:15">
      <c r="H81" s="3172"/>
      <c r="L81" s="3172"/>
      <c r="N81" s="3172"/>
      <c r="O81" s="3172"/>
    </row>
    <row r="82" spans="8:15">
      <c r="H82" s="3172"/>
      <c r="L82" s="3172"/>
      <c r="N82" s="3172"/>
      <c r="O82" s="3172"/>
    </row>
    <row r="83" spans="8:15">
      <c r="H83" s="3172"/>
      <c r="L83" s="3172"/>
      <c r="N83" s="3172"/>
      <c r="O83" s="3172"/>
    </row>
    <row r="84" spans="8:15">
      <c r="H84" s="3172"/>
      <c r="L84" s="3172"/>
      <c r="N84" s="3172"/>
      <c r="O84" s="3172"/>
    </row>
    <row r="85" spans="8:15">
      <c r="H85" s="3172"/>
      <c r="L85" s="3172"/>
      <c r="N85" s="3172"/>
      <c r="O85" s="3172"/>
    </row>
    <row r="86" spans="8:15">
      <c r="H86" s="3172"/>
      <c r="L86" s="3172"/>
      <c r="N86" s="3172"/>
      <c r="O86" s="3172"/>
    </row>
    <row r="87" spans="8:15">
      <c r="H87" s="3172"/>
      <c r="L87" s="3172"/>
      <c r="N87" s="3172"/>
      <c r="O87" s="3172"/>
    </row>
    <row r="88" spans="8:15">
      <c r="H88" s="3172"/>
      <c r="L88" s="3172"/>
      <c r="N88" s="3172"/>
      <c r="O88" s="3172"/>
    </row>
    <row r="89" spans="8:15">
      <c r="H89" s="3172"/>
      <c r="L89" s="3172"/>
      <c r="N89" s="3172"/>
      <c r="O89" s="3172"/>
    </row>
    <row r="90" spans="8:15">
      <c r="H90" s="3172"/>
      <c r="L90" s="3172"/>
      <c r="N90" s="3172"/>
      <c r="O90" s="3172"/>
    </row>
    <row r="91" spans="8:15">
      <c r="H91" s="3172"/>
      <c r="L91" s="3172"/>
      <c r="N91" s="3172"/>
      <c r="O91" s="3172"/>
    </row>
    <row r="92" spans="8:15">
      <c r="H92" s="3172"/>
      <c r="L92" s="3172"/>
      <c r="N92" s="3172"/>
      <c r="O92" s="3172"/>
    </row>
    <row r="93" spans="8:15">
      <c r="H93" s="3172"/>
      <c r="L93" s="3172"/>
      <c r="N93" s="3172"/>
      <c r="O93" s="3172"/>
    </row>
    <row r="94" spans="8:15">
      <c r="H94" s="3172"/>
      <c r="L94" s="3172"/>
      <c r="N94" s="3172"/>
      <c r="O94" s="3172"/>
    </row>
    <row r="95" spans="8:15">
      <c r="H95" s="3172"/>
      <c r="L95" s="3172"/>
      <c r="N95" s="3172"/>
      <c r="O95" s="3172"/>
    </row>
    <row r="96" spans="8:15">
      <c r="H96" s="3172"/>
      <c r="L96" s="3172"/>
      <c r="N96" s="3172"/>
      <c r="O96" s="3172"/>
    </row>
    <row r="97" spans="8:15">
      <c r="H97" s="3172"/>
      <c r="L97" s="3172"/>
      <c r="N97" s="3172"/>
      <c r="O97" s="3172"/>
    </row>
    <row r="98" spans="8:15">
      <c r="H98" s="3172"/>
      <c r="L98" s="3172"/>
      <c r="N98" s="3172"/>
      <c r="O98" s="3172"/>
    </row>
    <row r="99" spans="8:15">
      <c r="H99" s="3172"/>
      <c r="L99" s="3172"/>
      <c r="N99" s="3172"/>
      <c r="O99" s="3172"/>
    </row>
    <row r="100" spans="8:15">
      <c r="H100" s="3172"/>
      <c r="L100" s="3172"/>
      <c r="N100" s="3172"/>
      <c r="O100" s="3172"/>
    </row>
    <row r="101" spans="8:15">
      <c r="H101" s="3172"/>
      <c r="L101" s="3172"/>
      <c r="N101" s="3172"/>
      <c r="O101" s="3172"/>
    </row>
    <row r="102" spans="8:15">
      <c r="H102" s="3172"/>
      <c r="L102" s="3172"/>
      <c r="N102" s="3172"/>
      <c r="O102" s="3172"/>
    </row>
    <row r="103" spans="8:15">
      <c r="H103" s="3172"/>
      <c r="L103" s="3172"/>
      <c r="N103" s="3172"/>
      <c r="O103" s="3172"/>
    </row>
    <row r="104" spans="8:15">
      <c r="H104" s="3172"/>
      <c r="L104" s="3172"/>
      <c r="N104" s="3172"/>
      <c r="O104" s="3172"/>
    </row>
    <row r="105" spans="8:15">
      <c r="H105" s="3172"/>
      <c r="L105" s="3172"/>
      <c r="N105" s="3172"/>
      <c r="O105" s="3172"/>
    </row>
    <row r="106" spans="8:15">
      <c r="H106" s="3172"/>
      <c r="L106" s="3172"/>
      <c r="N106" s="3172"/>
      <c r="O106" s="3172"/>
    </row>
    <row r="107" spans="8:15">
      <c r="H107" s="3172"/>
      <c r="L107" s="3172"/>
      <c r="N107" s="3172"/>
      <c r="O107" s="3172"/>
    </row>
    <row r="108" spans="8:15">
      <c r="H108" s="3172"/>
      <c r="L108" s="3172"/>
      <c r="N108" s="3172"/>
      <c r="O108" s="3172"/>
    </row>
    <row r="109" spans="8:15">
      <c r="H109" s="3172"/>
      <c r="L109" s="3172"/>
      <c r="N109" s="3172"/>
      <c r="O109" s="3172"/>
    </row>
    <row r="110" spans="8:15">
      <c r="H110" s="3172"/>
      <c r="L110" s="3172"/>
      <c r="N110" s="3172"/>
      <c r="O110" s="3172"/>
    </row>
    <row r="111" spans="8:15">
      <c r="H111" s="3172"/>
      <c r="L111" s="3172"/>
      <c r="N111" s="3172"/>
      <c r="O111" s="3172"/>
    </row>
    <row r="112" spans="8:15">
      <c r="H112" s="3172"/>
      <c r="L112" s="3172"/>
      <c r="N112" s="3172"/>
      <c r="O112" s="3172"/>
    </row>
    <row r="113" spans="8:15">
      <c r="H113" s="3172"/>
      <c r="L113" s="3172"/>
      <c r="N113" s="3172"/>
      <c r="O113" s="3172"/>
    </row>
    <row r="114" spans="8:15">
      <c r="H114" s="3172"/>
      <c r="L114" s="3172"/>
      <c r="N114" s="3172"/>
      <c r="O114" s="3172"/>
    </row>
    <row r="115" spans="8:15">
      <c r="H115" s="3172"/>
      <c r="L115" s="3172"/>
      <c r="N115" s="3172"/>
      <c r="O115" s="3172"/>
    </row>
    <row r="116" spans="8:15">
      <c r="H116" s="3172"/>
      <c r="L116" s="3172"/>
      <c r="N116" s="3172"/>
      <c r="O116" s="3172"/>
    </row>
    <row r="117" spans="8:15">
      <c r="H117" s="3172"/>
      <c r="L117" s="3172"/>
      <c r="N117" s="3172"/>
      <c r="O117" s="3172"/>
    </row>
    <row r="118" spans="8:15">
      <c r="H118" s="3172"/>
      <c r="L118" s="3172"/>
      <c r="N118" s="3172"/>
      <c r="O118" s="3172"/>
    </row>
    <row r="119" spans="8:15">
      <c r="H119" s="3172"/>
      <c r="L119" s="3172"/>
      <c r="N119" s="3172"/>
      <c r="O119" s="3172"/>
    </row>
    <row r="120" spans="8:15">
      <c r="H120" s="3172"/>
      <c r="L120" s="3172"/>
      <c r="N120" s="3172"/>
      <c r="O120" s="3172"/>
    </row>
    <row r="121" spans="8:15">
      <c r="H121" s="3172"/>
      <c r="L121" s="3172"/>
      <c r="N121" s="3172"/>
      <c r="O121" s="3172"/>
    </row>
    <row r="122" spans="8:15">
      <c r="H122" s="3172"/>
      <c r="L122" s="3172"/>
      <c r="N122" s="3172"/>
      <c r="O122" s="3172"/>
    </row>
    <row r="123" spans="8:15">
      <c r="H123" s="3172"/>
      <c r="L123" s="3172"/>
      <c r="N123" s="3172"/>
      <c r="O123" s="3172"/>
    </row>
    <row r="124" spans="8:15">
      <c r="H124" s="3172"/>
      <c r="L124" s="3172"/>
      <c r="N124" s="3172"/>
      <c r="O124" s="3172"/>
    </row>
    <row r="125" spans="8:15">
      <c r="H125" s="3172"/>
      <c r="L125" s="3172"/>
      <c r="N125" s="3172"/>
      <c r="O125" s="3172"/>
    </row>
    <row r="126" spans="8:15">
      <c r="H126" s="3172"/>
      <c r="L126" s="3172"/>
      <c r="N126" s="3172"/>
      <c r="O126" s="3172"/>
    </row>
    <row r="127" spans="8:15">
      <c r="H127" s="3172"/>
      <c r="L127" s="3172"/>
      <c r="N127" s="3172"/>
      <c r="O127" s="3172"/>
    </row>
    <row r="128" spans="8:15">
      <c r="H128" s="3172"/>
      <c r="L128" s="3172"/>
      <c r="N128" s="3172"/>
      <c r="O128" s="3172"/>
    </row>
    <row r="129" spans="8:15">
      <c r="H129" s="3172"/>
      <c r="L129" s="3172"/>
      <c r="N129" s="3172"/>
      <c r="O129" s="3172"/>
    </row>
    <row r="130" spans="8:15">
      <c r="H130" s="3172"/>
      <c r="L130" s="3172"/>
      <c r="N130" s="3172"/>
      <c r="O130" s="3172"/>
    </row>
    <row r="131" spans="8:15">
      <c r="H131" s="3172"/>
      <c r="L131" s="3172"/>
      <c r="N131" s="3172"/>
      <c r="O131" s="3172"/>
    </row>
    <row r="132" spans="8:15">
      <c r="H132" s="3172"/>
      <c r="L132" s="3172"/>
      <c r="N132" s="3172"/>
      <c r="O132" s="3172"/>
    </row>
    <row r="133" spans="8:15">
      <c r="H133" s="3172"/>
      <c r="L133" s="3172"/>
      <c r="N133" s="3172"/>
      <c r="O133" s="3172"/>
    </row>
    <row r="134" spans="8:15">
      <c r="H134" s="3172"/>
      <c r="L134" s="3172"/>
      <c r="N134" s="3172"/>
      <c r="O134" s="3172"/>
    </row>
    <row r="135" spans="8:15">
      <c r="H135" s="3172"/>
      <c r="L135" s="3172"/>
      <c r="N135" s="3172"/>
      <c r="O135" s="3172"/>
    </row>
    <row r="136" spans="8:15">
      <c r="H136" s="3172"/>
      <c r="L136" s="3172"/>
      <c r="N136" s="3172"/>
      <c r="O136" s="3172"/>
    </row>
    <row r="137" spans="8:15">
      <c r="H137" s="3172"/>
      <c r="L137" s="3172"/>
      <c r="N137" s="3172"/>
      <c r="O137" s="3172"/>
    </row>
    <row r="138" spans="8:15">
      <c r="H138" s="3172"/>
      <c r="L138" s="3172"/>
      <c r="N138" s="3172"/>
      <c r="O138" s="3172"/>
    </row>
    <row r="139" spans="8:15">
      <c r="H139" s="3172"/>
      <c r="L139" s="3172"/>
      <c r="N139" s="3172"/>
      <c r="O139" s="3172"/>
    </row>
    <row r="140" spans="8:15">
      <c r="H140" s="3172"/>
      <c r="L140" s="3172"/>
      <c r="N140" s="3172"/>
      <c r="O140" s="3172"/>
    </row>
    <row r="141" spans="8:15">
      <c r="H141" s="3172"/>
      <c r="L141" s="3172"/>
      <c r="N141" s="3172"/>
      <c r="O141" s="3172"/>
    </row>
    <row r="142" spans="8:15">
      <c r="H142" s="3172"/>
      <c r="L142" s="3172"/>
      <c r="N142" s="3172"/>
      <c r="O142" s="3172"/>
    </row>
    <row r="143" spans="8:15">
      <c r="H143" s="3172"/>
      <c r="L143" s="3172"/>
      <c r="N143" s="3172"/>
      <c r="O143" s="3172"/>
    </row>
    <row r="144" spans="8:15">
      <c r="H144" s="3172"/>
      <c r="L144" s="3172"/>
      <c r="N144" s="3172"/>
      <c r="O144" s="3172"/>
    </row>
    <row r="145" spans="8:15">
      <c r="H145" s="3172"/>
      <c r="L145" s="3172"/>
      <c r="N145" s="3172"/>
      <c r="O145" s="3172"/>
    </row>
    <row r="146" spans="8:15">
      <c r="H146" s="3172"/>
      <c r="L146" s="3172"/>
      <c r="N146" s="3172"/>
      <c r="O146" s="3172"/>
    </row>
    <row r="147" spans="8:15">
      <c r="H147" s="3172"/>
      <c r="L147" s="3172"/>
      <c r="N147" s="3172"/>
      <c r="O147" s="3172"/>
    </row>
    <row r="148" spans="8:15">
      <c r="H148" s="3172"/>
      <c r="L148" s="3172"/>
      <c r="N148" s="3172"/>
      <c r="O148" s="3172"/>
    </row>
    <row r="149" spans="8:15">
      <c r="H149" s="3172"/>
      <c r="L149" s="3172"/>
      <c r="N149" s="3172"/>
      <c r="O149" s="3172"/>
    </row>
    <row r="150" spans="8:15">
      <c r="H150" s="3172"/>
      <c r="L150" s="3172"/>
      <c r="N150" s="3172"/>
      <c r="O150" s="3172"/>
    </row>
    <row r="151" spans="8:15">
      <c r="H151" s="3172"/>
      <c r="L151" s="3172"/>
      <c r="N151" s="3172"/>
      <c r="O151" s="3172"/>
    </row>
    <row r="152" spans="8:15">
      <c r="H152" s="3172"/>
      <c r="L152" s="3172"/>
      <c r="N152" s="3172"/>
      <c r="O152" s="3172"/>
    </row>
    <row r="153" spans="8:15">
      <c r="H153" s="3172"/>
      <c r="L153" s="3172"/>
      <c r="N153" s="3172"/>
      <c r="O153" s="3172"/>
    </row>
    <row r="154" spans="8:15">
      <c r="H154" s="3172"/>
      <c r="L154" s="3172"/>
      <c r="N154" s="3172"/>
      <c r="O154" s="3172"/>
    </row>
    <row r="155" spans="8:15">
      <c r="H155" s="3172"/>
      <c r="L155" s="3172"/>
      <c r="N155" s="3172"/>
      <c r="O155" s="3172"/>
    </row>
    <row r="156" spans="8:15">
      <c r="H156" s="3172"/>
      <c r="L156" s="3172"/>
      <c r="N156" s="3172"/>
      <c r="O156" s="3172"/>
    </row>
    <row r="157" spans="8:15">
      <c r="H157" s="3172"/>
      <c r="L157" s="3172"/>
      <c r="N157" s="3172"/>
      <c r="O157" s="3172"/>
    </row>
    <row r="158" spans="8:15">
      <c r="H158" s="3172"/>
      <c r="L158" s="3172"/>
      <c r="N158" s="3172"/>
      <c r="O158" s="3172"/>
    </row>
    <row r="159" spans="8:15">
      <c r="H159" s="3172"/>
      <c r="L159" s="3172"/>
      <c r="N159" s="3172"/>
      <c r="O159" s="3172"/>
    </row>
    <row r="160" spans="8:15">
      <c r="H160" s="3172"/>
      <c r="L160" s="3172"/>
      <c r="N160" s="3172"/>
      <c r="O160" s="3172"/>
    </row>
    <row r="161" spans="8:15">
      <c r="H161" s="3172"/>
      <c r="L161" s="3172"/>
      <c r="N161" s="3172"/>
      <c r="O161" s="3172"/>
    </row>
    <row r="162" spans="8:15">
      <c r="H162" s="3172"/>
      <c r="L162" s="3172"/>
      <c r="N162" s="3172"/>
      <c r="O162" s="3172"/>
    </row>
    <row r="163" spans="8:15">
      <c r="H163" s="3172"/>
      <c r="L163" s="3172"/>
      <c r="N163" s="3172"/>
      <c r="O163" s="3172"/>
    </row>
    <row r="164" spans="8:15">
      <c r="H164" s="3172"/>
      <c r="L164" s="3172"/>
      <c r="N164" s="3172"/>
      <c r="O164" s="3172"/>
    </row>
    <row r="165" spans="8:15">
      <c r="H165" s="3172"/>
      <c r="L165" s="3172"/>
      <c r="N165" s="3172"/>
      <c r="O165" s="3172"/>
    </row>
    <row r="166" spans="8:15">
      <c r="H166" s="3172"/>
      <c r="L166" s="3172"/>
      <c r="N166" s="3172"/>
      <c r="O166" s="3172"/>
    </row>
    <row r="167" spans="8:15">
      <c r="H167" s="3172"/>
      <c r="L167" s="3172"/>
      <c r="N167" s="3172"/>
      <c r="O167" s="3172"/>
    </row>
    <row r="168" spans="8:15">
      <c r="H168" s="3172"/>
      <c r="L168" s="3172"/>
      <c r="N168" s="3172"/>
      <c r="O168" s="3172"/>
    </row>
    <row r="169" spans="8:15">
      <c r="H169" s="3172"/>
      <c r="L169" s="3172"/>
      <c r="N169" s="3172"/>
      <c r="O169" s="3172"/>
    </row>
    <row r="170" spans="8:15">
      <c r="H170" s="3172"/>
      <c r="L170" s="3172"/>
      <c r="N170" s="3172"/>
      <c r="O170" s="3172"/>
    </row>
    <row r="171" spans="8:15">
      <c r="H171" s="3172"/>
      <c r="L171" s="3172"/>
      <c r="N171" s="3172"/>
      <c r="O171" s="3172"/>
    </row>
    <row r="172" spans="8:15">
      <c r="H172" s="3172"/>
      <c r="L172" s="3172"/>
      <c r="N172" s="3172"/>
      <c r="O172" s="3172"/>
    </row>
    <row r="173" spans="8:15">
      <c r="H173" s="3172"/>
      <c r="L173" s="3172"/>
      <c r="N173" s="3172"/>
      <c r="O173" s="3172"/>
    </row>
    <row r="174" spans="8:15">
      <c r="H174" s="3172"/>
      <c r="L174" s="3172"/>
      <c r="N174" s="3172"/>
      <c r="O174" s="3172"/>
    </row>
    <row r="175" spans="8:15">
      <c r="H175" s="3172"/>
      <c r="L175" s="3172"/>
      <c r="N175" s="3172"/>
      <c r="O175" s="3172"/>
    </row>
    <row r="176" spans="8:15">
      <c r="H176" s="3172"/>
      <c r="L176" s="3172"/>
      <c r="N176" s="3172"/>
      <c r="O176" s="3172"/>
    </row>
    <row r="177" spans="8:15">
      <c r="H177" s="3172"/>
      <c r="L177" s="3172"/>
      <c r="N177" s="3172"/>
      <c r="O177" s="3172"/>
    </row>
    <row r="178" spans="8:15">
      <c r="H178" s="3172"/>
      <c r="L178" s="3172"/>
      <c r="N178" s="3172"/>
      <c r="O178" s="3172"/>
    </row>
    <row r="179" spans="8:15">
      <c r="H179" s="3172"/>
      <c r="L179" s="3172"/>
      <c r="N179" s="3172"/>
      <c r="O179" s="3172"/>
    </row>
    <row r="180" spans="8:15">
      <c r="H180" s="3172"/>
      <c r="L180" s="3172"/>
      <c r="N180" s="3172"/>
      <c r="O180" s="3172"/>
    </row>
    <row r="181" spans="8:15">
      <c r="H181" s="3172"/>
      <c r="L181" s="3172"/>
      <c r="N181" s="3172"/>
      <c r="O181" s="3172"/>
    </row>
    <row r="182" spans="8:15">
      <c r="H182" s="3172"/>
      <c r="L182" s="3172"/>
      <c r="N182" s="3172"/>
      <c r="O182" s="3172"/>
    </row>
    <row r="183" spans="8:15">
      <c r="H183" s="3172"/>
      <c r="L183" s="3172"/>
      <c r="N183" s="3172"/>
      <c r="O183" s="3172"/>
    </row>
    <row r="184" spans="8:15">
      <c r="H184" s="3172"/>
      <c r="L184" s="3172"/>
      <c r="N184" s="3172"/>
      <c r="O184" s="3172"/>
    </row>
    <row r="185" spans="8:15">
      <c r="H185" s="3172"/>
      <c r="L185" s="3172"/>
      <c r="N185" s="3172"/>
      <c r="O185" s="3172"/>
    </row>
    <row r="186" spans="8:15">
      <c r="H186" s="3172"/>
      <c r="L186" s="3172"/>
      <c r="N186" s="3172"/>
      <c r="O186" s="3172"/>
    </row>
    <row r="187" spans="8:15">
      <c r="H187" s="3172"/>
      <c r="L187" s="3172"/>
      <c r="N187" s="3172"/>
      <c r="O187" s="3172"/>
    </row>
    <row r="188" spans="8:15">
      <c r="H188" s="3172"/>
      <c r="L188" s="3172"/>
      <c r="N188" s="3172"/>
      <c r="O188" s="3172"/>
    </row>
    <row r="189" spans="8:15">
      <c r="H189" s="3172"/>
      <c r="L189" s="3172"/>
      <c r="N189" s="3172"/>
      <c r="O189" s="3172"/>
    </row>
    <row r="190" spans="8:15">
      <c r="H190" s="3172"/>
      <c r="L190" s="3172"/>
      <c r="N190" s="3172"/>
      <c r="O190" s="3172"/>
    </row>
    <row r="191" spans="8:15">
      <c r="H191" s="3172"/>
      <c r="L191" s="3172"/>
      <c r="N191" s="3172"/>
      <c r="O191" s="3172"/>
    </row>
    <row r="192" spans="8:15">
      <c r="H192" s="3172"/>
      <c r="L192" s="3172"/>
      <c r="N192" s="3172"/>
      <c r="O192" s="3172"/>
    </row>
    <row r="193" spans="8:15">
      <c r="H193" s="3172"/>
      <c r="L193" s="3172"/>
      <c r="N193" s="3172"/>
      <c r="O193" s="3172"/>
    </row>
    <row r="194" spans="8:15">
      <c r="H194" s="3172"/>
      <c r="L194" s="3172"/>
      <c r="N194" s="3172"/>
      <c r="O194" s="3172"/>
    </row>
    <row r="195" spans="8:15">
      <c r="H195" s="3172"/>
      <c r="L195" s="3172"/>
      <c r="N195" s="3172"/>
      <c r="O195" s="3172"/>
    </row>
    <row r="196" spans="8:15">
      <c r="H196" s="3172"/>
      <c r="L196" s="3172"/>
      <c r="N196" s="3172"/>
      <c r="O196" s="3172"/>
    </row>
    <row r="197" spans="8:15">
      <c r="H197" s="3172"/>
      <c r="L197" s="3172"/>
      <c r="N197" s="3172"/>
      <c r="O197" s="3172"/>
    </row>
    <row r="198" spans="8:15">
      <c r="H198" s="3172"/>
      <c r="L198" s="3172"/>
      <c r="N198" s="3172"/>
      <c r="O198" s="3172"/>
    </row>
    <row r="199" spans="8:15">
      <c r="H199" s="3172"/>
      <c r="L199" s="3172"/>
      <c r="N199" s="3172"/>
      <c r="O199" s="3172"/>
    </row>
    <row r="200" spans="8:15">
      <c r="H200" s="3172"/>
      <c r="L200" s="3172"/>
      <c r="N200" s="3172"/>
      <c r="O200" s="3172"/>
    </row>
    <row r="201" spans="8:15">
      <c r="H201" s="3172"/>
      <c r="L201" s="3172"/>
      <c r="N201" s="3172"/>
      <c r="O201" s="3172"/>
    </row>
    <row r="202" spans="8:15">
      <c r="H202" s="3172"/>
      <c r="L202" s="3172"/>
      <c r="N202" s="3172"/>
      <c r="O202" s="3172"/>
    </row>
    <row r="203" spans="8:15">
      <c r="H203" s="3172"/>
      <c r="L203" s="3172"/>
      <c r="N203" s="3172"/>
      <c r="O203" s="3172"/>
    </row>
    <row r="204" spans="8:15">
      <c r="H204" s="3172"/>
      <c r="L204" s="3172"/>
      <c r="N204" s="3172"/>
      <c r="O204" s="3172"/>
    </row>
    <row r="205" spans="8:15">
      <c r="H205" s="3172"/>
      <c r="L205" s="3172"/>
      <c r="N205" s="3172"/>
      <c r="O205" s="3172"/>
    </row>
    <row r="206" spans="8:15">
      <c r="H206" s="3172"/>
      <c r="L206" s="3172"/>
      <c r="N206" s="3172"/>
      <c r="O206" s="3172"/>
    </row>
    <row r="207" spans="8:15">
      <c r="H207" s="3172"/>
      <c r="L207" s="3172"/>
      <c r="N207" s="3172"/>
      <c r="O207" s="3172"/>
    </row>
    <row r="208" spans="8:15">
      <c r="H208" s="3172"/>
      <c r="L208" s="3172"/>
      <c r="N208" s="3172"/>
      <c r="O208" s="3172"/>
    </row>
    <row r="209" spans="8:15">
      <c r="H209" s="3172"/>
      <c r="L209" s="3172"/>
      <c r="N209" s="3172"/>
      <c r="O209" s="3172"/>
    </row>
    <row r="210" spans="8:15">
      <c r="H210" s="3172"/>
      <c r="L210" s="3172"/>
      <c r="N210" s="3172"/>
      <c r="O210" s="3172"/>
    </row>
    <row r="211" spans="8:15">
      <c r="H211" s="3172"/>
      <c r="L211" s="3172"/>
      <c r="N211" s="3172"/>
      <c r="O211" s="3172"/>
    </row>
    <row r="212" spans="8:15">
      <c r="H212" s="3172"/>
      <c r="L212" s="3172"/>
      <c r="N212" s="3172"/>
      <c r="O212" s="3172"/>
    </row>
    <row r="213" spans="8:15">
      <c r="H213" s="3172"/>
      <c r="L213" s="3172"/>
      <c r="N213" s="3172"/>
      <c r="O213" s="3172"/>
    </row>
    <row r="214" spans="8:15">
      <c r="H214" s="3172"/>
      <c r="L214" s="3172"/>
      <c r="N214" s="3172"/>
      <c r="O214" s="3172"/>
    </row>
    <row r="215" spans="8:15">
      <c r="H215" s="3172"/>
      <c r="L215" s="3172"/>
      <c r="N215" s="3172"/>
      <c r="O215" s="3172"/>
    </row>
    <row r="216" spans="8:15">
      <c r="H216" s="3172"/>
      <c r="L216" s="3172"/>
      <c r="N216" s="3172"/>
      <c r="O216" s="3172"/>
    </row>
    <row r="217" spans="8:15">
      <c r="H217" s="3172"/>
      <c r="L217" s="3172"/>
      <c r="N217" s="3172"/>
      <c r="O217" s="3172"/>
    </row>
    <row r="218" spans="8:15">
      <c r="H218" s="3172"/>
      <c r="L218" s="3172"/>
      <c r="N218" s="3172"/>
      <c r="O218" s="3172"/>
    </row>
    <row r="219" spans="8:15">
      <c r="H219" s="3172"/>
      <c r="L219" s="3172"/>
      <c r="N219" s="3172"/>
      <c r="O219" s="3172"/>
    </row>
    <row r="220" spans="8:15">
      <c r="H220" s="3172"/>
      <c r="L220" s="3172"/>
      <c r="N220" s="3172"/>
      <c r="O220" s="3172"/>
    </row>
    <row r="221" spans="8:15">
      <c r="H221" s="3172"/>
      <c r="L221" s="3172"/>
      <c r="N221" s="3172"/>
      <c r="O221" s="3172"/>
    </row>
    <row r="222" spans="8:15">
      <c r="H222" s="3172"/>
      <c r="L222" s="3172"/>
      <c r="N222" s="3172"/>
      <c r="O222" s="3172"/>
    </row>
    <row r="223" spans="8:15">
      <c r="H223" s="3172"/>
      <c r="L223" s="3172"/>
      <c r="N223" s="3172"/>
      <c r="O223" s="3172"/>
    </row>
    <row r="224" spans="8:15">
      <c r="H224" s="3172"/>
      <c r="L224" s="3172"/>
      <c r="N224" s="3172"/>
      <c r="O224" s="3172"/>
    </row>
    <row r="225" spans="8:15">
      <c r="H225" s="3172"/>
      <c r="L225" s="3172"/>
      <c r="N225" s="3172"/>
      <c r="O225" s="3172"/>
    </row>
    <row r="226" spans="8:15">
      <c r="H226" s="3172"/>
      <c r="L226" s="3172"/>
      <c r="N226" s="3172"/>
      <c r="O226" s="3172"/>
    </row>
    <row r="227" spans="8:15">
      <c r="H227" s="3172"/>
      <c r="L227" s="3172"/>
      <c r="N227" s="3172"/>
      <c r="O227" s="3172"/>
    </row>
    <row r="228" spans="8:15">
      <c r="H228" s="3172"/>
      <c r="L228" s="3172"/>
      <c r="N228" s="3172"/>
      <c r="O228" s="3172"/>
    </row>
    <row r="229" spans="8:15">
      <c r="H229" s="3172"/>
      <c r="L229" s="3172"/>
      <c r="N229" s="3172"/>
      <c r="O229" s="3172"/>
    </row>
    <row r="230" spans="8:15">
      <c r="H230" s="3172"/>
      <c r="L230" s="3172"/>
      <c r="N230" s="3172"/>
      <c r="O230" s="3172"/>
    </row>
    <row r="231" spans="8:15">
      <c r="H231" s="3172"/>
      <c r="L231" s="3172"/>
      <c r="N231" s="3172"/>
      <c r="O231" s="3172"/>
    </row>
    <row r="232" spans="8:15">
      <c r="H232" s="3172"/>
      <c r="L232" s="3172"/>
      <c r="N232" s="3172"/>
      <c r="O232" s="3172"/>
    </row>
    <row r="233" spans="8:15">
      <c r="H233" s="3172"/>
      <c r="L233" s="3172"/>
      <c r="N233" s="3172"/>
      <c r="O233" s="3172"/>
    </row>
    <row r="234" spans="8:15">
      <c r="H234" s="3172"/>
      <c r="L234" s="3172"/>
      <c r="N234" s="3172"/>
      <c r="O234" s="3172"/>
    </row>
    <row r="235" spans="8:15">
      <c r="H235" s="3172"/>
      <c r="L235" s="3172"/>
      <c r="N235" s="3172"/>
      <c r="O235" s="3172"/>
    </row>
    <row r="236" spans="8:15">
      <c r="H236" s="3172"/>
      <c r="L236" s="3172"/>
      <c r="N236" s="3172"/>
      <c r="O236" s="3172"/>
    </row>
    <row r="237" spans="8:15">
      <c r="H237" s="3172"/>
      <c r="L237" s="3172"/>
      <c r="N237" s="3172"/>
      <c r="O237" s="3172"/>
    </row>
    <row r="238" spans="8:15">
      <c r="H238" s="3172"/>
      <c r="L238" s="3172"/>
      <c r="N238" s="3172"/>
      <c r="O238" s="3172"/>
    </row>
    <row r="239" spans="8:15">
      <c r="H239" s="3172"/>
      <c r="L239" s="3172"/>
      <c r="N239" s="3172"/>
      <c r="O239" s="3172"/>
    </row>
    <row r="240" spans="8:15">
      <c r="H240" s="3172"/>
      <c r="L240" s="3172"/>
      <c r="N240" s="3172"/>
      <c r="O240" s="3172"/>
    </row>
    <row r="241" spans="8:15">
      <c r="H241" s="3172"/>
      <c r="L241" s="3172"/>
      <c r="N241" s="3172"/>
      <c r="O241" s="3172"/>
    </row>
    <row r="242" spans="8:15">
      <c r="H242" s="3172"/>
      <c r="L242" s="3172"/>
      <c r="N242" s="3172"/>
      <c r="O242" s="3172"/>
    </row>
    <row r="243" spans="8:15">
      <c r="H243" s="3172"/>
      <c r="L243" s="3172"/>
      <c r="N243" s="3172"/>
      <c r="O243" s="3172"/>
    </row>
    <row r="244" spans="8:15">
      <c r="H244" s="3172"/>
      <c r="L244" s="3172"/>
      <c r="N244" s="3172"/>
      <c r="O244" s="3172"/>
    </row>
    <row r="245" spans="8:15">
      <c r="H245" s="3172"/>
      <c r="L245" s="3172"/>
      <c r="N245" s="3172"/>
      <c r="O245" s="3172"/>
    </row>
    <row r="246" spans="8:15">
      <c r="H246" s="3172"/>
      <c r="L246" s="3172"/>
      <c r="N246" s="3172"/>
      <c r="O246" s="3172"/>
    </row>
    <row r="247" spans="8:15">
      <c r="H247" s="3172"/>
      <c r="L247" s="3172"/>
      <c r="N247" s="3172"/>
      <c r="O247" s="3172"/>
    </row>
    <row r="248" spans="8:15">
      <c r="H248" s="3172"/>
      <c r="L248" s="3172"/>
      <c r="N248" s="3172"/>
      <c r="O248" s="3172"/>
    </row>
    <row r="249" spans="8:15">
      <c r="H249" s="3172"/>
      <c r="L249" s="3172"/>
      <c r="N249" s="3172"/>
      <c r="O249" s="3172"/>
    </row>
    <row r="250" spans="8:15">
      <c r="H250" s="3172"/>
      <c r="L250" s="3172"/>
      <c r="N250" s="3172"/>
      <c r="O250" s="3172"/>
    </row>
    <row r="251" spans="8:15">
      <c r="H251" s="3172"/>
      <c r="L251" s="3172"/>
      <c r="N251" s="3172"/>
      <c r="O251" s="3172"/>
    </row>
    <row r="252" spans="8:15">
      <c r="H252" s="3172"/>
      <c r="L252" s="3172"/>
      <c r="N252" s="3172"/>
      <c r="O252" s="3172"/>
    </row>
    <row r="253" spans="8:15">
      <c r="H253" s="3172"/>
      <c r="L253" s="3172"/>
      <c r="N253" s="3172"/>
      <c r="O253" s="3172"/>
    </row>
    <row r="254" spans="8:15">
      <c r="H254" s="3172"/>
      <c r="L254" s="3172"/>
      <c r="N254" s="3172"/>
      <c r="O254" s="3172"/>
    </row>
    <row r="255" spans="8:15">
      <c r="H255" s="3172"/>
      <c r="L255" s="3172"/>
      <c r="N255" s="3172"/>
      <c r="O255" s="3172"/>
    </row>
    <row r="256" spans="8:15">
      <c r="H256" s="3172"/>
      <c r="L256" s="3172"/>
      <c r="N256" s="3172"/>
      <c r="O256" s="3172"/>
    </row>
    <row r="257" spans="8:15">
      <c r="H257" s="3172"/>
      <c r="L257" s="3172"/>
      <c r="N257" s="3172"/>
      <c r="O257" s="3172"/>
    </row>
    <row r="258" spans="8:15">
      <c r="H258" s="3172"/>
      <c r="L258" s="3172"/>
      <c r="N258" s="3172"/>
      <c r="O258" s="3172"/>
    </row>
    <row r="259" spans="8:15">
      <c r="H259" s="3172"/>
      <c r="L259" s="3172"/>
      <c r="N259" s="3172"/>
      <c r="O259" s="3172"/>
    </row>
    <row r="260" spans="8:15">
      <c r="H260" s="3172"/>
      <c r="L260" s="3172"/>
      <c r="N260" s="3172"/>
      <c r="O260" s="3172"/>
    </row>
    <row r="261" spans="8:15">
      <c r="H261" s="3172"/>
      <c r="L261" s="3172"/>
      <c r="N261" s="3172"/>
      <c r="O261" s="3172"/>
    </row>
    <row r="262" spans="8:15">
      <c r="H262" s="3172"/>
      <c r="L262" s="3172"/>
      <c r="N262" s="3172"/>
      <c r="O262" s="3172"/>
    </row>
    <row r="263" spans="8:15">
      <c r="H263" s="3172"/>
      <c r="L263" s="3172"/>
      <c r="N263" s="3172"/>
      <c r="O263" s="3172"/>
    </row>
    <row r="264" spans="8:15">
      <c r="H264" s="3172"/>
      <c r="L264" s="3172"/>
      <c r="N264" s="3172"/>
      <c r="O264" s="3172"/>
    </row>
    <row r="265" spans="8:15">
      <c r="H265" s="3172"/>
      <c r="L265" s="3172"/>
      <c r="N265" s="3172"/>
      <c r="O265" s="3172"/>
    </row>
    <row r="266" spans="8:15">
      <c r="H266" s="3172"/>
      <c r="L266" s="3172"/>
      <c r="N266" s="3172"/>
      <c r="O266" s="3172"/>
    </row>
    <row r="267" spans="8:15">
      <c r="H267" s="3172"/>
      <c r="L267" s="3172"/>
      <c r="N267" s="3172"/>
      <c r="O267" s="3172"/>
    </row>
    <row r="268" spans="8:15">
      <c r="H268" s="3172"/>
      <c r="L268" s="3172"/>
      <c r="N268" s="3172"/>
      <c r="O268" s="3172"/>
    </row>
    <row r="269" spans="8:15">
      <c r="H269" s="3172"/>
      <c r="L269" s="3172"/>
      <c r="N269" s="3172"/>
      <c r="O269" s="3172"/>
    </row>
    <row r="270" spans="8:15">
      <c r="H270" s="3172"/>
      <c r="L270" s="3172"/>
      <c r="N270" s="3172"/>
      <c r="O270" s="3172"/>
    </row>
    <row r="271" spans="8:15">
      <c r="H271" s="3172"/>
      <c r="L271" s="3172"/>
      <c r="N271" s="3172"/>
      <c r="O271" s="3172"/>
    </row>
    <row r="272" spans="8:15">
      <c r="H272" s="3172"/>
      <c r="L272" s="3172"/>
      <c r="N272" s="3172"/>
      <c r="O272" s="3172"/>
    </row>
    <row r="273" spans="8:15">
      <c r="H273" s="3172"/>
      <c r="L273" s="3172"/>
      <c r="N273" s="3172"/>
      <c r="O273" s="3172"/>
    </row>
    <row r="274" spans="8:15">
      <c r="H274" s="3172"/>
      <c r="L274" s="3172"/>
      <c r="N274" s="3172"/>
      <c r="O274" s="3172"/>
    </row>
    <row r="275" spans="8:15">
      <c r="H275" s="3172"/>
      <c r="L275" s="3172"/>
      <c r="N275" s="3172"/>
      <c r="O275" s="3172"/>
    </row>
    <row r="276" spans="8:15">
      <c r="H276" s="3172"/>
      <c r="L276" s="3172"/>
      <c r="N276" s="3172"/>
      <c r="O276" s="3172"/>
    </row>
    <row r="277" spans="8:15">
      <c r="H277" s="3172"/>
      <c r="L277" s="3172"/>
      <c r="N277" s="3172"/>
      <c r="O277" s="3172"/>
    </row>
    <row r="278" spans="8:15">
      <c r="H278" s="3172"/>
      <c r="L278" s="3172"/>
      <c r="N278" s="3172"/>
      <c r="O278" s="3172"/>
    </row>
    <row r="279" spans="8:15">
      <c r="H279" s="3172"/>
      <c r="L279" s="3172"/>
      <c r="N279" s="3172"/>
      <c r="O279" s="3172"/>
    </row>
    <row r="280" spans="8:15">
      <c r="H280" s="3172"/>
      <c r="L280" s="3172"/>
      <c r="N280" s="3172"/>
      <c r="O280" s="3172"/>
    </row>
    <row r="281" spans="8:15">
      <c r="H281" s="3172"/>
      <c r="L281" s="3172"/>
      <c r="N281" s="3172"/>
      <c r="O281" s="3172"/>
    </row>
    <row r="282" spans="8:15">
      <c r="H282" s="3172"/>
      <c r="L282" s="3172"/>
      <c r="N282" s="3172"/>
      <c r="O282" s="3172"/>
    </row>
    <row r="283" spans="8:15">
      <c r="H283" s="3172"/>
      <c r="L283" s="3172"/>
      <c r="N283" s="3172"/>
      <c r="O283" s="3172"/>
    </row>
    <row r="284" spans="8:15">
      <c r="H284" s="3172"/>
      <c r="L284" s="3172"/>
      <c r="N284" s="3172"/>
      <c r="O284" s="3172"/>
    </row>
    <row r="285" spans="8:15">
      <c r="H285" s="3172"/>
      <c r="L285" s="3172"/>
      <c r="N285" s="3172"/>
      <c r="O285" s="3172"/>
    </row>
    <row r="286" spans="8:15">
      <c r="H286" s="3172"/>
      <c r="L286" s="3172"/>
      <c r="N286" s="3172"/>
      <c r="O286" s="3172"/>
    </row>
    <row r="287" spans="8:15">
      <c r="H287" s="3172"/>
      <c r="L287" s="3172"/>
      <c r="N287" s="3172"/>
      <c r="O287" s="3172"/>
    </row>
    <row r="288" spans="8:15">
      <c r="H288" s="3172"/>
      <c r="L288" s="3172"/>
      <c r="N288" s="3172"/>
      <c r="O288" s="3172"/>
    </row>
    <row r="289" spans="8:15">
      <c r="H289" s="3172"/>
      <c r="L289" s="3172"/>
      <c r="N289" s="3172"/>
      <c r="O289" s="3172"/>
    </row>
    <row r="290" spans="8:15">
      <c r="H290" s="3172"/>
      <c r="L290" s="3172"/>
      <c r="N290" s="3172"/>
      <c r="O290" s="3172"/>
    </row>
    <row r="291" spans="8:15">
      <c r="H291" s="3172"/>
      <c r="L291" s="3172"/>
      <c r="N291" s="3172"/>
      <c r="O291" s="3172"/>
    </row>
    <row r="292" spans="8:15">
      <c r="H292" s="3172"/>
      <c r="L292" s="3172"/>
      <c r="N292" s="3172"/>
      <c r="O292" s="3172"/>
    </row>
    <row r="293" spans="8:15">
      <c r="H293" s="3172"/>
      <c r="L293" s="3172"/>
      <c r="N293" s="3172"/>
      <c r="O293" s="3172"/>
    </row>
    <row r="294" spans="8:15">
      <c r="H294" s="3172"/>
      <c r="L294" s="3172"/>
      <c r="N294" s="3172"/>
      <c r="O294" s="3172"/>
    </row>
    <row r="295" spans="8:15">
      <c r="H295" s="3172"/>
      <c r="L295" s="3172"/>
      <c r="N295" s="3172"/>
      <c r="O295" s="3172"/>
    </row>
    <row r="296" spans="8:15">
      <c r="H296" s="3172"/>
      <c r="L296" s="3172"/>
      <c r="N296" s="3172"/>
      <c r="O296" s="3172"/>
    </row>
    <row r="297" spans="8:15">
      <c r="H297" s="3172"/>
      <c r="L297" s="3172"/>
      <c r="N297" s="3172"/>
      <c r="O297" s="3172"/>
    </row>
    <row r="298" spans="8:15">
      <c r="H298" s="3172"/>
      <c r="L298" s="3172"/>
      <c r="N298" s="3172"/>
      <c r="O298" s="3172"/>
    </row>
    <row r="299" spans="8:15">
      <c r="H299" s="3172"/>
      <c r="L299" s="3172"/>
      <c r="N299" s="3172"/>
      <c r="O299" s="3172"/>
    </row>
    <row r="300" spans="8:15">
      <c r="H300" s="3172"/>
      <c r="L300" s="3172"/>
      <c r="N300" s="3172"/>
      <c r="O300" s="3172"/>
    </row>
    <row r="301" spans="8:15">
      <c r="H301" s="3172"/>
      <c r="L301" s="3172"/>
      <c r="N301" s="3172"/>
      <c r="O301" s="3172"/>
    </row>
    <row r="302" spans="8:15">
      <c r="H302" s="3172"/>
      <c r="L302" s="3172"/>
      <c r="N302" s="3172"/>
      <c r="O302" s="3172"/>
    </row>
    <row r="303" spans="8:15">
      <c r="H303" s="3172"/>
      <c r="L303" s="3172"/>
      <c r="N303" s="3172"/>
      <c r="O303" s="3172"/>
    </row>
    <row r="304" spans="8:15">
      <c r="H304" s="3172"/>
      <c r="L304" s="3172"/>
      <c r="N304" s="3172"/>
      <c r="O304" s="3172"/>
    </row>
    <row r="305" spans="8:15">
      <c r="H305" s="3172"/>
      <c r="L305" s="3172"/>
      <c r="N305" s="3172"/>
      <c r="O305" s="3172"/>
    </row>
    <row r="306" spans="8:15">
      <c r="H306" s="3172"/>
      <c r="L306" s="3172"/>
      <c r="N306" s="3172"/>
      <c r="O306" s="3172"/>
    </row>
    <row r="307" spans="8:15">
      <c r="H307" s="3172"/>
      <c r="L307" s="3172"/>
      <c r="N307" s="3172"/>
      <c r="O307" s="3172"/>
    </row>
    <row r="308" spans="8:15">
      <c r="H308" s="3172"/>
      <c r="L308" s="3172"/>
      <c r="N308" s="3172"/>
      <c r="O308" s="3172"/>
    </row>
    <row r="309" spans="8:15">
      <c r="H309" s="3172"/>
      <c r="L309" s="3172"/>
      <c r="N309" s="3172"/>
      <c r="O309" s="3172"/>
    </row>
    <row r="310" spans="8:15">
      <c r="H310" s="3172"/>
      <c r="L310" s="3172"/>
      <c r="N310" s="3172"/>
      <c r="O310" s="3172"/>
    </row>
    <row r="311" spans="8:15">
      <c r="H311" s="3172"/>
      <c r="L311" s="3172"/>
      <c r="N311" s="3172"/>
      <c r="O311" s="3172"/>
    </row>
    <row r="312" spans="8:15">
      <c r="H312" s="3172"/>
      <c r="L312" s="3172"/>
      <c r="N312" s="3172"/>
      <c r="O312" s="3172"/>
    </row>
    <row r="313" spans="8:15">
      <c r="H313" s="3172"/>
      <c r="L313" s="3172"/>
      <c r="N313" s="3172"/>
      <c r="O313" s="3172"/>
    </row>
    <row r="314" spans="8:15">
      <c r="H314" s="3172"/>
      <c r="L314" s="3172"/>
      <c r="N314" s="3172"/>
      <c r="O314" s="3172"/>
    </row>
    <row r="315" spans="8:15">
      <c r="H315" s="3172"/>
      <c r="L315" s="3172"/>
      <c r="N315" s="3172"/>
      <c r="O315" s="3172"/>
    </row>
    <row r="316" spans="8:15">
      <c r="H316" s="3172"/>
      <c r="L316" s="3172"/>
      <c r="N316" s="3172"/>
      <c r="O316" s="3172"/>
    </row>
    <row r="317" spans="8:15">
      <c r="H317" s="3172"/>
      <c r="L317" s="3172"/>
      <c r="N317" s="3172"/>
      <c r="O317" s="3172"/>
    </row>
    <row r="318" spans="8:15">
      <c r="H318" s="3172"/>
      <c r="L318" s="3172"/>
      <c r="N318" s="3172"/>
      <c r="O318" s="3172"/>
    </row>
    <row r="319" spans="8:15">
      <c r="H319" s="3172"/>
      <c r="L319" s="3172"/>
      <c r="N319" s="3172"/>
      <c r="O319" s="3172"/>
    </row>
    <row r="320" spans="8:15">
      <c r="H320" s="3172"/>
      <c r="L320" s="3172"/>
      <c r="N320" s="3172"/>
      <c r="O320" s="3172"/>
    </row>
    <row r="321" spans="8:15">
      <c r="H321" s="3172"/>
      <c r="L321" s="3172"/>
      <c r="N321" s="3172"/>
      <c r="O321" s="3172"/>
    </row>
    <row r="322" spans="8:15">
      <c r="H322" s="3172"/>
      <c r="L322" s="3172"/>
      <c r="N322" s="3172"/>
      <c r="O322" s="3172"/>
    </row>
    <row r="323" spans="8:15">
      <c r="H323" s="3172"/>
      <c r="L323" s="3172"/>
      <c r="N323" s="3172"/>
      <c r="O323" s="3172"/>
    </row>
    <row r="324" spans="8:15">
      <c r="H324" s="3172"/>
      <c r="L324" s="3172"/>
      <c r="N324" s="3172"/>
      <c r="O324" s="3172"/>
    </row>
    <row r="325" spans="8:15">
      <c r="H325" s="3172"/>
      <c r="L325" s="3172"/>
      <c r="N325" s="3172"/>
      <c r="O325" s="3172"/>
    </row>
    <row r="326" spans="8:15">
      <c r="H326" s="3172"/>
      <c r="L326" s="3172"/>
      <c r="N326" s="3172"/>
      <c r="O326" s="3172"/>
    </row>
    <row r="327" spans="8:15">
      <c r="H327" s="3172"/>
      <c r="L327" s="3172"/>
      <c r="N327" s="3172"/>
      <c r="O327" s="3172"/>
    </row>
    <row r="328" spans="8:15">
      <c r="H328" s="3172"/>
      <c r="L328" s="3172"/>
      <c r="N328" s="3172"/>
      <c r="O328" s="3172"/>
    </row>
    <row r="329" spans="8:15">
      <c r="H329" s="3172"/>
      <c r="L329" s="3172"/>
      <c r="N329" s="3172"/>
      <c r="O329" s="3172"/>
    </row>
    <row r="330" spans="8:15">
      <c r="H330" s="3172"/>
      <c r="L330" s="3172"/>
      <c r="N330" s="3172"/>
      <c r="O330" s="3172"/>
    </row>
    <row r="331" spans="8:15">
      <c r="H331" s="3172"/>
      <c r="L331" s="3172"/>
      <c r="N331" s="3172"/>
      <c r="O331" s="3172"/>
    </row>
    <row r="332" spans="8:15">
      <c r="H332" s="3172"/>
      <c r="L332" s="3172"/>
      <c r="N332" s="3172"/>
      <c r="O332" s="3172"/>
    </row>
    <row r="333" spans="8:15">
      <c r="H333" s="3172"/>
      <c r="L333" s="3172"/>
      <c r="N333" s="3172"/>
      <c r="O333" s="3172"/>
    </row>
    <row r="334" spans="8:15">
      <c r="H334" s="3172"/>
      <c r="L334" s="3172"/>
      <c r="N334" s="3172"/>
      <c r="O334" s="3172"/>
    </row>
    <row r="335" spans="8:15">
      <c r="H335" s="3172"/>
      <c r="L335" s="3172"/>
      <c r="N335" s="3172"/>
      <c r="O335" s="3172"/>
    </row>
    <row r="336" spans="8:15">
      <c r="H336" s="3172"/>
      <c r="L336" s="3172"/>
      <c r="N336" s="3172"/>
      <c r="O336" s="3172"/>
    </row>
    <row r="337" spans="8:15">
      <c r="H337" s="3172"/>
      <c r="L337" s="3172"/>
      <c r="N337" s="3172"/>
      <c r="O337" s="3172"/>
    </row>
    <row r="338" spans="8:15">
      <c r="H338" s="3172"/>
      <c r="L338" s="3172"/>
      <c r="N338" s="3172"/>
      <c r="O338" s="3172"/>
    </row>
    <row r="339" spans="8:15">
      <c r="H339" s="3172"/>
      <c r="L339" s="3172"/>
      <c r="N339" s="3172"/>
      <c r="O339" s="3172"/>
    </row>
    <row r="340" spans="8:15">
      <c r="H340" s="3172"/>
      <c r="L340" s="3172"/>
      <c r="N340" s="3172"/>
      <c r="O340" s="3172"/>
    </row>
    <row r="341" spans="8:15">
      <c r="H341" s="3172"/>
      <c r="L341" s="3172"/>
      <c r="N341" s="3172"/>
      <c r="O341" s="3172"/>
    </row>
    <row r="342" spans="8:15">
      <c r="H342" s="3172"/>
      <c r="L342" s="3172"/>
      <c r="N342" s="3172"/>
      <c r="O342" s="3172"/>
    </row>
    <row r="343" spans="8:15">
      <c r="H343" s="3172"/>
      <c r="L343" s="3172"/>
      <c r="N343" s="3172"/>
      <c r="O343" s="3172"/>
    </row>
    <row r="344" spans="8:15">
      <c r="H344" s="3172"/>
      <c r="L344" s="3172"/>
      <c r="N344" s="3172"/>
      <c r="O344" s="3172"/>
    </row>
    <row r="345" spans="8:15">
      <c r="H345" s="3172"/>
      <c r="L345" s="3172"/>
      <c r="N345" s="3172"/>
      <c r="O345" s="3172"/>
    </row>
    <row r="346" spans="8:15">
      <c r="H346" s="3172"/>
      <c r="L346" s="3172"/>
      <c r="N346" s="3172"/>
      <c r="O346" s="3172"/>
    </row>
    <row r="347" spans="8:15">
      <c r="H347" s="3172"/>
      <c r="L347" s="3172"/>
      <c r="N347" s="3172"/>
      <c r="O347" s="3172"/>
    </row>
    <row r="348" spans="8:15">
      <c r="H348" s="3172"/>
      <c r="L348" s="3172"/>
      <c r="N348" s="3172"/>
      <c r="O348" s="3172"/>
    </row>
    <row r="349" spans="8:15">
      <c r="H349" s="3172"/>
      <c r="L349" s="3172"/>
      <c r="N349" s="3172"/>
      <c r="O349" s="3172"/>
    </row>
    <row r="350" spans="8:15">
      <c r="H350" s="3172"/>
      <c r="L350" s="3172"/>
      <c r="N350" s="3172"/>
      <c r="O350" s="3172"/>
    </row>
    <row r="351" spans="8:15">
      <c r="H351" s="3172"/>
      <c r="L351" s="3172"/>
      <c r="N351" s="3172"/>
      <c r="O351" s="3172"/>
    </row>
    <row r="352" spans="8:15">
      <c r="H352" s="3172"/>
      <c r="L352" s="3172"/>
      <c r="N352" s="3172"/>
      <c r="O352" s="3172"/>
    </row>
    <row r="353" spans="8:15">
      <c r="H353" s="3172"/>
      <c r="L353" s="3172"/>
      <c r="N353" s="3172"/>
      <c r="O353" s="3172"/>
    </row>
    <row r="354" spans="8:15">
      <c r="H354" s="3172"/>
      <c r="L354" s="3172"/>
      <c r="N354" s="3172"/>
      <c r="O354" s="3172"/>
    </row>
    <row r="355" spans="8:15">
      <c r="H355" s="3172"/>
      <c r="L355" s="3172"/>
      <c r="N355" s="3172"/>
      <c r="O355" s="3172"/>
    </row>
    <row r="356" spans="8:15">
      <c r="H356" s="3172"/>
      <c r="L356" s="3172"/>
      <c r="N356" s="3172"/>
      <c r="O356" s="3172"/>
    </row>
    <row r="357" spans="8:15">
      <c r="H357" s="3172"/>
      <c r="L357" s="3172"/>
      <c r="N357" s="3172"/>
      <c r="O357" s="3172"/>
    </row>
    <row r="358" spans="8:15">
      <c r="H358" s="3172"/>
      <c r="L358" s="3172"/>
      <c r="N358" s="3172"/>
      <c r="O358" s="3172"/>
    </row>
    <row r="359" spans="8:15">
      <c r="H359" s="3172"/>
      <c r="L359" s="3172"/>
      <c r="N359" s="3172"/>
      <c r="O359" s="3172"/>
    </row>
    <row r="360" spans="8:15">
      <c r="H360" s="3172"/>
      <c r="L360" s="3172"/>
      <c r="N360" s="3172"/>
      <c r="O360" s="3172"/>
    </row>
    <row r="361" spans="8:15">
      <c r="H361" s="3172"/>
      <c r="L361" s="3172"/>
      <c r="N361" s="3172"/>
      <c r="O361" s="3172"/>
    </row>
    <row r="362" spans="8:15">
      <c r="H362" s="3172"/>
      <c r="L362" s="3172"/>
      <c r="N362" s="3172"/>
      <c r="O362" s="3172"/>
    </row>
    <row r="363" spans="8:15">
      <c r="H363" s="3172"/>
      <c r="L363" s="3172"/>
      <c r="N363" s="3172"/>
      <c r="O363" s="3172"/>
    </row>
    <row r="364" spans="8:15">
      <c r="H364" s="3172"/>
      <c r="L364" s="3172"/>
      <c r="N364" s="3172"/>
      <c r="O364" s="3172"/>
    </row>
    <row r="365" spans="8:15">
      <c r="H365" s="3172"/>
      <c r="L365" s="3172"/>
      <c r="N365" s="3172"/>
      <c r="O365" s="3172"/>
    </row>
    <row r="366" spans="8:15">
      <c r="H366" s="3172"/>
      <c r="L366" s="3172"/>
      <c r="N366" s="3172"/>
      <c r="O366" s="3172"/>
    </row>
    <row r="367" spans="8:15">
      <c r="H367" s="3172"/>
      <c r="L367" s="3172"/>
      <c r="N367" s="3172"/>
      <c r="O367" s="3172"/>
    </row>
    <row r="368" spans="8:15">
      <c r="H368" s="3172"/>
      <c r="L368" s="3172"/>
      <c r="N368" s="3172"/>
      <c r="O368" s="3172"/>
    </row>
    <row r="369" spans="8:15">
      <c r="H369" s="3172"/>
      <c r="L369" s="3172"/>
      <c r="N369" s="3172"/>
      <c r="O369" s="3172"/>
    </row>
    <row r="370" spans="8:15">
      <c r="H370" s="3172"/>
      <c r="L370" s="3172"/>
      <c r="N370" s="3172"/>
      <c r="O370" s="3172"/>
    </row>
    <row r="371" spans="8:15">
      <c r="H371" s="3172"/>
      <c r="L371" s="3172"/>
      <c r="N371" s="3172"/>
      <c r="O371" s="3172"/>
    </row>
    <row r="372" spans="8:15">
      <c r="H372" s="3172"/>
      <c r="L372" s="3172"/>
      <c r="N372" s="3172"/>
      <c r="O372" s="3172"/>
    </row>
    <row r="373" spans="8:15">
      <c r="H373" s="3172"/>
      <c r="L373" s="3172"/>
      <c r="N373" s="3172"/>
      <c r="O373" s="3172"/>
    </row>
    <row r="374" spans="8:15">
      <c r="H374" s="3172"/>
      <c r="L374" s="3172"/>
      <c r="N374" s="3172"/>
      <c r="O374" s="3172"/>
    </row>
    <row r="375" spans="8:15">
      <c r="H375" s="3172"/>
      <c r="L375" s="3172"/>
      <c r="N375" s="3172"/>
      <c r="O375" s="3172"/>
    </row>
    <row r="376" spans="8:15">
      <c r="H376" s="3172"/>
      <c r="L376" s="3172"/>
      <c r="N376" s="3172"/>
      <c r="O376" s="3172"/>
    </row>
    <row r="377" spans="8:15">
      <c r="H377" s="3172"/>
      <c r="L377" s="3172"/>
      <c r="N377" s="3172"/>
      <c r="O377" s="3172"/>
    </row>
    <row r="378" spans="8:15">
      <c r="H378" s="3172"/>
      <c r="L378" s="3172"/>
      <c r="N378" s="3172"/>
      <c r="O378" s="3172"/>
    </row>
    <row r="379" spans="8:15">
      <c r="H379" s="3172"/>
      <c r="L379" s="3172"/>
      <c r="N379" s="3172"/>
      <c r="O379" s="3172"/>
    </row>
    <row r="380" spans="8:15">
      <c r="H380" s="3172"/>
      <c r="L380" s="3172"/>
      <c r="N380" s="3172"/>
      <c r="O380" s="3172"/>
    </row>
    <row r="381" spans="8:15">
      <c r="H381" s="3172"/>
      <c r="L381" s="3172"/>
      <c r="N381" s="3172"/>
      <c r="O381" s="3172"/>
    </row>
    <row r="382" spans="8:15">
      <c r="H382" s="3172"/>
      <c r="L382" s="3172"/>
      <c r="N382" s="3172"/>
      <c r="O382" s="3172"/>
    </row>
    <row r="383" spans="8:15">
      <c r="H383" s="3172"/>
      <c r="L383" s="3172"/>
      <c r="N383" s="3172"/>
      <c r="O383" s="3172"/>
    </row>
    <row r="384" spans="8:15">
      <c r="H384" s="3172"/>
      <c r="L384" s="3172"/>
      <c r="N384" s="3172"/>
      <c r="O384" s="3172"/>
    </row>
    <row r="385" spans="8:15">
      <c r="H385" s="3172"/>
      <c r="L385" s="3172"/>
      <c r="N385" s="3172"/>
      <c r="O385" s="3172"/>
    </row>
    <row r="386" spans="8:15">
      <c r="H386" s="3172"/>
      <c r="L386" s="3172"/>
      <c r="N386" s="3172"/>
      <c r="O386" s="3172"/>
    </row>
    <row r="387" spans="8:15">
      <c r="H387" s="3172"/>
      <c r="L387" s="3172"/>
      <c r="N387" s="3172"/>
      <c r="O387" s="3172"/>
    </row>
    <row r="388" spans="8:15">
      <c r="H388" s="3172"/>
      <c r="L388" s="3172"/>
      <c r="N388" s="3172"/>
      <c r="O388" s="3172"/>
    </row>
    <row r="389" spans="8:15">
      <c r="H389" s="3172"/>
      <c r="L389" s="3172"/>
      <c r="N389" s="3172"/>
      <c r="O389" s="3172"/>
    </row>
    <row r="390" spans="8:15">
      <c r="H390" s="3172"/>
      <c r="L390" s="3172"/>
      <c r="N390" s="3172"/>
      <c r="O390" s="3172"/>
    </row>
    <row r="391" spans="8:15">
      <c r="H391" s="3172"/>
      <c r="L391" s="3172"/>
      <c r="N391" s="3172"/>
      <c r="O391" s="3172"/>
    </row>
    <row r="392" spans="8:15">
      <c r="H392" s="3172"/>
      <c r="L392" s="3172"/>
      <c r="N392" s="3172"/>
      <c r="O392" s="3172"/>
    </row>
    <row r="393" spans="8:15">
      <c r="H393" s="3172"/>
      <c r="L393" s="3172"/>
      <c r="N393" s="3172"/>
      <c r="O393" s="3172"/>
    </row>
    <row r="394" spans="8:15">
      <c r="H394" s="3172"/>
      <c r="L394" s="3172"/>
      <c r="N394" s="3172"/>
      <c r="O394" s="3172"/>
    </row>
    <row r="395" spans="8:15">
      <c r="H395" s="3172"/>
      <c r="L395" s="3172"/>
      <c r="N395" s="3172"/>
      <c r="O395" s="3172"/>
    </row>
    <row r="396" spans="8:15">
      <c r="H396" s="3172"/>
      <c r="L396" s="3172"/>
      <c r="N396" s="3172"/>
      <c r="O396" s="3172"/>
    </row>
    <row r="397" spans="8:15">
      <c r="H397" s="3172"/>
      <c r="L397" s="3172"/>
      <c r="N397" s="3172"/>
      <c r="O397" s="3172"/>
    </row>
    <row r="398" spans="8:15">
      <c r="H398" s="3172"/>
      <c r="L398" s="3172"/>
      <c r="N398" s="3172"/>
      <c r="O398" s="3172"/>
    </row>
    <row r="399" spans="8:15">
      <c r="H399" s="3172"/>
      <c r="L399" s="3172"/>
      <c r="N399" s="3172"/>
      <c r="O399" s="3172"/>
    </row>
    <row r="400" spans="8:15">
      <c r="H400" s="3172"/>
      <c r="L400" s="3172"/>
      <c r="N400" s="3172"/>
      <c r="O400" s="3172"/>
    </row>
    <row r="401" spans="8:15">
      <c r="H401" s="3172"/>
      <c r="L401" s="3172"/>
      <c r="N401" s="3172"/>
      <c r="O401" s="3172"/>
    </row>
    <row r="402" spans="8:15">
      <c r="H402" s="3172"/>
      <c r="L402" s="3172"/>
      <c r="N402" s="3172"/>
      <c r="O402" s="3172"/>
    </row>
    <row r="403" spans="8:15">
      <c r="H403" s="3172"/>
      <c r="L403" s="3172"/>
      <c r="N403" s="3172"/>
      <c r="O403" s="3172"/>
    </row>
    <row r="404" spans="8:15">
      <c r="H404" s="3172"/>
      <c r="L404" s="3172"/>
      <c r="N404" s="3172"/>
      <c r="O404" s="3172"/>
    </row>
    <row r="405" spans="8:15">
      <c r="H405" s="3172"/>
      <c r="L405" s="3172"/>
      <c r="N405" s="3172"/>
      <c r="O405" s="3172"/>
    </row>
    <row r="406" spans="8:15">
      <c r="H406" s="3172"/>
      <c r="L406" s="3172"/>
      <c r="N406" s="3172"/>
      <c r="O406" s="3172"/>
    </row>
    <row r="407" spans="8:15">
      <c r="H407" s="3172"/>
      <c r="L407" s="3172"/>
      <c r="N407" s="3172"/>
      <c r="O407" s="3172"/>
    </row>
    <row r="408" spans="8:15">
      <c r="H408" s="3172"/>
      <c r="L408" s="3172"/>
      <c r="N408" s="3172"/>
      <c r="O408" s="3172"/>
    </row>
    <row r="409" spans="8:15">
      <c r="H409" s="3172"/>
      <c r="L409" s="3172"/>
      <c r="N409" s="3172"/>
      <c r="O409" s="3172"/>
    </row>
    <row r="410" spans="8:15">
      <c r="H410" s="3172"/>
      <c r="L410" s="3172"/>
      <c r="N410" s="3172"/>
      <c r="O410" s="3172"/>
    </row>
    <row r="411" spans="8:15">
      <c r="H411" s="3172"/>
      <c r="L411" s="3172"/>
      <c r="N411" s="3172"/>
      <c r="O411" s="3172"/>
    </row>
    <row r="412" spans="8:15">
      <c r="H412" s="3172"/>
      <c r="L412" s="3172"/>
      <c r="N412" s="3172"/>
      <c r="O412" s="3172"/>
    </row>
    <row r="413" spans="8:15">
      <c r="H413" s="3172"/>
      <c r="L413" s="3172"/>
      <c r="N413" s="3172"/>
      <c r="O413" s="3172"/>
    </row>
    <row r="414" spans="8:15">
      <c r="H414" s="3172"/>
      <c r="L414" s="3172"/>
      <c r="N414" s="3172"/>
      <c r="O414" s="3172"/>
    </row>
    <row r="415" spans="8:15">
      <c r="H415" s="3172"/>
      <c r="L415" s="3172"/>
      <c r="N415" s="3172"/>
      <c r="O415" s="3172"/>
    </row>
    <row r="416" spans="8:15">
      <c r="H416" s="3172"/>
      <c r="L416" s="3172"/>
      <c r="N416" s="3172"/>
      <c r="O416" s="3172"/>
    </row>
    <row r="417" spans="8:15">
      <c r="H417" s="3172"/>
      <c r="L417" s="3172"/>
      <c r="N417" s="3172"/>
      <c r="O417" s="3172"/>
    </row>
    <row r="418" spans="8:15">
      <c r="H418" s="3172"/>
      <c r="L418" s="3172"/>
      <c r="N418" s="3172"/>
      <c r="O418" s="3172"/>
    </row>
    <row r="419" spans="8:15">
      <c r="H419" s="3172"/>
      <c r="L419" s="3172"/>
      <c r="N419" s="3172"/>
      <c r="O419" s="3172"/>
    </row>
    <row r="420" spans="8:15">
      <c r="H420" s="3172"/>
      <c r="L420" s="3172"/>
      <c r="N420" s="3172"/>
      <c r="O420" s="3172"/>
    </row>
    <row r="421" spans="8:15">
      <c r="H421" s="3172"/>
      <c r="L421" s="3172"/>
      <c r="N421" s="3172"/>
      <c r="O421" s="3172"/>
    </row>
    <row r="422" spans="8:15">
      <c r="H422" s="3172"/>
      <c r="L422" s="3172"/>
      <c r="N422" s="3172"/>
      <c r="O422" s="3172"/>
    </row>
    <row r="423" spans="8:15">
      <c r="H423" s="3172"/>
      <c r="L423" s="3172"/>
      <c r="N423" s="3172"/>
      <c r="O423" s="3172"/>
    </row>
    <row r="424" spans="8:15">
      <c r="H424" s="3172"/>
      <c r="L424" s="3172"/>
      <c r="N424" s="3172"/>
      <c r="O424" s="3172"/>
    </row>
    <row r="425" spans="8:15">
      <c r="H425" s="3172"/>
      <c r="L425" s="3172"/>
      <c r="N425" s="3172"/>
      <c r="O425" s="3172"/>
    </row>
    <row r="426" spans="8:15">
      <c r="H426" s="3172"/>
      <c r="L426" s="3172"/>
      <c r="N426" s="3172"/>
      <c r="O426" s="3172"/>
    </row>
    <row r="427" spans="8:15">
      <c r="H427" s="3172"/>
      <c r="L427" s="3172"/>
      <c r="N427" s="3172"/>
      <c r="O427" s="3172"/>
    </row>
    <row r="428" spans="8:15">
      <c r="H428" s="3172"/>
      <c r="L428" s="3172"/>
      <c r="N428" s="3172"/>
      <c r="O428" s="3172"/>
    </row>
    <row r="429" spans="8:15">
      <c r="H429" s="3172"/>
      <c r="L429" s="3172"/>
      <c r="N429" s="3172"/>
      <c r="O429" s="3172"/>
    </row>
    <row r="430" spans="8:15">
      <c r="H430" s="3172"/>
      <c r="L430" s="3172"/>
      <c r="N430" s="3172"/>
      <c r="O430" s="3172"/>
    </row>
    <row r="431" spans="8:15">
      <c r="H431" s="3172"/>
      <c r="L431" s="3172"/>
      <c r="N431" s="3172"/>
      <c r="O431" s="3172"/>
    </row>
    <row r="432" spans="8:15">
      <c r="H432" s="3172"/>
      <c r="L432" s="3172"/>
      <c r="N432" s="3172"/>
      <c r="O432" s="3172"/>
    </row>
    <row r="433" spans="8:15">
      <c r="H433" s="3172"/>
      <c r="L433" s="3172"/>
      <c r="N433" s="3172"/>
      <c r="O433" s="3172"/>
    </row>
    <row r="434" spans="8:15">
      <c r="H434" s="3172"/>
      <c r="L434" s="3172"/>
      <c r="N434" s="3172"/>
      <c r="O434" s="3172"/>
    </row>
    <row r="435" spans="8:15">
      <c r="H435" s="3172"/>
      <c r="L435" s="3172"/>
      <c r="N435" s="3172"/>
      <c r="O435" s="3172"/>
    </row>
    <row r="436" spans="8:15">
      <c r="H436" s="3172"/>
      <c r="L436" s="3172"/>
      <c r="N436" s="3172"/>
      <c r="O436" s="3172"/>
    </row>
    <row r="437" spans="8:15">
      <c r="H437" s="3172"/>
      <c r="L437" s="3172"/>
      <c r="N437" s="3172"/>
      <c r="O437" s="3172"/>
    </row>
    <row r="438" spans="8:15">
      <c r="H438" s="3172"/>
      <c r="L438" s="3172"/>
      <c r="N438" s="3172"/>
      <c r="O438" s="3172"/>
    </row>
    <row r="439" spans="8:15">
      <c r="H439" s="3172"/>
      <c r="L439" s="3172"/>
      <c r="N439" s="3172"/>
      <c r="O439" s="3172"/>
    </row>
    <row r="440" spans="8:15">
      <c r="H440" s="3172"/>
      <c r="L440" s="3172"/>
      <c r="N440" s="3172"/>
      <c r="O440" s="3172"/>
    </row>
    <row r="441" spans="8:15">
      <c r="H441" s="3172"/>
      <c r="L441" s="3172"/>
      <c r="N441" s="3172"/>
      <c r="O441" s="3172"/>
    </row>
    <row r="442" spans="8:15">
      <c r="H442" s="3172"/>
      <c r="L442" s="3172"/>
      <c r="N442" s="3172"/>
      <c r="O442" s="3172"/>
    </row>
    <row r="443" spans="8:15">
      <c r="H443" s="3172"/>
      <c r="L443" s="3172"/>
      <c r="N443" s="3172"/>
      <c r="O443" s="3172"/>
    </row>
    <row r="444" spans="8:15">
      <c r="H444" s="3172"/>
      <c r="L444" s="3172"/>
      <c r="N444" s="3172"/>
      <c r="O444" s="3172"/>
    </row>
    <row r="445" spans="8:15">
      <c r="H445" s="3172"/>
      <c r="L445" s="3172"/>
      <c r="N445" s="3172"/>
      <c r="O445" s="3172"/>
    </row>
    <row r="446" spans="8:15">
      <c r="H446" s="3172"/>
      <c r="L446" s="3172"/>
      <c r="N446" s="3172"/>
      <c r="O446" s="3172"/>
    </row>
    <row r="447" spans="8:15">
      <c r="H447" s="3172"/>
      <c r="L447" s="3172"/>
      <c r="N447" s="3172"/>
      <c r="O447" s="3172"/>
    </row>
    <row r="448" spans="8:15">
      <c r="H448" s="3172"/>
      <c r="L448" s="3172"/>
      <c r="N448" s="3172"/>
      <c r="O448" s="3172"/>
    </row>
    <row r="449" spans="8:15">
      <c r="H449" s="3172"/>
      <c r="L449" s="3172"/>
      <c r="N449" s="3172"/>
      <c r="O449" s="3172"/>
    </row>
    <row r="450" spans="8:15">
      <c r="H450" s="3172"/>
      <c r="L450" s="3172"/>
      <c r="N450" s="3172"/>
      <c r="O450" s="3172"/>
    </row>
    <row r="451" spans="8:15">
      <c r="H451" s="3172"/>
      <c r="L451" s="3172"/>
      <c r="N451" s="3172"/>
      <c r="O451" s="3172"/>
    </row>
    <row r="452" spans="8:15">
      <c r="H452" s="3172"/>
      <c r="L452" s="3172"/>
      <c r="N452" s="3172"/>
      <c r="O452" s="3172"/>
    </row>
    <row r="453" spans="8:15">
      <c r="H453" s="3172"/>
      <c r="L453" s="3172"/>
      <c r="N453" s="3172"/>
      <c r="O453" s="3172"/>
    </row>
    <row r="454" spans="8:15">
      <c r="H454" s="3172"/>
      <c r="L454" s="3172"/>
      <c r="N454" s="3172"/>
      <c r="O454" s="3172"/>
    </row>
    <row r="455" spans="8:15">
      <c r="H455" s="3172"/>
      <c r="L455" s="3172"/>
      <c r="N455" s="3172"/>
      <c r="O455" s="3172"/>
    </row>
    <row r="456" spans="8:15">
      <c r="H456" s="3172"/>
      <c r="L456" s="3172"/>
      <c r="N456" s="3172"/>
      <c r="O456" s="3172"/>
    </row>
    <row r="457" spans="8:15">
      <c r="H457" s="3172"/>
      <c r="L457" s="3172"/>
      <c r="N457" s="3172"/>
      <c r="O457" s="3172"/>
    </row>
    <row r="458" spans="8:15">
      <c r="H458" s="3172"/>
      <c r="L458" s="3172"/>
      <c r="N458" s="3172"/>
      <c r="O458" s="3172"/>
    </row>
    <row r="459" spans="8:15">
      <c r="H459" s="3172"/>
      <c r="L459" s="3172"/>
      <c r="N459" s="3172"/>
      <c r="O459" s="3172"/>
    </row>
    <row r="460" spans="8:15">
      <c r="H460" s="3172"/>
      <c r="L460" s="3172"/>
      <c r="N460" s="3172"/>
      <c r="O460" s="3172"/>
    </row>
    <row r="461" spans="8:15">
      <c r="H461" s="3172"/>
      <c r="L461" s="3172"/>
      <c r="N461" s="3172"/>
      <c r="O461" s="3172"/>
    </row>
    <row r="462" spans="8:15">
      <c r="H462" s="3172"/>
      <c r="L462" s="3172"/>
      <c r="N462" s="3172"/>
      <c r="O462" s="3172"/>
    </row>
    <row r="463" spans="8:15">
      <c r="H463" s="3172"/>
      <c r="L463" s="3172"/>
      <c r="N463" s="3172"/>
      <c r="O463" s="3172"/>
    </row>
    <row r="464" spans="8:15">
      <c r="H464" s="3172"/>
      <c r="L464" s="3172"/>
      <c r="N464" s="3172"/>
      <c r="O464" s="3172"/>
    </row>
    <row r="465" spans="8:15">
      <c r="H465" s="3172"/>
      <c r="L465" s="3172"/>
      <c r="N465" s="3172"/>
      <c r="O465" s="3172"/>
    </row>
    <row r="466" spans="8:15">
      <c r="H466" s="3172"/>
      <c r="L466" s="3172"/>
      <c r="N466" s="3172"/>
      <c r="O466" s="3172"/>
    </row>
    <row r="467" spans="8:15">
      <c r="H467" s="3172"/>
      <c r="L467" s="3172"/>
      <c r="N467" s="3172"/>
      <c r="O467" s="3172"/>
    </row>
    <row r="468" spans="8:15">
      <c r="H468" s="3172"/>
      <c r="L468" s="3172"/>
      <c r="N468" s="3172"/>
      <c r="O468" s="3172"/>
    </row>
    <row r="469" spans="8:15">
      <c r="H469" s="3172"/>
      <c r="L469" s="3172"/>
      <c r="N469" s="3172"/>
      <c r="O469" s="3172"/>
    </row>
    <row r="470" spans="8:15">
      <c r="H470" s="3172"/>
      <c r="L470" s="3172"/>
      <c r="N470" s="3172"/>
      <c r="O470" s="3172"/>
    </row>
    <row r="471" spans="8:15">
      <c r="H471" s="3172"/>
      <c r="L471" s="3172"/>
      <c r="N471" s="3172"/>
      <c r="O471" s="3172"/>
    </row>
    <row r="472" spans="8:15">
      <c r="H472" s="3172"/>
      <c r="L472" s="3172"/>
      <c r="N472" s="3172"/>
      <c r="O472" s="3172"/>
    </row>
    <row r="473" spans="8:15">
      <c r="H473" s="3172"/>
      <c r="L473" s="3172"/>
      <c r="N473" s="3172"/>
      <c r="O473" s="3172"/>
    </row>
    <row r="474" spans="8:15">
      <c r="H474" s="3172"/>
      <c r="L474" s="3172"/>
      <c r="N474" s="3172"/>
      <c r="O474" s="3172"/>
    </row>
    <row r="475" spans="8:15">
      <c r="H475" s="3172"/>
      <c r="L475" s="3172"/>
      <c r="N475" s="3172"/>
      <c r="O475" s="3172"/>
    </row>
    <row r="476" spans="8:15">
      <c r="H476" s="3172"/>
      <c r="L476" s="3172"/>
      <c r="N476" s="3172"/>
      <c r="O476" s="3172"/>
    </row>
    <row r="477" spans="8:15">
      <c r="H477" s="3172"/>
      <c r="L477" s="3172"/>
      <c r="N477" s="3172"/>
      <c r="O477" s="3172"/>
    </row>
    <row r="478" spans="8:15">
      <c r="H478" s="3172"/>
      <c r="L478" s="3172"/>
      <c r="N478" s="3172"/>
      <c r="O478" s="3172"/>
    </row>
    <row r="479" spans="8:15">
      <c r="H479" s="3172"/>
      <c r="L479" s="3172"/>
      <c r="N479" s="3172"/>
      <c r="O479" s="3172"/>
    </row>
    <row r="480" spans="8:15">
      <c r="H480" s="3172"/>
      <c r="L480" s="3172"/>
      <c r="N480" s="3172"/>
      <c r="O480" s="3172"/>
    </row>
    <row r="481" spans="8:15">
      <c r="H481" s="3172"/>
      <c r="L481" s="3172"/>
      <c r="N481" s="3172"/>
      <c r="O481" s="3172"/>
    </row>
    <row r="482" spans="8:15">
      <c r="H482" s="3172"/>
      <c r="L482" s="3172"/>
      <c r="N482" s="3172"/>
      <c r="O482" s="3172"/>
    </row>
    <row r="483" spans="8:15">
      <c r="H483" s="3172"/>
      <c r="L483" s="3172"/>
      <c r="N483" s="3172"/>
      <c r="O483" s="3172"/>
    </row>
    <row r="484" spans="8:15">
      <c r="H484" s="3172"/>
      <c r="L484" s="3172"/>
      <c r="N484" s="3172"/>
      <c r="O484" s="3172"/>
    </row>
    <row r="485" spans="8:15">
      <c r="H485" s="3172"/>
      <c r="L485" s="3172"/>
      <c r="N485" s="3172"/>
      <c r="O485" s="3172"/>
    </row>
    <row r="486" spans="8:15">
      <c r="H486" s="3172"/>
      <c r="L486" s="3172"/>
      <c r="N486" s="3172"/>
      <c r="O486" s="3172"/>
    </row>
    <row r="487" spans="8:15">
      <c r="H487" s="3172"/>
      <c r="L487" s="3172"/>
      <c r="N487" s="3172"/>
      <c r="O487" s="3172"/>
    </row>
    <row r="488" spans="8:15">
      <c r="H488" s="3172"/>
      <c r="L488" s="3172"/>
      <c r="N488" s="3172"/>
      <c r="O488" s="3172"/>
    </row>
    <row r="489" spans="8:15">
      <c r="H489" s="3172"/>
      <c r="L489" s="3172"/>
      <c r="N489" s="3172"/>
      <c r="O489" s="3172"/>
    </row>
    <row r="490" spans="8:15">
      <c r="H490" s="3172"/>
      <c r="L490" s="3172"/>
      <c r="N490" s="3172"/>
      <c r="O490" s="3172"/>
    </row>
    <row r="491" spans="8:15">
      <c r="H491" s="3172"/>
      <c r="L491" s="3172"/>
      <c r="N491" s="3172"/>
      <c r="O491" s="3172"/>
    </row>
    <row r="492" spans="8:15">
      <c r="H492" s="3172"/>
      <c r="L492" s="3172"/>
      <c r="N492" s="3172"/>
      <c r="O492" s="3172"/>
    </row>
    <row r="493" spans="8:15">
      <c r="H493" s="3172"/>
      <c r="L493" s="3172"/>
      <c r="N493" s="3172"/>
      <c r="O493" s="3172"/>
    </row>
    <row r="494" spans="8:15">
      <c r="H494" s="3172"/>
      <c r="L494" s="3172"/>
      <c r="N494" s="3172"/>
      <c r="O494" s="3172"/>
    </row>
    <row r="495" spans="8:15">
      <c r="H495" s="3172"/>
      <c r="L495" s="3172"/>
      <c r="N495" s="3172"/>
      <c r="O495" s="3172"/>
    </row>
    <row r="496" spans="8:15">
      <c r="H496" s="3172"/>
      <c r="L496" s="3172"/>
      <c r="N496" s="3172"/>
      <c r="O496" s="3172"/>
    </row>
    <row r="497" spans="8:15">
      <c r="H497" s="3172"/>
      <c r="L497" s="3172"/>
      <c r="N497" s="3172"/>
      <c r="O497" s="3172"/>
    </row>
    <row r="498" spans="8:15">
      <c r="H498" s="3172"/>
      <c r="L498" s="3172"/>
      <c r="N498" s="3172"/>
      <c r="O498" s="3172"/>
    </row>
    <row r="499" spans="8:15">
      <c r="H499" s="3172"/>
      <c r="L499" s="3172"/>
      <c r="N499" s="3172"/>
      <c r="O499" s="3172"/>
    </row>
    <row r="500" spans="8:15">
      <c r="H500" s="3172"/>
      <c r="L500" s="3172"/>
      <c r="N500" s="3172"/>
      <c r="O500" s="3172"/>
    </row>
    <row r="501" spans="8:15">
      <c r="H501" s="3172"/>
      <c r="L501" s="3172"/>
      <c r="N501" s="3172"/>
      <c r="O501" s="3172"/>
    </row>
    <row r="502" spans="8:15">
      <c r="H502" s="3172"/>
      <c r="L502" s="3172"/>
      <c r="N502" s="3172"/>
      <c r="O502" s="3172"/>
    </row>
    <row r="503" spans="8:15">
      <c r="H503" s="3172"/>
      <c r="L503" s="3172"/>
      <c r="N503" s="3172"/>
      <c r="O503" s="3172"/>
    </row>
    <row r="504" spans="8:15">
      <c r="H504" s="3172"/>
      <c r="L504" s="3172"/>
      <c r="N504" s="3172"/>
      <c r="O504" s="3172"/>
    </row>
    <row r="505" spans="8:15">
      <c r="H505" s="3172"/>
      <c r="L505" s="3172"/>
      <c r="N505" s="3172"/>
      <c r="O505" s="3172"/>
    </row>
    <row r="506" spans="8:15">
      <c r="H506" s="3172"/>
      <c r="L506" s="3172"/>
      <c r="N506" s="3172"/>
      <c r="O506" s="3172"/>
    </row>
    <row r="507" spans="8:15">
      <c r="H507" s="3172"/>
      <c r="L507" s="3172"/>
      <c r="N507" s="3172"/>
      <c r="O507" s="3172"/>
    </row>
    <row r="508" spans="8:15">
      <c r="H508" s="3172"/>
      <c r="L508" s="3172"/>
      <c r="N508" s="3172"/>
      <c r="O508" s="3172"/>
    </row>
    <row r="509" spans="8:15">
      <c r="H509" s="3172"/>
      <c r="L509" s="3172"/>
      <c r="N509" s="3172"/>
      <c r="O509" s="3172"/>
    </row>
    <row r="510" spans="8:15">
      <c r="H510" s="3172"/>
      <c r="L510" s="3172"/>
      <c r="N510" s="3172"/>
      <c r="O510" s="3172"/>
    </row>
    <row r="511" spans="8:15">
      <c r="H511" s="3172"/>
      <c r="L511" s="3172"/>
      <c r="N511" s="3172"/>
      <c r="O511" s="3172"/>
    </row>
    <row r="512" spans="8:15">
      <c r="H512" s="3172"/>
      <c r="L512" s="3172"/>
      <c r="N512" s="3172"/>
      <c r="O512" s="3172"/>
    </row>
    <row r="513" spans="8:15">
      <c r="H513" s="3172"/>
      <c r="L513" s="3172"/>
      <c r="N513" s="3172"/>
      <c r="O513" s="3172"/>
    </row>
    <row r="514" spans="8:15">
      <c r="H514" s="3172"/>
      <c r="L514" s="3172"/>
      <c r="N514" s="3172"/>
      <c r="O514" s="3172"/>
    </row>
    <row r="515" spans="8:15">
      <c r="H515" s="3172"/>
      <c r="L515" s="3172"/>
      <c r="N515" s="3172"/>
      <c r="O515" s="3172"/>
    </row>
    <row r="516" spans="8:15">
      <c r="H516" s="3172"/>
      <c r="L516" s="3172"/>
      <c r="N516" s="3172"/>
      <c r="O516" s="3172"/>
    </row>
    <row r="517" spans="8:15">
      <c r="H517" s="3172"/>
      <c r="L517" s="3172"/>
      <c r="N517" s="3172"/>
      <c r="O517" s="3172"/>
    </row>
    <row r="518" spans="8:15">
      <c r="H518" s="3172"/>
      <c r="L518" s="3172"/>
      <c r="N518" s="3172"/>
      <c r="O518" s="3172"/>
    </row>
    <row r="519" spans="8:15">
      <c r="H519" s="3172"/>
      <c r="L519" s="3172"/>
      <c r="N519" s="3172"/>
      <c r="O519" s="3172"/>
    </row>
    <row r="520" spans="8:15">
      <c r="H520" s="3172"/>
      <c r="L520" s="3172"/>
      <c r="N520" s="3172"/>
      <c r="O520" s="3172"/>
    </row>
    <row r="521" spans="8:15">
      <c r="H521" s="3172"/>
      <c r="L521" s="3172"/>
      <c r="N521" s="3172"/>
      <c r="O521" s="3172"/>
    </row>
    <row r="522" spans="8:15">
      <c r="H522" s="3172"/>
      <c r="L522" s="3172"/>
      <c r="N522" s="3172"/>
      <c r="O522" s="3172"/>
    </row>
    <row r="523" spans="8:15">
      <c r="H523" s="3172"/>
      <c r="L523" s="3172"/>
      <c r="N523" s="3172"/>
      <c r="O523" s="3172"/>
    </row>
    <row r="524" spans="8:15">
      <c r="H524" s="3172"/>
      <c r="L524" s="3172"/>
      <c r="N524" s="3172"/>
      <c r="O524" s="3172"/>
    </row>
    <row r="525" spans="8:15">
      <c r="H525" s="3172"/>
      <c r="L525" s="3172"/>
      <c r="N525" s="3172"/>
      <c r="O525" s="3172"/>
    </row>
    <row r="526" spans="8:15">
      <c r="H526" s="3172"/>
      <c r="L526" s="3172"/>
      <c r="N526" s="3172"/>
      <c r="O526" s="3172"/>
    </row>
    <row r="527" spans="8:15">
      <c r="H527" s="3172"/>
      <c r="L527" s="3172"/>
      <c r="N527" s="3172"/>
      <c r="O527" s="3172"/>
    </row>
    <row r="528" spans="8:15">
      <c r="H528" s="3172"/>
      <c r="L528" s="3172"/>
      <c r="N528" s="3172"/>
      <c r="O528" s="3172"/>
    </row>
    <row r="529" spans="8:15">
      <c r="H529" s="3172"/>
      <c r="L529" s="3172"/>
      <c r="N529" s="3172"/>
      <c r="O529" s="3172"/>
    </row>
    <row r="530" spans="8:15">
      <c r="H530" s="3172"/>
      <c r="L530" s="3172"/>
      <c r="N530" s="3172"/>
      <c r="O530" s="3172"/>
    </row>
    <row r="531" spans="8:15">
      <c r="H531" s="3172"/>
      <c r="L531" s="3172"/>
      <c r="N531" s="3172"/>
      <c r="O531" s="3172"/>
    </row>
    <row r="532" spans="8:15">
      <c r="H532" s="3172"/>
      <c r="L532" s="3172"/>
      <c r="N532" s="3172"/>
      <c r="O532" s="3172"/>
    </row>
    <row r="533" spans="8:15">
      <c r="H533" s="3172"/>
      <c r="L533" s="3172"/>
      <c r="N533" s="3172"/>
      <c r="O533" s="3172"/>
    </row>
    <row r="534" spans="8:15">
      <c r="H534" s="3172"/>
      <c r="L534" s="3172"/>
      <c r="N534" s="3172"/>
      <c r="O534" s="3172"/>
    </row>
    <row r="535" spans="8:15">
      <c r="H535" s="3172"/>
      <c r="L535" s="3172"/>
      <c r="N535" s="3172"/>
      <c r="O535" s="3172"/>
    </row>
    <row r="536" spans="8:15">
      <c r="H536" s="3172"/>
      <c r="L536" s="3172"/>
      <c r="N536" s="3172"/>
      <c r="O536" s="3172"/>
    </row>
    <row r="537" spans="8:15">
      <c r="H537" s="3172"/>
      <c r="L537" s="3172"/>
      <c r="N537" s="3172"/>
      <c r="O537" s="3172"/>
    </row>
    <row r="538" spans="8:15">
      <c r="H538" s="3172"/>
      <c r="L538" s="3172"/>
      <c r="N538" s="3172"/>
      <c r="O538" s="3172"/>
    </row>
    <row r="539" spans="8:15">
      <c r="H539" s="3172"/>
      <c r="L539" s="3172"/>
      <c r="N539" s="3172"/>
      <c r="O539" s="3172"/>
    </row>
    <row r="540" spans="8:15">
      <c r="H540" s="3172"/>
      <c r="L540" s="3172"/>
      <c r="N540" s="3172"/>
      <c r="O540" s="3172"/>
    </row>
    <row r="541" spans="8:15">
      <c r="H541" s="3172"/>
      <c r="L541" s="3172"/>
      <c r="N541" s="3172"/>
      <c r="O541" s="3172"/>
    </row>
    <row r="542" spans="8:15">
      <c r="H542" s="3172"/>
      <c r="L542" s="3172"/>
      <c r="N542" s="3172"/>
      <c r="O542" s="3172"/>
    </row>
    <row r="543" spans="8:15">
      <c r="H543" s="3172"/>
      <c r="L543" s="3172"/>
      <c r="N543" s="3172"/>
      <c r="O543" s="3172"/>
    </row>
    <row r="544" spans="8:15">
      <c r="H544" s="3172"/>
      <c r="L544" s="3172"/>
      <c r="N544" s="3172"/>
      <c r="O544" s="3172"/>
    </row>
    <row r="545" spans="8:15">
      <c r="H545" s="3172"/>
      <c r="L545" s="3172"/>
      <c r="N545" s="3172"/>
      <c r="O545" s="3172"/>
    </row>
    <row r="546" spans="8:15">
      <c r="H546" s="3172"/>
      <c r="L546" s="3172"/>
      <c r="N546" s="3172"/>
      <c r="O546" s="3172"/>
    </row>
    <row r="547" spans="8:15">
      <c r="H547" s="3172"/>
      <c r="L547" s="3172"/>
      <c r="N547" s="3172"/>
      <c r="O547" s="3172"/>
    </row>
    <row r="548" spans="8:15">
      <c r="H548" s="3172"/>
      <c r="L548" s="3172"/>
      <c r="N548" s="3172"/>
      <c r="O548" s="3172"/>
    </row>
    <row r="549" spans="8:15">
      <c r="H549" s="3172"/>
      <c r="L549" s="3172"/>
      <c r="N549" s="3172"/>
      <c r="O549" s="3172"/>
    </row>
    <row r="550" spans="8:15">
      <c r="H550" s="3172"/>
      <c r="L550" s="3172"/>
      <c r="N550" s="3172"/>
      <c r="O550" s="3172"/>
    </row>
    <row r="551" spans="8:15">
      <c r="H551" s="3172"/>
      <c r="L551" s="3172"/>
      <c r="N551" s="3172"/>
      <c r="O551" s="3172"/>
    </row>
    <row r="552" spans="8:15">
      <c r="H552" s="3172"/>
      <c r="L552" s="3172"/>
      <c r="N552" s="3172"/>
      <c r="O552" s="3172"/>
    </row>
    <row r="553" spans="8:15">
      <c r="H553" s="3172"/>
      <c r="L553" s="3172"/>
      <c r="N553" s="3172"/>
      <c r="O553" s="3172"/>
    </row>
    <row r="554" spans="8:15">
      <c r="H554" s="3172"/>
      <c r="L554" s="3172"/>
      <c r="N554" s="3172"/>
      <c r="O554" s="3172"/>
    </row>
    <row r="555" spans="8:15">
      <c r="H555" s="3172"/>
      <c r="L555" s="3172"/>
      <c r="N555" s="3172"/>
      <c r="O555" s="3172"/>
    </row>
    <row r="556" spans="8:15">
      <c r="H556" s="3172"/>
      <c r="L556" s="3172"/>
      <c r="N556" s="3172"/>
      <c r="O556" s="3172"/>
    </row>
    <row r="557" spans="8:15">
      <c r="H557" s="3172"/>
      <c r="L557" s="3172"/>
      <c r="N557" s="3172"/>
      <c r="O557" s="3172"/>
    </row>
    <row r="558" spans="8:15">
      <c r="H558" s="3172"/>
      <c r="L558" s="3172"/>
      <c r="N558" s="3172"/>
      <c r="O558" s="3172"/>
    </row>
    <row r="559" spans="8:15">
      <c r="H559" s="3172"/>
      <c r="L559" s="3172"/>
      <c r="N559" s="3172"/>
      <c r="O559" s="3172"/>
    </row>
    <row r="560" spans="8:15">
      <c r="H560" s="3172"/>
      <c r="L560" s="3172"/>
      <c r="N560" s="3172"/>
      <c r="O560" s="3172"/>
    </row>
    <row r="561" spans="8:15">
      <c r="H561" s="3172"/>
      <c r="L561" s="3172"/>
      <c r="N561" s="3172"/>
      <c r="O561" s="3172"/>
    </row>
    <row r="562" spans="8:15">
      <c r="H562" s="3172"/>
      <c r="L562" s="3172"/>
      <c r="N562" s="3172"/>
      <c r="O562" s="3172"/>
    </row>
    <row r="563" spans="8:15">
      <c r="H563" s="3172"/>
      <c r="L563" s="3172"/>
      <c r="N563" s="3172"/>
      <c r="O563" s="3172"/>
    </row>
    <row r="564" spans="8:15">
      <c r="H564" s="3172"/>
      <c r="L564" s="3172"/>
      <c r="N564" s="3172"/>
      <c r="O564" s="3172"/>
    </row>
    <row r="565" spans="8:15">
      <c r="H565" s="3172"/>
      <c r="L565" s="3172"/>
      <c r="N565" s="3172"/>
      <c r="O565" s="3172"/>
    </row>
    <row r="566" spans="8:15">
      <c r="H566" s="3172"/>
      <c r="L566" s="3172"/>
      <c r="N566" s="3172"/>
      <c r="O566" s="3172"/>
    </row>
    <row r="567" spans="8:15">
      <c r="H567" s="3172"/>
      <c r="L567" s="3172"/>
      <c r="N567" s="3172"/>
      <c r="O567" s="3172"/>
    </row>
    <row r="568" spans="8:15">
      <c r="H568" s="3172"/>
      <c r="L568" s="3172"/>
      <c r="N568" s="3172"/>
      <c r="O568" s="3172"/>
    </row>
    <row r="569" spans="8:15">
      <c r="H569" s="3172"/>
      <c r="L569" s="3172"/>
      <c r="N569" s="3172"/>
      <c r="O569" s="3172"/>
    </row>
    <row r="570" spans="8:15">
      <c r="H570" s="3172"/>
      <c r="L570" s="3172"/>
      <c r="N570" s="3172"/>
      <c r="O570" s="3172"/>
    </row>
    <row r="571" spans="8:15">
      <c r="H571" s="3172"/>
      <c r="L571" s="3172"/>
      <c r="N571" s="3172"/>
      <c r="O571" s="3172"/>
    </row>
    <row r="572" spans="8:15">
      <c r="H572" s="3172"/>
      <c r="L572" s="3172"/>
      <c r="N572" s="3172"/>
      <c r="O572" s="3172"/>
    </row>
    <row r="573" spans="8:15">
      <c r="H573" s="3172"/>
      <c r="L573" s="3172"/>
      <c r="N573" s="3172"/>
      <c r="O573" s="3172"/>
    </row>
    <row r="574" spans="8:15">
      <c r="H574" s="3172"/>
      <c r="L574" s="3172"/>
      <c r="N574" s="3172"/>
      <c r="O574" s="3172"/>
    </row>
    <row r="575" spans="8:15">
      <c r="H575" s="3172"/>
      <c r="L575" s="3172"/>
      <c r="N575" s="3172"/>
      <c r="O575" s="3172"/>
    </row>
    <row r="576" spans="8:15">
      <c r="H576" s="3172"/>
      <c r="L576" s="3172"/>
      <c r="N576" s="3172"/>
      <c r="O576" s="3172"/>
    </row>
    <row r="577" spans="8:15">
      <c r="H577" s="3172"/>
      <c r="L577" s="3172"/>
      <c r="N577" s="3172"/>
      <c r="O577" s="3172"/>
    </row>
    <row r="578" spans="8:15">
      <c r="H578" s="3172"/>
      <c r="L578" s="3172"/>
      <c r="N578" s="3172"/>
      <c r="O578" s="3172"/>
    </row>
    <row r="579" spans="8:15">
      <c r="H579" s="3172"/>
      <c r="L579" s="3172"/>
      <c r="N579" s="3172"/>
      <c r="O579" s="3172"/>
    </row>
    <row r="580" spans="8:15">
      <c r="H580" s="3172"/>
      <c r="L580" s="3172"/>
      <c r="N580" s="3172"/>
      <c r="O580" s="3172"/>
    </row>
    <row r="581" spans="8:15">
      <c r="H581" s="3172"/>
      <c r="L581" s="3172"/>
      <c r="N581" s="3172"/>
      <c r="O581" s="3172"/>
    </row>
    <row r="582" spans="8:15">
      <c r="H582" s="3172"/>
      <c r="L582" s="3172"/>
      <c r="N582" s="3172"/>
      <c r="O582" s="3172"/>
    </row>
    <row r="583" spans="8:15">
      <c r="H583" s="3172"/>
      <c r="L583" s="3172"/>
      <c r="N583" s="3172"/>
      <c r="O583" s="3172"/>
    </row>
    <row r="584" spans="8:15">
      <c r="H584" s="3172"/>
      <c r="L584" s="3172"/>
      <c r="N584" s="3172"/>
      <c r="O584" s="3172"/>
    </row>
    <row r="585" spans="8:15">
      <c r="H585" s="3172"/>
      <c r="L585" s="3172"/>
      <c r="N585" s="3172"/>
      <c r="O585" s="3172"/>
    </row>
    <row r="586" spans="8:15">
      <c r="H586" s="3172"/>
      <c r="L586" s="3172"/>
      <c r="N586" s="3172"/>
      <c r="O586" s="3172"/>
    </row>
    <row r="587" spans="8:15">
      <c r="H587" s="3172"/>
      <c r="L587" s="3172"/>
      <c r="N587" s="3172"/>
      <c r="O587" s="3172"/>
    </row>
    <row r="588" spans="8:15">
      <c r="H588" s="3172"/>
      <c r="L588" s="3172"/>
      <c r="N588" s="3172"/>
      <c r="O588" s="3172"/>
    </row>
    <row r="589" spans="8:15">
      <c r="H589" s="3172"/>
      <c r="L589" s="3172"/>
      <c r="N589" s="3172"/>
      <c r="O589" s="3172"/>
    </row>
    <row r="590" spans="8:15">
      <c r="H590" s="3172"/>
      <c r="L590" s="3172"/>
      <c r="N590" s="3172"/>
      <c r="O590" s="3172"/>
    </row>
    <row r="591" spans="8:15">
      <c r="H591" s="3172"/>
      <c r="L591" s="3172"/>
      <c r="N591" s="3172"/>
      <c r="O591" s="3172"/>
    </row>
    <row r="592" spans="8:15">
      <c r="H592" s="3172"/>
      <c r="L592" s="3172"/>
      <c r="N592" s="3172"/>
      <c r="O592" s="3172"/>
    </row>
    <row r="593" spans="8:15">
      <c r="H593" s="3172"/>
      <c r="L593" s="3172"/>
      <c r="N593" s="3172"/>
      <c r="O593" s="3172"/>
    </row>
    <row r="594" spans="8:15">
      <c r="H594" s="3172"/>
      <c r="L594" s="3172"/>
      <c r="N594" s="3172"/>
      <c r="O594" s="3172"/>
    </row>
    <row r="595" spans="8:15">
      <c r="H595" s="3172"/>
      <c r="L595" s="3172"/>
      <c r="N595" s="3172"/>
      <c r="O595" s="3172"/>
    </row>
    <row r="596" spans="8:15">
      <c r="H596" s="3172"/>
      <c r="L596" s="3172"/>
      <c r="N596" s="3172"/>
      <c r="O596" s="3172"/>
    </row>
    <row r="597" spans="8:15">
      <c r="H597" s="3172"/>
      <c r="L597" s="3172"/>
      <c r="N597" s="3172"/>
      <c r="O597" s="3172"/>
    </row>
    <row r="598" spans="8:15">
      <c r="H598" s="3172"/>
      <c r="L598" s="3172"/>
      <c r="N598" s="3172"/>
      <c r="O598" s="3172"/>
    </row>
    <row r="599" spans="8:15">
      <c r="H599" s="3172"/>
      <c r="L599" s="3172"/>
      <c r="N599" s="3172"/>
      <c r="O599" s="3172"/>
    </row>
    <row r="600" spans="8:15">
      <c r="H600" s="3172"/>
      <c r="L600" s="3172"/>
      <c r="N600" s="3172"/>
      <c r="O600" s="3172"/>
    </row>
    <row r="601" spans="8:15">
      <c r="H601" s="3172"/>
      <c r="L601" s="3172"/>
      <c r="N601" s="3172"/>
      <c r="O601" s="3172"/>
    </row>
    <row r="602" spans="8:15">
      <c r="H602" s="3172"/>
      <c r="L602" s="3172"/>
      <c r="N602" s="3172"/>
      <c r="O602" s="3172"/>
    </row>
    <row r="603" spans="8:15">
      <c r="H603" s="3172"/>
      <c r="L603" s="3172"/>
      <c r="N603" s="3172"/>
      <c r="O603" s="3172"/>
    </row>
    <row r="604" spans="8:15">
      <c r="H604" s="3172"/>
      <c r="L604" s="3172"/>
      <c r="N604" s="3172"/>
      <c r="O604" s="3172"/>
    </row>
    <row r="605" spans="8:15">
      <c r="H605" s="3172"/>
      <c r="L605" s="3172"/>
      <c r="N605" s="3172"/>
      <c r="O605" s="3172"/>
    </row>
    <row r="606" spans="8:15">
      <c r="H606" s="3172"/>
      <c r="L606" s="3172"/>
      <c r="N606" s="3172"/>
      <c r="O606" s="3172"/>
    </row>
    <row r="607" spans="8:15">
      <c r="H607" s="3172"/>
      <c r="L607" s="3172"/>
      <c r="N607" s="3172"/>
      <c r="O607" s="3172"/>
    </row>
    <row r="608" spans="8:15">
      <c r="H608" s="3172"/>
      <c r="L608" s="3172"/>
      <c r="N608" s="3172"/>
      <c r="O608" s="3172"/>
    </row>
    <row r="609" spans="8:15">
      <c r="H609" s="3172"/>
      <c r="L609" s="3172"/>
      <c r="N609" s="3172"/>
      <c r="O609" s="3172"/>
    </row>
    <row r="610" spans="8:15">
      <c r="H610" s="3172"/>
      <c r="L610" s="3172"/>
      <c r="N610" s="3172"/>
      <c r="O610" s="3172"/>
    </row>
    <row r="611" spans="8:15">
      <c r="H611" s="3172"/>
      <c r="L611" s="3172"/>
      <c r="N611" s="3172"/>
      <c r="O611" s="3172"/>
    </row>
    <row r="612" spans="8:15">
      <c r="H612" s="3172"/>
      <c r="L612" s="3172"/>
      <c r="N612" s="3172"/>
      <c r="O612" s="3172"/>
    </row>
    <row r="613" spans="8:15">
      <c r="H613" s="3172"/>
      <c r="L613" s="3172"/>
      <c r="N613" s="3172"/>
      <c r="O613" s="3172"/>
    </row>
    <row r="614" spans="8:15">
      <c r="H614" s="3172"/>
      <c r="L614" s="3172"/>
      <c r="N614" s="3172"/>
      <c r="O614" s="3172"/>
    </row>
    <row r="615" spans="8:15">
      <c r="H615" s="3172"/>
      <c r="L615" s="3172"/>
      <c r="N615" s="3172"/>
      <c r="O615" s="3172"/>
    </row>
    <row r="616" spans="8:15">
      <c r="H616" s="3172"/>
      <c r="L616" s="3172"/>
      <c r="N616" s="3172"/>
      <c r="O616" s="3172"/>
    </row>
    <row r="617" spans="8:15">
      <c r="H617" s="3172"/>
      <c r="L617" s="3172"/>
      <c r="N617" s="3172"/>
      <c r="O617" s="3172"/>
    </row>
    <row r="618" spans="8:15">
      <c r="H618" s="3172"/>
      <c r="L618" s="3172"/>
      <c r="N618" s="3172"/>
      <c r="O618" s="3172"/>
    </row>
    <row r="619" spans="8:15">
      <c r="H619" s="3172"/>
      <c r="L619" s="3172"/>
      <c r="N619" s="3172"/>
      <c r="O619" s="3172"/>
    </row>
    <row r="620" spans="8:15">
      <c r="H620" s="3172"/>
      <c r="L620" s="3172"/>
      <c r="N620" s="3172"/>
      <c r="O620" s="3172"/>
    </row>
    <row r="621" spans="8:15">
      <c r="H621" s="3172"/>
      <c r="L621" s="3172"/>
      <c r="N621" s="3172"/>
      <c r="O621" s="3172"/>
    </row>
    <row r="622" spans="8:15">
      <c r="H622" s="3172"/>
      <c r="L622" s="3172"/>
      <c r="N622" s="3172"/>
      <c r="O622" s="3172"/>
    </row>
    <row r="623" spans="8:15">
      <c r="H623" s="3172"/>
      <c r="L623" s="3172"/>
      <c r="N623" s="3172"/>
      <c r="O623" s="3172"/>
    </row>
    <row r="624" spans="8:15">
      <c r="H624" s="3172"/>
      <c r="L624" s="3172"/>
      <c r="N624" s="3172"/>
      <c r="O624" s="3172"/>
    </row>
    <row r="625" spans="8:15">
      <c r="H625" s="3172"/>
      <c r="L625" s="3172"/>
      <c r="N625" s="3172"/>
      <c r="O625" s="3172"/>
    </row>
    <row r="626" spans="8:15">
      <c r="H626" s="3172"/>
      <c r="L626" s="3172"/>
      <c r="N626" s="3172"/>
      <c r="O626" s="3172"/>
    </row>
    <row r="627" spans="8:15">
      <c r="H627" s="3172"/>
      <c r="L627" s="3172"/>
      <c r="N627" s="3172"/>
      <c r="O627" s="3172"/>
    </row>
    <row r="628" spans="8:15">
      <c r="H628" s="3172"/>
      <c r="L628" s="3172"/>
      <c r="N628" s="3172"/>
      <c r="O628" s="3172"/>
    </row>
    <row r="629" spans="8:15">
      <c r="H629" s="3172"/>
      <c r="L629" s="3172"/>
      <c r="N629" s="3172"/>
      <c r="O629" s="3172"/>
    </row>
    <row r="630" spans="8:15">
      <c r="H630" s="3172"/>
      <c r="L630" s="3172"/>
      <c r="N630" s="3172"/>
      <c r="O630" s="3172"/>
    </row>
    <row r="631" spans="8:15">
      <c r="H631" s="3172"/>
      <c r="L631" s="3172"/>
      <c r="N631" s="3172"/>
      <c r="O631" s="3172"/>
    </row>
    <row r="632" spans="8:15">
      <c r="H632" s="3172"/>
      <c r="L632" s="3172"/>
      <c r="N632" s="3172"/>
      <c r="O632" s="3172"/>
    </row>
    <row r="633" spans="8:15">
      <c r="H633" s="3172"/>
      <c r="L633" s="3172"/>
      <c r="N633" s="3172"/>
      <c r="O633" s="3172"/>
    </row>
    <row r="634" spans="8:15">
      <c r="H634" s="3172"/>
      <c r="L634" s="3172"/>
      <c r="N634" s="3172"/>
      <c r="O634" s="3172"/>
    </row>
    <row r="635" spans="8:15">
      <c r="H635" s="3172"/>
      <c r="L635" s="3172"/>
      <c r="N635" s="3172"/>
      <c r="O635" s="3172"/>
    </row>
    <row r="636" spans="8:15">
      <c r="H636" s="3172"/>
      <c r="L636" s="3172"/>
      <c r="N636" s="3172"/>
      <c r="O636" s="3172"/>
    </row>
    <row r="637" spans="8:15">
      <c r="H637" s="3172"/>
      <c r="L637" s="3172"/>
      <c r="N637" s="3172"/>
      <c r="O637" s="3172"/>
    </row>
    <row r="638" spans="8:15">
      <c r="H638" s="3172"/>
      <c r="L638" s="3172"/>
      <c r="N638" s="3172"/>
      <c r="O638" s="3172"/>
    </row>
    <row r="639" spans="8:15">
      <c r="H639" s="3172"/>
      <c r="L639" s="3172"/>
      <c r="N639" s="3172"/>
      <c r="O639" s="3172"/>
    </row>
    <row r="640" spans="8:15">
      <c r="H640" s="3172"/>
      <c r="L640" s="3172"/>
      <c r="N640" s="3172"/>
      <c r="O640" s="3172"/>
    </row>
    <row r="641" spans="8:15">
      <c r="H641" s="3172"/>
      <c r="L641" s="3172"/>
      <c r="N641" s="3172"/>
      <c r="O641" s="3172"/>
    </row>
    <row r="642" spans="8:15">
      <c r="H642" s="3172"/>
      <c r="L642" s="3172"/>
      <c r="N642" s="3172"/>
      <c r="O642" s="3172"/>
    </row>
    <row r="643" spans="8:15">
      <c r="H643" s="3172"/>
      <c r="L643" s="3172"/>
      <c r="N643" s="3172"/>
      <c r="O643" s="3172"/>
    </row>
    <row r="644" spans="8:15">
      <c r="H644" s="3172"/>
      <c r="L644" s="3172"/>
      <c r="N644" s="3172"/>
      <c r="O644" s="3172"/>
    </row>
    <row r="645" spans="8:15">
      <c r="H645" s="3172"/>
      <c r="L645" s="3172"/>
      <c r="N645" s="3172"/>
      <c r="O645" s="3172"/>
    </row>
    <row r="646" spans="8:15">
      <c r="H646" s="3172"/>
      <c r="L646" s="3172"/>
      <c r="N646" s="3172"/>
      <c r="O646" s="3172"/>
    </row>
    <row r="647" spans="8:15">
      <c r="H647" s="3172"/>
      <c r="L647" s="3172"/>
      <c r="N647" s="3172"/>
      <c r="O647" s="3172"/>
    </row>
    <row r="648" spans="8:15">
      <c r="H648" s="3172"/>
      <c r="L648" s="3172"/>
      <c r="N648" s="3172"/>
      <c r="O648" s="3172"/>
    </row>
    <row r="649" spans="8:15">
      <c r="H649" s="3172"/>
      <c r="L649" s="3172"/>
      <c r="N649" s="3172"/>
      <c r="O649" s="3172"/>
    </row>
    <row r="650" spans="8:15">
      <c r="H650" s="3172"/>
      <c r="L650" s="3172"/>
      <c r="N650" s="3172"/>
      <c r="O650" s="3172"/>
    </row>
    <row r="651" spans="8:15">
      <c r="H651" s="3172"/>
      <c r="L651" s="3172"/>
      <c r="N651" s="3172"/>
      <c r="O651" s="3172"/>
    </row>
    <row r="652" spans="8:15">
      <c r="H652" s="3172"/>
      <c r="L652" s="3172"/>
      <c r="N652" s="3172"/>
      <c r="O652" s="3172"/>
    </row>
    <row r="653" spans="8:15">
      <c r="H653" s="3172"/>
      <c r="L653" s="3172"/>
      <c r="N653" s="3172"/>
      <c r="O653" s="3172"/>
    </row>
    <row r="654" spans="8:15">
      <c r="H654" s="3172"/>
      <c r="L654" s="3172"/>
      <c r="N654" s="3172"/>
      <c r="O654" s="3172"/>
    </row>
    <row r="655" spans="8:15">
      <c r="H655" s="3172"/>
      <c r="L655" s="3172"/>
      <c r="N655" s="3172"/>
      <c r="O655" s="3172"/>
    </row>
    <row r="656" spans="8:15">
      <c r="H656" s="3172"/>
      <c r="L656" s="3172"/>
      <c r="N656" s="3172"/>
      <c r="O656" s="3172"/>
    </row>
    <row r="657" spans="8:15">
      <c r="H657" s="3172"/>
      <c r="L657" s="3172"/>
      <c r="N657" s="3172"/>
      <c r="O657" s="3172"/>
    </row>
    <row r="658" spans="8:15">
      <c r="H658" s="3172"/>
      <c r="L658" s="3172"/>
      <c r="N658" s="3172"/>
      <c r="O658" s="3172"/>
    </row>
    <row r="659" spans="8:15">
      <c r="H659" s="3172"/>
      <c r="L659" s="3172"/>
      <c r="N659" s="3172"/>
      <c r="O659" s="3172"/>
    </row>
    <row r="660" spans="8:15">
      <c r="H660" s="3172"/>
      <c r="L660" s="3172"/>
      <c r="N660" s="3172"/>
      <c r="O660" s="3172"/>
    </row>
    <row r="661" spans="8:15">
      <c r="H661" s="3172"/>
      <c r="L661" s="3172"/>
      <c r="N661" s="3172"/>
      <c r="O661" s="3172"/>
    </row>
    <row r="662" spans="8:15">
      <c r="H662" s="3172"/>
      <c r="L662" s="3172"/>
      <c r="N662" s="3172"/>
      <c r="O662" s="3172"/>
    </row>
    <row r="663" spans="8:15">
      <c r="H663" s="3172"/>
      <c r="L663" s="3172"/>
      <c r="N663" s="3172"/>
      <c r="O663" s="3172"/>
    </row>
    <row r="664" spans="8:15">
      <c r="H664" s="3172"/>
      <c r="L664" s="3172"/>
      <c r="N664" s="3172"/>
      <c r="O664" s="3172"/>
    </row>
    <row r="665" spans="8:15">
      <c r="H665" s="3172"/>
      <c r="L665" s="3172"/>
      <c r="N665" s="3172"/>
      <c r="O665" s="3172"/>
    </row>
    <row r="666" spans="8:15">
      <c r="H666" s="3172"/>
      <c r="L666" s="3172"/>
      <c r="N666" s="3172"/>
      <c r="O666" s="3172"/>
    </row>
    <row r="667" spans="8:15">
      <c r="H667" s="3172"/>
      <c r="L667" s="3172"/>
      <c r="N667" s="3172"/>
      <c r="O667" s="3172"/>
    </row>
    <row r="668" spans="8:15">
      <c r="H668" s="3172"/>
      <c r="L668" s="3172"/>
      <c r="N668" s="3172"/>
      <c r="O668" s="3172"/>
    </row>
    <row r="669" spans="8:15">
      <c r="H669" s="3172"/>
      <c r="L669" s="3172"/>
      <c r="N669" s="3172"/>
      <c r="O669" s="3172"/>
    </row>
    <row r="670" spans="8:15">
      <c r="H670" s="3172"/>
      <c r="L670" s="3172"/>
      <c r="N670" s="3172"/>
      <c r="O670" s="3172"/>
    </row>
    <row r="671" spans="8:15">
      <c r="H671" s="3172"/>
      <c r="L671" s="3172"/>
      <c r="N671" s="3172"/>
      <c r="O671" s="3172"/>
    </row>
    <row r="672" spans="8:15">
      <c r="H672" s="3172"/>
      <c r="L672" s="3172"/>
      <c r="N672" s="3172"/>
      <c r="O672" s="3172"/>
    </row>
    <row r="673" spans="8:15">
      <c r="H673" s="3172"/>
      <c r="L673" s="3172"/>
      <c r="N673" s="3172"/>
      <c r="O673" s="3172"/>
    </row>
    <row r="674" spans="8:15">
      <c r="H674" s="3172"/>
      <c r="L674" s="3172"/>
      <c r="N674" s="3172"/>
      <c r="O674" s="3172"/>
    </row>
    <row r="675" spans="8:15">
      <c r="H675" s="3172"/>
      <c r="L675" s="3172"/>
      <c r="N675" s="3172"/>
      <c r="O675" s="3172"/>
    </row>
    <row r="676" spans="8:15">
      <c r="H676" s="3172"/>
      <c r="L676" s="3172"/>
      <c r="N676" s="3172"/>
      <c r="O676" s="3172"/>
    </row>
    <row r="677" spans="8:15">
      <c r="H677" s="3172"/>
      <c r="L677" s="3172"/>
      <c r="N677" s="3172"/>
      <c r="O677" s="3172"/>
    </row>
    <row r="678" spans="8:15">
      <c r="H678" s="3172"/>
      <c r="L678" s="3172"/>
      <c r="N678" s="3172"/>
      <c r="O678" s="3172"/>
    </row>
    <row r="679" spans="8:15">
      <c r="H679" s="3172"/>
      <c r="L679" s="3172"/>
      <c r="N679" s="3172"/>
      <c r="O679" s="3172"/>
    </row>
    <row r="680" spans="8:15">
      <c r="H680" s="3172"/>
      <c r="L680" s="3172"/>
      <c r="N680" s="3172"/>
      <c r="O680" s="3172"/>
    </row>
    <row r="681" spans="8:15">
      <c r="H681" s="3172"/>
      <c r="L681" s="3172"/>
      <c r="N681" s="3172"/>
      <c r="O681" s="3172"/>
    </row>
    <row r="682" spans="8:15">
      <c r="H682" s="3172"/>
      <c r="L682" s="3172"/>
      <c r="N682" s="3172"/>
      <c r="O682" s="3172"/>
    </row>
    <row r="683" spans="8:15">
      <c r="H683" s="3172"/>
      <c r="L683" s="3172"/>
      <c r="N683" s="3172"/>
      <c r="O683" s="3172"/>
    </row>
    <row r="684" spans="8:15">
      <c r="H684" s="3172"/>
      <c r="L684" s="3172"/>
      <c r="N684" s="3172"/>
      <c r="O684" s="3172"/>
    </row>
    <row r="685" spans="8:15">
      <c r="H685" s="3172"/>
      <c r="L685" s="3172"/>
      <c r="N685" s="3172"/>
      <c r="O685" s="3172"/>
    </row>
    <row r="686" spans="8:15">
      <c r="H686" s="3172"/>
      <c r="L686" s="3172"/>
      <c r="N686" s="3172"/>
      <c r="O686" s="3172"/>
    </row>
    <row r="687" spans="8:15">
      <c r="H687" s="3172"/>
      <c r="L687" s="3172"/>
      <c r="N687" s="3172"/>
      <c r="O687" s="3172"/>
    </row>
    <row r="688" spans="8:15">
      <c r="H688" s="3172"/>
      <c r="L688" s="3172"/>
      <c r="N688" s="3172"/>
      <c r="O688" s="3172"/>
    </row>
    <row r="689" spans="8:15">
      <c r="H689" s="3172"/>
      <c r="L689" s="3172"/>
      <c r="N689" s="3172"/>
      <c r="O689" s="3172"/>
    </row>
    <row r="690" spans="8:15">
      <c r="H690" s="3172"/>
      <c r="L690" s="3172"/>
      <c r="N690" s="3172"/>
      <c r="O690" s="3172"/>
    </row>
    <row r="691" spans="8:15">
      <c r="H691" s="3172"/>
      <c r="L691" s="3172"/>
      <c r="N691" s="3172"/>
      <c r="O691" s="3172"/>
    </row>
    <row r="692" spans="8:15">
      <c r="H692" s="3172"/>
      <c r="L692" s="3172"/>
      <c r="N692" s="3172"/>
      <c r="O692" s="3172"/>
    </row>
    <row r="693" spans="8:15">
      <c r="H693" s="3172"/>
      <c r="L693" s="3172"/>
      <c r="N693" s="3172"/>
      <c r="O693" s="3172"/>
    </row>
    <row r="694" spans="8:15">
      <c r="H694" s="3172"/>
      <c r="L694" s="3172"/>
      <c r="N694" s="3172"/>
      <c r="O694" s="3172"/>
    </row>
    <row r="695" spans="8:15">
      <c r="H695" s="3172"/>
      <c r="L695" s="3172"/>
      <c r="N695" s="3172"/>
      <c r="O695" s="3172"/>
    </row>
    <row r="696" spans="8:15">
      <c r="H696" s="3172"/>
      <c r="L696" s="3172"/>
      <c r="N696" s="3172"/>
      <c r="O696" s="3172"/>
    </row>
    <row r="697" spans="8:15">
      <c r="H697" s="3172"/>
      <c r="L697" s="3172"/>
      <c r="N697" s="3172"/>
      <c r="O697" s="3172"/>
    </row>
    <row r="698" spans="8:15">
      <c r="H698" s="3172"/>
      <c r="L698" s="3172"/>
      <c r="N698" s="3172"/>
      <c r="O698" s="3172"/>
    </row>
    <row r="699" spans="8:15">
      <c r="H699" s="3172"/>
      <c r="L699" s="3172"/>
      <c r="N699" s="3172"/>
      <c r="O699" s="3172"/>
    </row>
    <row r="700" spans="8:15">
      <c r="H700" s="3172"/>
      <c r="L700" s="3172"/>
      <c r="N700" s="3172"/>
      <c r="O700" s="3172"/>
    </row>
    <row r="701" spans="8:15">
      <c r="H701" s="3172"/>
      <c r="L701" s="3172"/>
      <c r="N701" s="3172"/>
      <c r="O701" s="3172"/>
    </row>
    <row r="702" spans="8:15">
      <c r="H702" s="3172"/>
      <c r="L702" s="3172"/>
      <c r="N702" s="3172"/>
      <c r="O702" s="3172"/>
    </row>
    <row r="703" spans="8:15">
      <c r="H703" s="3172"/>
      <c r="L703" s="3172"/>
      <c r="N703" s="3172"/>
      <c r="O703" s="3172"/>
    </row>
    <row r="704" spans="8:15">
      <c r="H704" s="3172"/>
      <c r="L704" s="3172"/>
      <c r="N704" s="3172"/>
      <c r="O704" s="3172"/>
    </row>
    <row r="705" spans="8:15">
      <c r="H705" s="3172"/>
      <c r="L705" s="3172"/>
      <c r="N705" s="3172"/>
      <c r="O705" s="3172"/>
    </row>
    <row r="706" spans="8:15">
      <c r="H706" s="3172"/>
      <c r="L706" s="3172"/>
      <c r="N706" s="3172"/>
      <c r="O706" s="3172"/>
    </row>
    <row r="707" spans="8:15">
      <c r="H707" s="3172"/>
      <c r="L707" s="3172"/>
      <c r="N707" s="3172"/>
      <c r="O707" s="3172"/>
    </row>
    <row r="708" spans="8:15">
      <c r="H708" s="3172"/>
      <c r="L708" s="3172"/>
      <c r="N708" s="3172"/>
      <c r="O708" s="3172"/>
    </row>
    <row r="709" spans="8:15">
      <c r="H709" s="3172"/>
      <c r="L709" s="3172"/>
      <c r="N709" s="3172"/>
      <c r="O709" s="3172"/>
    </row>
    <row r="710" spans="8:15">
      <c r="H710" s="3172"/>
      <c r="L710" s="3172"/>
      <c r="N710" s="3172"/>
      <c r="O710" s="3172"/>
    </row>
    <row r="711" spans="8:15">
      <c r="H711" s="3172"/>
      <c r="L711" s="3172"/>
      <c r="N711" s="3172"/>
      <c r="O711" s="3172"/>
    </row>
    <row r="712" spans="8:15">
      <c r="H712" s="3172"/>
      <c r="L712" s="3172"/>
      <c r="N712" s="3172"/>
      <c r="O712" s="3172"/>
    </row>
    <row r="713" spans="8:15">
      <c r="H713" s="3172"/>
      <c r="L713" s="3172"/>
      <c r="N713" s="3172"/>
      <c r="O713" s="3172"/>
    </row>
    <row r="714" spans="8:15">
      <c r="H714" s="3172"/>
      <c r="L714" s="3172"/>
      <c r="N714" s="3172"/>
      <c r="O714" s="3172"/>
    </row>
    <row r="715" spans="8:15">
      <c r="H715" s="3172"/>
      <c r="L715" s="3172"/>
      <c r="N715" s="3172"/>
      <c r="O715" s="3172"/>
    </row>
    <row r="716" spans="8:15">
      <c r="H716" s="3172"/>
      <c r="L716" s="3172"/>
      <c r="N716" s="3172"/>
      <c r="O716" s="3172"/>
    </row>
    <row r="717" spans="8:15">
      <c r="H717" s="3172"/>
      <c r="L717" s="3172"/>
      <c r="N717" s="3172"/>
      <c r="O717" s="3172"/>
    </row>
    <row r="718" spans="8:15">
      <c r="H718" s="3172"/>
      <c r="L718" s="3172"/>
      <c r="N718" s="3172"/>
      <c r="O718" s="3172"/>
    </row>
    <row r="719" spans="8:15">
      <c r="H719" s="3172"/>
      <c r="L719" s="3172"/>
      <c r="N719" s="3172"/>
      <c r="O719" s="3172"/>
    </row>
    <row r="720" spans="8:15">
      <c r="H720" s="3172"/>
      <c r="L720" s="3172"/>
      <c r="N720" s="3172"/>
      <c r="O720" s="3172"/>
    </row>
    <row r="721" spans="8:15">
      <c r="H721" s="3172"/>
      <c r="L721" s="3172"/>
      <c r="N721" s="3172"/>
      <c r="O721" s="3172"/>
    </row>
    <row r="722" spans="8:15">
      <c r="H722" s="3172"/>
      <c r="L722" s="3172"/>
      <c r="N722" s="3172"/>
      <c r="O722" s="3172"/>
    </row>
    <row r="723" spans="8:15">
      <c r="H723" s="3172"/>
      <c r="L723" s="3172"/>
      <c r="N723" s="3172"/>
      <c r="O723" s="3172"/>
    </row>
    <row r="724" spans="8:15">
      <c r="H724" s="3172"/>
      <c r="L724" s="3172"/>
      <c r="N724" s="3172"/>
      <c r="O724" s="3172"/>
    </row>
    <row r="725" spans="8:15">
      <c r="H725" s="3172"/>
      <c r="L725" s="3172"/>
      <c r="N725" s="3172"/>
      <c r="O725" s="3172"/>
    </row>
    <row r="726" spans="8:15">
      <c r="H726" s="3172"/>
      <c r="L726" s="3172"/>
      <c r="N726" s="3172"/>
      <c r="O726" s="3172"/>
    </row>
    <row r="727" spans="8:15">
      <c r="H727" s="3172"/>
      <c r="L727" s="3172"/>
      <c r="N727" s="3172"/>
      <c r="O727" s="3172"/>
    </row>
    <row r="728" spans="8:15">
      <c r="H728" s="3172"/>
      <c r="L728" s="3172"/>
      <c r="N728" s="3172"/>
      <c r="O728" s="3172"/>
    </row>
    <row r="729" spans="8:15">
      <c r="H729" s="3172"/>
      <c r="L729" s="3172"/>
      <c r="N729" s="3172"/>
      <c r="O729" s="3172"/>
    </row>
    <row r="730" spans="8:15">
      <c r="H730" s="3172"/>
      <c r="L730" s="3172"/>
      <c r="N730" s="3172"/>
      <c r="O730" s="3172"/>
    </row>
    <row r="731" spans="8:15">
      <c r="H731" s="3172"/>
      <c r="L731" s="3172"/>
      <c r="N731" s="3172"/>
      <c r="O731" s="3172"/>
    </row>
    <row r="732" spans="8:15">
      <c r="H732" s="3172"/>
      <c r="L732" s="3172"/>
      <c r="N732" s="3172"/>
      <c r="O732" s="3172"/>
    </row>
    <row r="733" spans="8:15">
      <c r="H733" s="3172"/>
      <c r="L733" s="3172"/>
      <c r="N733" s="3172"/>
      <c r="O733" s="3172"/>
    </row>
    <row r="734" spans="8:15">
      <c r="H734" s="3172"/>
      <c r="L734" s="3172"/>
      <c r="N734" s="3172"/>
      <c r="O734" s="3172"/>
    </row>
    <row r="735" spans="8:15">
      <c r="H735" s="3172"/>
      <c r="L735" s="3172"/>
      <c r="N735" s="3172"/>
      <c r="O735" s="3172"/>
    </row>
    <row r="736" spans="8:15">
      <c r="H736" s="3172"/>
      <c r="L736" s="3172"/>
      <c r="N736" s="3172"/>
      <c r="O736" s="3172"/>
    </row>
    <row r="737" spans="8:15">
      <c r="H737" s="3172"/>
      <c r="L737" s="3172"/>
      <c r="N737" s="3172"/>
      <c r="O737" s="3172"/>
    </row>
    <row r="738" spans="8:15">
      <c r="H738" s="3172"/>
      <c r="L738" s="3172"/>
      <c r="N738" s="3172"/>
      <c r="O738" s="3172"/>
    </row>
    <row r="739" spans="8:15">
      <c r="H739" s="3172"/>
      <c r="L739" s="3172"/>
      <c r="N739" s="3172"/>
      <c r="O739" s="3172"/>
    </row>
    <row r="740" spans="8:15">
      <c r="H740" s="3172"/>
      <c r="L740" s="3172"/>
      <c r="N740" s="3172"/>
      <c r="O740" s="3172"/>
    </row>
    <row r="741" spans="8:15">
      <c r="H741" s="3172"/>
      <c r="L741" s="3172"/>
      <c r="N741" s="3172"/>
      <c r="O741" s="3172"/>
    </row>
    <row r="742" spans="8:15">
      <c r="H742" s="3172"/>
      <c r="L742" s="3172"/>
      <c r="N742" s="3172"/>
      <c r="O742" s="3172"/>
    </row>
    <row r="743" spans="8:15">
      <c r="H743" s="3172"/>
      <c r="L743" s="3172"/>
      <c r="N743" s="3172"/>
      <c r="O743" s="3172"/>
    </row>
    <row r="744" spans="8:15">
      <c r="H744" s="3172"/>
      <c r="L744" s="3172"/>
      <c r="N744" s="3172"/>
      <c r="O744" s="3172"/>
    </row>
    <row r="745" spans="8:15">
      <c r="H745" s="3172"/>
      <c r="L745" s="3172"/>
      <c r="N745" s="3172"/>
      <c r="O745" s="3172"/>
    </row>
    <row r="746" spans="8:15">
      <c r="H746" s="3172"/>
      <c r="L746" s="3172"/>
      <c r="N746" s="3172"/>
      <c r="O746" s="3172"/>
    </row>
    <row r="747" spans="8:15">
      <c r="H747" s="3172"/>
      <c r="L747" s="3172"/>
      <c r="N747" s="3172"/>
      <c r="O747" s="3172"/>
    </row>
    <row r="748" spans="8:15">
      <c r="H748" s="3172"/>
      <c r="L748" s="3172"/>
      <c r="N748" s="3172"/>
      <c r="O748" s="3172"/>
    </row>
    <row r="749" spans="8:15">
      <c r="H749" s="3172"/>
      <c r="L749" s="3172"/>
      <c r="N749" s="3172"/>
      <c r="O749" s="3172"/>
    </row>
    <row r="750" spans="8:15">
      <c r="H750" s="3172"/>
      <c r="L750" s="3172"/>
      <c r="N750" s="3172"/>
      <c r="O750" s="3172"/>
    </row>
    <row r="751" spans="8:15">
      <c r="H751" s="3172"/>
      <c r="L751" s="3172"/>
      <c r="N751" s="3172"/>
      <c r="O751" s="3172"/>
    </row>
    <row r="752" spans="8:15">
      <c r="H752" s="3172"/>
      <c r="L752" s="3172"/>
      <c r="N752" s="3172"/>
      <c r="O752" s="3172"/>
    </row>
    <row r="753" spans="8:15">
      <c r="H753" s="3172"/>
      <c r="L753" s="3172"/>
      <c r="N753" s="3172"/>
      <c r="O753" s="3172"/>
    </row>
    <row r="754" spans="8:15">
      <c r="H754" s="3172"/>
      <c r="L754" s="3172"/>
      <c r="N754" s="3172"/>
      <c r="O754" s="3172"/>
    </row>
    <row r="755" spans="8:15">
      <c r="H755" s="3172"/>
      <c r="L755" s="3172"/>
      <c r="N755" s="3172"/>
      <c r="O755" s="3172"/>
    </row>
    <row r="756" spans="8:15">
      <c r="H756" s="3172"/>
      <c r="L756" s="3172"/>
      <c r="N756" s="3172"/>
      <c r="O756" s="3172"/>
    </row>
    <row r="757" spans="8:15">
      <c r="H757" s="3172"/>
      <c r="L757" s="3172"/>
      <c r="N757" s="3172"/>
      <c r="O757" s="3172"/>
    </row>
    <row r="758" spans="8:15">
      <c r="H758" s="3172"/>
      <c r="L758" s="3172"/>
      <c r="N758" s="3172"/>
      <c r="O758" s="3172"/>
    </row>
    <row r="759" spans="8:15">
      <c r="H759" s="3172"/>
      <c r="L759" s="3172"/>
      <c r="N759" s="3172"/>
      <c r="O759" s="3172"/>
    </row>
    <row r="760" spans="8:15">
      <c r="H760" s="3172"/>
      <c r="L760" s="3172"/>
      <c r="N760" s="3172"/>
      <c r="O760" s="3172"/>
    </row>
    <row r="761" spans="8:15">
      <c r="H761" s="3172"/>
      <c r="L761" s="3172"/>
      <c r="N761" s="3172"/>
      <c r="O761" s="3172"/>
    </row>
    <row r="762" spans="8:15">
      <c r="H762" s="3172"/>
      <c r="L762" s="3172"/>
      <c r="N762" s="3172"/>
      <c r="O762" s="3172"/>
    </row>
    <row r="763" spans="8:15">
      <c r="H763" s="3172"/>
      <c r="L763" s="3172"/>
      <c r="N763" s="3172"/>
      <c r="O763" s="3172"/>
    </row>
    <row r="764" spans="8:15">
      <c r="H764" s="3172"/>
      <c r="L764" s="3172"/>
      <c r="N764" s="3172"/>
      <c r="O764" s="3172"/>
    </row>
    <row r="765" spans="8:15">
      <c r="H765" s="3172"/>
      <c r="L765" s="3172"/>
      <c r="N765" s="3172"/>
      <c r="O765" s="3172"/>
    </row>
    <row r="766" spans="8:15">
      <c r="H766" s="3172"/>
      <c r="L766" s="3172"/>
      <c r="N766" s="3172"/>
      <c r="O766" s="3172"/>
    </row>
    <row r="767" spans="8:15">
      <c r="H767" s="3172"/>
      <c r="L767" s="3172"/>
      <c r="N767" s="3172"/>
      <c r="O767" s="3172"/>
    </row>
    <row r="768" spans="8:15">
      <c r="H768" s="3172"/>
      <c r="L768" s="3172"/>
      <c r="N768" s="3172"/>
      <c r="O768" s="3172"/>
    </row>
    <row r="769" spans="8:15">
      <c r="H769" s="3172"/>
      <c r="L769" s="3172"/>
      <c r="N769" s="3172"/>
      <c r="O769" s="3172"/>
    </row>
    <row r="770" spans="8:15">
      <c r="H770" s="3172"/>
      <c r="L770" s="3172"/>
      <c r="N770" s="3172"/>
      <c r="O770" s="3172"/>
    </row>
    <row r="771" spans="8:15">
      <c r="H771" s="3172"/>
      <c r="L771" s="3172"/>
      <c r="N771" s="3172"/>
      <c r="O771" s="3172"/>
    </row>
    <row r="772" spans="8:15">
      <c r="H772" s="3172"/>
      <c r="L772" s="3172"/>
      <c r="N772" s="3172"/>
      <c r="O772" s="3172"/>
    </row>
    <row r="773" spans="8:15">
      <c r="H773" s="3172"/>
      <c r="L773" s="3172"/>
      <c r="N773" s="3172"/>
      <c r="O773" s="3172"/>
    </row>
    <row r="774" spans="8:15">
      <c r="H774" s="3172"/>
      <c r="L774" s="3172"/>
      <c r="N774" s="3172"/>
      <c r="O774" s="3172"/>
    </row>
    <row r="775" spans="8:15">
      <c r="H775" s="3172"/>
      <c r="L775" s="3172"/>
      <c r="N775" s="3172"/>
      <c r="O775" s="3172"/>
    </row>
    <row r="776" spans="8:15">
      <c r="H776" s="3172"/>
      <c r="L776" s="3172"/>
      <c r="N776" s="3172"/>
      <c r="O776" s="3172"/>
    </row>
    <row r="777" spans="8:15">
      <c r="H777" s="3172"/>
      <c r="L777" s="3172"/>
      <c r="N777" s="3172"/>
      <c r="O777" s="3172"/>
    </row>
    <row r="778" spans="8:15">
      <c r="H778" s="3172"/>
      <c r="L778" s="3172"/>
      <c r="N778" s="3172"/>
      <c r="O778" s="3172"/>
    </row>
    <row r="779" spans="8:15">
      <c r="H779" s="3172"/>
      <c r="L779" s="3172"/>
      <c r="N779" s="3172"/>
      <c r="O779" s="3172"/>
    </row>
    <row r="780" spans="8:15">
      <c r="H780" s="3172"/>
      <c r="L780" s="3172"/>
      <c r="N780" s="3172"/>
      <c r="O780" s="3172"/>
    </row>
    <row r="781" spans="8:15">
      <c r="H781" s="3172"/>
      <c r="L781" s="3172"/>
      <c r="N781" s="3172"/>
      <c r="O781" s="3172"/>
    </row>
    <row r="782" spans="8:15">
      <c r="H782" s="3172"/>
      <c r="L782" s="3172"/>
      <c r="N782" s="3172"/>
      <c r="O782" s="3172"/>
    </row>
    <row r="783" spans="8:15">
      <c r="H783" s="3172"/>
      <c r="L783" s="3172"/>
      <c r="N783" s="3172"/>
      <c r="O783" s="3172"/>
    </row>
    <row r="784" spans="8:15">
      <c r="H784" s="3172"/>
      <c r="L784" s="3172"/>
      <c r="N784" s="3172"/>
      <c r="O784" s="3172"/>
    </row>
    <row r="785" spans="8:15">
      <c r="H785" s="3172"/>
      <c r="L785" s="3172"/>
      <c r="N785" s="3172"/>
      <c r="O785" s="3172"/>
    </row>
    <row r="786" spans="8:15">
      <c r="H786" s="3172"/>
      <c r="L786" s="3172"/>
      <c r="N786" s="3172"/>
      <c r="O786" s="3172"/>
    </row>
    <row r="787" spans="8:15">
      <c r="H787" s="3172"/>
      <c r="L787" s="3172"/>
      <c r="N787" s="3172"/>
      <c r="O787" s="3172"/>
    </row>
    <row r="788" spans="8:15">
      <c r="H788" s="3172"/>
      <c r="L788" s="3172"/>
      <c r="N788" s="3172"/>
      <c r="O788" s="3172"/>
    </row>
    <row r="789" spans="8:15">
      <c r="H789" s="3172"/>
      <c r="L789" s="3172"/>
      <c r="N789" s="3172"/>
      <c r="O789" s="3172"/>
    </row>
    <row r="790" spans="8:15">
      <c r="H790" s="3172"/>
      <c r="L790" s="3172"/>
      <c r="N790" s="3172"/>
      <c r="O790" s="3172"/>
    </row>
    <row r="791" spans="8:15">
      <c r="H791" s="3172"/>
      <c r="L791" s="3172"/>
      <c r="N791" s="3172"/>
      <c r="O791" s="3172"/>
    </row>
    <row r="792" spans="8:15">
      <c r="H792" s="3172"/>
      <c r="L792" s="3172"/>
      <c r="N792" s="3172"/>
      <c r="O792" s="3172"/>
    </row>
    <row r="793" spans="8:15">
      <c r="H793" s="3172"/>
      <c r="L793" s="3172"/>
      <c r="N793" s="3172"/>
      <c r="O793" s="3172"/>
    </row>
    <row r="794" spans="8:15">
      <c r="H794" s="3172"/>
      <c r="L794" s="3172"/>
      <c r="N794" s="3172"/>
      <c r="O794" s="3172"/>
    </row>
    <row r="795" spans="8:15">
      <c r="H795" s="3172"/>
      <c r="L795" s="3172"/>
      <c r="N795" s="3172"/>
      <c r="O795" s="3172"/>
    </row>
    <row r="796" spans="8:15">
      <c r="H796" s="3172"/>
      <c r="L796" s="3172"/>
      <c r="N796" s="3172"/>
      <c r="O796" s="3172"/>
    </row>
    <row r="797" spans="8:15">
      <c r="H797" s="3172"/>
      <c r="L797" s="3172"/>
      <c r="N797" s="3172"/>
      <c r="O797" s="3172"/>
    </row>
    <row r="798" spans="8:15">
      <c r="H798" s="3172"/>
      <c r="L798" s="3172"/>
      <c r="N798" s="3172"/>
      <c r="O798" s="3172"/>
    </row>
    <row r="799" spans="8:15">
      <c r="H799" s="3172"/>
      <c r="L799" s="3172"/>
      <c r="N799" s="3172"/>
      <c r="O799" s="3172"/>
    </row>
    <row r="800" spans="8:15">
      <c r="H800" s="3172"/>
      <c r="L800" s="3172"/>
      <c r="N800" s="3172"/>
      <c r="O800" s="3172"/>
    </row>
    <row r="801" spans="8:15">
      <c r="H801" s="3172"/>
      <c r="L801" s="3172"/>
      <c r="N801" s="3172"/>
      <c r="O801" s="3172"/>
    </row>
    <row r="802" spans="8:15">
      <c r="H802" s="3172"/>
      <c r="L802" s="3172"/>
      <c r="N802" s="3172"/>
      <c r="O802" s="3172"/>
    </row>
    <row r="803" spans="8:15">
      <c r="H803" s="3172"/>
      <c r="L803" s="3172"/>
      <c r="N803" s="3172"/>
      <c r="O803" s="3172"/>
    </row>
    <row r="804" spans="8:15">
      <c r="H804" s="3172"/>
      <c r="L804" s="3172"/>
      <c r="N804" s="3172"/>
      <c r="O804" s="3172"/>
    </row>
    <row r="805" spans="8:15">
      <c r="H805" s="3172"/>
      <c r="L805" s="3172"/>
      <c r="N805" s="3172"/>
      <c r="O805" s="3172"/>
    </row>
    <row r="806" spans="8:15">
      <c r="H806" s="3172"/>
      <c r="L806" s="3172"/>
      <c r="N806" s="3172"/>
      <c r="O806" s="3172"/>
    </row>
    <row r="807" spans="8:15">
      <c r="H807" s="3172"/>
      <c r="L807" s="3172"/>
      <c r="N807" s="3172"/>
      <c r="O807" s="3172"/>
    </row>
    <row r="808" spans="8:15">
      <c r="H808" s="3172"/>
      <c r="L808" s="3172"/>
      <c r="N808" s="3172"/>
      <c r="O808" s="3172"/>
    </row>
    <row r="809" spans="8:15">
      <c r="H809" s="3172"/>
      <c r="L809" s="3172"/>
      <c r="N809" s="3172"/>
      <c r="O809" s="3172"/>
    </row>
    <row r="810" spans="8:15">
      <c r="H810" s="3172"/>
      <c r="L810" s="3172"/>
      <c r="N810" s="3172"/>
      <c r="O810" s="3172"/>
    </row>
    <row r="811" spans="8:15">
      <c r="H811" s="3172"/>
      <c r="L811" s="3172"/>
      <c r="N811" s="3172"/>
      <c r="O811" s="3172"/>
    </row>
    <row r="812" spans="8:15">
      <c r="H812" s="3172"/>
      <c r="L812" s="3172"/>
      <c r="N812" s="3172"/>
      <c r="O812" s="3172"/>
    </row>
    <row r="813" spans="8:15">
      <c r="H813" s="3172"/>
      <c r="L813" s="3172"/>
      <c r="N813" s="3172"/>
      <c r="O813" s="3172"/>
    </row>
    <row r="814" spans="8:15">
      <c r="H814" s="3172"/>
      <c r="L814" s="3172"/>
      <c r="N814" s="3172"/>
      <c r="O814" s="3172"/>
    </row>
    <row r="815" spans="8:15">
      <c r="H815" s="3172"/>
      <c r="L815" s="3172"/>
      <c r="N815" s="3172"/>
      <c r="O815" s="3172"/>
    </row>
    <row r="816" spans="8:15">
      <c r="H816" s="3172"/>
      <c r="L816" s="3172"/>
      <c r="N816" s="3172"/>
      <c r="O816" s="3172"/>
    </row>
    <row r="817" spans="8:15">
      <c r="H817" s="3172"/>
      <c r="L817" s="3172"/>
      <c r="N817" s="3172"/>
      <c r="O817" s="3172"/>
    </row>
    <row r="818" spans="8:15">
      <c r="H818" s="3172"/>
      <c r="L818" s="3172"/>
      <c r="N818" s="3172"/>
      <c r="O818" s="3172"/>
    </row>
    <row r="819" spans="8:15">
      <c r="H819" s="3172"/>
      <c r="L819" s="3172"/>
      <c r="N819" s="3172"/>
      <c r="O819" s="3172"/>
    </row>
    <row r="820" spans="8:15">
      <c r="H820" s="3172"/>
      <c r="L820" s="3172"/>
      <c r="N820" s="3172"/>
      <c r="O820" s="3172"/>
    </row>
    <row r="821" spans="8:15">
      <c r="H821" s="3172"/>
      <c r="L821" s="3172"/>
      <c r="N821" s="3172"/>
      <c r="O821" s="3172"/>
    </row>
    <row r="822" spans="8:15">
      <c r="H822" s="3172"/>
      <c r="L822" s="3172"/>
      <c r="N822" s="3172"/>
      <c r="O822" s="3172"/>
    </row>
    <row r="823" spans="8:15">
      <c r="H823" s="3172"/>
      <c r="L823" s="3172"/>
      <c r="N823" s="3172"/>
      <c r="O823" s="3172"/>
    </row>
    <row r="824" spans="8:15">
      <c r="H824" s="3172"/>
      <c r="L824" s="3172"/>
      <c r="N824" s="3172"/>
      <c r="O824" s="3172"/>
    </row>
    <row r="825" spans="8:15">
      <c r="H825" s="3172"/>
      <c r="L825" s="3172"/>
      <c r="N825" s="3172"/>
      <c r="O825" s="3172"/>
    </row>
    <row r="826" spans="8:15">
      <c r="H826" s="3172"/>
      <c r="L826" s="3172"/>
      <c r="N826" s="3172"/>
      <c r="O826" s="3172"/>
    </row>
    <row r="827" spans="8:15">
      <c r="H827" s="3172"/>
      <c r="L827" s="3172"/>
      <c r="N827" s="3172"/>
      <c r="O827" s="3172"/>
    </row>
    <row r="828" spans="8:15">
      <c r="H828" s="3172"/>
      <c r="L828" s="3172"/>
      <c r="N828" s="3172"/>
      <c r="O828" s="3172"/>
    </row>
    <row r="829" spans="8:15">
      <c r="H829" s="3172"/>
      <c r="L829" s="3172"/>
      <c r="N829" s="3172"/>
      <c r="O829" s="3172"/>
    </row>
    <row r="830" spans="8:15">
      <c r="H830" s="3172"/>
      <c r="L830" s="3172"/>
      <c r="N830" s="3172"/>
      <c r="O830" s="3172"/>
    </row>
    <row r="831" spans="8:15">
      <c r="H831" s="3172"/>
      <c r="L831" s="3172"/>
      <c r="N831" s="3172"/>
      <c r="O831" s="3172"/>
    </row>
    <row r="832" spans="8:15">
      <c r="H832" s="3172"/>
      <c r="L832" s="3172"/>
      <c r="N832" s="3172"/>
      <c r="O832" s="3172"/>
    </row>
    <row r="833" spans="8:15">
      <c r="H833" s="3172"/>
      <c r="L833" s="3172"/>
      <c r="N833" s="3172"/>
      <c r="O833" s="3172"/>
    </row>
    <row r="834" spans="8:15">
      <c r="H834" s="3172"/>
      <c r="L834" s="3172"/>
      <c r="N834" s="3172"/>
      <c r="O834" s="3172"/>
    </row>
    <row r="835" spans="8:15">
      <c r="H835" s="3172"/>
      <c r="L835" s="3172"/>
      <c r="N835" s="3172"/>
      <c r="O835" s="3172"/>
    </row>
    <row r="836" spans="8:15">
      <c r="H836" s="3172"/>
      <c r="L836" s="3172"/>
      <c r="N836" s="3172"/>
      <c r="O836" s="3172"/>
    </row>
    <row r="837" spans="8:15">
      <c r="H837" s="3172"/>
      <c r="L837" s="3172"/>
      <c r="N837" s="3172"/>
      <c r="O837" s="3172"/>
    </row>
    <row r="838" spans="8:15">
      <c r="H838" s="3172"/>
      <c r="L838" s="3172"/>
      <c r="N838" s="3172"/>
      <c r="O838" s="3172"/>
    </row>
    <row r="839" spans="8:15">
      <c r="H839" s="3172"/>
      <c r="L839" s="3172"/>
      <c r="N839" s="3172"/>
      <c r="O839" s="3172"/>
    </row>
    <row r="840" spans="8:15">
      <c r="H840" s="3172"/>
      <c r="L840" s="3172"/>
      <c r="N840" s="3172"/>
      <c r="O840" s="3172"/>
    </row>
    <row r="841" spans="8:15">
      <c r="H841" s="3172"/>
      <c r="L841" s="3172"/>
      <c r="N841" s="3172"/>
      <c r="O841" s="3172"/>
    </row>
    <row r="842" spans="8:15">
      <c r="H842" s="3172"/>
      <c r="L842" s="3172"/>
      <c r="N842" s="3172"/>
      <c r="O842" s="3172"/>
    </row>
    <row r="843" spans="8:15">
      <c r="H843" s="3172"/>
      <c r="L843" s="3172"/>
      <c r="N843" s="3172"/>
      <c r="O843" s="3172"/>
    </row>
    <row r="844" spans="8:15">
      <c r="H844" s="3172"/>
      <c r="L844" s="3172"/>
      <c r="N844" s="3172"/>
      <c r="O844" s="3172"/>
    </row>
    <row r="845" spans="8:15">
      <c r="H845" s="3172"/>
      <c r="L845" s="3172"/>
      <c r="N845" s="3172"/>
      <c r="O845" s="3172"/>
    </row>
    <row r="846" spans="8:15">
      <c r="H846" s="3172"/>
      <c r="L846" s="3172"/>
      <c r="N846" s="3172"/>
      <c r="O846" s="3172"/>
    </row>
    <row r="847" spans="8:15">
      <c r="H847" s="3172"/>
      <c r="L847" s="3172"/>
      <c r="N847" s="3172"/>
      <c r="O847" s="3172"/>
    </row>
    <row r="848" spans="8:15">
      <c r="H848" s="3172"/>
      <c r="L848" s="3172"/>
      <c r="N848" s="3172"/>
      <c r="O848" s="3172"/>
    </row>
    <row r="849" spans="8:15">
      <c r="H849" s="3172"/>
      <c r="L849" s="3172"/>
      <c r="N849" s="3172"/>
      <c r="O849" s="3172"/>
    </row>
    <row r="850" spans="8:15">
      <c r="H850" s="3172"/>
      <c r="L850" s="3172"/>
      <c r="N850" s="3172"/>
      <c r="O850" s="3172"/>
    </row>
    <row r="851" spans="8:15">
      <c r="H851" s="3172"/>
      <c r="L851" s="3172"/>
      <c r="N851" s="3172"/>
      <c r="O851" s="3172"/>
    </row>
    <row r="852" spans="8:15">
      <c r="H852" s="3172"/>
      <c r="L852" s="3172"/>
      <c r="N852" s="3172"/>
      <c r="O852" s="3172"/>
    </row>
    <row r="853" spans="8:15">
      <c r="H853" s="3172"/>
      <c r="L853" s="3172"/>
      <c r="N853" s="3172"/>
      <c r="O853" s="3172"/>
    </row>
    <row r="854" spans="8:15">
      <c r="H854" s="3172"/>
      <c r="L854" s="3172"/>
      <c r="N854" s="3172"/>
      <c r="O854" s="3172"/>
    </row>
    <row r="855" spans="8:15">
      <c r="H855" s="3172"/>
      <c r="L855" s="3172"/>
      <c r="N855" s="3172"/>
      <c r="O855" s="3172"/>
    </row>
    <row r="856" spans="8:15">
      <c r="H856" s="3172"/>
      <c r="L856" s="3172"/>
      <c r="N856" s="3172"/>
      <c r="O856" s="3172"/>
    </row>
    <row r="857" spans="8:15">
      <c r="H857" s="3172"/>
      <c r="L857" s="3172"/>
      <c r="N857" s="3172"/>
      <c r="O857" s="3172"/>
    </row>
    <row r="858" spans="8:15">
      <c r="H858" s="3172"/>
      <c r="L858" s="3172"/>
      <c r="N858" s="3172"/>
      <c r="O858" s="3172"/>
    </row>
    <row r="859" spans="8:15">
      <c r="H859" s="3172"/>
      <c r="L859" s="3172"/>
      <c r="N859" s="3172"/>
      <c r="O859" s="3172"/>
    </row>
    <row r="860" spans="8:15">
      <c r="H860" s="3172"/>
      <c r="L860" s="3172"/>
      <c r="N860" s="3172"/>
      <c r="O860" s="3172"/>
    </row>
    <row r="861" spans="8:15">
      <c r="H861" s="3172"/>
      <c r="L861" s="3172"/>
      <c r="N861" s="3172"/>
      <c r="O861" s="3172"/>
    </row>
    <row r="862" spans="8:15">
      <c r="H862" s="3172"/>
      <c r="L862" s="3172"/>
      <c r="N862" s="3172"/>
      <c r="O862" s="3172"/>
    </row>
    <row r="863" spans="8:15">
      <c r="H863" s="3172"/>
      <c r="L863" s="3172"/>
      <c r="N863" s="3172"/>
      <c r="O863" s="3172"/>
    </row>
    <row r="864" spans="8:15">
      <c r="H864" s="3172"/>
      <c r="L864" s="3172"/>
      <c r="N864" s="3172"/>
      <c r="O864" s="3172"/>
    </row>
    <row r="865" spans="8:15">
      <c r="H865" s="3172"/>
      <c r="L865" s="3172"/>
      <c r="N865" s="3172"/>
      <c r="O865" s="3172"/>
    </row>
  </sheetData>
  <phoneticPr fontId="136"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FFC000"/>
    <pageSetUpPr fitToPage="1"/>
  </sheetPr>
  <dimension ref="A1:H57"/>
  <sheetViews>
    <sheetView view="pageBreakPreview" zoomScale="130" zoomScaleNormal="70" zoomScaleSheetLayoutView="130" workbookViewId="0">
      <selection activeCell="C6" sqref="C6"/>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1459</v>
      </c>
      <c r="B1" s="1374" t="s">
        <v>3712</v>
      </c>
      <c r="C1" s="1717" t="s">
        <v>1561</v>
      </c>
      <c r="D1" s="190"/>
      <c r="E1" s="190"/>
      <c r="F1" s="190"/>
      <c r="G1" s="1062">
        <f>MATCH(B1,'数据-取费表'!A6:A16,0)+5</f>
        <v>8</v>
      </c>
      <c r="H1" s="998" t="str">
        <f>IF(ISERROR(FIND("住宅",B1)),"非住宅","住宅")</f>
        <v>非住宅</v>
      </c>
    </row>
    <row r="2" spans="1:8" s="192" customFormat="1" ht="18" customHeight="1">
      <c r="A2" s="193" t="s">
        <v>685</v>
      </c>
      <c r="B2" s="3123">
        <f ca="1">ROUND(IF(D2="——",C52/10000,C52/10000-E2),4)</f>
        <v>160.58959999999999</v>
      </c>
      <c r="C2" s="191" t="s">
        <v>1461</v>
      </c>
      <c r="D2" s="1711" t="s">
        <v>43</v>
      </c>
      <c r="E2" s="1089" t="e">
        <f ca="1">SUMIF(INDIRECT("'"&amp;G2&amp;"'"&amp;"!A:A"),"承租人权益价值",INDIRECT("'"&amp;G2&amp;"'"&amp;"!c:c"))</f>
        <v>#REF!</v>
      </c>
      <c r="F2" s="1712" t="s">
        <v>1461</v>
      </c>
      <c r="G2" s="1713"/>
    </row>
    <row r="3" spans="1:8" s="192" customFormat="1" ht="18" customHeight="1" thickBot="1">
      <c r="A3" s="195" t="s">
        <v>686</v>
      </c>
      <c r="B3" s="196">
        <f ca="1">ROUND(B2*10000/(IF(B1="",'数据-汇总表'!E3,INDIRECT("'数据-取费表'!k"&amp;$G$1))),0)</f>
        <v>6295</v>
      </c>
      <c r="C3" s="191" t="s">
        <v>1463</v>
      </c>
      <c r="D3" s="191"/>
      <c r="E3" s="191"/>
      <c r="F3" s="191"/>
      <c r="G3" s="191"/>
    </row>
    <row r="4" spans="1:8" s="200" customFormat="1" ht="15.75">
      <c r="A4" s="197" t="s">
        <v>1464</v>
      </c>
      <c r="B4" s="198"/>
      <c r="C4" s="198"/>
      <c r="D4" s="198"/>
      <c r="E4" s="198"/>
      <c r="F4" s="198"/>
      <c r="G4" s="199"/>
    </row>
    <row r="5" spans="1:8" s="206" customFormat="1" ht="13.5" customHeight="1">
      <c r="A5" s="247" t="s">
        <v>337</v>
      </c>
      <c r="B5" s="202" t="s">
        <v>1466</v>
      </c>
      <c r="C5" s="203">
        <f ca="1">C6+C7+C8</f>
        <v>331444.42000000004</v>
      </c>
      <c r="D5" s="203" t="s">
        <v>1467</v>
      </c>
      <c r="E5" s="204" t="s">
        <v>1468</v>
      </c>
      <c r="F5" s="204" t="s">
        <v>1469</v>
      </c>
      <c r="G5" s="205"/>
    </row>
    <row r="6" spans="1:8" s="206" customFormat="1" ht="13.5" customHeight="1">
      <c r="A6" s="732" t="s">
        <v>346</v>
      </c>
      <c r="B6" s="207" t="s">
        <v>1471</v>
      </c>
      <c r="C6" s="208">
        <f>标定地价!Q16*'数据-汇总表'!G21</f>
        <v>286233.42000000004</v>
      </c>
      <c r="D6" s="209"/>
      <c r="E6" s="210"/>
      <c r="F6" s="210"/>
      <c r="G6" s="211"/>
    </row>
    <row r="7" spans="1:8" s="206" customFormat="1" ht="13.5" customHeight="1">
      <c r="A7" s="732" t="s">
        <v>347</v>
      </c>
      <c r="B7" s="207" t="s">
        <v>1473</v>
      </c>
      <c r="C7" s="212">
        <f>ROUND(C6*F7,0)</f>
        <v>8730</v>
      </c>
      <c r="D7" s="212"/>
      <c r="E7" s="210"/>
      <c r="F7" s="213">
        <f>IF(项目基本情况!B8="出让",0,'数据-取费表'!B48+'数据-取费表'!B49)</f>
        <v>3.0499999999999999E-2</v>
      </c>
      <c r="G7" s="211"/>
    </row>
    <row r="8" spans="1:8" s="215" customFormat="1">
      <c r="A8" s="732" t="s">
        <v>348</v>
      </c>
      <c r="B8" s="207" t="s">
        <v>1475</v>
      </c>
      <c r="C8" s="212">
        <f ca="1">IF(G8="已包含在土地购买价格中",0,C9+C10)</f>
        <v>36481</v>
      </c>
      <c r="D8" s="214"/>
      <c r="E8" s="212"/>
      <c r="F8" s="213"/>
      <c r="G8" s="1714" t="s">
        <v>3550</v>
      </c>
    </row>
    <row r="9" spans="1:8" s="206" customFormat="1" ht="13.5" customHeight="1">
      <c r="A9" s="733" t="s">
        <v>355</v>
      </c>
      <c r="B9" s="216" t="s">
        <v>1476</v>
      </c>
      <c r="C9" s="217">
        <f ca="1">ROUND(D9*E9,0)</f>
        <v>36481</v>
      </c>
      <c r="D9" s="795">
        <f ca="1">IF(B1="",'数据-汇总表'!E5,IF(INDIRECT("'数据-取费表'!c"&amp;$G$1)="住宅",INDIRECT("'数据-取费表'!k"&amp;$G$1),0))</f>
        <v>255.11</v>
      </c>
      <c r="E9" s="217">
        <f>'数据-取费表'!B27</f>
        <v>143</v>
      </c>
      <c r="F9" s="213"/>
      <c r="G9" s="218"/>
    </row>
    <row r="10" spans="1:8" s="206" customFormat="1" ht="13.5" customHeight="1">
      <c r="A10" s="733" t="s">
        <v>356</v>
      </c>
      <c r="B10" s="216" t="s">
        <v>1478</v>
      </c>
      <c r="C10" s="217">
        <f ca="1">ROUND(D10*E10,0)</f>
        <v>0</v>
      </c>
      <c r="D10" s="795">
        <f ca="1">IF(B1="",'数据-汇总表'!E6,IF(INDIRECT("'数据-取费表'!c"&amp;$G$1)="住宅",INDIRECT("'数据-取费表'!s"&amp;$G$1),INDIRECT("'数据-取费表'!k"&amp;$G$1)+INDIRECT("'数据-取费表'!s"&amp;$G$1)))</f>
        <v>0</v>
      </c>
      <c r="E10" s="217">
        <f>'数据-取费表'!B28</f>
        <v>0</v>
      </c>
      <c r="F10" s="213"/>
      <c r="G10" s="218"/>
    </row>
    <row r="11" spans="1:8" s="206" customFormat="1" ht="13.5" hidden="1" customHeight="1">
      <c r="A11" s="219" t="s">
        <v>4</v>
      </c>
      <c r="B11" s="207" t="s">
        <v>1479</v>
      </c>
      <c r="C11" s="203"/>
      <c r="D11" s="210"/>
      <c r="E11" s="210"/>
      <c r="F11" s="210"/>
      <c r="G11" s="211"/>
    </row>
    <row r="12" spans="1:8" s="206" customFormat="1" ht="13.5" hidden="1" customHeight="1">
      <c r="A12" s="219" t="s">
        <v>5</v>
      </c>
      <c r="B12" s="207" t="s">
        <v>1480</v>
      </c>
      <c r="C12" s="203">
        <v>0</v>
      </c>
      <c r="D12" s="210"/>
      <c r="E12" s="220"/>
      <c r="F12" s="213">
        <v>3.0499999999999999E-2</v>
      </c>
      <c r="G12" s="211"/>
    </row>
    <row r="13" spans="1:8" s="206" customFormat="1" ht="13.5" hidden="1" customHeight="1">
      <c r="A13" s="219" t="s">
        <v>6</v>
      </c>
      <c r="B13" s="207" t="s">
        <v>1481</v>
      </c>
      <c r="C13" s="203"/>
      <c r="D13" s="210"/>
      <c r="E13" s="210"/>
      <c r="F13" s="210"/>
      <c r="G13" s="211"/>
    </row>
    <row r="14" spans="1:8" s="206" customFormat="1" ht="13.5" hidden="1" customHeight="1">
      <c r="A14" s="219" t="s">
        <v>7</v>
      </c>
      <c r="B14" s="207" t="s">
        <v>1475</v>
      </c>
      <c r="C14" s="203"/>
      <c r="D14" s="210"/>
      <c r="E14" s="210"/>
      <c r="F14" s="210"/>
      <c r="G14" s="211" t="s">
        <v>1483</v>
      </c>
    </row>
    <row r="15" spans="1:8" s="206" customFormat="1" ht="13.5" hidden="1" customHeight="1">
      <c r="A15" s="219" t="s">
        <v>8</v>
      </c>
      <c r="B15" s="207" t="s">
        <v>1484</v>
      </c>
      <c r="C15" s="212"/>
      <c r="D15" s="210"/>
      <c r="E15" s="210"/>
      <c r="F15" s="210"/>
      <c r="G15" s="211" t="s">
        <v>1485</v>
      </c>
    </row>
    <row r="16" spans="1:8" s="206" customFormat="1" ht="13.5" hidden="1" customHeight="1">
      <c r="A16" s="219" t="s">
        <v>9</v>
      </c>
      <c r="B16" s="207" t="s">
        <v>1475</v>
      </c>
      <c r="C16" s="212"/>
      <c r="D16" s="210"/>
      <c r="E16" s="210"/>
      <c r="F16" s="210"/>
      <c r="G16" s="211"/>
    </row>
    <row r="17" spans="1:7" s="206" customFormat="1" ht="13.5" hidden="1" customHeight="1">
      <c r="A17" s="219" t="s">
        <v>10</v>
      </c>
      <c r="B17" s="207" t="s">
        <v>1486</v>
      </c>
      <c r="C17" s="221"/>
      <c r="D17" s="221"/>
      <c r="E17" s="221"/>
      <c r="F17" s="221"/>
      <c r="G17" s="211" t="s">
        <v>1485</v>
      </c>
    </row>
    <row r="18" spans="1:7" s="206" customFormat="1" ht="13.5" hidden="1" customHeight="1">
      <c r="A18" s="219" t="s">
        <v>11</v>
      </c>
      <c r="B18" s="207" t="s">
        <v>1487</v>
      </c>
      <c r="C18" s="212">
        <v>0</v>
      </c>
      <c r="D18" s="210"/>
      <c r="E18" s="210"/>
      <c r="F18" s="213">
        <v>3.0499999999999999E-2</v>
      </c>
      <c r="G18" s="211" t="s">
        <v>1488</v>
      </c>
    </row>
    <row r="19" spans="1:7" s="215" customFormat="1" ht="13.5" customHeight="1">
      <c r="A19" s="247" t="s">
        <v>1489</v>
      </c>
      <c r="B19" s="202" t="s">
        <v>1490</v>
      </c>
      <c r="C19" s="203" t="str">
        <f>IF(G19="已包含在土地取得成本中","0",ROUND(D19*E19,0))</f>
        <v>0</v>
      </c>
      <c r="D19" s="204">
        <f ca="1">D9+D10</f>
        <v>255.11</v>
      </c>
      <c r="E19" s="203">
        <f>'数据-取费表'!B31</f>
        <v>280</v>
      </c>
      <c r="F19" s="223"/>
      <c r="G19" s="1714" t="s">
        <v>3551</v>
      </c>
    </row>
    <row r="20" spans="1:7" s="206" customFormat="1" ht="13.5" customHeight="1">
      <c r="A20" s="247" t="s">
        <v>1491</v>
      </c>
      <c r="B20" s="202" t="s">
        <v>1492</v>
      </c>
      <c r="C20" s="224">
        <f ca="1">ROUND((C5+C19)*F20,0)</f>
        <v>3314</v>
      </c>
      <c r="D20" s="224"/>
      <c r="E20" s="224"/>
      <c r="F20" s="225">
        <f>'数据-取费表'!B37</f>
        <v>0.01</v>
      </c>
      <c r="G20" s="226" t="s">
        <v>1493</v>
      </c>
    </row>
    <row r="21" spans="1:7" s="206" customFormat="1" ht="13.5" customHeight="1">
      <c r="A21" s="247" t="s">
        <v>1494</v>
      </c>
      <c r="B21" s="202" t="s">
        <v>1495</v>
      </c>
      <c r="C21" s="227">
        <f>F21</f>
        <v>2.8000000000000001E-2</v>
      </c>
      <c r="D21" s="228" t="s">
        <v>1496</v>
      </c>
      <c r="E21" s="224"/>
      <c r="F21" s="225">
        <f>'数据-取费表'!B38</f>
        <v>2.8000000000000001E-2</v>
      </c>
      <c r="G21" s="226" t="s">
        <v>1497</v>
      </c>
    </row>
    <row r="22" spans="1:7" s="206" customFormat="1" ht="13.5" customHeight="1">
      <c r="A22" s="247" t="s">
        <v>1498</v>
      </c>
      <c r="B22" s="202" t="s">
        <v>1499</v>
      </c>
      <c r="C22" s="224">
        <f ca="1">ROUND(SUM(C23:C25),0)</f>
        <v>9993</v>
      </c>
      <c r="D22" s="227">
        <f ca="1">C26</f>
        <v>4.0000000000000002E-4</v>
      </c>
      <c r="E22" s="228" t="s">
        <v>1496</v>
      </c>
      <c r="F22" s="229">
        <f ca="1">'数据-取费表'!B40</f>
        <v>0.03</v>
      </c>
      <c r="G22" s="226" t="str">
        <f>IF('数据-取费表'!B22&lt;=1,"单利计息","复利计息")</f>
        <v>单利计息</v>
      </c>
    </row>
    <row r="23" spans="1:7" s="206" customFormat="1" ht="13.5" customHeight="1">
      <c r="A23" s="734" t="s">
        <v>346</v>
      </c>
      <c r="B23" s="207" t="s">
        <v>1501</v>
      </c>
      <c r="C23" s="230">
        <f ca="1">ROUND(IF('数据-取费表'!B22&lt;=1,C5*F22*'数据-取费表'!B22,C5*(POWER((1+F22),'数据-取费表'!B22)-1)),0)</f>
        <v>9943</v>
      </c>
      <c r="D23" s="230"/>
      <c r="E23" s="230"/>
      <c r="F23" s="231"/>
      <c r="G23" s="232" t="s">
        <v>1502</v>
      </c>
    </row>
    <row r="24" spans="1:7" s="206" customFormat="1" ht="13.5" customHeight="1">
      <c r="A24" s="734" t="s">
        <v>347</v>
      </c>
      <c r="B24" s="207" t="s">
        <v>1504</v>
      </c>
      <c r="C24" s="230">
        <f ca="1">ROUND(IF('数据-取费表'!B22&lt;=1,C19*F22*('数据-取费表'!B19/2+'数据-取费表'!B20),C19*(POWER((1+F22),('数据-取费表'!B19/2+'数据-取费表'!B20))-1)),0)</f>
        <v>0</v>
      </c>
      <c r="D24" s="230"/>
      <c r="E24" s="230"/>
      <c r="F24" s="231"/>
      <c r="G24" s="232" t="s">
        <v>1505</v>
      </c>
    </row>
    <row r="25" spans="1:7" s="206" customFormat="1" ht="24">
      <c r="A25" s="734" t="s">
        <v>348</v>
      </c>
      <c r="B25" s="207" t="s">
        <v>1507</v>
      </c>
      <c r="C25" s="230">
        <f ca="1">ROUND(IF('数据-取费表'!B22&lt;=1,C20*F22*'数据-取费表'!B22/2,C20*(POWER((1+F22),'数据-取费表'!B22/2)-1)),0)</f>
        <v>50</v>
      </c>
      <c r="D25" s="230"/>
      <c r="E25" s="233"/>
      <c r="F25" s="231"/>
      <c r="G25" s="234" t="s">
        <v>1508</v>
      </c>
    </row>
    <row r="26" spans="1:7" s="206" customFormat="1">
      <c r="A26" s="734" t="s">
        <v>350</v>
      </c>
      <c r="B26" s="207" t="s">
        <v>1509</v>
      </c>
      <c r="C26" s="230">
        <f ca="1">ROUND(IF('数据-取费表'!B22&lt;=1,F21*F22*'数据-取费表'!B22/2,F21*(POWER((1+F22),'数据-取费表'!B22/2)-1)),4)</f>
        <v>4.0000000000000002E-4</v>
      </c>
      <c r="D26" s="230"/>
      <c r="E26" s="233"/>
      <c r="F26" s="231"/>
      <c r="G26" s="235"/>
    </row>
    <row r="27" spans="1:7" s="206" customFormat="1" ht="24.75">
      <c r="A27" s="247" t="s">
        <v>1510</v>
      </c>
      <c r="B27" s="236" t="s">
        <v>1511</v>
      </c>
      <c r="C27" s="237">
        <f ca="1">C28</f>
        <v>60257</v>
      </c>
      <c r="D27" s="227">
        <f ca="1">C29</f>
        <v>5.0000000000000001E-3</v>
      </c>
      <c r="E27" s="228" t="s">
        <v>1496</v>
      </c>
      <c r="F27" s="238">
        <f ca="1">IF(B1="",'数据-取费表'!Q16,INDIRECT("'数据-取费表'!q"&amp;$G$1))</f>
        <v>0.18</v>
      </c>
      <c r="G27" s="239" t="s">
        <v>1513</v>
      </c>
    </row>
    <row r="28" spans="1:7" s="206" customFormat="1" ht="13.5" customHeight="1">
      <c r="A28" s="734" t="s">
        <v>346</v>
      </c>
      <c r="B28" s="240" t="s">
        <v>1514</v>
      </c>
      <c r="C28" s="241">
        <f ca="1">ROUND((C5+C19+C20)*F27,0)</f>
        <v>60257</v>
      </c>
      <c r="D28" s="227"/>
      <c r="E28" s="228"/>
      <c r="F28" s="238"/>
      <c r="G28" s="239"/>
    </row>
    <row r="29" spans="1:7" s="206" customFormat="1" ht="13.5" customHeight="1">
      <c r="A29" s="734" t="s">
        <v>347</v>
      </c>
      <c r="B29" s="240" t="s">
        <v>1515</v>
      </c>
      <c r="C29" s="230">
        <f ca="1">ROUND(C21*F27,4)</f>
        <v>5.0000000000000001E-3</v>
      </c>
      <c r="D29" s="227"/>
      <c r="E29" s="228"/>
      <c r="F29" s="238"/>
      <c r="G29" s="239"/>
    </row>
    <row r="30" spans="1:7" s="206" customFormat="1" ht="13.5" customHeight="1">
      <c r="A30" s="247" t="s">
        <v>1516</v>
      </c>
      <c r="B30" s="202" t="s">
        <v>1517</v>
      </c>
      <c r="C30" s="227">
        <f>ROUND(F30/(1+'数据-取费表'!C42),4)</f>
        <v>5.33E-2</v>
      </c>
      <c r="D30" s="228" t="s">
        <v>1496</v>
      </c>
      <c r="E30" s="233"/>
      <c r="F30" s="229">
        <f>'数据-取费表'!B41</f>
        <v>5.6000000000000001E-2</v>
      </c>
      <c r="G30" s="226" t="s">
        <v>1518</v>
      </c>
    </row>
    <row r="31" spans="1:7" ht="16.5" customHeight="1">
      <c r="A31" s="201">
        <v>1</v>
      </c>
      <c r="B31" s="202" t="s">
        <v>1519</v>
      </c>
      <c r="C31" s="203">
        <f ca="1">ROUND((C5+C19+C20+C22+C27)/(1-C21-D22-D27-C30),0)</f>
        <v>443456</v>
      </c>
      <c r="D31" s="222"/>
      <c r="E31" s="203"/>
      <c r="F31" s="242"/>
      <c r="G31" s="226" t="s">
        <v>1520</v>
      </c>
    </row>
    <row r="32" spans="1:7" s="200" customFormat="1" ht="15.75">
      <c r="A32" s="244" t="s">
        <v>1587</v>
      </c>
      <c r="B32" s="245"/>
      <c r="C32" s="245"/>
      <c r="D32" s="245"/>
      <c r="E32" s="245"/>
      <c r="F32" s="245"/>
      <c r="G32" s="246"/>
    </row>
    <row r="33" spans="1:7" s="206" customFormat="1" ht="13.5" customHeight="1">
      <c r="A33" s="247" t="s">
        <v>337</v>
      </c>
      <c r="B33" s="202" t="s">
        <v>1588</v>
      </c>
      <c r="C33" s="248">
        <f ca="1">SUM(C34:C38)</f>
        <v>879619</v>
      </c>
      <c r="D33" s="224"/>
      <c r="E33" s="204"/>
      <c r="F33" s="233"/>
      <c r="G33" s="226"/>
    </row>
    <row r="34" spans="1:7" s="250" customFormat="1" ht="13.5" customHeight="1">
      <c r="A34" s="734" t="s">
        <v>346</v>
      </c>
      <c r="B34" s="207" t="s">
        <v>1523</v>
      </c>
      <c r="C34" s="212">
        <f ca="1">ROUND(IF(B1="",SUMPRODUCT('数据-取费表'!K6:K14,'数据-取费表'!L6:L14),INDIRECT("'数据-取费表'!l"&amp;$G$1)*INDIRECT("'数据-取费表'!k"&amp;$G$1)+'数据-取费表'!L14*INDIRECT("'数据-取费表'!S"&amp;$G$1)),0)</f>
        <v>739819</v>
      </c>
      <c r="D34" s="209"/>
      <c r="E34" s="212"/>
      <c r="F34" s="249"/>
      <c r="G34" s="211"/>
    </row>
    <row r="35" spans="1:7" ht="13.5" customHeight="1">
      <c r="A35" s="734" t="s">
        <v>351</v>
      </c>
      <c r="B35" s="207" t="s">
        <v>1525</v>
      </c>
      <c r="C35" s="212">
        <f ca="1">ROUND(C34*F35,0)</f>
        <v>36991</v>
      </c>
      <c r="D35" s="212"/>
      <c r="E35" s="212"/>
      <c r="F35" s="251">
        <f>'数据-取费表'!B33</f>
        <v>0.05</v>
      </c>
      <c r="G35" s="211" t="s">
        <v>1526</v>
      </c>
    </row>
    <row r="36" spans="1:7" ht="24">
      <c r="A36" s="734" t="s">
        <v>352</v>
      </c>
      <c r="B36" s="207" t="s">
        <v>1527</v>
      </c>
      <c r="C36" s="212">
        <f ca="1">ROUND(IF(B1="",SUM('数据-取费表'!AP6:AP13)*F36,IF(INDIRECT("'数据-取费表'!c"&amp;$G$1)="住宅",INDIRECT("'数据-取费表'!k"&amp;$G$1)*INDIRECT("'数据-取费表'!l"&amp;$G$1)*F36,0)),0)</f>
        <v>36991</v>
      </c>
      <c r="D36" s="212"/>
      <c r="E36" s="212"/>
      <c r="F36" s="251">
        <f>'数据-取费表'!B34</f>
        <v>0.05</v>
      </c>
      <c r="G36" s="252" t="s">
        <v>1528</v>
      </c>
    </row>
    <row r="37" spans="1:7" s="250" customFormat="1" ht="13.5" customHeight="1">
      <c r="A37" s="734" t="s">
        <v>353</v>
      </c>
      <c r="B37" s="207" t="s">
        <v>1529</v>
      </c>
      <c r="C37" s="241">
        <f ca="1">ROUND(E37*D37,0)</f>
        <v>51022</v>
      </c>
      <c r="D37" s="209">
        <f ca="1">D19</f>
        <v>255.11</v>
      </c>
      <c r="E37" s="241">
        <f>'数据-取费表'!B35</f>
        <v>200</v>
      </c>
      <c r="F37" s="251"/>
      <c r="G37" s="253"/>
    </row>
    <row r="38" spans="1:7" ht="13.5" customHeight="1">
      <c r="A38" s="734" t="s">
        <v>354</v>
      </c>
      <c r="B38" s="207" t="s">
        <v>1531</v>
      </c>
      <c r="C38" s="212">
        <f ca="1">ROUND(C34*F38,0)</f>
        <v>14796</v>
      </c>
      <c r="D38" s="212"/>
      <c r="E38" s="212"/>
      <c r="F38" s="251">
        <f>'数据-取费表'!B36</f>
        <v>0.02</v>
      </c>
      <c r="G38" s="211" t="s">
        <v>1526</v>
      </c>
    </row>
    <row r="39" spans="1:7" s="206" customFormat="1" ht="13.5" customHeight="1">
      <c r="A39" s="247" t="s">
        <v>1489</v>
      </c>
      <c r="B39" s="202" t="s">
        <v>1492</v>
      </c>
      <c r="C39" s="224">
        <f ca="1">ROUND(C33*F20,0)</f>
        <v>8796</v>
      </c>
      <c r="D39" s="224"/>
      <c r="E39" s="224"/>
      <c r="F39" s="225">
        <f>F20</f>
        <v>0.01</v>
      </c>
      <c r="G39" s="226" t="s">
        <v>1534</v>
      </c>
    </row>
    <row r="40" spans="1:7" s="206" customFormat="1" ht="13.5" customHeight="1">
      <c r="A40" s="247" t="s">
        <v>1491</v>
      </c>
      <c r="B40" s="202" t="s">
        <v>1495</v>
      </c>
      <c r="C40" s="227">
        <f>F21</f>
        <v>2.8000000000000001E-2</v>
      </c>
      <c r="D40" s="228" t="s">
        <v>1537</v>
      </c>
      <c r="E40" s="224"/>
      <c r="F40" s="225">
        <f>F21</f>
        <v>2.8000000000000001E-2</v>
      </c>
      <c r="G40" s="226" t="s">
        <v>1538</v>
      </c>
    </row>
    <row r="41" spans="1:7" s="206" customFormat="1" ht="13.5" customHeight="1">
      <c r="A41" s="247" t="s">
        <v>1494</v>
      </c>
      <c r="B41" s="202" t="s">
        <v>1499</v>
      </c>
      <c r="C41" s="224">
        <f ca="1">ROUND(SUM(C42:C43),0)</f>
        <v>13326</v>
      </c>
      <c r="D41" s="227">
        <f ca="1">C44</f>
        <v>4.0000000000000002E-4</v>
      </c>
      <c r="E41" s="228" t="s">
        <v>1537</v>
      </c>
      <c r="F41" s="229">
        <f ca="1">F22</f>
        <v>0.03</v>
      </c>
      <c r="G41" s="226" t="str">
        <f>IF('数据-取费表'!B22&lt;=1,"单利计息","复利计息")</f>
        <v>单利计息</v>
      </c>
    </row>
    <row r="42" spans="1:7" ht="13.5" customHeight="1">
      <c r="A42" s="734" t="s">
        <v>346</v>
      </c>
      <c r="B42" s="207" t="s">
        <v>1501</v>
      </c>
      <c r="C42" s="230">
        <f ca="1">ROUND(IF('数据-取费表'!B22&lt;=1,C33*F22*'数据-取费表'!B20/2,C33*(POWER((1+F22),'数据-取费表'!B20/2)-1)),0)</f>
        <v>13194</v>
      </c>
      <c r="D42" s="230"/>
      <c r="E42" s="230"/>
      <c r="F42" s="231"/>
      <c r="G42" s="3567" t="s">
        <v>1589</v>
      </c>
    </row>
    <row r="43" spans="1:7" ht="13.5" customHeight="1">
      <c r="A43" s="734" t="s">
        <v>347</v>
      </c>
      <c r="B43" s="207" t="s">
        <v>1504</v>
      </c>
      <c r="C43" s="230">
        <f ca="1">ROUND(IF('数据-取费表'!B22&lt;=1,C39*F22*'数据-取费表'!B20/2,C39*(POWER((1+F22),'数据-取费表'!B20/2)-1)),0)</f>
        <v>132</v>
      </c>
      <c r="D43" s="230"/>
      <c r="E43" s="230"/>
      <c r="F43" s="231"/>
      <c r="G43" s="3568"/>
    </row>
    <row r="44" spans="1:7" ht="13.5" customHeight="1">
      <c r="A44" s="734" t="s">
        <v>348</v>
      </c>
      <c r="B44" s="207" t="s">
        <v>1507</v>
      </c>
      <c r="C44" s="230">
        <f ca="1">ROUND(IF('数据-取费表'!B22&lt;=1,C40*F22*'数据-取费表'!B20/2,C40*(POWER((1+F22),'数据-取费表'!B20/2)-1)),4)</f>
        <v>4.0000000000000002E-4</v>
      </c>
      <c r="D44" s="230"/>
      <c r="E44" s="230"/>
      <c r="F44" s="231"/>
      <c r="G44" s="3569"/>
    </row>
    <row r="45" spans="1:7" s="206" customFormat="1" ht="13.5" customHeight="1">
      <c r="A45" s="247" t="s">
        <v>1498</v>
      </c>
      <c r="B45" s="236" t="s">
        <v>1511</v>
      </c>
      <c r="C45" s="237">
        <f ca="1">C46</f>
        <v>159915</v>
      </c>
      <c r="D45" s="227">
        <f ca="1">C47</f>
        <v>5.0000000000000001E-3</v>
      </c>
      <c r="E45" s="228" t="s">
        <v>1537</v>
      </c>
      <c r="F45" s="238">
        <f ca="1">F27</f>
        <v>0.18</v>
      </c>
      <c r="G45" s="239" t="s">
        <v>1546</v>
      </c>
    </row>
    <row r="46" spans="1:7" s="206" customFormat="1" ht="13.5" customHeight="1">
      <c r="A46" s="734" t="s">
        <v>346</v>
      </c>
      <c r="B46" s="240" t="s">
        <v>1547</v>
      </c>
      <c r="C46" s="241">
        <f ca="1">ROUND((C33+C39)*F27,0)</f>
        <v>159915</v>
      </c>
      <c r="D46" s="255"/>
      <c r="E46" s="228"/>
      <c r="F46" s="238"/>
      <c r="G46" s="239"/>
    </row>
    <row r="47" spans="1:7" s="206" customFormat="1" ht="13.5" customHeight="1">
      <c r="A47" s="734" t="s">
        <v>347</v>
      </c>
      <c r="B47" s="240" t="s">
        <v>1548</v>
      </c>
      <c r="C47" s="230">
        <f ca="1">ROUND(C40*F27,4)</f>
        <v>5.0000000000000001E-3</v>
      </c>
      <c r="D47" s="255"/>
      <c r="E47" s="228"/>
      <c r="F47" s="238"/>
      <c r="G47" s="239"/>
    </row>
    <row r="48" spans="1:7" s="206" customFormat="1" ht="13.5" customHeight="1">
      <c r="A48" s="247" t="s">
        <v>1510</v>
      </c>
      <c r="B48" s="202" t="s">
        <v>1549</v>
      </c>
      <c r="C48" s="254">
        <f>ROUND(F30/(1+'数据-取费表'!C42),4)</f>
        <v>5.33E-2</v>
      </c>
      <c r="D48" s="228" t="s">
        <v>1537</v>
      </c>
      <c r="E48" s="224"/>
      <c r="F48" s="229">
        <f>F30</f>
        <v>5.6000000000000001E-2</v>
      </c>
      <c r="G48" s="226" t="s">
        <v>1550</v>
      </c>
    </row>
    <row r="49" spans="1:7" ht="16.5" customHeight="1">
      <c r="A49" s="247" t="s">
        <v>1516</v>
      </c>
      <c r="B49" s="202" t="s">
        <v>1590</v>
      </c>
      <c r="C49" s="224">
        <f ca="1">ROUND((C33+C39+C41+C45)/(1-C40-D41-D45-C48),0)</f>
        <v>1162440</v>
      </c>
      <c r="D49" s="224"/>
      <c r="E49" s="224"/>
      <c r="F49" s="256"/>
      <c r="G49" s="226" t="s">
        <v>1552</v>
      </c>
    </row>
    <row r="50" spans="1:7" s="250" customFormat="1">
      <c r="A50" s="247" t="s">
        <v>1553</v>
      </c>
      <c r="B50" s="202" t="s">
        <v>1554</v>
      </c>
      <c r="C50" s="224"/>
      <c r="D50" s="224"/>
      <c r="E50" s="224"/>
      <c r="F50" s="256">
        <f>IF('数据-取费表'!B24=0,'数据-取费表'!N16,1)</f>
        <v>1</v>
      </c>
      <c r="G50" s="239"/>
    </row>
    <row r="51" spans="1:7" ht="16.5" customHeight="1">
      <c r="A51" s="247" t="s">
        <v>1556</v>
      </c>
      <c r="B51" s="202" t="s">
        <v>1591</v>
      </c>
      <c r="C51" s="224">
        <f ca="1">ROUND(C49*F50,0)</f>
        <v>1162440</v>
      </c>
      <c r="D51" s="224"/>
      <c r="E51" s="224"/>
      <c r="F51" s="256"/>
      <c r="G51" s="226" t="s">
        <v>1558</v>
      </c>
    </row>
    <row r="52" spans="1:7" s="200" customFormat="1" ht="16.5" thickBot="1">
      <c r="A52" s="257" t="s">
        <v>1559</v>
      </c>
      <c r="B52" s="258"/>
      <c r="C52" s="259">
        <f ca="1">C31+C51</f>
        <v>1605896</v>
      </c>
      <c r="D52" s="258"/>
      <c r="E52" s="258"/>
      <c r="F52" s="258"/>
      <c r="G52" s="260"/>
    </row>
    <row r="54" spans="1:7">
      <c r="E54" s="264">
        <f ca="1">C31/C52</f>
        <v>0.27614241519998806</v>
      </c>
    </row>
    <row r="55" spans="1:7" ht="15">
      <c r="B55" s="262" t="s">
        <v>1560</v>
      </c>
      <c r="C55" s="263"/>
    </row>
    <row r="56" spans="1:7">
      <c r="B56" s="265" t="s">
        <v>802</v>
      </c>
      <c r="C56" s="267">
        <f ca="1">1-C57</f>
        <v>0.27600000000000002</v>
      </c>
    </row>
    <row r="57" spans="1:7">
      <c r="B57" s="265" t="s">
        <v>803</v>
      </c>
      <c r="C57" s="266">
        <f ca="1">ROUND(C51/C52,3)</f>
        <v>0.72399999999999998</v>
      </c>
    </row>
  </sheetData>
  <sheetProtection password="CEE9" sheet="1" objects="1" scenarios="1" formatCells="0"/>
  <mergeCells count="1">
    <mergeCell ref="G42:G44"/>
  </mergeCells>
  <phoneticPr fontId="136" type="noConversion"/>
  <dataValidations count="5">
    <dataValidation type="list" allowBlank="1" showInputMessage="1" showErrorMessage="1" sqref="D2" xr:uid="{00000000-0002-0000-2400-000000000000}">
      <formula1>"需扣减承租人权益,——"</formula1>
    </dataValidation>
    <dataValidation type="list" allowBlank="1" showInputMessage="1" showErrorMessage="1" sqref="G2" xr:uid="{00000000-0002-0000-2400-000001000000}">
      <formula1>估价方法</formula1>
    </dataValidation>
    <dataValidation type="list" allowBlank="1" showInputMessage="1" showErrorMessage="1" sqref="B1" xr:uid="{00000000-0002-0000-2400-000002000000}">
      <formula1>项目类型</formula1>
    </dataValidation>
    <dataValidation type="list" allowBlank="1" showInputMessage="1" showErrorMessage="1" sqref="G19" xr:uid="{00000000-0002-0000-2400-000003000000}">
      <formula1>"已包含在土地取得成本中,未包含在土地取得成本中"</formula1>
    </dataValidation>
    <dataValidation type="list" allowBlank="1" showInputMessage="1" showErrorMessage="1" sqref="G8" xr:uid="{00000000-0002-0000-2400-000004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FFC000"/>
    <pageSetUpPr fitToPage="1"/>
  </sheetPr>
  <dimension ref="A1:H57"/>
  <sheetViews>
    <sheetView view="pageBreakPreview" zoomScale="130" zoomScaleNormal="70" zoomScaleSheetLayoutView="130" workbookViewId="0">
      <selection activeCell="C7" sqref="C7"/>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1459</v>
      </c>
      <c r="B1" s="1374" t="s">
        <v>3712</v>
      </c>
      <c r="C1" s="1717" t="s">
        <v>1561</v>
      </c>
      <c r="D1" s="190"/>
      <c r="E1" s="190"/>
      <c r="F1" s="190"/>
      <c r="G1" s="1062">
        <f>MATCH(B1,'数据-取费表'!A6:A16,0)+5</f>
        <v>8</v>
      </c>
      <c r="H1" s="998" t="str">
        <f>IF(ISERROR(FIND("住宅",B1)),"非住宅","住宅")</f>
        <v>非住宅</v>
      </c>
    </row>
    <row r="2" spans="1:8" s="192" customFormat="1" ht="18" customHeight="1">
      <c r="A2" s="193" t="s">
        <v>685</v>
      </c>
      <c r="B2" s="3123">
        <f ca="1">ROUND(IF(D2="——",C52/10000,C52/10000-E2),4)</f>
        <v>158.47919999999999</v>
      </c>
      <c r="C2" s="191" t="s">
        <v>1461</v>
      </c>
      <c r="D2" s="1711" t="s">
        <v>43</v>
      </c>
      <c r="E2" s="1089" t="e">
        <f ca="1">SUMIF(INDIRECT("'"&amp;G2&amp;"'"&amp;"!A:A"),"承租人权益价值",INDIRECT("'"&amp;G2&amp;"'"&amp;"!c:c"))</f>
        <v>#REF!</v>
      </c>
      <c r="F2" s="1712" t="s">
        <v>1461</v>
      </c>
      <c r="G2" s="1713"/>
    </row>
    <row r="3" spans="1:8" s="192" customFormat="1" ht="18" customHeight="1" thickBot="1">
      <c r="A3" s="195" t="s">
        <v>686</v>
      </c>
      <c r="B3" s="196">
        <f ca="1">ROUND(B2*10000/(IF(B1="",'数据-汇总表'!E3,INDIRECT("'数据-取费表'!k"&amp;$G$1))),0)</f>
        <v>6212</v>
      </c>
      <c r="C3" s="191" t="s">
        <v>1463</v>
      </c>
      <c r="D3" s="191"/>
      <c r="E3" s="191"/>
      <c r="F3" s="191"/>
      <c r="G3" s="191"/>
    </row>
    <row r="4" spans="1:8" s="200" customFormat="1" ht="15.75">
      <c r="A4" s="197" t="s">
        <v>1464</v>
      </c>
      <c r="B4" s="198"/>
      <c r="C4" s="198"/>
      <c r="D4" s="198"/>
      <c r="E4" s="198"/>
      <c r="F4" s="198"/>
      <c r="G4" s="199"/>
    </row>
    <row r="5" spans="1:8" s="206" customFormat="1" ht="13.5" customHeight="1">
      <c r="A5" s="247" t="s">
        <v>337</v>
      </c>
      <c r="B5" s="202" t="s">
        <v>1466</v>
      </c>
      <c r="C5" s="203">
        <f ca="1">C6+C7+C8</f>
        <v>315670.82</v>
      </c>
      <c r="D5" s="203" t="s">
        <v>1467</v>
      </c>
      <c r="E5" s="204" t="s">
        <v>1468</v>
      </c>
      <c r="F5" s="204" t="s">
        <v>1469</v>
      </c>
      <c r="G5" s="205"/>
    </row>
    <row r="6" spans="1:8" s="206" customFormat="1" ht="13.5" customHeight="1">
      <c r="A6" s="732" t="s">
        <v>346</v>
      </c>
      <c r="B6" s="207" t="s">
        <v>1471</v>
      </c>
      <c r="C6" s="208">
        <f>标定地价!Q17*'数据-汇总表'!G21</f>
        <v>270926.82</v>
      </c>
      <c r="D6" s="209"/>
      <c r="E6" s="210"/>
      <c r="F6" s="210"/>
      <c r="G6" s="211"/>
    </row>
    <row r="7" spans="1:8" s="206" customFormat="1" ht="13.5" customHeight="1">
      <c r="A7" s="732" t="s">
        <v>347</v>
      </c>
      <c r="B7" s="207" t="s">
        <v>1473</v>
      </c>
      <c r="C7" s="212">
        <f>ROUND(C6*F7,0)</f>
        <v>8263</v>
      </c>
      <c r="D7" s="212"/>
      <c r="E7" s="210"/>
      <c r="F7" s="213">
        <f>IF(项目基本情况!B8="出让",0,'数据-取费表'!B48+'数据-取费表'!B49)</f>
        <v>3.0499999999999999E-2</v>
      </c>
      <c r="G7" s="211"/>
    </row>
    <row r="8" spans="1:8" s="215" customFormat="1">
      <c r="A8" s="732" t="s">
        <v>348</v>
      </c>
      <c r="B8" s="207" t="s">
        <v>1475</v>
      </c>
      <c r="C8" s="212">
        <f ca="1">IF(G8="已包含在土地购买价格中",0,C9+C10)</f>
        <v>36481</v>
      </c>
      <c r="D8" s="214"/>
      <c r="E8" s="212"/>
      <c r="F8" s="213"/>
      <c r="G8" s="1714" t="s">
        <v>3550</v>
      </c>
    </row>
    <row r="9" spans="1:8" s="206" customFormat="1" ht="13.5" customHeight="1">
      <c r="A9" s="733" t="s">
        <v>355</v>
      </c>
      <c r="B9" s="216" t="s">
        <v>1476</v>
      </c>
      <c r="C9" s="217">
        <f ca="1">ROUND(D9*E9,0)</f>
        <v>36481</v>
      </c>
      <c r="D9" s="795">
        <f ca="1">IF(B1="",'数据-汇总表'!E5,IF(INDIRECT("'数据-取费表'!c"&amp;$G$1)="住宅",INDIRECT("'数据-取费表'!k"&amp;$G$1),0))</f>
        <v>255.11</v>
      </c>
      <c r="E9" s="217">
        <f>'数据-取费表'!B27</f>
        <v>143</v>
      </c>
      <c r="F9" s="213"/>
      <c r="G9" s="218"/>
    </row>
    <row r="10" spans="1:8" s="206" customFormat="1" ht="13.5" customHeight="1">
      <c r="A10" s="733" t="s">
        <v>356</v>
      </c>
      <c r="B10" s="216" t="s">
        <v>1478</v>
      </c>
      <c r="C10" s="217">
        <f ca="1">ROUND(D10*E10,0)</f>
        <v>0</v>
      </c>
      <c r="D10" s="795">
        <f ca="1">IF(B1="",'数据-汇总表'!E6,IF(INDIRECT("'数据-取费表'!c"&amp;$G$1)="住宅",INDIRECT("'数据-取费表'!s"&amp;$G$1),INDIRECT("'数据-取费表'!k"&amp;$G$1)+INDIRECT("'数据-取费表'!s"&amp;$G$1)))</f>
        <v>0</v>
      </c>
      <c r="E10" s="217">
        <f>'数据-取费表'!B28</f>
        <v>0</v>
      </c>
      <c r="F10" s="213"/>
      <c r="G10" s="218"/>
    </row>
    <row r="11" spans="1:8" s="206" customFormat="1" ht="13.5" hidden="1" customHeight="1">
      <c r="A11" s="219" t="s">
        <v>4</v>
      </c>
      <c r="B11" s="207" t="s">
        <v>1479</v>
      </c>
      <c r="C11" s="203"/>
      <c r="D11" s="210"/>
      <c r="E11" s="210"/>
      <c r="F11" s="210"/>
      <c r="G11" s="211"/>
    </row>
    <row r="12" spans="1:8" s="206" customFormat="1" ht="13.5" hidden="1" customHeight="1">
      <c r="A12" s="219" t="s">
        <v>5</v>
      </c>
      <c r="B12" s="207" t="s">
        <v>1480</v>
      </c>
      <c r="C12" s="203">
        <v>0</v>
      </c>
      <c r="D12" s="210"/>
      <c r="E12" s="220"/>
      <c r="F12" s="213">
        <v>3.0499999999999999E-2</v>
      </c>
      <c r="G12" s="211"/>
    </row>
    <row r="13" spans="1:8" s="206" customFormat="1" ht="13.5" hidden="1" customHeight="1">
      <c r="A13" s="219" t="s">
        <v>6</v>
      </c>
      <c r="B13" s="207" t="s">
        <v>1481</v>
      </c>
      <c r="C13" s="203"/>
      <c r="D13" s="210"/>
      <c r="E13" s="210"/>
      <c r="F13" s="210"/>
      <c r="G13" s="211"/>
    </row>
    <row r="14" spans="1:8" s="206" customFormat="1" ht="13.5" hidden="1" customHeight="1">
      <c r="A14" s="219" t="s">
        <v>7</v>
      </c>
      <c r="B14" s="207" t="s">
        <v>1475</v>
      </c>
      <c r="C14" s="203"/>
      <c r="D14" s="210"/>
      <c r="E14" s="210"/>
      <c r="F14" s="210"/>
      <c r="G14" s="211" t="s">
        <v>1483</v>
      </c>
    </row>
    <row r="15" spans="1:8" s="206" customFormat="1" ht="13.5" hidden="1" customHeight="1">
      <c r="A15" s="219" t="s">
        <v>8</v>
      </c>
      <c r="B15" s="207" t="s">
        <v>1484</v>
      </c>
      <c r="C15" s="212"/>
      <c r="D15" s="210"/>
      <c r="E15" s="210"/>
      <c r="F15" s="210"/>
      <c r="G15" s="211" t="s">
        <v>1485</v>
      </c>
    </row>
    <row r="16" spans="1:8" s="206" customFormat="1" ht="13.5" hidden="1" customHeight="1">
      <c r="A16" s="219" t="s">
        <v>9</v>
      </c>
      <c r="B16" s="207" t="s">
        <v>1475</v>
      </c>
      <c r="C16" s="212"/>
      <c r="D16" s="210"/>
      <c r="E16" s="210"/>
      <c r="F16" s="210"/>
      <c r="G16" s="211"/>
    </row>
    <row r="17" spans="1:7" s="206" customFormat="1" ht="13.5" hidden="1" customHeight="1">
      <c r="A17" s="219" t="s">
        <v>10</v>
      </c>
      <c r="B17" s="207" t="s">
        <v>1486</v>
      </c>
      <c r="C17" s="221"/>
      <c r="D17" s="221"/>
      <c r="E17" s="221"/>
      <c r="F17" s="221"/>
      <c r="G17" s="211" t="s">
        <v>1485</v>
      </c>
    </row>
    <row r="18" spans="1:7" s="206" customFormat="1" ht="13.5" hidden="1" customHeight="1">
      <c r="A18" s="219" t="s">
        <v>11</v>
      </c>
      <c r="B18" s="207" t="s">
        <v>1487</v>
      </c>
      <c r="C18" s="212">
        <v>0</v>
      </c>
      <c r="D18" s="210"/>
      <c r="E18" s="210"/>
      <c r="F18" s="213">
        <v>3.0499999999999999E-2</v>
      </c>
      <c r="G18" s="211" t="s">
        <v>1488</v>
      </c>
    </row>
    <row r="19" spans="1:7" s="215" customFormat="1" ht="13.5" customHeight="1">
      <c r="A19" s="247" t="s">
        <v>1489</v>
      </c>
      <c r="B19" s="202" t="s">
        <v>1490</v>
      </c>
      <c r="C19" s="203" t="str">
        <f>IF(G19="已包含在土地取得成本中","0",ROUND(D19*E19,0))</f>
        <v>0</v>
      </c>
      <c r="D19" s="204">
        <f ca="1">D9+D10</f>
        <v>255.11</v>
      </c>
      <c r="E19" s="203">
        <f>'数据-取费表'!B31</f>
        <v>280</v>
      </c>
      <c r="F19" s="223"/>
      <c r="G19" s="1714" t="s">
        <v>3551</v>
      </c>
    </row>
    <row r="20" spans="1:7" s="206" customFormat="1" ht="13.5" customHeight="1">
      <c r="A20" s="247" t="s">
        <v>1491</v>
      </c>
      <c r="B20" s="202" t="s">
        <v>1492</v>
      </c>
      <c r="C20" s="224">
        <f ca="1">ROUND((C5+C19)*F20,0)</f>
        <v>3157</v>
      </c>
      <c r="D20" s="224"/>
      <c r="E20" s="224"/>
      <c r="F20" s="225">
        <f>'数据-取费表'!B37</f>
        <v>0.01</v>
      </c>
      <c r="G20" s="226" t="s">
        <v>1493</v>
      </c>
    </row>
    <row r="21" spans="1:7" s="206" customFormat="1" ht="13.5" customHeight="1">
      <c r="A21" s="247" t="s">
        <v>1494</v>
      </c>
      <c r="B21" s="202" t="s">
        <v>1495</v>
      </c>
      <c r="C21" s="227">
        <f>F21</f>
        <v>2.8000000000000001E-2</v>
      </c>
      <c r="D21" s="228" t="s">
        <v>1496</v>
      </c>
      <c r="E21" s="224"/>
      <c r="F21" s="225">
        <f>'数据-取费表'!B38</f>
        <v>2.8000000000000001E-2</v>
      </c>
      <c r="G21" s="226" t="s">
        <v>1497</v>
      </c>
    </row>
    <row r="22" spans="1:7" s="206" customFormat="1" ht="13.5" customHeight="1">
      <c r="A22" s="247" t="s">
        <v>1498</v>
      </c>
      <c r="B22" s="202" t="s">
        <v>1499</v>
      </c>
      <c r="C22" s="224">
        <f ca="1">ROUND(SUM(C23:C25),0)</f>
        <v>9517</v>
      </c>
      <c r="D22" s="227">
        <f ca="1">C26</f>
        <v>4.0000000000000002E-4</v>
      </c>
      <c r="E22" s="228" t="s">
        <v>1496</v>
      </c>
      <c r="F22" s="229">
        <f ca="1">'数据-取费表'!B40</f>
        <v>0.03</v>
      </c>
      <c r="G22" s="226" t="str">
        <f>IF('数据-取费表'!B22&lt;=1,"单利计息","复利计息")</f>
        <v>单利计息</v>
      </c>
    </row>
    <row r="23" spans="1:7" s="206" customFormat="1" ht="13.5" customHeight="1">
      <c r="A23" s="734" t="s">
        <v>346</v>
      </c>
      <c r="B23" s="207" t="s">
        <v>1501</v>
      </c>
      <c r="C23" s="230">
        <f ca="1">ROUND(IF('数据-取费表'!B22&lt;=1,C5*F22*'数据-取费表'!B22,C5*(POWER((1+F22),'数据-取费表'!B22)-1)),0)</f>
        <v>9470</v>
      </c>
      <c r="D23" s="230"/>
      <c r="E23" s="230"/>
      <c r="F23" s="231"/>
      <c r="G23" s="232" t="s">
        <v>1502</v>
      </c>
    </row>
    <row r="24" spans="1:7" s="206" customFormat="1" ht="13.5" customHeight="1">
      <c r="A24" s="734" t="s">
        <v>347</v>
      </c>
      <c r="B24" s="207" t="s">
        <v>1504</v>
      </c>
      <c r="C24" s="230">
        <f ca="1">ROUND(IF('数据-取费表'!B22&lt;=1,C19*F22*('数据-取费表'!B19/2+'数据-取费表'!B20),C19*(POWER((1+F22),('数据-取费表'!B19/2+'数据-取费表'!B20))-1)),0)</f>
        <v>0</v>
      </c>
      <c r="D24" s="230"/>
      <c r="E24" s="230"/>
      <c r="F24" s="231"/>
      <c r="G24" s="232" t="s">
        <v>1505</v>
      </c>
    </row>
    <row r="25" spans="1:7" s="206" customFormat="1" ht="24">
      <c r="A25" s="734" t="s">
        <v>348</v>
      </c>
      <c r="B25" s="207" t="s">
        <v>1507</v>
      </c>
      <c r="C25" s="230">
        <f ca="1">ROUND(IF('数据-取费表'!B22&lt;=1,C20*F22*'数据-取费表'!B22/2,C20*(POWER((1+F22),'数据-取费表'!B22/2)-1)),0)</f>
        <v>47</v>
      </c>
      <c r="D25" s="230"/>
      <c r="E25" s="233"/>
      <c r="F25" s="231"/>
      <c r="G25" s="234" t="s">
        <v>1508</v>
      </c>
    </row>
    <row r="26" spans="1:7" s="206" customFormat="1">
      <c r="A26" s="734" t="s">
        <v>350</v>
      </c>
      <c r="B26" s="207" t="s">
        <v>1509</v>
      </c>
      <c r="C26" s="230">
        <f ca="1">ROUND(IF('数据-取费表'!B22&lt;=1,F21*F22*'数据-取费表'!B22/2,F21*(POWER((1+F22),'数据-取费表'!B22/2)-1)),4)</f>
        <v>4.0000000000000002E-4</v>
      </c>
      <c r="D26" s="230"/>
      <c r="E26" s="233"/>
      <c r="F26" s="231"/>
      <c r="G26" s="235"/>
    </row>
    <row r="27" spans="1:7" s="206" customFormat="1" ht="24.75">
      <c r="A27" s="247" t="s">
        <v>1510</v>
      </c>
      <c r="B27" s="236" t="s">
        <v>1511</v>
      </c>
      <c r="C27" s="237">
        <f ca="1">C28</f>
        <v>57389</v>
      </c>
      <c r="D27" s="227">
        <f ca="1">C29</f>
        <v>5.0000000000000001E-3</v>
      </c>
      <c r="E27" s="228" t="s">
        <v>1496</v>
      </c>
      <c r="F27" s="238">
        <f ca="1">IF(B1="",'数据-取费表'!Q16,INDIRECT("'数据-取费表'!q"&amp;$G$1))</f>
        <v>0.18</v>
      </c>
      <c r="G27" s="239" t="s">
        <v>1513</v>
      </c>
    </row>
    <row r="28" spans="1:7" s="206" customFormat="1" ht="13.5" customHeight="1">
      <c r="A28" s="734" t="s">
        <v>346</v>
      </c>
      <c r="B28" s="240" t="s">
        <v>1514</v>
      </c>
      <c r="C28" s="241">
        <f ca="1">ROUND((C5+C19+C20)*F27,0)</f>
        <v>57389</v>
      </c>
      <c r="D28" s="227"/>
      <c r="E28" s="228"/>
      <c r="F28" s="238"/>
      <c r="G28" s="239"/>
    </row>
    <row r="29" spans="1:7" s="206" customFormat="1" ht="13.5" customHeight="1">
      <c r="A29" s="734" t="s">
        <v>347</v>
      </c>
      <c r="B29" s="240" t="s">
        <v>1515</v>
      </c>
      <c r="C29" s="230">
        <f ca="1">ROUND(C21*F27,4)</f>
        <v>5.0000000000000001E-3</v>
      </c>
      <c r="D29" s="227"/>
      <c r="E29" s="228"/>
      <c r="F29" s="238"/>
      <c r="G29" s="239"/>
    </row>
    <row r="30" spans="1:7" s="206" customFormat="1" ht="13.5" customHeight="1">
      <c r="A30" s="247" t="s">
        <v>1516</v>
      </c>
      <c r="B30" s="202" t="s">
        <v>1517</v>
      </c>
      <c r="C30" s="227">
        <f>ROUND(F30/(1+'数据-取费表'!C42),4)</f>
        <v>5.33E-2</v>
      </c>
      <c r="D30" s="228" t="s">
        <v>1496</v>
      </c>
      <c r="E30" s="233"/>
      <c r="F30" s="229">
        <f>'数据-取费表'!B41</f>
        <v>5.6000000000000001E-2</v>
      </c>
      <c r="G30" s="226" t="s">
        <v>1518</v>
      </c>
    </row>
    <row r="31" spans="1:7" ht="16.5" customHeight="1">
      <c r="A31" s="201">
        <v>1</v>
      </c>
      <c r="B31" s="202" t="s">
        <v>1519</v>
      </c>
      <c r="C31" s="203">
        <f ca="1">ROUND((C5+C19+C20+C22+C27)/(1-C21-D22-D27-C30),0)</f>
        <v>422352</v>
      </c>
      <c r="D31" s="222"/>
      <c r="E31" s="203"/>
      <c r="F31" s="242"/>
      <c r="G31" s="226" t="s">
        <v>1520</v>
      </c>
    </row>
    <row r="32" spans="1:7" s="200" customFormat="1" ht="15.75">
      <c r="A32" s="244" t="s">
        <v>1587</v>
      </c>
      <c r="B32" s="245"/>
      <c r="C32" s="245"/>
      <c r="D32" s="245"/>
      <c r="E32" s="245"/>
      <c r="F32" s="245"/>
      <c r="G32" s="246"/>
    </row>
    <row r="33" spans="1:7" s="206" customFormat="1" ht="13.5" customHeight="1">
      <c r="A33" s="247" t="s">
        <v>337</v>
      </c>
      <c r="B33" s="202" t="s">
        <v>1588</v>
      </c>
      <c r="C33" s="248">
        <f ca="1">SUM(C34:C38)</f>
        <v>879619</v>
      </c>
      <c r="D33" s="224"/>
      <c r="E33" s="204"/>
      <c r="F33" s="233"/>
      <c r="G33" s="226"/>
    </row>
    <row r="34" spans="1:7" s="250" customFormat="1" ht="13.5" customHeight="1">
      <c r="A34" s="734" t="s">
        <v>346</v>
      </c>
      <c r="B34" s="207" t="s">
        <v>1523</v>
      </c>
      <c r="C34" s="212">
        <f ca="1">ROUND(IF(B1="",SUMPRODUCT('数据-取费表'!K6:K14,'数据-取费表'!L6:L14),INDIRECT("'数据-取费表'!l"&amp;$G$1)*INDIRECT("'数据-取费表'!k"&amp;$G$1)+'数据-取费表'!L14*INDIRECT("'数据-取费表'!S"&amp;$G$1)),0)</f>
        <v>739819</v>
      </c>
      <c r="D34" s="209"/>
      <c r="E34" s="212"/>
      <c r="F34" s="249"/>
      <c r="G34" s="211"/>
    </row>
    <row r="35" spans="1:7" ht="13.5" customHeight="1">
      <c r="A35" s="734" t="s">
        <v>351</v>
      </c>
      <c r="B35" s="207" t="s">
        <v>1525</v>
      </c>
      <c r="C35" s="212">
        <f ca="1">ROUND(C34*F35,0)</f>
        <v>36991</v>
      </c>
      <c r="D35" s="212"/>
      <c r="E35" s="212"/>
      <c r="F35" s="251">
        <f>'数据-取费表'!B33</f>
        <v>0.05</v>
      </c>
      <c r="G35" s="211" t="s">
        <v>1526</v>
      </c>
    </row>
    <row r="36" spans="1:7" ht="24">
      <c r="A36" s="734" t="s">
        <v>352</v>
      </c>
      <c r="B36" s="207" t="s">
        <v>1527</v>
      </c>
      <c r="C36" s="212">
        <f ca="1">ROUND(IF(B1="",SUM('数据-取费表'!AP6:AP13)*F36,IF(INDIRECT("'数据-取费表'!c"&amp;$G$1)="住宅",INDIRECT("'数据-取费表'!k"&amp;$G$1)*INDIRECT("'数据-取费表'!l"&amp;$G$1)*F36,0)),0)</f>
        <v>36991</v>
      </c>
      <c r="D36" s="212"/>
      <c r="E36" s="212"/>
      <c r="F36" s="251">
        <f>'数据-取费表'!B34</f>
        <v>0.05</v>
      </c>
      <c r="G36" s="252" t="s">
        <v>1528</v>
      </c>
    </row>
    <row r="37" spans="1:7" s="250" customFormat="1" ht="13.5" customHeight="1">
      <c r="A37" s="734" t="s">
        <v>353</v>
      </c>
      <c r="B37" s="207" t="s">
        <v>1529</v>
      </c>
      <c r="C37" s="241">
        <f ca="1">ROUND(E37*D37,0)</f>
        <v>51022</v>
      </c>
      <c r="D37" s="209">
        <f ca="1">D19</f>
        <v>255.11</v>
      </c>
      <c r="E37" s="241">
        <f>'数据-取费表'!B35</f>
        <v>200</v>
      </c>
      <c r="F37" s="251"/>
      <c r="G37" s="253"/>
    </row>
    <row r="38" spans="1:7" ht="13.5" customHeight="1">
      <c r="A38" s="734" t="s">
        <v>354</v>
      </c>
      <c r="B38" s="207" t="s">
        <v>1531</v>
      </c>
      <c r="C38" s="212">
        <f ca="1">ROUND(C34*F38,0)</f>
        <v>14796</v>
      </c>
      <c r="D38" s="212"/>
      <c r="E38" s="212"/>
      <c r="F38" s="251">
        <f>'数据-取费表'!B36</f>
        <v>0.02</v>
      </c>
      <c r="G38" s="211" t="s">
        <v>1526</v>
      </c>
    </row>
    <row r="39" spans="1:7" s="206" customFormat="1" ht="13.5" customHeight="1">
      <c r="A39" s="247" t="s">
        <v>1489</v>
      </c>
      <c r="B39" s="202" t="s">
        <v>1492</v>
      </c>
      <c r="C39" s="224">
        <f ca="1">ROUND(C33*F20,0)</f>
        <v>8796</v>
      </c>
      <c r="D39" s="224"/>
      <c r="E39" s="224"/>
      <c r="F39" s="225">
        <f>F20</f>
        <v>0.01</v>
      </c>
      <c r="G39" s="226" t="s">
        <v>1534</v>
      </c>
    </row>
    <row r="40" spans="1:7" s="206" customFormat="1" ht="13.5" customHeight="1">
      <c r="A40" s="247" t="s">
        <v>1491</v>
      </c>
      <c r="B40" s="202" t="s">
        <v>1495</v>
      </c>
      <c r="C40" s="227">
        <f>F21</f>
        <v>2.8000000000000001E-2</v>
      </c>
      <c r="D40" s="228" t="s">
        <v>1537</v>
      </c>
      <c r="E40" s="224"/>
      <c r="F40" s="225">
        <f>F21</f>
        <v>2.8000000000000001E-2</v>
      </c>
      <c r="G40" s="226" t="s">
        <v>1538</v>
      </c>
    </row>
    <row r="41" spans="1:7" s="206" customFormat="1" ht="13.5" customHeight="1">
      <c r="A41" s="247" t="s">
        <v>1494</v>
      </c>
      <c r="B41" s="202" t="s">
        <v>1499</v>
      </c>
      <c r="C41" s="224">
        <f ca="1">ROUND(SUM(C42:C43),0)</f>
        <v>13326</v>
      </c>
      <c r="D41" s="227">
        <f ca="1">C44</f>
        <v>4.0000000000000002E-4</v>
      </c>
      <c r="E41" s="228" t="s">
        <v>1537</v>
      </c>
      <c r="F41" s="229">
        <f ca="1">F22</f>
        <v>0.03</v>
      </c>
      <c r="G41" s="226" t="str">
        <f>IF('数据-取费表'!B22&lt;=1,"单利计息","复利计息")</f>
        <v>单利计息</v>
      </c>
    </row>
    <row r="42" spans="1:7" ht="13.5" customHeight="1">
      <c r="A42" s="734" t="s">
        <v>346</v>
      </c>
      <c r="B42" s="207" t="s">
        <v>1501</v>
      </c>
      <c r="C42" s="230">
        <f ca="1">ROUND(IF('数据-取费表'!B22&lt;=1,C33*F22*'数据-取费表'!B20/2,C33*(POWER((1+F22),'数据-取费表'!B20/2)-1)),0)</f>
        <v>13194</v>
      </c>
      <c r="D42" s="230"/>
      <c r="E42" s="230"/>
      <c r="F42" s="231"/>
      <c r="G42" s="3567" t="s">
        <v>1589</v>
      </c>
    </row>
    <row r="43" spans="1:7" ht="13.5" customHeight="1">
      <c r="A43" s="734" t="s">
        <v>347</v>
      </c>
      <c r="B43" s="207" t="s">
        <v>1504</v>
      </c>
      <c r="C43" s="230">
        <f ca="1">ROUND(IF('数据-取费表'!B22&lt;=1,C39*F22*'数据-取费表'!B20/2,C39*(POWER((1+F22),'数据-取费表'!B20/2)-1)),0)</f>
        <v>132</v>
      </c>
      <c r="D43" s="230"/>
      <c r="E43" s="230"/>
      <c r="F43" s="231"/>
      <c r="G43" s="3568"/>
    </row>
    <row r="44" spans="1:7" ht="13.5" customHeight="1">
      <c r="A44" s="734" t="s">
        <v>348</v>
      </c>
      <c r="B44" s="207" t="s">
        <v>1507</v>
      </c>
      <c r="C44" s="230">
        <f ca="1">ROUND(IF('数据-取费表'!B22&lt;=1,C40*F22*'数据-取费表'!B20/2,C40*(POWER((1+F22),'数据-取费表'!B20/2)-1)),4)</f>
        <v>4.0000000000000002E-4</v>
      </c>
      <c r="D44" s="230"/>
      <c r="E44" s="230"/>
      <c r="F44" s="231"/>
      <c r="G44" s="3569"/>
    </row>
    <row r="45" spans="1:7" s="206" customFormat="1" ht="13.5" customHeight="1">
      <c r="A45" s="247" t="s">
        <v>1498</v>
      </c>
      <c r="B45" s="236" t="s">
        <v>1511</v>
      </c>
      <c r="C45" s="237">
        <f ca="1">C46</f>
        <v>159915</v>
      </c>
      <c r="D45" s="227">
        <f ca="1">C47</f>
        <v>5.0000000000000001E-3</v>
      </c>
      <c r="E45" s="228" t="s">
        <v>1537</v>
      </c>
      <c r="F45" s="238">
        <f ca="1">F27</f>
        <v>0.18</v>
      </c>
      <c r="G45" s="239" t="s">
        <v>1546</v>
      </c>
    </row>
    <row r="46" spans="1:7" s="206" customFormat="1" ht="13.5" customHeight="1">
      <c r="A46" s="734" t="s">
        <v>346</v>
      </c>
      <c r="B46" s="240" t="s">
        <v>1547</v>
      </c>
      <c r="C46" s="241">
        <f ca="1">ROUND((C33+C39)*F27,0)</f>
        <v>159915</v>
      </c>
      <c r="D46" s="255"/>
      <c r="E46" s="228"/>
      <c r="F46" s="238"/>
      <c r="G46" s="239"/>
    </row>
    <row r="47" spans="1:7" s="206" customFormat="1" ht="13.5" customHeight="1">
      <c r="A47" s="734" t="s">
        <v>347</v>
      </c>
      <c r="B47" s="240" t="s">
        <v>1548</v>
      </c>
      <c r="C47" s="230">
        <f ca="1">ROUND(C40*F27,4)</f>
        <v>5.0000000000000001E-3</v>
      </c>
      <c r="D47" s="255"/>
      <c r="E47" s="228"/>
      <c r="F47" s="238"/>
      <c r="G47" s="239"/>
    </row>
    <row r="48" spans="1:7" s="206" customFormat="1" ht="13.5" customHeight="1">
      <c r="A48" s="247" t="s">
        <v>1510</v>
      </c>
      <c r="B48" s="202" t="s">
        <v>1549</v>
      </c>
      <c r="C48" s="254">
        <f>ROUND(F30/(1+'数据-取费表'!C42),4)</f>
        <v>5.33E-2</v>
      </c>
      <c r="D48" s="228" t="s">
        <v>1537</v>
      </c>
      <c r="E48" s="224"/>
      <c r="F48" s="229">
        <f>F30</f>
        <v>5.6000000000000001E-2</v>
      </c>
      <c r="G48" s="226" t="s">
        <v>1550</v>
      </c>
    </row>
    <row r="49" spans="1:7" ht="16.5" customHeight="1">
      <c r="A49" s="247" t="s">
        <v>1516</v>
      </c>
      <c r="B49" s="202" t="s">
        <v>1590</v>
      </c>
      <c r="C49" s="224">
        <f ca="1">ROUND((C33+C39+C41+C45)/(1-C40-D41-D45-C48),0)</f>
        <v>1162440</v>
      </c>
      <c r="D49" s="224"/>
      <c r="E49" s="224"/>
      <c r="F49" s="256"/>
      <c r="G49" s="226" t="s">
        <v>1552</v>
      </c>
    </row>
    <row r="50" spans="1:7" s="250" customFormat="1">
      <c r="A50" s="247" t="s">
        <v>1553</v>
      </c>
      <c r="B50" s="202" t="s">
        <v>1554</v>
      </c>
      <c r="C50" s="224"/>
      <c r="D50" s="224"/>
      <c r="E50" s="224"/>
      <c r="F50" s="256">
        <f>IF('数据-取费表'!B24=0,'数据-取费表'!N16,1)</f>
        <v>1</v>
      </c>
      <c r="G50" s="239"/>
    </row>
    <row r="51" spans="1:7" ht="16.5" customHeight="1">
      <c r="A51" s="247" t="s">
        <v>1556</v>
      </c>
      <c r="B51" s="202" t="s">
        <v>1591</v>
      </c>
      <c r="C51" s="224">
        <f ca="1">ROUND(C49*F50,0)</f>
        <v>1162440</v>
      </c>
      <c r="D51" s="224"/>
      <c r="E51" s="224"/>
      <c r="F51" s="256"/>
      <c r="G51" s="226" t="s">
        <v>1558</v>
      </c>
    </row>
    <row r="52" spans="1:7" s="200" customFormat="1" ht="16.5" thickBot="1">
      <c r="A52" s="257" t="s">
        <v>1559</v>
      </c>
      <c r="B52" s="258"/>
      <c r="C52" s="259">
        <f ca="1">C31+C51</f>
        <v>1584792</v>
      </c>
      <c r="D52" s="258"/>
      <c r="E52" s="258"/>
      <c r="F52" s="258"/>
      <c r="G52" s="260"/>
    </row>
    <row r="55" spans="1:7" ht="15">
      <c r="B55" s="262" t="s">
        <v>1560</v>
      </c>
      <c r="C55" s="263"/>
    </row>
    <row r="56" spans="1:7">
      <c r="B56" s="265" t="s">
        <v>802</v>
      </c>
      <c r="C56" s="267">
        <f ca="1">1-C57</f>
        <v>0.26700000000000002</v>
      </c>
    </row>
    <row r="57" spans="1:7">
      <c r="B57" s="265" t="s">
        <v>803</v>
      </c>
      <c r="C57" s="266">
        <f ca="1">ROUND(C51/C52,3)</f>
        <v>0.73299999999999998</v>
      </c>
    </row>
  </sheetData>
  <sheetProtection password="CEE9" sheet="1" objects="1" scenarios="1" formatCells="0"/>
  <mergeCells count="1">
    <mergeCell ref="G42:G44"/>
  </mergeCells>
  <phoneticPr fontId="136" type="noConversion"/>
  <dataValidations count="5">
    <dataValidation type="list" allowBlank="1" showInputMessage="1" showErrorMessage="1" sqref="G8" xr:uid="{00000000-0002-0000-2500-000000000000}">
      <formula1>"已包含在土地购买价格中,未包含在土地购买价格中"</formula1>
    </dataValidation>
    <dataValidation type="list" allowBlank="1" showInputMessage="1" showErrorMessage="1" sqref="G19" xr:uid="{00000000-0002-0000-2500-000001000000}">
      <formula1>"已包含在土地取得成本中,未包含在土地取得成本中"</formula1>
    </dataValidation>
    <dataValidation type="list" allowBlank="1" showInputMessage="1" showErrorMessage="1" sqref="B1" xr:uid="{00000000-0002-0000-2500-000002000000}">
      <formula1>项目类型</formula1>
    </dataValidation>
    <dataValidation type="list" allowBlank="1" showInputMessage="1" showErrorMessage="1" sqref="G2" xr:uid="{00000000-0002-0000-2500-000003000000}">
      <formula1>估价方法</formula1>
    </dataValidation>
    <dataValidation type="list" allowBlank="1" showInputMessage="1" showErrorMessage="1" sqref="D2" xr:uid="{00000000-0002-0000-2500-000004000000}">
      <formula1>"需扣减承租人权益,——"</formula1>
    </dataValidation>
  </dataValidations>
  <pageMargins left="0.7" right="0.7" top="0.75" bottom="0.75" header="0.3" footer="0.3"/>
  <pageSetup paperSize="9" scale="77"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FFC000"/>
    <pageSetUpPr fitToPage="1"/>
  </sheetPr>
  <dimension ref="A1:H57"/>
  <sheetViews>
    <sheetView view="pageBreakPreview" topLeftCell="A3" zoomScale="130" zoomScaleNormal="70" zoomScaleSheetLayoutView="130" workbookViewId="0">
      <selection activeCell="G27" sqref="G27"/>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1459</v>
      </c>
      <c r="B1" s="1374" t="s">
        <v>3712</v>
      </c>
      <c r="C1" s="1717" t="s">
        <v>1561</v>
      </c>
      <c r="D1" s="190"/>
      <c r="E1" s="190"/>
      <c r="F1" s="190"/>
      <c r="G1" s="1062">
        <f>MATCH(B1,'数据-取费表'!A6:A16,0)+5</f>
        <v>8</v>
      </c>
      <c r="H1" s="998" t="str">
        <f>IF(ISERROR(FIND("住宅",B1)),"非住宅","住宅")</f>
        <v>非住宅</v>
      </c>
    </row>
    <row r="2" spans="1:8" s="192" customFormat="1" ht="18" customHeight="1">
      <c r="A2" s="193" t="s">
        <v>685</v>
      </c>
      <c r="B2" s="3123">
        <f ca="1">ROUND(IF(D2="——",C52/10000,C52/10000-E2),4)</f>
        <v>153.87139999999999</v>
      </c>
      <c r="C2" s="191" t="s">
        <v>1461</v>
      </c>
      <c r="D2" s="1711" t="s">
        <v>43</v>
      </c>
      <c r="E2" s="1089" t="e">
        <f ca="1">SUMIF(INDIRECT("'"&amp;G2&amp;"'"&amp;"!A:A"),"承租人权益价值",INDIRECT("'"&amp;G2&amp;"'"&amp;"!c:c"))</f>
        <v>#REF!</v>
      </c>
      <c r="F2" s="1712" t="s">
        <v>1461</v>
      </c>
      <c r="G2" s="1713"/>
    </row>
    <row r="3" spans="1:8" s="192" customFormat="1" ht="18" customHeight="1" thickBot="1">
      <c r="A3" s="195" t="s">
        <v>686</v>
      </c>
      <c r="B3" s="196">
        <f ca="1">ROUND(B2*10000/(IF(B1="",'数据-汇总表'!E3,INDIRECT("'数据-取费表'!k"&amp;$G$1))),0)</f>
        <v>6032</v>
      </c>
      <c r="C3" s="191" t="s">
        <v>1463</v>
      </c>
      <c r="D3" s="191"/>
      <c r="E3" s="191"/>
      <c r="F3" s="191"/>
      <c r="G3" s="191"/>
    </row>
    <row r="4" spans="1:8" s="200" customFormat="1" ht="15.75">
      <c r="A4" s="197" t="s">
        <v>1464</v>
      </c>
      <c r="B4" s="198"/>
      <c r="C4" s="198"/>
      <c r="D4" s="198"/>
      <c r="E4" s="198"/>
      <c r="F4" s="198"/>
      <c r="G4" s="199"/>
    </row>
    <row r="5" spans="1:8" s="206" customFormat="1" ht="13.5" customHeight="1">
      <c r="A5" s="247" t="s">
        <v>337</v>
      </c>
      <c r="B5" s="202" t="s">
        <v>1466</v>
      </c>
      <c r="C5" s="203">
        <f ca="1">C6+C7+C8</f>
        <v>281232.41000000003</v>
      </c>
      <c r="D5" s="203" t="s">
        <v>1467</v>
      </c>
      <c r="E5" s="204" t="s">
        <v>1468</v>
      </c>
      <c r="F5" s="204" t="s">
        <v>1469</v>
      </c>
      <c r="G5" s="205"/>
    </row>
    <row r="6" spans="1:8" s="206" customFormat="1" ht="13.5" customHeight="1">
      <c r="A6" s="732" t="s">
        <v>346</v>
      </c>
      <c r="B6" s="207" t="s">
        <v>1471</v>
      </c>
      <c r="C6" s="208">
        <f>标定地价!Q18*'数据-汇总表'!G21</f>
        <v>237507.41</v>
      </c>
      <c r="D6" s="209"/>
      <c r="E6" s="210"/>
      <c r="F6" s="210"/>
      <c r="G6" s="211"/>
    </row>
    <row r="7" spans="1:8" s="206" customFormat="1" ht="13.5" customHeight="1">
      <c r="A7" s="732" t="s">
        <v>347</v>
      </c>
      <c r="B7" s="207" t="s">
        <v>1473</v>
      </c>
      <c r="C7" s="212">
        <f>ROUND(C6*F7,0)</f>
        <v>7244</v>
      </c>
      <c r="D7" s="212"/>
      <c r="E7" s="210"/>
      <c r="F7" s="213">
        <f>IF(项目基本情况!B8="出让",0,'数据-取费表'!B48+'数据-取费表'!B49)</f>
        <v>3.0499999999999999E-2</v>
      </c>
      <c r="G7" s="211"/>
    </row>
    <row r="8" spans="1:8" s="215" customFormat="1">
      <c r="A8" s="732" t="s">
        <v>348</v>
      </c>
      <c r="B8" s="207" t="s">
        <v>1475</v>
      </c>
      <c r="C8" s="212">
        <f ca="1">IF(G8="已包含在土地购买价格中",0,C9+C10)</f>
        <v>36481</v>
      </c>
      <c r="D8" s="214"/>
      <c r="E8" s="212"/>
      <c r="F8" s="213"/>
      <c r="G8" s="1714" t="s">
        <v>3550</v>
      </c>
    </row>
    <row r="9" spans="1:8" s="206" customFormat="1" ht="13.5" customHeight="1">
      <c r="A9" s="733" t="s">
        <v>355</v>
      </c>
      <c r="B9" s="216" t="s">
        <v>1476</v>
      </c>
      <c r="C9" s="217">
        <f ca="1">ROUND(D9*E9,0)</f>
        <v>36481</v>
      </c>
      <c r="D9" s="795">
        <f ca="1">IF(B1="",'数据-汇总表'!E5,IF(INDIRECT("'数据-取费表'!c"&amp;$G$1)="住宅",INDIRECT("'数据-取费表'!k"&amp;$G$1),0))</f>
        <v>255.11</v>
      </c>
      <c r="E9" s="217">
        <f>'数据-取费表'!B27</f>
        <v>143</v>
      </c>
      <c r="F9" s="213"/>
      <c r="G9" s="218"/>
    </row>
    <row r="10" spans="1:8" s="206" customFormat="1" ht="13.5" customHeight="1">
      <c r="A10" s="733" t="s">
        <v>356</v>
      </c>
      <c r="B10" s="216" t="s">
        <v>1478</v>
      </c>
      <c r="C10" s="217">
        <f ca="1">ROUND(D10*E10,0)</f>
        <v>0</v>
      </c>
      <c r="D10" s="795">
        <f ca="1">IF(B1="",'数据-汇总表'!E6,IF(INDIRECT("'数据-取费表'!c"&amp;$G$1)="住宅",INDIRECT("'数据-取费表'!s"&amp;$G$1),INDIRECT("'数据-取费表'!k"&amp;$G$1)+INDIRECT("'数据-取费表'!s"&amp;$G$1)))</f>
        <v>0</v>
      </c>
      <c r="E10" s="217">
        <f>'数据-取费表'!B28</f>
        <v>0</v>
      </c>
      <c r="F10" s="213"/>
      <c r="G10" s="218"/>
    </row>
    <row r="11" spans="1:8" s="206" customFormat="1" ht="13.5" hidden="1" customHeight="1">
      <c r="A11" s="219" t="s">
        <v>4</v>
      </c>
      <c r="B11" s="207" t="s">
        <v>1479</v>
      </c>
      <c r="C11" s="203"/>
      <c r="D11" s="210"/>
      <c r="E11" s="210"/>
      <c r="F11" s="210"/>
      <c r="G11" s="211"/>
    </row>
    <row r="12" spans="1:8" s="206" customFormat="1" ht="13.5" hidden="1" customHeight="1">
      <c r="A12" s="219" t="s">
        <v>5</v>
      </c>
      <c r="B12" s="207" t="s">
        <v>1480</v>
      </c>
      <c r="C12" s="203">
        <v>0</v>
      </c>
      <c r="D12" s="210"/>
      <c r="E12" s="220"/>
      <c r="F12" s="213">
        <v>3.0499999999999999E-2</v>
      </c>
      <c r="G12" s="211"/>
    </row>
    <row r="13" spans="1:8" s="206" customFormat="1" ht="13.5" hidden="1" customHeight="1">
      <c r="A13" s="219" t="s">
        <v>6</v>
      </c>
      <c r="B13" s="207" t="s">
        <v>1481</v>
      </c>
      <c r="C13" s="203"/>
      <c r="D13" s="210"/>
      <c r="E13" s="210"/>
      <c r="F13" s="210"/>
      <c r="G13" s="211"/>
    </row>
    <row r="14" spans="1:8" s="206" customFormat="1" ht="13.5" hidden="1" customHeight="1">
      <c r="A14" s="219" t="s">
        <v>7</v>
      </c>
      <c r="B14" s="207" t="s">
        <v>1475</v>
      </c>
      <c r="C14" s="203"/>
      <c r="D14" s="210"/>
      <c r="E14" s="210"/>
      <c r="F14" s="210"/>
      <c r="G14" s="211" t="s">
        <v>1483</v>
      </c>
    </row>
    <row r="15" spans="1:8" s="206" customFormat="1" ht="13.5" hidden="1" customHeight="1">
      <c r="A15" s="219" t="s">
        <v>8</v>
      </c>
      <c r="B15" s="207" t="s">
        <v>1484</v>
      </c>
      <c r="C15" s="212"/>
      <c r="D15" s="210"/>
      <c r="E15" s="210"/>
      <c r="F15" s="210"/>
      <c r="G15" s="211" t="s">
        <v>1485</v>
      </c>
    </row>
    <row r="16" spans="1:8" s="206" customFormat="1" ht="13.5" hidden="1" customHeight="1">
      <c r="A16" s="219" t="s">
        <v>9</v>
      </c>
      <c r="B16" s="207" t="s">
        <v>1475</v>
      </c>
      <c r="C16" s="212"/>
      <c r="D16" s="210"/>
      <c r="E16" s="210"/>
      <c r="F16" s="210"/>
      <c r="G16" s="211"/>
    </row>
    <row r="17" spans="1:7" s="206" customFormat="1" ht="13.5" hidden="1" customHeight="1">
      <c r="A17" s="219" t="s">
        <v>10</v>
      </c>
      <c r="B17" s="207" t="s">
        <v>1486</v>
      </c>
      <c r="C17" s="221"/>
      <c r="D17" s="221"/>
      <c r="E17" s="221"/>
      <c r="F17" s="221"/>
      <c r="G17" s="211" t="s">
        <v>1485</v>
      </c>
    </row>
    <row r="18" spans="1:7" s="206" customFormat="1" ht="13.5" hidden="1" customHeight="1">
      <c r="A18" s="219" t="s">
        <v>11</v>
      </c>
      <c r="B18" s="207" t="s">
        <v>1487</v>
      </c>
      <c r="C18" s="212">
        <v>0</v>
      </c>
      <c r="D18" s="210"/>
      <c r="E18" s="210"/>
      <c r="F18" s="213">
        <v>3.0499999999999999E-2</v>
      </c>
      <c r="G18" s="211" t="s">
        <v>1488</v>
      </c>
    </row>
    <row r="19" spans="1:7" s="215" customFormat="1" ht="13.5" customHeight="1">
      <c r="A19" s="247" t="s">
        <v>1489</v>
      </c>
      <c r="B19" s="202" t="s">
        <v>1490</v>
      </c>
      <c r="C19" s="203" t="str">
        <f>IF(G19="已包含在土地取得成本中","0",ROUND(D19*E19,0))</f>
        <v>0</v>
      </c>
      <c r="D19" s="204">
        <f ca="1">D9+D10</f>
        <v>255.11</v>
      </c>
      <c r="E19" s="203">
        <f>'数据-取费表'!B31</f>
        <v>280</v>
      </c>
      <c r="F19" s="223"/>
      <c r="G19" s="1714" t="s">
        <v>3551</v>
      </c>
    </row>
    <row r="20" spans="1:7" s="206" customFormat="1" ht="13.5" customHeight="1">
      <c r="A20" s="247" t="s">
        <v>1491</v>
      </c>
      <c r="B20" s="202" t="s">
        <v>1492</v>
      </c>
      <c r="C20" s="224">
        <f ca="1">ROUND((C5+C19)*F20,0)</f>
        <v>2812</v>
      </c>
      <c r="D20" s="224"/>
      <c r="E20" s="224"/>
      <c r="F20" s="225">
        <f>'数据-取费表'!B37</f>
        <v>0.01</v>
      </c>
      <c r="G20" s="226" t="s">
        <v>1493</v>
      </c>
    </row>
    <row r="21" spans="1:7" s="206" customFormat="1" ht="13.5" customHeight="1">
      <c r="A21" s="247" t="s">
        <v>1494</v>
      </c>
      <c r="B21" s="202" t="s">
        <v>1495</v>
      </c>
      <c r="C21" s="227">
        <f>F21</f>
        <v>2.8000000000000001E-2</v>
      </c>
      <c r="D21" s="228" t="s">
        <v>1496</v>
      </c>
      <c r="E21" s="224"/>
      <c r="F21" s="225">
        <f>'数据-取费表'!B38</f>
        <v>2.8000000000000001E-2</v>
      </c>
      <c r="G21" s="226" t="s">
        <v>1497</v>
      </c>
    </row>
    <row r="22" spans="1:7" s="206" customFormat="1" ht="13.5" customHeight="1">
      <c r="A22" s="247" t="s">
        <v>1498</v>
      </c>
      <c r="B22" s="202" t="s">
        <v>1499</v>
      </c>
      <c r="C22" s="224">
        <f ca="1">ROUND(SUM(C23:C25),0)</f>
        <v>8479</v>
      </c>
      <c r="D22" s="227">
        <f ca="1">C26</f>
        <v>4.0000000000000002E-4</v>
      </c>
      <c r="E22" s="228" t="s">
        <v>1496</v>
      </c>
      <c r="F22" s="229">
        <f ca="1">'数据-取费表'!B40</f>
        <v>0.03</v>
      </c>
      <c r="G22" s="226" t="str">
        <f>IF('数据-取费表'!B22&lt;=1,"单利计息","复利计息")</f>
        <v>单利计息</v>
      </c>
    </row>
    <row r="23" spans="1:7" s="206" customFormat="1" ht="13.5" customHeight="1">
      <c r="A23" s="734" t="s">
        <v>346</v>
      </c>
      <c r="B23" s="207" t="s">
        <v>1501</v>
      </c>
      <c r="C23" s="230">
        <f ca="1">ROUND(IF('数据-取费表'!B22&lt;=1,C5*F22*'数据-取费表'!B22,C5*(POWER((1+F22),'数据-取费表'!B22)-1)),0)</f>
        <v>8437</v>
      </c>
      <c r="D23" s="230"/>
      <c r="E23" s="230"/>
      <c r="F23" s="231"/>
      <c r="G23" s="232" t="s">
        <v>1502</v>
      </c>
    </row>
    <row r="24" spans="1:7" s="206" customFormat="1" ht="13.5" customHeight="1">
      <c r="A24" s="734" t="s">
        <v>347</v>
      </c>
      <c r="B24" s="207" t="s">
        <v>1504</v>
      </c>
      <c r="C24" s="230">
        <f ca="1">ROUND(IF('数据-取费表'!B22&lt;=1,C19*F22*('数据-取费表'!B19/2+'数据-取费表'!B20),C19*(POWER((1+F22),('数据-取费表'!B19/2+'数据-取费表'!B20))-1)),0)</f>
        <v>0</v>
      </c>
      <c r="D24" s="230"/>
      <c r="E24" s="230"/>
      <c r="F24" s="231"/>
      <c r="G24" s="232" t="s">
        <v>1505</v>
      </c>
    </row>
    <row r="25" spans="1:7" s="206" customFormat="1" ht="24">
      <c r="A25" s="734" t="s">
        <v>348</v>
      </c>
      <c r="B25" s="207" t="s">
        <v>1507</v>
      </c>
      <c r="C25" s="230">
        <f ca="1">ROUND(IF('数据-取费表'!B22&lt;=1,C20*F22*'数据-取费表'!B22/2,C20*(POWER((1+F22),'数据-取费表'!B22/2)-1)),0)</f>
        <v>42</v>
      </c>
      <c r="D25" s="230"/>
      <c r="E25" s="233"/>
      <c r="F25" s="231"/>
      <c r="G25" s="234" t="s">
        <v>1508</v>
      </c>
    </row>
    <row r="26" spans="1:7" s="206" customFormat="1">
      <c r="A26" s="734" t="s">
        <v>350</v>
      </c>
      <c r="B26" s="207" t="s">
        <v>1509</v>
      </c>
      <c r="C26" s="230">
        <f ca="1">ROUND(IF('数据-取费表'!B22&lt;=1,F21*F22*'数据-取费表'!B22/2,F21*(POWER((1+F22),'数据-取费表'!B22/2)-1)),4)</f>
        <v>4.0000000000000002E-4</v>
      </c>
      <c r="D26" s="230"/>
      <c r="E26" s="233"/>
      <c r="F26" s="231"/>
      <c r="G26" s="235"/>
    </row>
    <row r="27" spans="1:7" s="206" customFormat="1" ht="24.75">
      <c r="A27" s="247" t="s">
        <v>1510</v>
      </c>
      <c r="B27" s="236" t="s">
        <v>1511</v>
      </c>
      <c r="C27" s="237">
        <f ca="1">C28</f>
        <v>51128</v>
      </c>
      <c r="D27" s="227">
        <f ca="1">C29</f>
        <v>5.0000000000000001E-3</v>
      </c>
      <c r="E27" s="228" t="s">
        <v>1496</v>
      </c>
      <c r="F27" s="238">
        <f ca="1">IF(B1="",'数据-取费表'!Q16,INDIRECT("'数据-取费表'!q"&amp;$G$1))</f>
        <v>0.18</v>
      </c>
      <c r="G27" s="239" t="s">
        <v>1513</v>
      </c>
    </row>
    <row r="28" spans="1:7" s="206" customFormat="1" ht="13.5" customHeight="1">
      <c r="A28" s="734" t="s">
        <v>346</v>
      </c>
      <c r="B28" s="240" t="s">
        <v>1514</v>
      </c>
      <c r="C28" s="241">
        <f ca="1">ROUND((C5+C19+C20)*F27,0)</f>
        <v>51128</v>
      </c>
      <c r="D28" s="227"/>
      <c r="E28" s="228"/>
      <c r="F28" s="238"/>
      <c r="G28" s="239"/>
    </row>
    <row r="29" spans="1:7" s="206" customFormat="1" ht="13.5" customHeight="1">
      <c r="A29" s="734" t="s">
        <v>347</v>
      </c>
      <c r="B29" s="240" t="s">
        <v>1515</v>
      </c>
      <c r="C29" s="230">
        <f ca="1">ROUND(C21*F27,4)</f>
        <v>5.0000000000000001E-3</v>
      </c>
      <c r="D29" s="227"/>
      <c r="E29" s="228"/>
      <c r="F29" s="238"/>
      <c r="G29" s="239"/>
    </row>
    <row r="30" spans="1:7" s="206" customFormat="1" ht="13.5" customHeight="1">
      <c r="A30" s="247" t="s">
        <v>1516</v>
      </c>
      <c r="B30" s="202" t="s">
        <v>1517</v>
      </c>
      <c r="C30" s="227">
        <f>ROUND(F30/(1+'数据-取费表'!C42),4)</f>
        <v>5.33E-2</v>
      </c>
      <c r="D30" s="228" t="s">
        <v>1496</v>
      </c>
      <c r="E30" s="233"/>
      <c r="F30" s="229">
        <f>'数据-取费表'!B41</f>
        <v>5.6000000000000001E-2</v>
      </c>
      <c r="G30" s="226" t="s">
        <v>1518</v>
      </c>
    </row>
    <row r="31" spans="1:7" ht="16.5" customHeight="1">
      <c r="A31" s="201">
        <v>1</v>
      </c>
      <c r="B31" s="202" t="s">
        <v>1519</v>
      </c>
      <c r="C31" s="203">
        <f ca="1">ROUND((C5+C19+C20+C22+C27)/(1-C21-D22-D27-C30),0)</f>
        <v>376274</v>
      </c>
      <c r="D31" s="222"/>
      <c r="E31" s="203"/>
      <c r="F31" s="242"/>
      <c r="G31" s="226" t="s">
        <v>1520</v>
      </c>
    </row>
    <row r="32" spans="1:7" s="200" customFormat="1" ht="15.75">
      <c r="A32" s="244" t="s">
        <v>1587</v>
      </c>
      <c r="B32" s="245"/>
      <c r="C32" s="245"/>
      <c r="D32" s="245"/>
      <c r="E32" s="245"/>
      <c r="F32" s="245"/>
      <c r="G32" s="246"/>
    </row>
    <row r="33" spans="1:7" s="206" customFormat="1" ht="13.5" customHeight="1">
      <c r="A33" s="247" t="s">
        <v>337</v>
      </c>
      <c r="B33" s="202" t="s">
        <v>1588</v>
      </c>
      <c r="C33" s="248">
        <f ca="1">SUM(C34:C38)</f>
        <v>879619</v>
      </c>
      <c r="D33" s="224"/>
      <c r="E33" s="204"/>
      <c r="F33" s="233"/>
      <c r="G33" s="226"/>
    </row>
    <row r="34" spans="1:7" s="250" customFormat="1" ht="13.5" customHeight="1">
      <c r="A34" s="734" t="s">
        <v>346</v>
      </c>
      <c r="B34" s="207" t="s">
        <v>1523</v>
      </c>
      <c r="C34" s="212">
        <f ca="1">ROUND(IF(B1="",SUMPRODUCT('数据-取费表'!K6:K14,'数据-取费表'!L6:L14),INDIRECT("'数据-取费表'!l"&amp;$G$1)*INDIRECT("'数据-取费表'!k"&amp;$G$1)+'数据-取费表'!L14*INDIRECT("'数据-取费表'!S"&amp;$G$1)),0)</f>
        <v>739819</v>
      </c>
      <c r="D34" s="209"/>
      <c r="E34" s="212"/>
      <c r="F34" s="249"/>
      <c r="G34" s="211"/>
    </row>
    <row r="35" spans="1:7" ht="13.5" customHeight="1">
      <c r="A35" s="734" t="s">
        <v>351</v>
      </c>
      <c r="B35" s="207" t="s">
        <v>1525</v>
      </c>
      <c r="C35" s="212">
        <f ca="1">ROUND(C34*F35,0)</f>
        <v>36991</v>
      </c>
      <c r="D35" s="212"/>
      <c r="E35" s="212"/>
      <c r="F35" s="251">
        <f>'数据-取费表'!B33</f>
        <v>0.05</v>
      </c>
      <c r="G35" s="211" t="s">
        <v>1526</v>
      </c>
    </row>
    <row r="36" spans="1:7" ht="24">
      <c r="A36" s="734" t="s">
        <v>352</v>
      </c>
      <c r="B36" s="207" t="s">
        <v>1527</v>
      </c>
      <c r="C36" s="212">
        <f ca="1">ROUND(IF(B1="",SUM('数据-取费表'!AP6:AP13)*F36,IF(INDIRECT("'数据-取费表'!c"&amp;$G$1)="住宅",INDIRECT("'数据-取费表'!k"&amp;$G$1)*INDIRECT("'数据-取费表'!l"&amp;$G$1)*F36,0)),0)</f>
        <v>36991</v>
      </c>
      <c r="D36" s="212"/>
      <c r="E36" s="212"/>
      <c r="F36" s="251">
        <f>'数据-取费表'!B34</f>
        <v>0.05</v>
      </c>
      <c r="G36" s="252" t="s">
        <v>1528</v>
      </c>
    </row>
    <row r="37" spans="1:7" s="250" customFormat="1" ht="13.5" customHeight="1">
      <c r="A37" s="734" t="s">
        <v>353</v>
      </c>
      <c r="B37" s="207" t="s">
        <v>1529</v>
      </c>
      <c r="C37" s="241">
        <f ca="1">ROUND(E37*D37,0)</f>
        <v>51022</v>
      </c>
      <c r="D37" s="209">
        <f ca="1">D19</f>
        <v>255.11</v>
      </c>
      <c r="E37" s="241">
        <f>'数据-取费表'!B35</f>
        <v>200</v>
      </c>
      <c r="F37" s="251"/>
      <c r="G37" s="253"/>
    </row>
    <row r="38" spans="1:7" ht="13.5" customHeight="1">
      <c r="A38" s="734" t="s">
        <v>354</v>
      </c>
      <c r="B38" s="207" t="s">
        <v>1531</v>
      </c>
      <c r="C38" s="212">
        <f ca="1">ROUND(C34*F38,0)</f>
        <v>14796</v>
      </c>
      <c r="D38" s="212"/>
      <c r="E38" s="212"/>
      <c r="F38" s="251">
        <f>'数据-取费表'!B36</f>
        <v>0.02</v>
      </c>
      <c r="G38" s="211" t="s">
        <v>1526</v>
      </c>
    </row>
    <row r="39" spans="1:7" s="206" customFormat="1" ht="13.5" customHeight="1">
      <c r="A39" s="247" t="s">
        <v>1489</v>
      </c>
      <c r="B39" s="202" t="s">
        <v>1492</v>
      </c>
      <c r="C39" s="224">
        <f ca="1">ROUND(C33*F20,0)</f>
        <v>8796</v>
      </c>
      <c r="D39" s="224"/>
      <c r="E39" s="224"/>
      <c r="F39" s="225">
        <f>F20</f>
        <v>0.01</v>
      </c>
      <c r="G39" s="226" t="s">
        <v>1534</v>
      </c>
    </row>
    <row r="40" spans="1:7" s="206" customFormat="1" ht="13.5" customHeight="1">
      <c r="A40" s="247" t="s">
        <v>1491</v>
      </c>
      <c r="B40" s="202" t="s">
        <v>1495</v>
      </c>
      <c r="C40" s="227">
        <f>F21</f>
        <v>2.8000000000000001E-2</v>
      </c>
      <c r="D40" s="228" t="s">
        <v>1537</v>
      </c>
      <c r="E40" s="224"/>
      <c r="F40" s="225">
        <f>F21</f>
        <v>2.8000000000000001E-2</v>
      </c>
      <c r="G40" s="226" t="s">
        <v>1538</v>
      </c>
    </row>
    <row r="41" spans="1:7" s="206" customFormat="1" ht="13.5" customHeight="1">
      <c r="A41" s="247" t="s">
        <v>1494</v>
      </c>
      <c r="B41" s="202" t="s">
        <v>1499</v>
      </c>
      <c r="C41" s="224">
        <f ca="1">ROUND(SUM(C42:C43),0)</f>
        <v>13326</v>
      </c>
      <c r="D41" s="227">
        <f ca="1">C44</f>
        <v>4.0000000000000002E-4</v>
      </c>
      <c r="E41" s="228" t="s">
        <v>1537</v>
      </c>
      <c r="F41" s="229">
        <f ca="1">F22</f>
        <v>0.03</v>
      </c>
      <c r="G41" s="226" t="str">
        <f>IF('数据-取费表'!B22&lt;=1,"单利计息","复利计息")</f>
        <v>单利计息</v>
      </c>
    </row>
    <row r="42" spans="1:7" ht="13.5" customHeight="1">
      <c r="A42" s="734" t="s">
        <v>346</v>
      </c>
      <c r="B42" s="207" t="s">
        <v>1501</v>
      </c>
      <c r="C42" s="230">
        <f ca="1">ROUND(IF('数据-取费表'!B22&lt;=1,C33*F22*'数据-取费表'!B20/2,C33*(POWER((1+F22),'数据-取费表'!B20/2)-1)),0)</f>
        <v>13194</v>
      </c>
      <c r="D42" s="230"/>
      <c r="E42" s="230"/>
      <c r="F42" s="231"/>
      <c r="G42" s="3567" t="s">
        <v>1589</v>
      </c>
    </row>
    <row r="43" spans="1:7" ht="13.5" customHeight="1">
      <c r="A43" s="734" t="s">
        <v>347</v>
      </c>
      <c r="B43" s="207" t="s">
        <v>1504</v>
      </c>
      <c r="C43" s="230">
        <f ca="1">ROUND(IF('数据-取费表'!B22&lt;=1,C39*F22*'数据-取费表'!B20/2,C39*(POWER((1+F22),'数据-取费表'!B20/2)-1)),0)</f>
        <v>132</v>
      </c>
      <c r="D43" s="230"/>
      <c r="E43" s="230"/>
      <c r="F43" s="231"/>
      <c r="G43" s="3568"/>
    </row>
    <row r="44" spans="1:7" ht="13.5" customHeight="1">
      <c r="A44" s="734" t="s">
        <v>348</v>
      </c>
      <c r="B44" s="207" t="s">
        <v>1507</v>
      </c>
      <c r="C44" s="230">
        <f ca="1">ROUND(IF('数据-取费表'!B22&lt;=1,C40*F22*'数据-取费表'!B20/2,C40*(POWER((1+F22),'数据-取费表'!B20/2)-1)),4)</f>
        <v>4.0000000000000002E-4</v>
      </c>
      <c r="D44" s="230"/>
      <c r="E44" s="230"/>
      <c r="F44" s="231"/>
      <c r="G44" s="3569"/>
    </row>
    <row r="45" spans="1:7" s="206" customFormat="1" ht="13.5" customHeight="1">
      <c r="A45" s="247" t="s">
        <v>1498</v>
      </c>
      <c r="B45" s="236" t="s">
        <v>1511</v>
      </c>
      <c r="C45" s="237">
        <f ca="1">C46</f>
        <v>159915</v>
      </c>
      <c r="D45" s="227">
        <f ca="1">C47</f>
        <v>5.0000000000000001E-3</v>
      </c>
      <c r="E45" s="228" t="s">
        <v>1537</v>
      </c>
      <c r="F45" s="238">
        <f ca="1">F27</f>
        <v>0.18</v>
      </c>
      <c r="G45" s="239" t="s">
        <v>1546</v>
      </c>
    </row>
    <row r="46" spans="1:7" s="206" customFormat="1" ht="13.5" customHeight="1">
      <c r="A46" s="734" t="s">
        <v>346</v>
      </c>
      <c r="B46" s="240" t="s">
        <v>1547</v>
      </c>
      <c r="C46" s="241">
        <f ca="1">ROUND((C33+C39)*F27,0)</f>
        <v>159915</v>
      </c>
      <c r="D46" s="255"/>
      <c r="E46" s="228"/>
      <c r="F46" s="238"/>
      <c r="G46" s="239"/>
    </row>
    <row r="47" spans="1:7" s="206" customFormat="1" ht="13.5" customHeight="1">
      <c r="A47" s="734" t="s">
        <v>347</v>
      </c>
      <c r="B47" s="240" t="s">
        <v>1548</v>
      </c>
      <c r="C47" s="230">
        <f ca="1">ROUND(C40*F27,4)</f>
        <v>5.0000000000000001E-3</v>
      </c>
      <c r="D47" s="255"/>
      <c r="E47" s="228"/>
      <c r="F47" s="238"/>
      <c r="G47" s="239"/>
    </row>
    <row r="48" spans="1:7" s="206" customFormat="1" ht="13.5" customHeight="1">
      <c r="A48" s="247" t="s">
        <v>1510</v>
      </c>
      <c r="B48" s="202" t="s">
        <v>1549</v>
      </c>
      <c r="C48" s="254">
        <f>ROUND(F30/(1+'数据-取费表'!C42),4)</f>
        <v>5.33E-2</v>
      </c>
      <c r="D48" s="228" t="s">
        <v>1537</v>
      </c>
      <c r="E48" s="224"/>
      <c r="F48" s="229">
        <f>F30</f>
        <v>5.6000000000000001E-2</v>
      </c>
      <c r="G48" s="226" t="s">
        <v>1550</v>
      </c>
    </row>
    <row r="49" spans="1:7" ht="16.5" customHeight="1">
      <c r="A49" s="247" t="s">
        <v>1516</v>
      </c>
      <c r="B49" s="202" t="s">
        <v>1590</v>
      </c>
      <c r="C49" s="224">
        <f ca="1">ROUND((C33+C39+C41+C45)/(1-C40-D41-D45-C48),0)</f>
        <v>1162440</v>
      </c>
      <c r="D49" s="224"/>
      <c r="E49" s="224"/>
      <c r="F49" s="256"/>
      <c r="G49" s="226" t="s">
        <v>1552</v>
      </c>
    </row>
    <row r="50" spans="1:7" s="250" customFormat="1">
      <c r="A50" s="247" t="s">
        <v>1553</v>
      </c>
      <c r="B50" s="202" t="s">
        <v>1554</v>
      </c>
      <c r="C50" s="224"/>
      <c r="D50" s="224"/>
      <c r="E50" s="224"/>
      <c r="F50" s="256">
        <f>IF('数据-取费表'!B24=0,'数据-取费表'!N16,1)</f>
        <v>1</v>
      </c>
      <c r="G50" s="239"/>
    </row>
    <row r="51" spans="1:7" ht="16.5" customHeight="1">
      <c r="A51" s="247" t="s">
        <v>1556</v>
      </c>
      <c r="B51" s="202" t="s">
        <v>1591</v>
      </c>
      <c r="C51" s="224">
        <f ca="1">ROUND(C49*F50,0)</f>
        <v>1162440</v>
      </c>
      <c r="D51" s="224"/>
      <c r="E51" s="224"/>
      <c r="F51" s="256"/>
      <c r="G51" s="226" t="s">
        <v>1558</v>
      </c>
    </row>
    <row r="52" spans="1:7" s="200" customFormat="1" ht="16.5" thickBot="1">
      <c r="A52" s="257" t="s">
        <v>1559</v>
      </c>
      <c r="B52" s="258"/>
      <c r="C52" s="259">
        <f ca="1">C31+C51</f>
        <v>1538714</v>
      </c>
      <c r="D52" s="258"/>
      <c r="E52" s="258"/>
      <c r="F52" s="258"/>
      <c r="G52" s="260"/>
    </row>
    <row r="55" spans="1:7" ht="15">
      <c r="B55" s="262" t="s">
        <v>1560</v>
      </c>
      <c r="C55" s="263"/>
    </row>
    <row r="56" spans="1:7">
      <c r="B56" s="265" t="s">
        <v>802</v>
      </c>
      <c r="C56" s="267">
        <f ca="1">1-C57</f>
        <v>0.245</v>
      </c>
    </row>
    <row r="57" spans="1:7">
      <c r="B57" s="265" t="s">
        <v>803</v>
      </c>
      <c r="C57" s="266">
        <f ca="1">ROUND(C51/C52,3)</f>
        <v>0.755</v>
      </c>
    </row>
  </sheetData>
  <sheetProtection password="CEE9" sheet="1" objects="1" scenarios="1" formatCells="0"/>
  <mergeCells count="1">
    <mergeCell ref="G42:G44"/>
  </mergeCells>
  <phoneticPr fontId="136" type="noConversion"/>
  <dataValidations count="5">
    <dataValidation type="list" allowBlank="1" showInputMessage="1" showErrorMessage="1" sqref="D2" xr:uid="{00000000-0002-0000-2600-000000000000}">
      <formula1>"需扣减承租人权益,——"</formula1>
    </dataValidation>
    <dataValidation type="list" allowBlank="1" showInputMessage="1" showErrorMessage="1" sqref="G2" xr:uid="{00000000-0002-0000-2600-000001000000}">
      <formula1>估价方法</formula1>
    </dataValidation>
    <dataValidation type="list" allowBlank="1" showInputMessage="1" showErrorMessage="1" sqref="B1" xr:uid="{00000000-0002-0000-2600-000002000000}">
      <formula1>项目类型</formula1>
    </dataValidation>
    <dataValidation type="list" allowBlank="1" showInputMessage="1" showErrorMessage="1" sqref="G19" xr:uid="{00000000-0002-0000-2600-000003000000}">
      <formula1>"已包含在土地取得成本中,未包含在土地取得成本中"</formula1>
    </dataValidation>
    <dataValidation type="list" allowBlank="1" showInputMessage="1" showErrorMessage="1" sqref="G8" xr:uid="{00000000-0002-0000-2600-000004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908</v>
      </c>
    </row>
    <row r="2" spans="1:5" ht="78" customHeight="1">
      <c r="A2" s="339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390"/>
      <c r="C2" s="3390"/>
      <c r="D2" s="3390"/>
      <c r="E2" s="3390"/>
    </row>
    <row r="3" spans="1:5" ht="18">
      <c r="A3" s="3391" t="str">
        <f>IF(项目基本情况!B9="房地产市场价值","估价结果一览表（市场价值不需“结果表-1”）","估价结果一览表")</f>
        <v>估价结果一览表（市场价值不需“结果表-1”）</v>
      </c>
      <c r="B3" s="3391"/>
      <c r="C3" s="3391"/>
      <c r="D3" s="3391"/>
      <c r="E3" s="3391"/>
    </row>
    <row r="4" spans="1:5" ht="19.5" thickBot="1">
      <c r="A4" s="1391"/>
      <c r="B4" s="3389" t="s">
        <v>917</v>
      </c>
      <c r="C4" s="3389"/>
      <c r="D4" s="3389"/>
      <c r="E4" s="1391"/>
    </row>
    <row r="5" spans="1:5" ht="16.5" thickTop="1">
      <c r="B5" s="3387" t="s">
        <v>909</v>
      </c>
      <c r="C5" s="1392" t="s">
        <v>910</v>
      </c>
      <c r="D5" s="797" t="e">
        <f ca="1">结果表!H101</f>
        <v>#REF!</v>
      </c>
    </row>
    <row r="6" spans="1:5" ht="15.75">
      <c r="B6" s="3387"/>
      <c r="C6" s="1392" t="s">
        <v>911</v>
      </c>
      <c r="D6" s="797" t="e">
        <f ca="1">NUMBERSTRING(INT(D5*10000),2)&amp;"元整"</f>
        <v>#REF!</v>
      </c>
    </row>
    <row r="7" spans="1:5" ht="15.75">
      <c r="B7" s="3392"/>
      <c r="C7" s="1393" t="s">
        <v>912</v>
      </c>
      <c r="D7" s="798" t="e">
        <f ca="1">结果表!H102</f>
        <v>#REF!</v>
      </c>
    </row>
    <row r="8" spans="1:5" ht="15.75">
      <c r="B8" s="3393" t="str">
        <f>结果表!E103</f>
        <v>2.估价师知悉的法定优先受偿款</v>
      </c>
      <c r="C8" s="1394" t="s">
        <v>913</v>
      </c>
      <c r="D8" s="798">
        <f>结果表!H103</f>
        <v>0</v>
      </c>
    </row>
    <row r="9" spans="1:5" ht="15.75">
      <c r="B9" s="3395"/>
      <c r="C9" s="1392" t="s">
        <v>911</v>
      </c>
      <c r="D9" s="797" t="str">
        <f>NUMBERSTRING(INT(D8*10000),2)&amp;"元整"</f>
        <v>零元整</v>
      </c>
    </row>
    <row r="10" spans="1:5" ht="15">
      <c r="B10" s="1395" t="s">
        <v>916</v>
      </c>
      <c r="C10" s="1396" t="s">
        <v>914</v>
      </c>
      <c r="D10" s="799">
        <f>结果表!H104</f>
        <v>0</v>
      </c>
    </row>
    <row r="11" spans="1:5" ht="15">
      <c r="B11" s="1395" t="s">
        <v>918</v>
      </c>
      <c r="C11" s="1396" t="s">
        <v>919</v>
      </c>
      <c r="D11" s="799">
        <f>结果表!H105</f>
        <v>0</v>
      </c>
    </row>
    <row r="12" spans="1:5" ht="15">
      <c r="B12" s="1395" t="s">
        <v>920</v>
      </c>
      <c r="C12" s="1396" t="s">
        <v>919</v>
      </c>
      <c r="D12" s="799">
        <f>结果表!H106</f>
        <v>0</v>
      </c>
    </row>
    <row r="13" spans="1:5" ht="15.75">
      <c r="B13" s="3386" t="str">
        <f>结果表!E107</f>
        <v>3.房地产抵押价值</v>
      </c>
      <c r="C13" s="1397" t="s">
        <v>910</v>
      </c>
      <c r="D13" s="800" t="e">
        <f ca="1">结果表!H107</f>
        <v>#REF!</v>
      </c>
    </row>
    <row r="14" spans="1:5" ht="15.75">
      <c r="B14" s="3387"/>
      <c r="C14" s="1392" t="s">
        <v>911</v>
      </c>
      <c r="D14" s="797" t="e">
        <f ca="1">NUMBERSTRING(INT(D13*10000),2)&amp;"元整"</f>
        <v>#REF!</v>
      </c>
    </row>
    <row r="15" spans="1:5" ht="15">
      <c r="B15" s="3392"/>
      <c r="C15" s="1393" t="s">
        <v>921</v>
      </c>
      <c r="D15" s="806" t="e">
        <f ca="1">结果表!H108</f>
        <v>#REF!</v>
      </c>
    </row>
    <row r="16" spans="1:5" ht="15">
      <c r="B16" s="3393" t="str">
        <f>结果表!E109</f>
        <v>——</v>
      </c>
      <c r="C16" s="1397" t="s">
        <v>922</v>
      </c>
      <c r="D16" s="1398" t="str">
        <f>结果表!H109</f>
        <v>——</v>
      </c>
    </row>
    <row r="17" spans="1:5" ht="15.75">
      <c r="B17" s="3394"/>
      <c r="C17" s="1392" t="s">
        <v>923</v>
      </c>
      <c r="D17" s="797" t="e">
        <f>NUMBERSTRING(INT(D16*10000),2)&amp;"元整"</f>
        <v>#VALUE!</v>
      </c>
    </row>
    <row r="18" spans="1:5" ht="15">
      <c r="B18" s="3395"/>
      <c r="C18" s="1393" t="s">
        <v>912</v>
      </c>
      <c r="D18" s="806" t="str">
        <f>结果表!H110</f>
        <v>——</v>
      </c>
    </row>
    <row r="19" spans="1:5" ht="15.75">
      <c r="B19" s="3386" t="str">
        <f>结果表!E111</f>
        <v>——</v>
      </c>
      <c r="C19" s="1397" t="s">
        <v>910</v>
      </c>
      <c r="D19" s="798" t="str">
        <f>结果表!H111</f>
        <v>——</v>
      </c>
    </row>
    <row r="20" spans="1:5" ht="15.75">
      <c r="B20" s="3387"/>
      <c r="C20" s="1392" t="s">
        <v>923</v>
      </c>
      <c r="D20" s="797" t="e">
        <f>NUMBERSTRING(INT(D19*10000),2)&amp;"元整"</f>
        <v>#VALUE!</v>
      </c>
    </row>
    <row r="21" spans="1:5" ht="15.75" thickBot="1">
      <c r="B21" s="3388"/>
      <c r="C21" s="1399" t="s">
        <v>921</v>
      </c>
      <c r="D21" s="807" t="str">
        <f>结果表!H112</f>
        <v>——</v>
      </c>
    </row>
    <row r="22" spans="1:5" ht="15" thickTop="1">
      <c r="B22" s="1400" t="s">
        <v>924</v>
      </c>
    </row>
    <row r="24" spans="1:5" ht="18.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7"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FFC000"/>
    <pageSetUpPr fitToPage="1"/>
  </sheetPr>
  <dimension ref="A1:H57"/>
  <sheetViews>
    <sheetView view="pageBreakPreview" zoomScale="130" zoomScaleNormal="70" zoomScaleSheetLayoutView="130" workbookViewId="0">
      <selection activeCell="E38" sqref="E38"/>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1459</v>
      </c>
      <c r="B1" s="1374" t="s">
        <v>3712</v>
      </c>
      <c r="C1" s="1717" t="s">
        <v>1561</v>
      </c>
      <c r="D1" s="190"/>
      <c r="E1" s="190"/>
      <c r="F1" s="190"/>
      <c r="G1" s="1062">
        <f>MATCH(B1,'数据-取费表'!A6:A16,0)+5</f>
        <v>8</v>
      </c>
      <c r="H1" s="998" t="str">
        <f>IF(ISERROR(FIND("住宅",B1)),"非住宅","住宅")</f>
        <v>非住宅</v>
      </c>
    </row>
    <row r="2" spans="1:8" s="192" customFormat="1" ht="18" customHeight="1">
      <c r="A2" s="193" t="s">
        <v>685</v>
      </c>
      <c r="B2" s="3123">
        <f ca="1">ROUND(IF(D2="——",C52/10000,C52/10000-E2),4)</f>
        <v>174.02590000000001</v>
      </c>
      <c r="C2" s="191" t="s">
        <v>1461</v>
      </c>
      <c r="D2" s="1711" t="s">
        <v>43</v>
      </c>
      <c r="E2" s="1089" t="e">
        <f ca="1">SUMIF(INDIRECT("'"&amp;G2&amp;"'"&amp;"!A:A"),"承租人权益价值",INDIRECT("'"&amp;G2&amp;"'"&amp;"!c:c"))</f>
        <v>#REF!</v>
      </c>
      <c r="F2" s="1712" t="s">
        <v>1461</v>
      </c>
      <c r="G2" s="1713"/>
    </row>
    <row r="3" spans="1:8" s="192" customFormat="1" ht="18" customHeight="1" thickBot="1">
      <c r="A3" s="195" t="s">
        <v>686</v>
      </c>
      <c r="B3" s="196">
        <f ca="1">ROUND(B2*10000/(IF(B1="",'数据-汇总表'!E3,INDIRECT("'数据-取费表'!k"&amp;$G$1))),0)</f>
        <v>6822</v>
      </c>
      <c r="C3" s="191" t="s">
        <v>1463</v>
      </c>
      <c r="D3" s="191"/>
      <c r="E3" s="191"/>
      <c r="F3" s="191"/>
      <c r="G3" s="191"/>
    </row>
    <row r="4" spans="1:8" s="200" customFormat="1" ht="15.75">
      <c r="A4" s="197" t="s">
        <v>1464</v>
      </c>
      <c r="B4" s="198"/>
      <c r="C4" s="198"/>
      <c r="D4" s="198"/>
      <c r="E4" s="198"/>
      <c r="F4" s="198"/>
      <c r="G4" s="199"/>
    </row>
    <row r="5" spans="1:8" s="206" customFormat="1" ht="13.5" customHeight="1">
      <c r="A5" s="247" t="s">
        <v>337</v>
      </c>
      <c r="B5" s="202" t="s">
        <v>1466</v>
      </c>
      <c r="C5" s="203">
        <f ca="1">C6+C7+C8</f>
        <v>431868.44</v>
      </c>
      <c r="D5" s="203" t="s">
        <v>1467</v>
      </c>
      <c r="E5" s="204" t="s">
        <v>1468</v>
      </c>
      <c r="F5" s="204" t="s">
        <v>1469</v>
      </c>
      <c r="G5" s="205"/>
    </row>
    <row r="6" spans="1:8" s="206" customFormat="1" ht="13.5" customHeight="1">
      <c r="A6" s="732" t="s">
        <v>346</v>
      </c>
      <c r="B6" s="207" t="s">
        <v>1471</v>
      </c>
      <c r="C6" s="208">
        <f>标定地价!Q19*'数据-汇总表'!G21</f>
        <v>383685.44</v>
      </c>
      <c r="D6" s="209"/>
      <c r="E6" s="210"/>
      <c r="F6" s="210"/>
      <c r="G6" s="211"/>
    </row>
    <row r="7" spans="1:8" s="206" customFormat="1" ht="13.5" customHeight="1">
      <c r="A7" s="732" t="s">
        <v>347</v>
      </c>
      <c r="B7" s="207" t="s">
        <v>1473</v>
      </c>
      <c r="C7" s="212">
        <f>ROUND(C6*F7,0)</f>
        <v>11702</v>
      </c>
      <c r="D7" s="212"/>
      <c r="E7" s="210"/>
      <c r="F7" s="213">
        <f>IF(项目基本情况!B8="出让",0,'数据-取费表'!B48+'数据-取费表'!B49)</f>
        <v>3.0499999999999999E-2</v>
      </c>
      <c r="G7" s="211"/>
    </row>
    <row r="8" spans="1:8" s="215" customFormat="1">
      <c r="A8" s="732" t="s">
        <v>348</v>
      </c>
      <c r="B8" s="207" t="s">
        <v>1475</v>
      </c>
      <c r="C8" s="212">
        <f ca="1">IF(G8="已包含在土地购买价格中",0,C9+C10)</f>
        <v>36481</v>
      </c>
      <c r="D8" s="214"/>
      <c r="E8" s="212"/>
      <c r="F8" s="213"/>
      <c r="G8" s="1714" t="s">
        <v>3550</v>
      </c>
    </row>
    <row r="9" spans="1:8" s="206" customFormat="1" ht="13.5" customHeight="1">
      <c r="A9" s="733" t="s">
        <v>355</v>
      </c>
      <c r="B9" s="216" t="s">
        <v>1476</v>
      </c>
      <c r="C9" s="217">
        <f ca="1">ROUND(D9*E9,0)</f>
        <v>36481</v>
      </c>
      <c r="D9" s="795">
        <f ca="1">IF(B1="",'数据-汇总表'!E5,IF(INDIRECT("'数据-取费表'!c"&amp;$G$1)="住宅",INDIRECT("'数据-取费表'!k"&amp;$G$1),0))</f>
        <v>255.11</v>
      </c>
      <c r="E9" s="217">
        <f>'数据-取费表'!B27</f>
        <v>143</v>
      </c>
      <c r="F9" s="213"/>
      <c r="G9" s="218"/>
    </row>
    <row r="10" spans="1:8" s="206" customFormat="1" ht="13.5" customHeight="1">
      <c r="A10" s="733" t="s">
        <v>356</v>
      </c>
      <c r="B10" s="216" t="s">
        <v>1478</v>
      </c>
      <c r="C10" s="217">
        <f ca="1">ROUND(D10*E10,0)</f>
        <v>0</v>
      </c>
      <c r="D10" s="795">
        <f ca="1">IF(B1="",'数据-汇总表'!E6,IF(INDIRECT("'数据-取费表'!c"&amp;$G$1)="住宅",INDIRECT("'数据-取费表'!s"&amp;$G$1),INDIRECT("'数据-取费表'!k"&amp;$G$1)+INDIRECT("'数据-取费表'!s"&amp;$G$1)))</f>
        <v>0</v>
      </c>
      <c r="E10" s="217">
        <f>'数据-取费表'!B28</f>
        <v>0</v>
      </c>
      <c r="F10" s="213"/>
      <c r="G10" s="218"/>
    </row>
    <row r="11" spans="1:8" s="206" customFormat="1" ht="13.5" hidden="1" customHeight="1">
      <c r="A11" s="219" t="s">
        <v>4</v>
      </c>
      <c r="B11" s="207" t="s">
        <v>1479</v>
      </c>
      <c r="C11" s="203"/>
      <c r="D11" s="210"/>
      <c r="E11" s="210"/>
      <c r="F11" s="210"/>
      <c r="G11" s="211"/>
    </row>
    <row r="12" spans="1:8" s="206" customFormat="1" ht="13.5" hidden="1" customHeight="1">
      <c r="A12" s="219" t="s">
        <v>5</v>
      </c>
      <c r="B12" s="207" t="s">
        <v>1480</v>
      </c>
      <c r="C12" s="203">
        <v>0</v>
      </c>
      <c r="D12" s="210"/>
      <c r="E12" s="220"/>
      <c r="F12" s="213">
        <v>3.0499999999999999E-2</v>
      </c>
      <c r="G12" s="211"/>
    </row>
    <row r="13" spans="1:8" s="206" customFormat="1" ht="13.5" hidden="1" customHeight="1">
      <c r="A13" s="219" t="s">
        <v>6</v>
      </c>
      <c r="B13" s="207" t="s">
        <v>1481</v>
      </c>
      <c r="C13" s="203"/>
      <c r="D13" s="210"/>
      <c r="E13" s="210"/>
      <c r="F13" s="210"/>
      <c r="G13" s="211"/>
    </row>
    <row r="14" spans="1:8" s="206" customFormat="1" ht="13.5" hidden="1" customHeight="1">
      <c r="A14" s="219" t="s">
        <v>7</v>
      </c>
      <c r="B14" s="207" t="s">
        <v>1475</v>
      </c>
      <c r="C14" s="203"/>
      <c r="D14" s="210"/>
      <c r="E14" s="210"/>
      <c r="F14" s="210"/>
      <c r="G14" s="211" t="s">
        <v>1483</v>
      </c>
    </row>
    <row r="15" spans="1:8" s="206" customFormat="1" ht="13.5" hidden="1" customHeight="1">
      <c r="A15" s="219" t="s">
        <v>8</v>
      </c>
      <c r="B15" s="207" t="s">
        <v>1484</v>
      </c>
      <c r="C15" s="212"/>
      <c r="D15" s="210"/>
      <c r="E15" s="210"/>
      <c r="F15" s="210"/>
      <c r="G15" s="211" t="s">
        <v>1485</v>
      </c>
    </row>
    <row r="16" spans="1:8" s="206" customFormat="1" ht="13.5" hidden="1" customHeight="1">
      <c r="A16" s="219" t="s">
        <v>9</v>
      </c>
      <c r="B16" s="207" t="s">
        <v>1475</v>
      </c>
      <c r="C16" s="212"/>
      <c r="D16" s="210"/>
      <c r="E16" s="210"/>
      <c r="F16" s="210"/>
      <c r="G16" s="211"/>
    </row>
    <row r="17" spans="1:7" s="206" customFormat="1" ht="13.5" hidden="1" customHeight="1">
      <c r="A17" s="219" t="s">
        <v>10</v>
      </c>
      <c r="B17" s="207" t="s">
        <v>1486</v>
      </c>
      <c r="C17" s="221"/>
      <c r="D17" s="221"/>
      <c r="E17" s="221"/>
      <c r="F17" s="221"/>
      <c r="G17" s="211" t="s">
        <v>1485</v>
      </c>
    </row>
    <row r="18" spans="1:7" s="206" customFormat="1" ht="13.5" hidden="1" customHeight="1">
      <c r="A18" s="219" t="s">
        <v>11</v>
      </c>
      <c r="B18" s="207" t="s">
        <v>1487</v>
      </c>
      <c r="C18" s="212">
        <v>0</v>
      </c>
      <c r="D18" s="210"/>
      <c r="E18" s="210"/>
      <c r="F18" s="213">
        <v>3.0499999999999999E-2</v>
      </c>
      <c r="G18" s="211" t="s">
        <v>1488</v>
      </c>
    </row>
    <row r="19" spans="1:7" s="215" customFormat="1" ht="13.5" customHeight="1">
      <c r="A19" s="247" t="s">
        <v>1489</v>
      </c>
      <c r="B19" s="202" t="s">
        <v>1490</v>
      </c>
      <c r="C19" s="203" t="str">
        <f>IF(G19="已包含在土地取得成本中","0",ROUND(D19*E19,0))</f>
        <v>0</v>
      </c>
      <c r="D19" s="204">
        <f ca="1">D9+D10</f>
        <v>255.11</v>
      </c>
      <c r="E19" s="203">
        <f>'数据-取费表'!B31</f>
        <v>280</v>
      </c>
      <c r="F19" s="223"/>
      <c r="G19" s="1714" t="s">
        <v>3551</v>
      </c>
    </row>
    <row r="20" spans="1:7" s="206" customFormat="1" ht="13.5" customHeight="1">
      <c r="A20" s="247" t="s">
        <v>1491</v>
      </c>
      <c r="B20" s="202" t="s">
        <v>1492</v>
      </c>
      <c r="C20" s="224">
        <f ca="1">ROUND((C5+C19)*F20,0)</f>
        <v>4319</v>
      </c>
      <c r="D20" s="224"/>
      <c r="E20" s="224"/>
      <c r="F20" s="225">
        <f>'数据-取费表'!B37</f>
        <v>0.01</v>
      </c>
      <c r="G20" s="226" t="s">
        <v>1493</v>
      </c>
    </row>
    <row r="21" spans="1:7" s="206" customFormat="1" ht="13.5" customHeight="1">
      <c r="A21" s="247" t="s">
        <v>1494</v>
      </c>
      <c r="B21" s="202" t="s">
        <v>1495</v>
      </c>
      <c r="C21" s="227">
        <f>F21</f>
        <v>2.8000000000000001E-2</v>
      </c>
      <c r="D21" s="228" t="s">
        <v>1496</v>
      </c>
      <c r="E21" s="224"/>
      <c r="F21" s="225">
        <f>'数据-取费表'!B38</f>
        <v>2.8000000000000001E-2</v>
      </c>
      <c r="G21" s="226" t="s">
        <v>1497</v>
      </c>
    </row>
    <row r="22" spans="1:7" s="206" customFormat="1" ht="13.5" customHeight="1">
      <c r="A22" s="247" t="s">
        <v>1498</v>
      </c>
      <c r="B22" s="202" t="s">
        <v>1499</v>
      </c>
      <c r="C22" s="224">
        <f ca="1">ROUND(SUM(C23:C25),0)</f>
        <v>13021</v>
      </c>
      <c r="D22" s="227">
        <f ca="1">C26</f>
        <v>4.0000000000000002E-4</v>
      </c>
      <c r="E22" s="228" t="s">
        <v>1496</v>
      </c>
      <c r="F22" s="229">
        <f ca="1">'数据-取费表'!B40</f>
        <v>0.03</v>
      </c>
      <c r="G22" s="226" t="str">
        <f>IF('数据-取费表'!B22&lt;=1,"单利计息","复利计息")</f>
        <v>单利计息</v>
      </c>
    </row>
    <row r="23" spans="1:7" s="206" customFormat="1" ht="13.5" customHeight="1">
      <c r="A23" s="734" t="s">
        <v>346</v>
      </c>
      <c r="B23" s="207" t="s">
        <v>1501</v>
      </c>
      <c r="C23" s="230">
        <f ca="1">ROUND(IF('数据-取费表'!B22&lt;=1,C5*F22*'数据-取费表'!B22,C5*(POWER((1+F22),'数据-取费表'!B22)-1)),0)</f>
        <v>12956</v>
      </c>
      <c r="D23" s="230"/>
      <c r="E23" s="230"/>
      <c r="F23" s="231"/>
      <c r="G23" s="232" t="s">
        <v>1502</v>
      </c>
    </row>
    <row r="24" spans="1:7" s="206" customFormat="1" ht="13.5" customHeight="1">
      <c r="A24" s="734" t="s">
        <v>347</v>
      </c>
      <c r="B24" s="207" t="s">
        <v>1504</v>
      </c>
      <c r="C24" s="230">
        <f ca="1">ROUND(IF('数据-取费表'!B22&lt;=1,C19*F22*('数据-取费表'!B19/2+'数据-取费表'!B20),C19*(POWER((1+F22),('数据-取费表'!B19/2+'数据-取费表'!B20))-1)),0)</f>
        <v>0</v>
      </c>
      <c r="D24" s="230"/>
      <c r="E24" s="230"/>
      <c r="F24" s="231"/>
      <c r="G24" s="232" t="s">
        <v>1505</v>
      </c>
    </row>
    <row r="25" spans="1:7" s="206" customFormat="1" ht="24">
      <c r="A25" s="734" t="s">
        <v>348</v>
      </c>
      <c r="B25" s="207" t="s">
        <v>1507</v>
      </c>
      <c r="C25" s="230">
        <f ca="1">ROUND(IF('数据-取费表'!B22&lt;=1,C20*F22*'数据-取费表'!B22/2,C20*(POWER((1+F22),'数据-取费表'!B22/2)-1)),0)</f>
        <v>65</v>
      </c>
      <c r="D25" s="230"/>
      <c r="E25" s="233"/>
      <c r="F25" s="231"/>
      <c r="G25" s="234" t="s">
        <v>1508</v>
      </c>
    </row>
    <row r="26" spans="1:7" s="206" customFormat="1">
      <c r="A26" s="734" t="s">
        <v>350</v>
      </c>
      <c r="B26" s="207" t="s">
        <v>1509</v>
      </c>
      <c r="C26" s="230">
        <f ca="1">ROUND(IF('数据-取费表'!B22&lt;=1,F21*F22*'数据-取费表'!B22/2,F21*(POWER((1+F22),'数据-取费表'!B22/2)-1)),4)</f>
        <v>4.0000000000000002E-4</v>
      </c>
      <c r="D26" s="230"/>
      <c r="E26" s="233"/>
      <c r="F26" s="231"/>
      <c r="G26" s="235"/>
    </row>
    <row r="27" spans="1:7" s="206" customFormat="1" ht="24.75">
      <c r="A27" s="247" t="s">
        <v>1510</v>
      </c>
      <c r="B27" s="236" t="s">
        <v>1511</v>
      </c>
      <c r="C27" s="237">
        <f ca="1">C28</f>
        <v>78514</v>
      </c>
      <c r="D27" s="227">
        <f ca="1">C29</f>
        <v>5.0000000000000001E-3</v>
      </c>
      <c r="E27" s="228" t="s">
        <v>1496</v>
      </c>
      <c r="F27" s="238">
        <f ca="1">IF(B1="",'数据-取费表'!Q16,INDIRECT("'数据-取费表'!q"&amp;$G$1))</f>
        <v>0.18</v>
      </c>
      <c r="G27" s="239" t="s">
        <v>1513</v>
      </c>
    </row>
    <row r="28" spans="1:7" s="206" customFormat="1" ht="13.5" customHeight="1">
      <c r="A28" s="734" t="s">
        <v>346</v>
      </c>
      <c r="B28" s="240" t="s">
        <v>1514</v>
      </c>
      <c r="C28" s="241">
        <f ca="1">ROUND((C5+C19+C20)*F27,0)</f>
        <v>78514</v>
      </c>
      <c r="D28" s="227"/>
      <c r="E28" s="228"/>
      <c r="F28" s="238"/>
      <c r="G28" s="239"/>
    </row>
    <row r="29" spans="1:7" s="206" customFormat="1" ht="13.5" customHeight="1">
      <c r="A29" s="734" t="s">
        <v>347</v>
      </c>
      <c r="B29" s="240" t="s">
        <v>1515</v>
      </c>
      <c r="C29" s="230">
        <f ca="1">ROUND(C21*F27,4)</f>
        <v>5.0000000000000001E-3</v>
      </c>
      <c r="D29" s="227"/>
      <c r="E29" s="228"/>
      <c r="F29" s="238"/>
      <c r="G29" s="239"/>
    </row>
    <row r="30" spans="1:7" s="206" customFormat="1" ht="13.5" customHeight="1">
      <c r="A30" s="247" t="s">
        <v>1516</v>
      </c>
      <c r="B30" s="202" t="s">
        <v>1517</v>
      </c>
      <c r="C30" s="227">
        <f>ROUND(F30/(1+'数据-取费表'!C42),4)</f>
        <v>5.33E-2</v>
      </c>
      <c r="D30" s="228" t="s">
        <v>1496</v>
      </c>
      <c r="E30" s="233"/>
      <c r="F30" s="229">
        <f>'数据-取费表'!B41</f>
        <v>5.6000000000000001E-2</v>
      </c>
      <c r="G30" s="226" t="s">
        <v>1518</v>
      </c>
    </row>
    <row r="31" spans="1:7" ht="16.5" customHeight="1">
      <c r="A31" s="201">
        <v>1</v>
      </c>
      <c r="B31" s="202" t="s">
        <v>1519</v>
      </c>
      <c r="C31" s="203">
        <f ca="1">ROUND((C5+C19+C20+C22+C27)/(1-C21-D22-D27-C30),0)</f>
        <v>577819</v>
      </c>
      <c r="D31" s="222"/>
      <c r="E31" s="203"/>
      <c r="F31" s="242"/>
      <c r="G31" s="226" t="s">
        <v>1520</v>
      </c>
    </row>
    <row r="32" spans="1:7" s="200" customFormat="1" ht="15.75">
      <c r="A32" s="244" t="s">
        <v>1587</v>
      </c>
      <c r="B32" s="245"/>
      <c r="C32" s="245"/>
      <c r="D32" s="245"/>
      <c r="E32" s="245"/>
      <c r="F32" s="245"/>
      <c r="G32" s="246"/>
    </row>
    <row r="33" spans="1:7" s="206" customFormat="1" ht="13.5" customHeight="1">
      <c r="A33" s="247" t="s">
        <v>337</v>
      </c>
      <c r="B33" s="202" t="s">
        <v>1588</v>
      </c>
      <c r="C33" s="248">
        <f ca="1">SUM(C34:C38)</f>
        <v>879619</v>
      </c>
      <c r="D33" s="224"/>
      <c r="E33" s="204"/>
      <c r="F33" s="233"/>
      <c r="G33" s="226"/>
    </row>
    <row r="34" spans="1:7" s="250" customFormat="1" ht="13.5" customHeight="1">
      <c r="A34" s="734" t="s">
        <v>346</v>
      </c>
      <c r="B34" s="207" t="s">
        <v>1523</v>
      </c>
      <c r="C34" s="212">
        <f ca="1">ROUND(IF(B1="",SUMPRODUCT('数据-取费表'!K6:K14,'数据-取费表'!L6:L14),INDIRECT("'数据-取费表'!l"&amp;$G$1)*INDIRECT("'数据-取费表'!k"&amp;$G$1)+'数据-取费表'!L14*INDIRECT("'数据-取费表'!S"&amp;$G$1)),0)</f>
        <v>739819</v>
      </c>
      <c r="D34" s="209"/>
      <c r="E34" s="212"/>
      <c r="F34" s="249"/>
      <c r="G34" s="211"/>
    </row>
    <row r="35" spans="1:7" ht="13.5" customHeight="1">
      <c r="A35" s="734" t="s">
        <v>351</v>
      </c>
      <c r="B35" s="207" t="s">
        <v>1525</v>
      </c>
      <c r="C35" s="212">
        <f ca="1">ROUND(C34*F35,0)</f>
        <v>36991</v>
      </c>
      <c r="D35" s="212"/>
      <c r="E35" s="212"/>
      <c r="F35" s="251">
        <f>'数据-取费表'!B33</f>
        <v>0.05</v>
      </c>
      <c r="G35" s="211" t="s">
        <v>1526</v>
      </c>
    </row>
    <row r="36" spans="1:7" ht="24">
      <c r="A36" s="734" t="s">
        <v>352</v>
      </c>
      <c r="B36" s="207" t="s">
        <v>1527</v>
      </c>
      <c r="C36" s="212">
        <f ca="1">ROUND(IF(B1="",SUM('数据-取费表'!AP6:AP13)*F36,IF(INDIRECT("'数据-取费表'!c"&amp;$G$1)="住宅",INDIRECT("'数据-取费表'!k"&amp;$G$1)*INDIRECT("'数据-取费表'!l"&amp;$G$1)*F36,0)),0)</f>
        <v>36991</v>
      </c>
      <c r="D36" s="212"/>
      <c r="E36" s="212"/>
      <c r="F36" s="251">
        <f>'数据-取费表'!B34</f>
        <v>0.05</v>
      </c>
      <c r="G36" s="252" t="s">
        <v>1528</v>
      </c>
    </row>
    <row r="37" spans="1:7" s="250" customFormat="1" ht="13.5" customHeight="1">
      <c r="A37" s="734" t="s">
        <v>353</v>
      </c>
      <c r="B37" s="207" t="s">
        <v>1529</v>
      </c>
      <c r="C37" s="241">
        <f ca="1">ROUND(E37*D37,0)</f>
        <v>51022</v>
      </c>
      <c r="D37" s="209">
        <f ca="1">D19</f>
        <v>255.11</v>
      </c>
      <c r="E37" s="241">
        <f>'数据-取费表'!B35</f>
        <v>200</v>
      </c>
      <c r="F37" s="251"/>
      <c r="G37" s="253"/>
    </row>
    <row r="38" spans="1:7" ht="13.5" customHeight="1">
      <c r="A38" s="734" t="s">
        <v>354</v>
      </c>
      <c r="B38" s="207" t="s">
        <v>1531</v>
      </c>
      <c r="C38" s="212">
        <f ca="1">ROUND(C34*F38,0)</f>
        <v>14796</v>
      </c>
      <c r="D38" s="212"/>
      <c r="E38" s="212"/>
      <c r="F38" s="251">
        <f>'数据-取费表'!B36</f>
        <v>0.02</v>
      </c>
      <c r="G38" s="211" t="s">
        <v>1526</v>
      </c>
    </row>
    <row r="39" spans="1:7" s="206" customFormat="1" ht="13.5" customHeight="1">
      <c r="A39" s="247" t="s">
        <v>1489</v>
      </c>
      <c r="B39" s="202" t="s">
        <v>1492</v>
      </c>
      <c r="C39" s="224">
        <f ca="1">ROUND(C33*F20,0)</f>
        <v>8796</v>
      </c>
      <c r="D39" s="224"/>
      <c r="E39" s="224"/>
      <c r="F39" s="225">
        <f>F20</f>
        <v>0.01</v>
      </c>
      <c r="G39" s="226" t="s">
        <v>1534</v>
      </c>
    </row>
    <row r="40" spans="1:7" s="206" customFormat="1" ht="13.5" customHeight="1">
      <c r="A40" s="247" t="s">
        <v>1491</v>
      </c>
      <c r="B40" s="202" t="s">
        <v>1495</v>
      </c>
      <c r="C40" s="227">
        <f>F21</f>
        <v>2.8000000000000001E-2</v>
      </c>
      <c r="D40" s="228" t="s">
        <v>1537</v>
      </c>
      <c r="E40" s="224"/>
      <c r="F40" s="225">
        <f>F21</f>
        <v>2.8000000000000001E-2</v>
      </c>
      <c r="G40" s="226" t="s">
        <v>1538</v>
      </c>
    </row>
    <row r="41" spans="1:7" s="206" customFormat="1" ht="13.5" customHeight="1">
      <c r="A41" s="247" t="s">
        <v>1494</v>
      </c>
      <c r="B41" s="202" t="s">
        <v>1499</v>
      </c>
      <c r="C41" s="224">
        <f ca="1">ROUND(SUM(C42:C43),0)</f>
        <v>13326</v>
      </c>
      <c r="D41" s="227">
        <f ca="1">C44</f>
        <v>4.0000000000000002E-4</v>
      </c>
      <c r="E41" s="228" t="s">
        <v>1537</v>
      </c>
      <c r="F41" s="229">
        <f ca="1">F22</f>
        <v>0.03</v>
      </c>
      <c r="G41" s="226" t="str">
        <f>IF('数据-取费表'!B22&lt;=1,"单利计息","复利计息")</f>
        <v>单利计息</v>
      </c>
    </row>
    <row r="42" spans="1:7" ht="13.5" customHeight="1">
      <c r="A42" s="734" t="s">
        <v>346</v>
      </c>
      <c r="B42" s="207" t="s">
        <v>1501</v>
      </c>
      <c r="C42" s="230">
        <f ca="1">ROUND(IF('数据-取费表'!B22&lt;=1,C33*F22*'数据-取费表'!B20/2,C33*(POWER((1+F22),'数据-取费表'!B20/2)-1)),0)</f>
        <v>13194</v>
      </c>
      <c r="D42" s="230"/>
      <c r="E42" s="230"/>
      <c r="F42" s="231"/>
      <c r="G42" s="3567" t="s">
        <v>1589</v>
      </c>
    </row>
    <row r="43" spans="1:7" ht="13.5" customHeight="1">
      <c r="A43" s="734" t="s">
        <v>347</v>
      </c>
      <c r="B43" s="207" t="s">
        <v>1504</v>
      </c>
      <c r="C43" s="230">
        <f ca="1">ROUND(IF('数据-取费表'!B22&lt;=1,C39*F22*'数据-取费表'!B20/2,C39*(POWER((1+F22),'数据-取费表'!B20/2)-1)),0)</f>
        <v>132</v>
      </c>
      <c r="D43" s="230"/>
      <c r="E43" s="230"/>
      <c r="F43" s="231"/>
      <c r="G43" s="3568"/>
    </row>
    <row r="44" spans="1:7" ht="13.5" customHeight="1">
      <c r="A44" s="734" t="s">
        <v>348</v>
      </c>
      <c r="B44" s="207" t="s">
        <v>1507</v>
      </c>
      <c r="C44" s="230">
        <f ca="1">ROUND(IF('数据-取费表'!B22&lt;=1,C40*F22*'数据-取费表'!B20/2,C40*(POWER((1+F22),'数据-取费表'!B20/2)-1)),4)</f>
        <v>4.0000000000000002E-4</v>
      </c>
      <c r="D44" s="230"/>
      <c r="E44" s="230"/>
      <c r="F44" s="231"/>
      <c r="G44" s="3569"/>
    </row>
    <row r="45" spans="1:7" s="206" customFormat="1" ht="13.5" customHeight="1">
      <c r="A45" s="247" t="s">
        <v>1498</v>
      </c>
      <c r="B45" s="236" t="s">
        <v>1511</v>
      </c>
      <c r="C45" s="237">
        <f ca="1">C46</f>
        <v>159915</v>
      </c>
      <c r="D45" s="227">
        <f ca="1">C47</f>
        <v>5.0000000000000001E-3</v>
      </c>
      <c r="E45" s="228" t="s">
        <v>1537</v>
      </c>
      <c r="F45" s="238">
        <f ca="1">F27</f>
        <v>0.18</v>
      </c>
      <c r="G45" s="239" t="s">
        <v>1546</v>
      </c>
    </row>
    <row r="46" spans="1:7" s="206" customFormat="1" ht="13.5" customHeight="1">
      <c r="A46" s="734" t="s">
        <v>346</v>
      </c>
      <c r="B46" s="240" t="s">
        <v>1547</v>
      </c>
      <c r="C46" s="241">
        <f ca="1">ROUND((C33+C39)*F27,0)</f>
        <v>159915</v>
      </c>
      <c r="D46" s="255"/>
      <c r="E46" s="228"/>
      <c r="F46" s="238"/>
      <c r="G46" s="239"/>
    </row>
    <row r="47" spans="1:7" s="206" customFormat="1" ht="13.5" customHeight="1">
      <c r="A47" s="734" t="s">
        <v>347</v>
      </c>
      <c r="B47" s="240" t="s">
        <v>1548</v>
      </c>
      <c r="C47" s="230">
        <f ca="1">ROUND(C40*F27,4)</f>
        <v>5.0000000000000001E-3</v>
      </c>
      <c r="D47" s="255"/>
      <c r="E47" s="228"/>
      <c r="F47" s="238"/>
      <c r="G47" s="239"/>
    </row>
    <row r="48" spans="1:7" s="206" customFormat="1" ht="13.5" customHeight="1">
      <c r="A48" s="247" t="s">
        <v>1510</v>
      </c>
      <c r="B48" s="202" t="s">
        <v>1549</v>
      </c>
      <c r="C48" s="254">
        <f>ROUND(F30/(1+'数据-取费表'!C42),4)</f>
        <v>5.33E-2</v>
      </c>
      <c r="D48" s="228" t="s">
        <v>1537</v>
      </c>
      <c r="E48" s="224"/>
      <c r="F48" s="229">
        <f>F30</f>
        <v>5.6000000000000001E-2</v>
      </c>
      <c r="G48" s="226" t="s">
        <v>1550</v>
      </c>
    </row>
    <row r="49" spans="1:7" ht="16.5" customHeight="1">
      <c r="A49" s="247" t="s">
        <v>1516</v>
      </c>
      <c r="B49" s="202" t="s">
        <v>1590</v>
      </c>
      <c r="C49" s="224">
        <f ca="1">ROUND((C33+C39+C41+C45)/(1-C40-D41-D45-C48),0)</f>
        <v>1162440</v>
      </c>
      <c r="D49" s="224"/>
      <c r="E49" s="224"/>
      <c r="F49" s="256"/>
      <c r="G49" s="226" t="s">
        <v>1552</v>
      </c>
    </row>
    <row r="50" spans="1:7" s="250" customFormat="1">
      <c r="A50" s="247" t="s">
        <v>1553</v>
      </c>
      <c r="B50" s="202" t="s">
        <v>1554</v>
      </c>
      <c r="C50" s="224"/>
      <c r="D50" s="224"/>
      <c r="E50" s="224"/>
      <c r="F50" s="256">
        <f>IF('数据-取费表'!B24=0,'数据-取费表'!N16,1)</f>
        <v>1</v>
      </c>
      <c r="G50" s="239"/>
    </row>
    <row r="51" spans="1:7" ht="16.5" customHeight="1">
      <c r="A51" s="247" t="s">
        <v>1556</v>
      </c>
      <c r="B51" s="202" t="s">
        <v>1591</v>
      </c>
      <c r="C51" s="224">
        <f ca="1">ROUND(C49*F50,0)</f>
        <v>1162440</v>
      </c>
      <c r="D51" s="224"/>
      <c r="E51" s="224"/>
      <c r="F51" s="256"/>
      <c r="G51" s="226" t="s">
        <v>1558</v>
      </c>
    </row>
    <row r="52" spans="1:7" s="200" customFormat="1" ht="16.5" thickBot="1">
      <c r="A52" s="257" t="s">
        <v>1559</v>
      </c>
      <c r="B52" s="258"/>
      <c r="C52" s="259">
        <f ca="1">C31+C51</f>
        <v>1740259</v>
      </c>
      <c r="D52" s="258"/>
      <c r="E52" s="258"/>
      <c r="F52" s="258"/>
      <c r="G52" s="260"/>
    </row>
    <row r="55" spans="1:7" ht="15">
      <c r="B55" s="262" t="s">
        <v>1560</v>
      </c>
      <c r="C55" s="263"/>
    </row>
    <row r="56" spans="1:7">
      <c r="B56" s="265" t="s">
        <v>802</v>
      </c>
      <c r="C56" s="267">
        <f ca="1">1-C57</f>
        <v>0.33199999999999996</v>
      </c>
    </row>
    <row r="57" spans="1:7">
      <c r="B57" s="265" t="s">
        <v>803</v>
      </c>
      <c r="C57" s="266">
        <f ca="1">ROUND(C51/C52,3)</f>
        <v>0.66800000000000004</v>
      </c>
    </row>
  </sheetData>
  <sheetProtection password="CEE9" sheet="1" objects="1" scenarios="1" formatCells="0"/>
  <mergeCells count="1">
    <mergeCell ref="G42:G44"/>
  </mergeCells>
  <phoneticPr fontId="136" type="noConversion"/>
  <dataValidations count="5">
    <dataValidation type="list" allowBlank="1" showInputMessage="1" showErrorMessage="1" sqref="G8" xr:uid="{00000000-0002-0000-2700-000000000000}">
      <formula1>"已包含在土地购买价格中,未包含在土地购买价格中"</formula1>
    </dataValidation>
    <dataValidation type="list" allowBlank="1" showInputMessage="1" showErrorMessage="1" sqref="G19" xr:uid="{00000000-0002-0000-2700-000001000000}">
      <formula1>"已包含在土地取得成本中,未包含在土地取得成本中"</formula1>
    </dataValidation>
    <dataValidation type="list" allowBlank="1" showInputMessage="1" showErrorMessage="1" sqref="B1" xr:uid="{00000000-0002-0000-2700-000002000000}">
      <formula1>项目类型</formula1>
    </dataValidation>
    <dataValidation type="list" allowBlank="1" showInputMessage="1" showErrorMessage="1" sqref="G2" xr:uid="{00000000-0002-0000-2700-000003000000}">
      <formula1>估价方法</formula1>
    </dataValidation>
    <dataValidation type="list" allowBlank="1" showInputMessage="1" showErrorMessage="1" sqref="D2" xr:uid="{00000000-0002-0000-2700-000004000000}">
      <formula1>"需扣减承租人权益,——"</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FFC000"/>
  </sheetPr>
  <dimension ref="A1:R124"/>
  <sheetViews>
    <sheetView topLeftCell="H1" workbookViewId="0">
      <selection activeCell="M54" sqref="M54"/>
    </sheetView>
  </sheetViews>
  <sheetFormatPr defaultRowHeight="13.5"/>
  <cols>
    <col min="6" max="6" width="29.5" customWidth="1"/>
    <col min="7" max="7" width="13" bestFit="1" customWidth="1"/>
    <col min="11" max="11" width="10.5" bestFit="1" customWidth="1"/>
    <col min="14" max="14" width="36.25" bestFit="1" customWidth="1"/>
    <col min="15" max="15" width="13" bestFit="1" customWidth="1"/>
    <col min="17" max="17" width="13" bestFit="1" customWidth="1"/>
  </cols>
  <sheetData>
    <row r="1" spans="1:18">
      <c r="F1" s="1405" t="s">
        <v>3506</v>
      </c>
      <c r="G1" s="1405" t="s">
        <v>2541</v>
      </c>
      <c r="H1" s="1405" t="s">
        <v>3507</v>
      </c>
      <c r="I1" s="1405" t="s">
        <v>3508</v>
      </c>
      <c r="J1" s="1405" t="s">
        <v>3509</v>
      </c>
      <c r="K1" s="1405" t="s">
        <v>3510</v>
      </c>
      <c r="L1" s="1405" t="s">
        <v>3511</v>
      </c>
      <c r="M1" s="1405" t="s">
        <v>3512</v>
      </c>
      <c r="N1" s="1405" t="s">
        <v>3516</v>
      </c>
      <c r="O1" s="1405" t="s">
        <v>3517</v>
      </c>
      <c r="P1" s="1405" t="s">
        <v>3513</v>
      </c>
      <c r="Q1" s="1405" t="s">
        <v>3514</v>
      </c>
      <c r="R1" s="1405" t="s">
        <v>3515</v>
      </c>
    </row>
    <row r="2" spans="1:18" ht="27">
      <c r="C2" s="1405" t="s">
        <v>3498</v>
      </c>
      <c r="D2" s="1405" t="s">
        <v>3499</v>
      </c>
      <c r="E2" s="1405" t="s">
        <v>3500</v>
      </c>
      <c r="F2" s="3248" t="s">
        <v>3501</v>
      </c>
      <c r="G2" t="s">
        <v>3502</v>
      </c>
      <c r="H2">
        <v>64053.15</v>
      </c>
      <c r="I2">
        <v>2.97</v>
      </c>
      <c r="J2" s="1405" t="s">
        <v>3503</v>
      </c>
      <c r="K2" s="1405" t="s">
        <v>3504</v>
      </c>
      <c r="L2" s="3249">
        <v>6.5199999999999994E-2</v>
      </c>
      <c r="M2" s="3249">
        <v>0.93479999999999996</v>
      </c>
      <c r="N2" s="1405">
        <v>11994</v>
      </c>
      <c r="O2" s="1405">
        <v>9360</v>
      </c>
      <c r="P2" s="1405">
        <v>28310</v>
      </c>
      <c r="Q2" s="1405">
        <v>9532</v>
      </c>
      <c r="R2" s="1405" t="s">
        <v>3505</v>
      </c>
    </row>
    <row r="3" spans="1:18">
      <c r="E3" s="1405" t="s">
        <v>3518</v>
      </c>
      <c r="F3" s="1405" t="s">
        <v>3519</v>
      </c>
      <c r="G3" t="s">
        <v>3502</v>
      </c>
      <c r="H3">
        <v>177278.6</v>
      </c>
      <c r="I3">
        <v>1.8</v>
      </c>
      <c r="J3" s="1405" t="s">
        <v>3503</v>
      </c>
      <c r="K3" s="1405" t="s">
        <v>3504</v>
      </c>
      <c r="L3" s="3249">
        <v>0.1031</v>
      </c>
      <c r="M3" s="3249">
        <v>0.89690000000000003</v>
      </c>
      <c r="N3">
        <v>14922</v>
      </c>
      <c r="O3">
        <v>10014</v>
      </c>
      <c r="P3">
        <v>18936</v>
      </c>
      <c r="Q3">
        <v>10520</v>
      </c>
      <c r="R3" s="1405" t="s">
        <v>3505</v>
      </c>
    </row>
    <row r="4" spans="1:18">
      <c r="E4" s="1405" t="s">
        <v>3520</v>
      </c>
      <c r="F4" s="1405" t="s">
        <v>3521</v>
      </c>
      <c r="G4" t="s">
        <v>3502</v>
      </c>
      <c r="H4">
        <v>30335.279999999999</v>
      </c>
      <c r="I4">
        <v>1.54</v>
      </c>
      <c r="J4" s="1405" t="s">
        <v>3503</v>
      </c>
      <c r="K4" s="1405" t="s">
        <v>3504</v>
      </c>
      <c r="L4" s="3250">
        <v>3.6799999999999999E-2</v>
      </c>
      <c r="M4" s="3250">
        <v>0.96319999999999995</v>
      </c>
      <c r="N4" s="1405">
        <v>10964</v>
      </c>
      <c r="O4" s="1405">
        <v>7733</v>
      </c>
      <c r="P4" s="1405">
        <v>12092</v>
      </c>
      <c r="Q4" s="1405">
        <v>7852</v>
      </c>
      <c r="R4" s="1405" t="s">
        <v>3522</v>
      </c>
    </row>
    <row r="5" spans="1:18" ht="27">
      <c r="A5" s="3240" t="s">
        <v>3526</v>
      </c>
      <c r="E5" s="1405" t="s">
        <v>3524</v>
      </c>
      <c r="F5" s="3248" t="s">
        <v>3546</v>
      </c>
      <c r="H5">
        <v>88992.31</v>
      </c>
      <c r="I5">
        <v>1.76</v>
      </c>
      <c r="J5" s="1405" t="s">
        <v>3503</v>
      </c>
      <c r="K5">
        <f>ROUND(K8/365,0)</f>
        <v>58</v>
      </c>
    </row>
    <row r="6" spans="1:18">
      <c r="A6" s="3252" t="s">
        <v>3527</v>
      </c>
      <c r="B6">
        <v>-0.47</v>
      </c>
      <c r="K6" s="3261">
        <v>67050</v>
      </c>
    </row>
    <row r="7" spans="1:18">
      <c r="A7" s="3252" t="s">
        <v>3528</v>
      </c>
      <c r="B7">
        <v>-0.43</v>
      </c>
      <c r="K7" s="3261">
        <v>45840</v>
      </c>
    </row>
    <row r="8" spans="1:18">
      <c r="A8" s="3252" t="s">
        <v>3529</v>
      </c>
      <c r="B8">
        <v>-1.17</v>
      </c>
      <c r="K8">
        <f>K6-K7</f>
        <v>21210</v>
      </c>
    </row>
    <row r="9" spans="1:18">
      <c r="A9" s="3252" t="s">
        <v>3530</v>
      </c>
      <c r="B9">
        <v>-0.8</v>
      </c>
    </row>
    <row r="10" spans="1:18">
      <c r="A10" s="3252" t="s">
        <v>3531</v>
      </c>
      <c r="B10">
        <v>-0.83</v>
      </c>
      <c r="C10">
        <f>ROUND((1-0.43%)*(1-1.17%)*(1-0.8%)*(1-0.83%),4)</f>
        <v>0.96809999999999996</v>
      </c>
      <c r="G10" s="3288">
        <v>1.76</v>
      </c>
      <c r="H10">
        <f>I2</f>
        <v>2.97</v>
      </c>
      <c r="I10">
        <f>I3</f>
        <v>1.8</v>
      </c>
      <c r="J10">
        <f>I4</f>
        <v>1.54</v>
      </c>
    </row>
    <row r="11" spans="1:18">
      <c r="A11" s="3251"/>
      <c r="H11">
        <f>O2</f>
        <v>9360</v>
      </c>
      <c r="I11">
        <f>O3</f>
        <v>10014</v>
      </c>
      <c r="J11">
        <f>O4</f>
        <v>7733</v>
      </c>
    </row>
    <row r="12" spans="1:18">
      <c r="A12" s="3258" t="s">
        <v>3535</v>
      </c>
      <c r="B12" s="3259">
        <v>2.9</v>
      </c>
      <c r="C12" s="3259"/>
      <c r="D12" s="3259">
        <v>1.5</v>
      </c>
      <c r="G12" s="1405" t="s">
        <v>3784</v>
      </c>
      <c r="H12">
        <v>55</v>
      </c>
      <c r="I12">
        <v>53</v>
      </c>
      <c r="J12">
        <v>65</v>
      </c>
    </row>
    <row r="13" spans="1:18">
      <c r="A13" s="3258" t="s">
        <v>3536</v>
      </c>
      <c r="B13" s="3259">
        <v>3</v>
      </c>
      <c r="C13" s="3259"/>
      <c r="D13" s="3259">
        <v>1.6</v>
      </c>
      <c r="F13" s="3244" t="s">
        <v>3523</v>
      </c>
      <c r="G13" s="3245">
        <v>1</v>
      </c>
      <c r="H13" s="3245">
        <v>1</v>
      </c>
      <c r="I13" s="3245">
        <v>1</v>
      </c>
      <c r="J13" s="3245">
        <v>1</v>
      </c>
      <c r="O13" s="1405" t="s">
        <v>3508</v>
      </c>
      <c r="P13" s="1405" t="s">
        <v>3548</v>
      </c>
      <c r="Q13" s="1405" t="s">
        <v>3887</v>
      </c>
      <c r="R13" s="1405" t="s">
        <v>3886</v>
      </c>
    </row>
    <row r="14" spans="1:18">
      <c r="A14" s="3252" t="s">
        <v>3534</v>
      </c>
      <c r="B14">
        <f>I2</f>
        <v>2.97</v>
      </c>
      <c r="C14">
        <f>I3</f>
        <v>1.8</v>
      </c>
      <c r="D14">
        <f>I4</f>
        <v>1.54</v>
      </c>
      <c r="F14" s="3244" t="s">
        <v>3525</v>
      </c>
      <c r="G14" s="3245">
        <f>C10</f>
        <v>0.96809999999999996</v>
      </c>
      <c r="H14" s="3245">
        <v>1</v>
      </c>
      <c r="I14" s="3245">
        <v>1</v>
      </c>
      <c r="J14" s="3245">
        <v>1</v>
      </c>
      <c r="N14" s="3293"/>
      <c r="O14" s="3293">
        <v>1.76</v>
      </c>
      <c r="P14" s="3293">
        <f>ROUND(G29,0)</f>
        <v>10860</v>
      </c>
      <c r="Q14" s="3293">
        <f>P14*0.1</f>
        <v>1086</v>
      </c>
      <c r="R14" s="3293"/>
    </row>
    <row r="15" spans="1:18">
      <c r="A15" s="3198">
        <f>ROUND(A17+(A14-A12)*(A18-A17)/(A13-A12),4)</f>
        <v>1.3897999999999999</v>
      </c>
      <c r="B15">
        <f t="shared" ref="B15" si="0">ROUND(B17+(B14-B12)*(B18-B17)/(B13-B12),4)</f>
        <v>0.96340000000000003</v>
      </c>
      <c r="C15">
        <v>1.3593</v>
      </c>
      <c r="D15">
        <f>ROUND(D17+(D14-D12)*(D18-D17)/(D13-D12),4)</f>
        <v>1.5512999999999999</v>
      </c>
      <c r="F15" s="3289" t="s">
        <v>3532</v>
      </c>
      <c r="G15" s="3289">
        <f>A15</f>
        <v>1.3897999999999999</v>
      </c>
      <c r="H15" s="3289">
        <f>B15</f>
        <v>0.96340000000000003</v>
      </c>
      <c r="I15" s="3289">
        <f>C15</f>
        <v>1.3593</v>
      </c>
      <c r="J15" s="3289">
        <f>D15</f>
        <v>1.5512999999999999</v>
      </c>
      <c r="N15" s="3293"/>
      <c r="O15" s="3293">
        <v>1.97</v>
      </c>
      <c r="P15" s="3293">
        <f>G53</f>
        <v>9531</v>
      </c>
      <c r="Q15" s="3293">
        <f>G54</f>
        <v>953</v>
      </c>
      <c r="R15" s="3293"/>
    </row>
    <row r="16" spans="1:18">
      <c r="A16" s="3251"/>
      <c r="F16" s="3244" t="s">
        <v>3537</v>
      </c>
      <c r="G16" s="3245">
        <v>1</v>
      </c>
      <c r="H16" s="3245">
        <v>1</v>
      </c>
      <c r="I16" s="3245">
        <v>1</v>
      </c>
      <c r="J16" s="3245">
        <v>1</v>
      </c>
      <c r="N16" s="1448" t="s">
        <v>3884</v>
      </c>
      <c r="O16" s="3293">
        <v>1.7</v>
      </c>
      <c r="P16" s="3293">
        <f>G74</f>
        <v>11224</v>
      </c>
      <c r="Q16" s="3293">
        <f>G78</f>
        <v>1122</v>
      </c>
      <c r="R16" s="3293">
        <f ca="1">'成本法 (元)-地下-容积率1.7'!B3</f>
        <v>6295</v>
      </c>
    </row>
    <row r="17" spans="1:18" ht="13.5" customHeight="1">
      <c r="A17" s="3259">
        <v>1.4356</v>
      </c>
      <c r="B17" s="3259">
        <v>0.9677</v>
      </c>
      <c r="C17" s="3259"/>
      <c r="D17" s="3259">
        <v>1.5831</v>
      </c>
      <c r="E17" s="3690" t="s">
        <v>3543</v>
      </c>
      <c r="F17" s="3290" t="s">
        <v>3538</v>
      </c>
      <c r="G17" s="3291">
        <v>0.99</v>
      </c>
      <c r="H17" s="3291">
        <v>1.01</v>
      </c>
      <c r="I17" s="3291">
        <v>1.01</v>
      </c>
      <c r="J17" s="3291">
        <v>0.99</v>
      </c>
      <c r="N17" s="1448" t="s">
        <v>3883</v>
      </c>
      <c r="O17" s="3293">
        <v>1.8</v>
      </c>
      <c r="P17" s="3293">
        <f>G100</f>
        <v>10617</v>
      </c>
      <c r="Q17" s="3293">
        <f>G101</f>
        <v>1062</v>
      </c>
      <c r="R17" s="3293">
        <f ca="1">'成本法 (元)-地下-容积率1.8'!B3</f>
        <v>6212</v>
      </c>
    </row>
    <row r="18" spans="1:18">
      <c r="A18" s="3259">
        <v>1.3593</v>
      </c>
      <c r="B18" s="3259">
        <v>0.96160000000000001</v>
      </c>
      <c r="C18" s="3259"/>
      <c r="D18" s="3259">
        <v>1.5036</v>
      </c>
      <c r="E18" s="3690"/>
      <c r="F18" s="3290" t="s">
        <v>3539</v>
      </c>
      <c r="G18" s="3291">
        <v>1.02</v>
      </c>
      <c r="H18" s="3291">
        <v>1.01</v>
      </c>
      <c r="I18" s="3291">
        <v>1.02</v>
      </c>
      <c r="J18" s="3291">
        <v>0.99</v>
      </c>
      <c r="N18" s="1448" t="s">
        <v>3885</v>
      </c>
      <c r="O18" s="3293">
        <v>2</v>
      </c>
      <c r="P18" s="3293">
        <f>G123</f>
        <v>9306</v>
      </c>
      <c r="Q18" s="3293">
        <f>G124</f>
        <v>931</v>
      </c>
      <c r="R18" s="3293">
        <f ca="1">'成本法 (元)-地下-容积率2'!B3</f>
        <v>6032</v>
      </c>
    </row>
    <row r="19" spans="1:18">
      <c r="E19" s="3690"/>
      <c r="F19" s="3290" t="s">
        <v>3540</v>
      </c>
      <c r="G19" s="3291">
        <v>1.01</v>
      </c>
      <c r="H19" s="3291">
        <v>1.01</v>
      </c>
      <c r="I19" s="3291">
        <v>1.01</v>
      </c>
      <c r="J19" s="3291">
        <v>1.01</v>
      </c>
      <c r="M19" s="3293"/>
      <c r="N19" s="3293"/>
      <c r="O19" s="3353">
        <v>1</v>
      </c>
      <c r="P19" s="3353">
        <f>O52</f>
        <v>15037</v>
      </c>
      <c r="Q19" s="3353">
        <f>O53</f>
        <v>1504</v>
      </c>
      <c r="R19" s="3353">
        <f ca="1">'成本法 (元)-地下-容积率1'!B3</f>
        <v>6822</v>
      </c>
    </row>
    <row r="20" spans="1:18">
      <c r="E20" s="3690"/>
      <c r="F20" s="3290" t="s">
        <v>3544</v>
      </c>
      <c r="G20" s="3291">
        <v>1</v>
      </c>
      <c r="H20" s="3291">
        <v>1</v>
      </c>
      <c r="I20" s="3291">
        <v>1</v>
      </c>
      <c r="J20" s="3291">
        <v>1</v>
      </c>
    </row>
    <row r="21" spans="1:18">
      <c r="A21" s="3252" t="s">
        <v>3786</v>
      </c>
      <c r="B21">
        <v>2.9</v>
      </c>
      <c r="D21">
        <v>1.5</v>
      </c>
      <c r="E21" s="3690"/>
      <c r="F21" s="3290" t="s">
        <v>3541</v>
      </c>
      <c r="G21" s="3291">
        <v>1.05</v>
      </c>
      <c r="H21" s="3291">
        <v>1.05</v>
      </c>
      <c r="I21" s="3291">
        <v>1.05</v>
      </c>
      <c r="J21" s="3291">
        <v>1.05</v>
      </c>
    </row>
    <row r="22" spans="1:18">
      <c r="A22" s="3252" t="s">
        <v>3788</v>
      </c>
      <c r="B22">
        <v>3</v>
      </c>
      <c r="D22">
        <v>1.6</v>
      </c>
      <c r="E22" s="3690"/>
      <c r="F22" s="3290" t="s">
        <v>3542</v>
      </c>
      <c r="G22" s="3291">
        <v>1</v>
      </c>
      <c r="H22" s="3291">
        <v>1</v>
      </c>
      <c r="I22" s="3291">
        <v>1.1000000000000001</v>
      </c>
      <c r="J22" s="3291">
        <v>1</v>
      </c>
    </row>
    <row r="23" spans="1:18">
      <c r="A23" s="3252" t="s">
        <v>3785</v>
      </c>
      <c r="B23">
        <v>2.97</v>
      </c>
      <c r="C23">
        <v>1.8</v>
      </c>
      <c r="D23">
        <v>1.54</v>
      </c>
      <c r="F23" s="3245"/>
      <c r="G23" s="3245">
        <f>ROUND(G17*G18*G19*G20*G21*G22,4)</f>
        <v>1.0709</v>
      </c>
      <c r="H23" s="3245">
        <f>ROUND(H17*H18*H19*H20*H21*H22,4)</f>
        <v>1.0818000000000001</v>
      </c>
      <c r="I23" s="3245">
        <f>ROUND(I17*I18*I19*I20*I21*I22,4)</f>
        <v>1.2018</v>
      </c>
      <c r="J23" s="3245">
        <f>ROUND(J17*J18*J19*J20*J21*J22,4)</f>
        <v>1.0394000000000001</v>
      </c>
    </row>
    <row r="24" spans="1:18">
      <c r="A24" s="3198">
        <f>ROUND(A25+(A23-A21)*(A26-A25)/(A22-A21),4)</f>
        <v>1.2219</v>
      </c>
      <c r="B24">
        <f>ROUND(B25+(B23-B21)*(B26-B25)/(B22-B21),4)</f>
        <v>0.96340000000000003</v>
      </c>
      <c r="C24">
        <v>1.3593</v>
      </c>
      <c r="D24">
        <f>ROUND(D25+(D23-D21)*(D26-D25)/(D22-D21),4)</f>
        <v>1.5512999999999999</v>
      </c>
      <c r="F24" s="3244" t="s">
        <v>3545</v>
      </c>
      <c r="G24" s="3245">
        <v>280</v>
      </c>
      <c r="H24" s="3245">
        <v>280</v>
      </c>
      <c r="I24" s="3245">
        <v>280</v>
      </c>
      <c r="J24" s="3245">
        <v>280</v>
      </c>
    </row>
    <row r="25" spans="1:18">
      <c r="A25" s="3259">
        <v>1.2885</v>
      </c>
      <c r="B25" s="3259">
        <v>0.9677</v>
      </c>
      <c r="C25" s="3259"/>
      <c r="D25" s="3259">
        <v>1.5831</v>
      </c>
      <c r="F25" s="3244" t="s">
        <v>3547</v>
      </c>
      <c r="G25" s="3245">
        <v>0.97330000000000005</v>
      </c>
      <c r="H25" s="3245">
        <v>1</v>
      </c>
      <c r="I25" s="3245">
        <v>1</v>
      </c>
      <c r="J25" s="3245">
        <v>1</v>
      </c>
    </row>
    <row r="26" spans="1:18">
      <c r="A26" s="3259">
        <v>1.1933</v>
      </c>
      <c r="B26" s="3259">
        <v>0.96160000000000001</v>
      </c>
      <c r="C26" s="3259"/>
      <c r="D26" s="3259">
        <v>1.5036</v>
      </c>
      <c r="G26" s="3262">
        <f>ROUND(H26*H27+I26*I27+J26*J27,0)</f>
        <v>10860</v>
      </c>
      <c r="H26">
        <f>ROUND((H11+($G$24/$G$10)-(H24/H10))*($G$13/H13)*($G$14/H14)*($G$15/H15)*($G$16/H16)*($G$23/H23)*($G$25/H25),0)</f>
        <v>12682</v>
      </c>
      <c r="I26">
        <f>ROUND((I11+($G$24/$G$10)-(I24/I10))*($G$13/I13)*($G$14/I14)*($G$15/I15)*($G$16/I16)*($G$23/I23)*($G$25/I25),0)</f>
        <v>8600</v>
      </c>
      <c r="J26">
        <f>ROUND((J11+($G$24/$G$10)-(J24/J10))*($G$13/J13)*($G$14/J14)*($G$15/J15)*($G$16/J16)*($G$23/J23)*($G$25/J25),0)</f>
        <v>6706</v>
      </c>
    </row>
    <row r="27" spans="1:18">
      <c r="H27">
        <v>0.6</v>
      </c>
      <c r="I27">
        <v>0.3</v>
      </c>
      <c r="J27">
        <v>0.1</v>
      </c>
    </row>
    <row r="29" spans="1:18">
      <c r="F29" s="1405" t="s">
        <v>3548</v>
      </c>
      <c r="G29">
        <f>G26</f>
        <v>10860</v>
      </c>
    </row>
    <row r="30" spans="1:18">
      <c r="F30" s="1405" t="s">
        <v>3549</v>
      </c>
      <c r="G30">
        <f>ROUND(G29*0.1,0)</f>
        <v>1086</v>
      </c>
    </row>
    <row r="33" spans="5:18">
      <c r="O33" s="3352">
        <v>1</v>
      </c>
      <c r="P33">
        <v>2.97</v>
      </c>
      <c r="Q33">
        <v>1.8</v>
      </c>
      <c r="R33">
        <v>1.54</v>
      </c>
    </row>
    <row r="34" spans="5:18">
      <c r="G34" s="3288">
        <v>1.97</v>
      </c>
      <c r="H34">
        <v>2.97</v>
      </c>
      <c r="I34">
        <v>1.8</v>
      </c>
      <c r="J34">
        <v>1.54</v>
      </c>
      <c r="P34">
        <v>9360</v>
      </c>
      <c r="Q34">
        <v>10014</v>
      </c>
      <c r="R34">
        <v>7733</v>
      </c>
    </row>
    <row r="35" spans="5:18">
      <c r="H35">
        <v>9360</v>
      </c>
      <c r="I35">
        <v>10014</v>
      </c>
      <c r="J35">
        <v>7733</v>
      </c>
      <c r="O35" s="1405"/>
      <c r="P35">
        <v>55</v>
      </c>
      <c r="Q35">
        <v>53</v>
      </c>
      <c r="R35">
        <v>65</v>
      </c>
    </row>
    <row r="36" spans="5:18">
      <c r="G36" s="1405"/>
      <c r="H36">
        <v>55</v>
      </c>
      <c r="I36">
        <v>53</v>
      </c>
      <c r="J36">
        <v>65</v>
      </c>
      <c r="N36" s="3244" t="s">
        <v>3523</v>
      </c>
      <c r="O36" s="3245">
        <v>1</v>
      </c>
      <c r="P36" s="3245">
        <v>1</v>
      </c>
      <c r="Q36" s="3245">
        <v>1</v>
      </c>
      <c r="R36" s="3245">
        <v>1</v>
      </c>
    </row>
    <row r="37" spans="5:18">
      <c r="F37" s="3244" t="s">
        <v>3523</v>
      </c>
      <c r="G37" s="3245">
        <v>1</v>
      </c>
      <c r="H37" s="3245">
        <v>1</v>
      </c>
      <c r="I37" s="3245">
        <v>1</v>
      </c>
      <c r="J37" s="3245">
        <v>1</v>
      </c>
      <c r="N37" s="3244" t="s">
        <v>3525</v>
      </c>
      <c r="O37" s="3245">
        <f>C10</f>
        <v>0.96809999999999996</v>
      </c>
      <c r="P37" s="3245">
        <v>1</v>
      </c>
      <c r="Q37" s="3245">
        <v>1</v>
      </c>
      <c r="R37" s="3245">
        <v>1</v>
      </c>
    </row>
    <row r="38" spans="5:18">
      <c r="F38" s="3244" t="s">
        <v>3525</v>
      </c>
      <c r="G38" s="3245">
        <f>G14</f>
        <v>0.96809999999999996</v>
      </c>
      <c r="H38" s="3245">
        <v>1</v>
      </c>
      <c r="I38" s="3245">
        <v>1</v>
      </c>
      <c r="J38" s="3245">
        <v>1</v>
      </c>
      <c r="N38" s="3289" t="s">
        <v>3532</v>
      </c>
      <c r="O38" s="3292">
        <v>1.9</v>
      </c>
      <c r="P38" s="3289">
        <f>B15</f>
        <v>0.96340000000000003</v>
      </c>
      <c r="Q38" s="3289">
        <f>C15</f>
        <v>1.3593</v>
      </c>
      <c r="R38" s="3289">
        <f>D15</f>
        <v>1.5512999999999999</v>
      </c>
    </row>
    <row r="39" spans="5:18">
      <c r="F39" s="3289" t="s">
        <v>3532</v>
      </c>
      <c r="G39" s="3292">
        <f>A24</f>
        <v>1.2219</v>
      </c>
      <c r="H39" s="3289">
        <f>B15</f>
        <v>0.96340000000000003</v>
      </c>
      <c r="I39" s="3289">
        <f>C15</f>
        <v>1.3593</v>
      </c>
      <c r="J39" s="3289">
        <f>D15</f>
        <v>1.5512999999999999</v>
      </c>
      <c r="N39" s="3244" t="s">
        <v>3537</v>
      </c>
      <c r="O39" s="3245">
        <v>1</v>
      </c>
      <c r="P39" s="3245">
        <v>1</v>
      </c>
      <c r="Q39" s="3245">
        <v>1</v>
      </c>
      <c r="R39" s="3245">
        <v>1</v>
      </c>
    </row>
    <row r="40" spans="5:18">
      <c r="F40" s="3244" t="s">
        <v>3537</v>
      </c>
      <c r="G40" s="3245">
        <v>1</v>
      </c>
      <c r="H40" s="3245">
        <v>1</v>
      </c>
      <c r="I40" s="3245">
        <v>1</v>
      </c>
      <c r="J40" s="3245">
        <v>1</v>
      </c>
      <c r="M40" s="3690" t="s">
        <v>3543</v>
      </c>
      <c r="N40" s="3290" t="s">
        <v>3538</v>
      </c>
      <c r="O40" s="3291">
        <v>0.99</v>
      </c>
      <c r="P40" s="3291">
        <v>1.01</v>
      </c>
      <c r="Q40" s="3291">
        <v>1.01</v>
      </c>
      <c r="R40" s="3291">
        <v>0.99</v>
      </c>
    </row>
    <row r="41" spans="5:18" ht="13.5" customHeight="1">
      <c r="E41" s="3690" t="s">
        <v>3543</v>
      </c>
      <c r="F41" s="3290" t="s">
        <v>3538</v>
      </c>
      <c r="G41" s="3291">
        <v>0.99</v>
      </c>
      <c r="H41" s="3291">
        <v>1.01</v>
      </c>
      <c r="I41" s="3291">
        <v>1.01</v>
      </c>
      <c r="J41" s="3291">
        <v>0.99</v>
      </c>
      <c r="M41" s="3690"/>
      <c r="N41" s="3290" t="s">
        <v>3539</v>
      </c>
      <c r="O41" s="3291">
        <v>1.02</v>
      </c>
      <c r="P41" s="3291">
        <v>1.01</v>
      </c>
      <c r="Q41" s="3291">
        <v>1.02</v>
      </c>
      <c r="R41" s="3291">
        <v>0.99</v>
      </c>
    </row>
    <row r="42" spans="5:18">
      <c r="E42" s="3690"/>
      <c r="F42" s="3290" t="s">
        <v>3539</v>
      </c>
      <c r="G42" s="3291">
        <v>1.02</v>
      </c>
      <c r="H42" s="3291">
        <v>1.01</v>
      </c>
      <c r="I42" s="3291">
        <v>1.02</v>
      </c>
      <c r="J42" s="3291">
        <v>0.99</v>
      </c>
      <c r="M42" s="3690"/>
      <c r="N42" s="3290" t="s">
        <v>3540</v>
      </c>
      <c r="O42" s="3291">
        <v>1.01</v>
      </c>
      <c r="P42" s="3291">
        <v>1.01</v>
      </c>
      <c r="Q42" s="3291">
        <v>1.01</v>
      </c>
      <c r="R42" s="3291">
        <v>1.01</v>
      </c>
    </row>
    <row r="43" spans="5:18">
      <c r="E43" s="3690"/>
      <c r="F43" s="3290" t="s">
        <v>3540</v>
      </c>
      <c r="G43" s="3291">
        <v>1.01</v>
      </c>
      <c r="H43" s="3291">
        <v>1.01</v>
      </c>
      <c r="I43" s="3291">
        <v>1.01</v>
      </c>
      <c r="J43" s="3291">
        <v>1.01</v>
      </c>
      <c r="M43" s="3690"/>
      <c r="N43" s="3290" t="s">
        <v>3544</v>
      </c>
      <c r="O43" s="3291">
        <v>1</v>
      </c>
      <c r="P43" s="3291">
        <v>1</v>
      </c>
      <c r="Q43" s="3291">
        <v>1</v>
      </c>
      <c r="R43" s="3291">
        <v>1</v>
      </c>
    </row>
    <row r="44" spans="5:18">
      <c r="E44" s="3690"/>
      <c r="F44" s="3290" t="s">
        <v>3544</v>
      </c>
      <c r="G44" s="3291">
        <v>1</v>
      </c>
      <c r="H44" s="3291">
        <v>1</v>
      </c>
      <c r="I44" s="3291">
        <v>1</v>
      </c>
      <c r="J44" s="3291">
        <v>1</v>
      </c>
      <c r="M44" s="3690"/>
      <c r="N44" s="3290" t="s">
        <v>3541</v>
      </c>
      <c r="O44" s="3291">
        <v>1.05</v>
      </c>
      <c r="P44" s="3291">
        <v>1.05</v>
      </c>
      <c r="Q44" s="3291">
        <v>1.05</v>
      </c>
      <c r="R44" s="3291">
        <v>1.05</v>
      </c>
    </row>
    <row r="45" spans="5:18">
      <c r="E45" s="3690"/>
      <c r="F45" s="3290" t="s">
        <v>3541</v>
      </c>
      <c r="G45" s="3291">
        <v>1.05</v>
      </c>
      <c r="H45" s="3291">
        <v>1.05</v>
      </c>
      <c r="I45" s="3291">
        <v>1.05</v>
      </c>
      <c r="J45" s="3291">
        <v>1.05</v>
      </c>
      <c r="M45" s="3690"/>
      <c r="N45" s="3290" t="s">
        <v>3542</v>
      </c>
      <c r="O45" s="3291">
        <v>1</v>
      </c>
      <c r="P45" s="3291">
        <v>1</v>
      </c>
      <c r="Q45" s="3291">
        <v>1.1000000000000001</v>
      </c>
      <c r="R45" s="3291">
        <v>1</v>
      </c>
    </row>
    <row r="46" spans="5:18">
      <c r="E46" s="3690"/>
      <c r="F46" s="3290" t="s">
        <v>3542</v>
      </c>
      <c r="G46" s="3291">
        <v>1</v>
      </c>
      <c r="H46" s="3291">
        <v>1</v>
      </c>
      <c r="I46" s="3291">
        <v>1.1000000000000001</v>
      </c>
      <c r="J46" s="3291">
        <v>1</v>
      </c>
      <c r="N46" s="3245"/>
      <c r="O46" s="3245">
        <f>ROUND(O40*O41*O42*O43*O44*O45,4)</f>
        <v>1.0709</v>
      </c>
      <c r="P46" s="3245">
        <f>ROUND(P40*P41*P42*P43*P44*P45,4)</f>
        <v>1.0818000000000001</v>
      </c>
      <c r="Q46" s="3245">
        <f>ROUND(Q40*Q41*Q42*Q43*Q44*Q45,4)</f>
        <v>1.2018</v>
      </c>
      <c r="R46" s="3245">
        <f>ROUND(R40*R41*R42*R43*R44*R45,4)</f>
        <v>1.0394000000000001</v>
      </c>
    </row>
    <row r="47" spans="5:18">
      <c r="F47" s="3245"/>
      <c r="G47" s="3245">
        <f>ROUND(G41*G42*G43*G44*G45*G46,4)</f>
        <v>1.0709</v>
      </c>
      <c r="H47" s="3245">
        <f>ROUND(H41*H42*H43*H44*H45*H46,4)</f>
        <v>1.0818000000000001</v>
      </c>
      <c r="I47" s="3245">
        <f>ROUND(I41*I42*I43*I44*I45*I46,4)</f>
        <v>1.2018</v>
      </c>
      <c r="J47" s="3245">
        <f>ROUND(J41*J42*J43*J44*J45*J46,4)</f>
        <v>1.0394000000000001</v>
      </c>
      <c r="N47" s="3244" t="s">
        <v>3545</v>
      </c>
      <c r="O47" s="3245">
        <v>280</v>
      </c>
      <c r="P47" s="3245">
        <v>280</v>
      </c>
      <c r="Q47" s="3245">
        <v>280</v>
      </c>
      <c r="R47" s="3245">
        <v>280</v>
      </c>
    </row>
    <row r="48" spans="5:18">
      <c r="F48" s="3244" t="s">
        <v>3545</v>
      </c>
      <c r="G48" s="3245">
        <v>280</v>
      </c>
      <c r="H48" s="3245">
        <v>280</v>
      </c>
      <c r="I48" s="3245">
        <v>280</v>
      </c>
      <c r="J48" s="3245">
        <v>280</v>
      </c>
      <c r="N48" s="3244" t="s">
        <v>3547</v>
      </c>
      <c r="O48" s="3245">
        <v>0.97330000000000005</v>
      </c>
      <c r="P48" s="3245">
        <v>1</v>
      </c>
      <c r="Q48" s="3245">
        <v>1</v>
      </c>
      <c r="R48" s="3245">
        <v>1</v>
      </c>
    </row>
    <row r="49" spans="6:18">
      <c r="F49" s="3244" t="s">
        <v>3547</v>
      </c>
      <c r="G49" s="3245">
        <v>0.97330000000000005</v>
      </c>
      <c r="H49" s="3245">
        <v>1</v>
      </c>
      <c r="I49" s="3245">
        <v>1</v>
      </c>
      <c r="J49" s="3245">
        <v>1</v>
      </c>
      <c r="O49" s="3262">
        <f>ROUND(P49*P50+Q49*Q50+R49*R50,0)</f>
        <v>15037</v>
      </c>
      <c r="P49">
        <f>ROUND((P34+($O$47/$O$33)-(P47/P33))*($O$36/P36)*($O$37/P37)*($O$38/P38)*($O$39/P39)*($O$46/P46)*($O$48/P48),0)</f>
        <v>17560</v>
      </c>
      <c r="Q49">
        <f>ROUND((Q34+($O$47/$O$33)-(Q47/Q33))*($O$36/Q36)*($O$37/Q37)*($O$38/Q38)*($O$39/Q39)*($O$46/Q46)*($O$48/Q48),0)</f>
        <v>11899</v>
      </c>
      <c r="R49">
        <f t="shared" ref="R49" si="1">ROUND((R34+($O$47/$O$33)-(R47/R33))*($O$36/R36)*($O$37/R37)*($O$38/R38)*($O$39/R39)*($O$46/R46)*($O$48/R48),0)</f>
        <v>9311</v>
      </c>
    </row>
    <row r="50" spans="6:18">
      <c r="G50" s="3262">
        <f>ROUND(H50*H51+I50*I51+J50*J51,0)</f>
        <v>9531</v>
      </c>
      <c r="H50">
        <f>ROUND((H35+($G$48/$G$34)-(H48/H34))*($G$37/H37)*($G$38/H38)*($G$39/H39)*($G$40/H40)*($G$47/H47)*($G$49/H49),0)</f>
        <v>11130</v>
      </c>
      <c r="I50">
        <f>ROUND((I35+($G$48/$G$34)-(I48/I34))*($G$37/I37)*($G$38/I38)*($G$39/I39)*($G$40/I40)*($G$47/I47)*($G$49/I49),0)</f>
        <v>7548</v>
      </c>
      <c r="J50">
        <f>ROUND((J35+($G$48/$G$34)-(J48/J34))*($G$37/J37)*($G$38/J38)*($G$39/J39)*($G$40/J40)*($G$47/J47)*($G$49/J49),0)</f>
        <v>5883</v>
      </c>
      <c r="P50">
        <v>0.6</v>
      </c>
      <c r="Q50">
        <v>0.3</v>
      </c>
      <c r="R50">
        <v>0.1</v>
      </c>
    </row>
    <row r="51" spans="6:18">
      <c r="H51">
        <v>0.6</v>
      </c>
      <c r="I51">
        <v>0.3</v>
      </c>
      <c r="J51">
        <v>0.1</v>
      </c>
    </row>
    <row r="52" spans="6:18">
      <c r="N52" s="3350" t="s">
        <v>3548</v>
      </c>
      <c r="O52" s="3351">
        <f>O49</f>
        <v>15037</v>
      </c>
    </row>
    <row r="53" spans="6:18">
      <c r="F53" s="1405" t="s">
        <v>3548</v>
      </c>
      <c r="G53">
        <f>G50</f>
        <v>9531</v>
      </c>
      <c r="N53" s="3350" t="s">
        <v>3549</v>
      </c>
      <c r="O53" s="3351">
        <f>ROUND(O52*0.1,0)</f>
        <v>1504</v>
      </c>
    </row>
    <row r="54" spans="6:18">
      <c r="F54" s="1405" t="s">
        <v>3549</v>
      </c>
      <c r="G54">
        <f>ROUND(G53*0.1,0)</f>
        <v>953</v>
      </c>
    </row>
    <row r="58" spans="6:18" ht="63.75">
      <c r="G58">
        <v>1.7</v>
      </c>
      <c r="H58">
        <v>2.97</v>
      </c>
      <c r="I58">
        <v>1.8</v>
      </c>
      <c r="J58">
        <v>1.54</v>
      </c>
      <c r="N58" s="3384" t="s">
        <v>4002</v>
      </c>
    </row>
    <row r="59" spans="6:18" ht="67.5">
      <c r="H59">
        <v>9360</v>
      </c>
      <c r="I59">
        <v>10014</v>
      </c>
      <c r="J59">
        <v>7733</v>
      </c>
      <c r="N59" s="3248" t="s">
        <v>4003</v>
      </c>
    </row>
    <row r="60" spans="6:18" ht="67.5">
      <c r="H60">
        <v>55</v>
      </c>
      <c r="I60">
        <v>53</v>
      </c>
      <c r="J60">
        <v>65</v>
      </c>
      <c r="N60" s="3248" t="s">
        <v>4004</v>
      </c>
    </row>
    <row r="61" spans="6:18">
      <c r="F61" s="3245" t="s">
        <v>3789</v>
      </c>
      <c r="G61" s="3245">
        <v>1</v>
      </c>
      <c r="H61" s="3245">
        <v>1</v>
      </c>
      <c r="I61" s="3245">
        <v>1</v>
      </c>
      <c r="J61" s="3245">
        <v>1</v>
      </c>
    </row>
    <row r="62" spans="6:18">
      <c r="F62" s="3245" t="s">
        <v>3790</v>
      </c>
      <c r="G62" s="3245">
        <v>0.96809999999999996</v>
      </c>
      <c r="H62" s="3245">
        <v>1</v>
      </c>
      <c r="I62" s="3245">
        <v>1</v>
      </c>
      <c r="J62" s="3245">
        <v>1</v>
      </c>
    </row>
    <row r="63" spans="6:18">
      <c r="F63" s="3289" t="s">
        <v>3333</v>
      </c>
      <c r="G63" s="3292">
        <v>1.4356</v>
      </c>
      <c r="H63" s="3289">
        <v>0.96340000000000003</v>
      </c>
      <c r="I63" s="3289">
        <v>1.3593</v>
      </c>
      <c r="J63" s="3289">
        <v>1.5512999999999999</v>
      </c>
    </row>
    <row r="64" spans="6:18">
      <c r="F64" s="3245" t="s">
        <v>3791</v>
      </c>
      <c r="G64" s="3245">
        <v>1</v>
      </c>
      <c r="H64" s="3245">
        <v>1</v>
      </c>
      <c r="I64" s="3245">
        <v>1</v>
      </c>
      <c r="J64" s="3245">
        <v>1</v>
      </c>
    </row>
    <row r="65" spans="5:10">
      <c r="E65" s="3287" t="s">
        <v>3792</v>
      </c>
      <c r="F65" s="3291" t="s">
        <v>3793</v>
      </c>
      <c r="G65" s="3291">
        <v>0.99</v>
      </c>
      <c r="H65" s="3291">
        <v>1.01</v>
      </c>
      <c r="I65" s="3291">
        <v>1.01</v>
      </c>
      <c r="J65" s="3291">
        <v>0.99</v>
      </c>
    </row>
    <row r="66" spans="5:10">
      <c r="E66" s="3287"/>
      <c r="F66" s="3291" t="s">
        <v>3794</v>
      </c>
      <c r="G66" s="3291">
        <v>1.02</v>
      </c>
      <c r="H66" s="3291">
        <v>1.01</v>
      </c>
      <c r="I66" s="3291">
        <v>1.02</v>
      </c>
      <c r="J66" s="3291">
        <v>0.99</v>
      </c>
    </row>
    <row r="67" spans="5:10">
      <c r="E67" s="3287"/>
      <c r="F67" s="3291" t="s">
        <v>3795</v>
      </c>
      <c r="G67" s="3291">
        <v>1.01</v>
      </c>
      <c r="H67" s="3291">
        <v>1.01</v>
      </c>
      <c r="I67" s="3291">
        <v>1.01</v>
      </c>
      <c r="J67" s="3291">
        <v>1.01</v>
      </c>
    </row>
    <row r="68" spans="5:10">
      <c r="E68" s="3287"/>
      <c r="F68" s="3291" t="s">
        <v>3796</v>
      </c>
      <c r="G68" s="3291">
        <v>1</v>
      </c>
      <c r="H68" s="3291">
        <v>1</v>
      </c>
      <c r="I68" s="3291">
        <v>1</v>
      </c>
      <c r="J68" s="3291">
        <v>1</v>
      </c>
    </row>
    <row r="69" spans="5:10">
      <c r="E69" s="3287"/>
      <c r="F69" s="3291" t="s">
        <v>3797</v>
      </c>
      <c r="G69" s="3291">
        <v>1.05</v>
      </c>
      <c r="H69" s="3291">
        <v>1.05</v>
      </c>
      <c r="I69" s="3291">
        <v>1.05</v>
      </c>
      <c r="J69" s="3291">
        <v>1.05</v>
      </c>
    </row>
    <row r="70" spans="5:10">
      <c r="E70" s="3287"/>
      <c r="F70" s="3291" t="s">
        <v>3798</v>
      </c>
      <c r="G70" s="3291">
        <v>1</v>
      </c>
      <c r="H70" s="3291">
        <v>1</v>
      </c>
      <c r="I70" s="3291">
        <v>1.1000000000000001</v>
      </c>
      <c r="J70" s="3291">
        <v>1</v>
      </c>
    </row>
    <row r="71" spans="5:10">
      <c r="F71" s="3245"/>
      <c r="G71" s="3245">
        <v>1.0709</v>
      </c>
      <c r="H71" s="3245">
        <v>1.0818000000000001</v>
      </c>
      <c r="I71" s="3245">
        <v>1.2018</v>
      </c>
      <c r="J71" s="3245">
        <v>1.0394000000000001</v>
      </c>
    </row>
    <row r="72" spans="5:10">
      <c r="F72" s="3245" t="s">
        <v>3799</v>
      </c>
      <c r="G72" s="3245">
        <v>280</v>
      </c>
      <c r="H72" s="3245">
        <v>280</v>
      </c>
      <c r="I72" s="3245">
        <v>280</v>
      </c>
      <c r="J72" s="3245">
        <v>280</v>
      </c>
    </row>
    <row r="73" spans="5:10">
      <c r="F73" s="3245" t="s">
        <v>3800</v>
      </c>
      <c r="G73" s="3245">
        <v>0.97330000000000005</v>
      </c>
      <c r="H73" s="3245">
        <v>1</v>
      </c>
      <c r="I73" s="3245">
        <v>1</v>
      </c>
      <c r="J73" s="3245">
        <v>1</v>
      </c>
    </row>
    <row r="74" spans="5:10">
      <c r="G74" s="3262">
        <f>ROUND(H74*H75+I74*I75+J74*J75,0)</f>
        <v>11224</v>
      </c>
      <c r="H74">
        <f>ROUND((H59+($G$72/$G$58)-(H72/H58))*($G$61/H61)*($G$62/H62)*($G$63/H63)*($G$64/H64)*($G$71/H71)*($G$73/H73),0)</f>
        <v>13108</v>
      </c>
      <c r="I74">
        <f t="shared" ref="I74:J74" si="2">ROUND((I59+($G$72/$G$58)-(I72/I58))*($G$61/I61)*($G$62/I62)*($G$63/I63)*($G$64/I64)*($G$71/I71)*($G$73/I73),0)</f>
        <v>8888</v>
      </c>
      <c r="J74">
        <f t="shared" si="2"/>
        <v>6932</v>
      </c>
    </row>
    <row r="75" spans="5:10">
      <c r="H75">
        <v>0.6</v>
      </c>
      <c r="I75">
        <v>0.3</v>
      </c>
      <c r="J75">
        <v>0.1</v>
      </c>
    </row>
    <row r="77" spans="5:10">
      <c r="F77" t="s">
        <v>3801</v>
      </c>
      <c r="G77">
        <f>G74</f>
        <v>11224</v>
      </c>
    </row>
    <row r="78" spans="5:10">
      <c r="F78" t="s">
        <v>3802</v>
      </c>
      <c r="G78">
        <f>ROUND(G77*0.1,0)</f>
        <v>1122</v>
      </c>
    </row>
    <row r="81" spans="5:10">
      <c r="G81">
        <v>1.8</v>
      </c>
      <c r="H81">
        <v>2.97</v>
      </c>
      <c r="I81">
        <v>1.8</v>
      </c>
      <c r="J81">
        <v>1.54</v>
      </c>
    </row>
    <row r="82" spans="5:10">
      <c r="H82">
        <v>9360</v>
      </c>
      <c r="I82">
        <v>10014</v>
      </c>
      <c r="J82">
        <v>7733</v>
      </c>
    </row>
    <row r="83" spans="5:10">
      <c r="H83">
        <v>55</v>
      </c>
      <c r="I83">
        <v>53</v>
      </c>
      <c r="J83">
        <v>65</v>
      </c>
    </row>
    <row r="84" spans="5:10">
      <c r="F84" s="3245" t="s">
        <v>3789</v>
      </c>
      <c r="G84" s="3245">
        <v>1</v>
      </c>
      <c r="H84" s="3245">
        <v>1</v>
      </c>
      <c r="I84" s="3245">
        <v>1</v>
      </c>
      <c r="J84" s="3245">
        <v>1</v>
      </c>
    </row>
    <row r="85" spans="5:10">
      <c r="F85" s="3245" t="s">
        <v>3790</v>
      </c>
      <c r="G85" s="3245">
        <v>0.96809999999999996</v>
      </c>
      <c r="H85" s="3245">
        <v>1</v>
      </c>
      <c r="I85" s="3245">
        <v>1</v>
      </c>
      <c r="J85" s="3245">
        <v>1</v>
      </c>
    </row>
    <row r="86" spans="5:10">
      <c r="F86" s="3245" t="s">
        <v>3333</v>
      </c>
      <c r="G86" s="3292">
        <f>I86</f>
        <v>1.3593</v>
      </c>
      <c r="H86" s="3289">
        <v>0.96340000000000003</v>
      </c>
      <c r="I86" s="3289">
        <v>1.3593</v>
      </c>
      <c r="J86" s="3289">
        <v>1.5512999999999999</v>
      </c>
    </row>
    <row r="87" spans="5:10">
      <c r="F87" s="3245" t="s">
        <v>3791</v>
      </c>
      <c r="G87" s="3245">
        <v>1</v>
      </c>
      <c r="H87" s="3245">
        <v>1</v>
      </c>
      <c r="I87" s="3245">
        <v>1</v>
      </c>
      <c r="J87" s="3245">
        <v>1</v>
      </c>
    </row>
    <row r="88" spans="5:10">
      <c r="E88" s="3287" t="s">
        <v>3792</v>
      </c>
      <c r="F88" s="3291" t="s">
        <v>3793</v>
      </c>
      <c r="G88" s="3291">
        <v>0.99</v>
      </c>
      <c r="H88" s="3291">
        <v>1.01</v>
      </c>
      <c r="I88" s="3291">
        <v>1.01</v>
      </c>
      <c r="J88" s="3291">
        <v>0.99</v>
      </c>
    </row>
    <row r="89" spans="5:10">
      <c r="E89" s="3287"/>
      <c r="F89" s="3291" t="s">
        <v>3794</v>
      </c>
      <c r="G89" s="3291">
        <v>1.02</v>
      </c>
      <c r="H89" s="3291">
        <v>1.01</v>
      </c>
      <c r="I89" s="3291">
        <v>1.02</v>
      </c>
      <c r="J89" s="3291">
        <v>0.99</v>
      </c>
    </row>
    <row r="90" spans="5:10">
      <c r="E90" s="3287"/>
      <c r="F90" s="3291" t="s">
        <v>3795</v>
      </c>
      <c r="G90" s="3291">
        <v>1.01</v>
      </c>
      <c r="H90" s="3291">
        <v>1.01</v>
      </c>
      <c r="I90" s="3291">
        <v>1.01</v>
      </c>
      <c r="J90" s="3291">
        <v>1.01</v>
      </c>
    </row>
    <row r="91" spans="5:10">
      <c r="E91" s="3287"/>
      <c r="F91" s="3291" t="s">
        <v>3796</v>
      </c>
      <c r="G91" s="3291">
        <v>1</v>
      </c>
      <c r="H91" s="3291">
        <v>1</v>
      </c>
      <c r="I91" s="3291">
        <v>1</v>
      </c>
      <c r="J91" s="3291">
        <v>1</v>
      </c>
    </row>
    <row r="92" spans="5:10">
      <c r="E92" s="3287"/>
      <c r="F92" s="3291" t="s">
        <v>3797</v>
      </c>
      <c r="G92" s="3291">
        <v>1.05</v>
      </c>
      <c r="H92" s="3291">
        <v>1.05</v>
      </c>
      <c r="I92" s="3291">
        <v>1.05</v>
      </c>
      <c r="J92" s="3291">
        <v>1.05</v>
      </c>
    </row>
    <row r="93" spans="5:10">
      <c r="E93" s="3287"/>
      <c r="F93" s="3291" t="s">
        <v>3798</v>
      </c>
      <c r="G93" s="3291">
        <v>1</v>
      </c>
      <c r="H93" s="3291">
        <v>1</v>
      </c>
      <c r="I93" s="3291">
        <v>1.1000000000000001</v>
      </c>
      <c r="J93" s="3291">
        <v>1</v>
      </c>
    </row>
    <row r="94" spans="5:10">
      <c r="F94" s="3245"/>
      <c r="G94" s="3245">
        <v>1.0709</v>
      </c>
      <c r="H94" s="3245">
        <v>1.0818000000000001</v>
      </c>
      <c r="I94" s="3245">
        <v>1.2018</v>
      </c>
      <c r="J94" s="3245">
        <v>1.0394000000000001</v>
      </c>
    </row>
    <row r="95" spans="5:10">
      <c r="F95" s="3245" t="s">
        <v>3799</v>
      </c>
      <c r="G95" s="3245">
        <v>280</v>
      </c>
      <c r="H95" s="3245">
        <v>280</v>
      </c>
      <c r="I95" s="3245">
        <v>280</v>
      </c>
      <c r="J95" s="3245">
        <v>280</v>
      </c>
    </row>
    <row r="96" spans="5:10">
      <c r="F96" s="3245" t="s">
        <v>3800</v>
      </c>
      <c r="G96" s="3245">
        <v>0.97330000000000005</v>
      </c>
      <c r="H96" s="3245">
        <v>1</v>
      </c>
      <c r="I96" s="3245">
        <v>1</v>
      </c>
      <c r="J96" s="3245">
        <v>1</v>
      </c>
    </row>
    <row r="97" spans="5:10">
      <c r="G97" s="3262">
        <f>ROUND(H97*H98+I97*I98+J97*J98,0)</f>
        <v>10617</v>
      </c>
      <c r="H97">
        <f>ROUND((H82+($G$95/$G$81)-(H95/H81))*($G$84/H84)*($G$85/H85)*($G$86/H86)*($G$87/H87)*($G$94/H94)*($G$96/H96),0)</f>
        <v>12399</v>
      </c>
      <c r="I97">
        <f t="shared" ref="I97:J97" si="3">ROUND((I82+($G$95/$G$81)-(I95/I81))*($G$84/I84)*($G$85/I85)*($G$86/I86)*($G$87/I87)*($G$94/I94)*($G$96/I96),0)</f>
        <v>8408</v>
      </c>
      <c r="J97">
        <f t="shared" si="3"/>
        <v>6556</v>
      </c>
    </row>
    <row r="98" spans="5:10">
      <c r="H98">
        <v>0.6</v>
      </c>
      <c r="I98">
        <v>0.3</v>
      </c>
      <c r="J98">
        <v>0.1</v>
      </c>
    </row>
    <row r="100" spans="5:10">
      <c r="F100" t="s">
        <v>3801</v>
      </c>
      <c r="G100">
        <f>G97</f>
        <v>10617</v>
      </c>
    </row>
    <row r="101" spans="5:10">
      <c r="F101" t="s">
        <v>3802</v>
      </c>
      <c r="G101">
        <f>ROUND(G100*0.1,0)</f>
        <v>1062</v>
      </c>
    </row>
    <row r="105" spans="5:10">
      <c r="G105">
        <v>2</v>
      </c>
      <c r="H105">
        <v>2.97</v>
      </c>
      <c r="I105">
        <v>1.8</v>
      </c>
      <c r="J105">
        <v>1.54</v>
      </c>
    </row>
    <row r="106" spans="5:10">
      <c r="H106">
        <v>9360</v>
      </c>
      <c r="I106">
        <v>10014</v>
      </c>
      <c r="J106">
        <v>7733</v>
      </c>
    </row>
    <row r="107" spans="5:10">
      <c r="H107">
        <v>55</v>
      </c>
      <c r="I107">
        <v>53</v>
      </c>
      <c r="J107">
        <v>65</v>
      </c>
    </row>
    <row r="108" spans="5:10">
      <c r="F108" s="3245" t="s">
        <v>3789</v>
      </c>
      <c r="G108" s="3245">
        <v>1</v>
      </c>
      <c r="H108" s="3245">
        <v>1</v>
      </c>
      <c r="I108" s="3245">
        <v>1</v>
      </c>
      <c r="J108" s="3245">
        <v>1</v>
      </c>
    </row>
    <row r="109" spans="5:10">
      <c r="F109" s="3245" t="s">
        <v>3790</v>
      </c>
      <c r="G109" s="3245">
        <v>0.96809999999999996</v>
      </c>
      <c r="H109" s="3245">
        <v>1</v>
      </c>
      <c r="I109" s="3245">
        <v>1</v>
      </c>
      <c r="J109" s="3245">
        <v>1</v>
      </c>
    </row>
    <row r="110" spans="5:10">
      <c r="F110" s="3245" t="s">
        <v>3333</v>
      </c>
      <c r="G110" s="3292">
        <v>1.1933</v>
      </c>
      <c r="H110" s="3289">
        <v>0.96340000000000003</v>
      </c>
      <c r="I110" s="3289">
        <v>1.3593</v>
      </c>
      <c r="J110" s="3289">
        <v>1.5512999999999999</v>
      </c>
    </row>
    <row r="111" spans="5:10">
      <c r="F111" s="3245" t="s">
        <v>3791</v>
      </c>
      <c r="G111" s="3245">
        <v>1</v>
      </c>
      <c r="H111" s="3245">
        <v>1</v>
      </c>
      <c r="I111" s="3245">
        <v>1</v>
      </c>
      <c r="J111" s="3245">
        <v>1</v>
      </c>
    </row>
    <row r="112" spans="5:10">
      <c r="E112" s="3287" t="s">
        <v>3792</v>
      </c>
      <c r="F112" s="3291" t="s">
        <v>3793</v>
      </c>
      <c r="G112" s="3291">
        <v>0.99</v>
      </c>
      <c r="H112" s="3291">
        <v>1.01</v>
      </c>
      <c r="I112" s="3291">
        <v>1.01</v>
      </c>
      <c r="J112" s="3291">
        <v>0.99</v>
      </c>
    </row>
    <row r="113" spans="5:10">
      <c r="E113" s="3287"/>
      <c r="F113" s="3291" t="s">
        <v>3794</v>
      </c>
      <c r="G113" s="3291">
        <v>1.02</v>
      </c>
      <c r="H113" s="3291">
        <v>1.01</v>
      </c>
      <c r="I113" s="3291">
        <v>1.02</v>
      </c>
      <c r="J113" s="3291">
        <v>0.99</v>
      </c>
    </row>
    <row r="114" spans="5:10">
      <c r="E114" s="3287"/>
      <c r="F114" s="3291" t="s">
        <v>3795</v>
      </c>
      <c r="G114" s="3291">
        <v>1.01</v>
      </c>
      <c r="H114" s="3291">
        <v>1.01</v>
      </c>
      <c r="I114" s="3291">
        <v>1.01</v>
      </c>
      <c r="J114" s="3291">
        <v>1.01</v>
      </c>
    </row>
    <row r="115" spans="5:10">
      <c r="E115" s="3287"/>
      <c r="F115" s="3291" t="s">
        <v>3796</v>
      </c>
      <c r="G115" s="3291">
        <v>1</v>
      </c>
      <c r="H115" s="3291">
        <v>1</v>
      </c>
      <c r="I115" s="3291">
        <v>1</v>
      </c>
      <c r="J115" s="3291">
        <v>1</v>
      </c>
    </row>
    <row r="116" spans="5:10">
      <c r="E116" s="3287"/>
      <c r="F116" s="3291" t="s">
        <v>3797</v>
      </c>
      <c r="G116" s="3291">
        <v>1.05</v>
      </c>
      <c r="H116" s="3291">
        <v>1.05</v>
      </c>
      <c r="I116" s="3291">
        <v>1.05</v>
      </c>
      <c r="J116" s="3291">
        <v>1.05</v>
      </c>
    </row>
    <row r="117" spans="5:10">
      <c r="E117" s="3287"/>
      <c r="F117" s="3291" t="s">
        <v>3798</v>
      </c>
      <c r="G117" s="3291">
        <v>1</v>
      </c>
      <c r="H117" s="3291">
        <v>1</v>
      </c>
      <c r="I117" s="3291">
        <v>1.1000000000000001</v>
      </c>
      <c r="J117" s="3291">
        <v>1</v>
      </c>
    </row>
    <row r="118" spans="5:10">
      <c r="F118" s="3245"/>
      <c r="G118" s="3245">
        <v>1.0709</v>
      </c>
      <c r="H118" s="3245">
        <v>1.0818000000000001</v>
      </c>
      <c r="I118" s="3245">
        <v>1.2018</v>
      </c>
      <c r="J118" s="3245">
        <v>1.0394000000000001</v>
      </c>
    </row>
    <row r="119" spans="5:10">
      <c r="F119" s="3245" t="s">
        <v>3799</v>
      </c>
      <c r="G119" s="3245">
        <v>280</v>
      </c>
      <c r="H119" s="3245">
        <v>280</v>
      </c>
      <c r="I119" s="3245">
        <v>280</v>
      </c>
      <c r="J119" s="3245">
        <v>280</v>
      </c>
    </row>
    <row r="120" spans="5:10">
      <c r="F120" s="3245" t="s">
        <v>3800</v>
      </c>
      <c r="G120" s="3245">
        <v>0.97330000000000005</v>
      </c>
      <c r="H120" s="3245">
        <v>1</v>
      </c>
      <c r="I120" s="3245">
        <v>1</v>
      </c>
      <c r="J120" s="3245">
        <v>1</v>
      </c>
    </row>
    <row r="121" spans="5:10">
      <c r="G121" s="3262">
        <f>ROUND(H121*H122+I121*I122+J121*J122,0)</f>
        <v>9306</v>
      </c>
      <c r="H121">
        <f>ROUND((H106+($G$119/$G$105)-(H119/H105))*($G$108/H108)*($G$109/H109)*($G$110/H110)*($G$111/H111)*($G$118/H118)*($G$120/H120),0)</f>
        <v>10867</v>
      </c>
      <c r="I121">
        <f t="shared" ref="I121:J121" si="4">ROUND((I106+($G$119/$G$105)-(I119/I105))*($G$108/I108)*($G$109/I109)*($G$110/I110)*($G$111/I111)*($G$118/I118)*($G$120/I120),0)</f>
        <v>7370</v>
      </c>
      <c r="J121">
        <f t="shared" si="4"/>
        <v>5744</v>
      </c>
    </row>
    <row r="122" spans="5:10">
      <c r="H122">
        <v>0.6</v>
      </c>
      <c r="I122">
        <v>0.3</v>
      </c>
      <c r="J122">
        <v>0.1</v>
      </c>
    </row>
    <row r="123" spans="5:10">
      <c r="F123" t="s">
        <v>3801</v>
      </c>
      <c r="G123">
        <f>G121</f>
        <v>9306</v>
      </c>
    </row>
    <row r="124" spans="5:10">
      <c r="F124" t="s">
        <v>3802</v>
      </c>
      <c r="G124">
        <f>ROUND(G123*0.1,0)</f>
        <v>931</v>
      </c>
    </row>
  </sheetData>
  <mergeCells count="3">
    <mergeCell ref="E17:E22"/>
    <mergeCell ref="E41:E46"/>
    <mergeCell ref="M40:M45"/>
  </mergeCells>
  <phoneticPr fontId="136" type="noConversion"/>
  <hyperlinks>
    <hyperlink ref="A5" r:id="rId1" display="https://zrzyj.zhuhai.gov.cn/zwgk/sjfb/content/post_3804268.html" xr:uid="{00000000-0004-0000-2800-000000000000}"/>
  </hyperlinks>
  <pageMargins left="0.7" right="0.7" top="0.75" bottom="0.75" header="0.3" footer="0.3"/>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M138"/>
  <sheetViews>
    <sheetView zoomScale="70" zoomScaleNormal="70" workbookViewId="0">
      <selection sqref="A1:XFD1048576"/>
    </sheetView>
  </sheetViews>
  <sheetFormatPr defaultColWidth="8.25" defaultRowHeight="19.5" customHeight="1"/>
  <cols>
    <col min="1" max="13" width="15.25" style="2814" customWidth="1"/>
    <col min="14" max="14" width="10" style="2814" customWidth="1"/>
    <col min="15" max="16" width="8.25" style="2814"/>
    <col min="17" max="17" width="34.125" style="2814" customWidth="1"/>
    <col min="18" max="18" width="8.25" style="2814" customWidth="1"/>
    <col min="19" max="19" width="8.25" style="2814"/>
    <col min="20" max="20" width="11.625" style="2814" customWidth="1"/>
    <col min="21" max="16384" width="8.25" style="2814"/>
  </cols>
  <sheetData>
    <row r="1" spans="1:13" ht="19.5" customHeight="1" thickBot="1">
      <c r="A1" s="2811" t="s">
        <v>2592</v>
      </c>
      <c r="B1" s="2812" t="s">
        <v>2593</v>
      </c>
      <c r="C1" s="2812" t="s">
        <v>2594</v>
      </c>
      <c r="D1" s="2812" t="s">
        <v>2595</v>
      </c>
      <c r="E1" s="2812" t="s">
        <v>2596</v>
      </c>
      <c r="F1" s="2812" t="s">
        <v>2597</v>
      </c>
      <c r="G1" s="2812" t="s">
        <v>2598</v>
      </c>
      <c r="H1" s="2812" t="s">
        <v>2599</v>
      </c>
      <c r="I1" s="2812" t="s">
        <v>2600</v>
      </c>
      <c r="J1" s="2812" t="s">
        <v>2601</v>
      </c>
      <c r="K1" s="2812" t="s">
        <v>2602</v>
      </c>
      <c r="L1" s="2812" t="s">
        <v>2603</v>
      </c>
      <c r="M1" s="2813" t="s">
        <v>2604</v>
      </c>
    </row>
    <row r="2" spans="1:13" ht="19.5" customHeight="1">
      <c r="A2" s="2815" t="s">
        <v>2605</v>
      </c>
      <c r="B2" s="2816">
        <v>3.5</v>
      </c>
      <c r="C2" s="2816">
        <v>3.5</v>
      </c>
      <c r="D2" s="2817">
        <v>2.5</v>
      </c>
      <c r="E2" s="2817">
        <v>2.5</v>
      </c>
      <c r="F2" s="2817">
        <v>2.5</v>
      </c>
      <c r="G2" s="2817">
        <v>2.5</v>
      </c>
      <c r="H2" s="2817">
        <v>2.5</v>
      </c>
      <c r="I2" s="2816">
        <v>2</v>
      </c>
      <c r="J2" s="2816">
        <v>2</v>
      </c>
      <c r="K2" s="2816">
        <v>2</v>
      </c>
      <c r="L2" s="2816">
        <v>2</v>
      </c>
      <c r="M2" s="2818">
        <v>2</v>
      </c>
    </row>
    <row r="3" spans="1:13" ht="19.5" customHeight="1">
      <c r="A3" s="2763" t="s">
        <v>2606</v>
      </c>
      <c r="B3" s="2766">
        <v>3.5</v>
      </c>
      <c r="C3" s="2766">
        <v>3.5</v>
      </c>
      <c r="D3" s="2819">
        <v>2.5</v>
      </c>
      <c r="E3" s="2819">
        <v>2.5</v>
      </c>
      <c r="F3" s="2819">
        <v>2.5</v>
      </c>
      <c r="G3" s="2819">
        <v>2.5</v>
      </c>
      <c r="H3" s="2819">
        <v>2.5</v>
      </c>
      <c r="I3" s="2766">
        <v>2</v>
      </c>
      <c r="J3" s="2766">
        <v>2</v>
      </c>
      <c r="K3" s="2766">
        <v>2</v>
      </c>
      <c r="L3" s="2766">
        <v>2</v>
      </c>
      <c r="M3" s="2770">
        <v>2</v>
      </c>
    </row>
    <row r="4" spans="1:13" ht="19.5" customHeight="1">
      <c r="A4" s="2763" t="s">
        <v>2607</v>
      </c>
      <c r="B4" s="2819">
        <v>2.5</v>
      </c>
      <c r="C4" s="2819">
        <v>2.5</v>
      </c>
      <c r="D4" s="2819">
        <v>2.5</v>
      </c>
      <c r="E4" s="2819">
        <v>2.5</v>
      </c>
      <c r="F4" s="2819">
        <v>2.5</v>
      </c>
      <c r="G4" s="2819">
        <v>2.5</v>
      </c>
      <c r="H4" s="2819">
        <v>2.5</v>
      </c>
      <c r="I4" s="2766">
        <v>1.5</v>
      </c>
      <c r="J4" s="2766">
        <v>1.5</v>
      </c>
      <c r="K4" s="2766">
        <v>1.5</v>
      </c>
      <c r="L4" s="2766">
        <v>1.5</v>
      </c>
      <c r="M4" s="2770">
        <v>1.5</v>
      </c>
    </row>
    <row r="5" spans="1:13" ht="19.5" customHeight="1">
      <c r="A5" s="2820" t="s">
        <v>2608</v>
      </c>
      <c r="B5" s="2766">
        <v>1.5</v>
      </c>
      <c r="C5" s="2766">
        <v>1.5</v>
      </c>
      <c r="D5" s="2766">
        <v>1.5</v>
      </c>
      <c r="E5" s="2766">
        <v>1.5</v>
      </c>
      <c r="F5" s="2766">
        <v>1.5</v>
      </c>
      <c r="G5" s="2766">
        <v>1.2</v>
      </c>
      <c r="H5" s="2766">
        <v>1.2</v>
      </c>
      <c r="I5" s="2766">
        <v>1</v>
      </c>
      <c r="J5" s="2766">
        <v>1</v>
      </c>
      <c r="K5" s="2766">
        <v>1</v>
      </c>
      <c r="L5" s="2766">
        <v>1</v>
      </c>
      <c r="M5" s="2770">
        <v>1</v>
      </c>
    </row>
    <row r="6" spans="1:13" ht="19.5" customHeight="1">
      <c r="A6" s="2821" t="s">
        <v>2609</v>
      </c>
      <c r="B6" s="2822">
        <v>2.5</v>
      </c>
      <c r="C6" s="2822">
        <v>2.5</v>
      </c>
      <c r="D6" s="2822">
        <v>2</v>
      </c>
      <c r="E6" s="2822">
        <v>2</v>
      </c>
      <c r="F6" s="2822">
        <v>2</v>
      </c>
      <c r="G6" s="2822">
        <v>2</v>
      </c>
      <c r="H6" s="2822">
        <v>2</v>
      </c>
      <c r="I6" s="2823">
        <v>1.5</v>
      </c>
      <c r="J6" s="2823">
        <v>1.5</v>
      </c>
      <c r="K6" s="2823">
        <v>1.5</v>
      </c>
      <c r="L6" s="2823">
        <v>1.5</v>
      </c>
      <c r="M6" s="2824">
        <v>1.5</v>
      </c>
    </row>
    <row r="7" spans="1:13" ht="19.5" customHeight="1" thickBot="1">
      <c r="A7" s="2825" t="s">
        <v>2610</v>
      </c>
      <c r="B7" s="2826">
        <v>2.5</v>
      </c>
      <c r="C7" s="2826">
        <v>2.5</v>
      </c>
      <c r="D7" s="2826">
        <v>2</v>
      </c>
      <c r="E7" s="2826">
        <v>2</v>
      </c>
      <c r="F7" s="2826">
        <v>2</v>
      </c>
      <c r="G7" s="2826">
        <v>2</v>
      </c>
      <c r="H7" s="2826">
        <v>2</v>
      </c>
      <c r="I7" s="2774">
        <v>1.5</v>
      </c>
      <c r="J7" s="2774">
        <v>1.5</v>
      </c>
      <c r="K7" s="2774">
        <v>1.5</v>
      </c>
      <c r="L7" s="2774">
        <v>1.5</v>
      </c>
      <c r="M7" s="2827">
        <v>1.5</v>
      </c>
    </row>
    <row r="8" spans="1:13" ht="19.5" customHeight="1">
      <c r="A8" s="2828" t="s">
        <v>2611</v>
      </c>
      <c r="B8" s="2829">
        <v>80</v>
      </c>
      <c r="C8" s="2829">
        <v>80</v>
      </c>
      <c r="D8" s="2829">
        <v>70</v>
      </c>
      <c r="E8" s="2829">
        <v>70</v>
      </c>
      <c r="F8" s="2829">
        <v>70</v>
      </c>
      <c r="G8" s="2829">
        <v>70</v>
      </c>
      <c r="H8" s="2829">
        <v>70</v>
      </c>
      <c r="I8" s="2829">
        <v>60</v>
      </c>
      <c r="J8" s="2829">
        <v>60</v>
      </c>
      <c r="K8" s="2829">
        <v>60</v>
      </c>
      <c r="L8" s="2829">
        <v>60</v>
      </c>
      <c r="M8" s="2830">
        <v>60</v>
      </c>
    </row>
    <row r="9" spans="1:13" ht="19.5" customHeight="1">
      <c r="A9" s="2831" t="s">
        <v>2612</v>
      </c>
      <c r="B9" s="2832">
        <v>70</v>
      </c>
      <c r="C9" s="2832">
        <v>70</v>
      </c>
      <c r="D9" s="2832">
        <v>60</v>
      </c>
      <c r="E9" s="2832">
        <v>60</v>
      </c>
      <c r="F9" s="2832">
        <v>60</v>
      </c>
      <c r="G9" s="2832">
        <v>60</v>
      </c>
      <c r="H9" s="2832">
        <v>60</v>
      </c>
      <c r="I9" s="2832">
        <v>50</v>
      </c>
      <c r="J9" s="2832">
        <v>50</v>
      </c>
      <c r="K9" s="2832">
        <v>50</v>
      </c>
      <c r="L9" s="2832">
        <v>50</v>
      </c>
      <c r="M9" s="2833">
        <v>50</v>
      </c>
    </row>
    <row r="10" spans="1:13" ht="19.5" customHeight="1">
      <c r="A10" s="2831" t="s">
        <v>2613</v>
      </c>
      <c r="B10" s="2832">
        <v>20</v>
      </c>
      <c r="C10" s="2832">
        <v>20</v>
      </c>
      <c r="D10" s="2832">
        <v>15</v>
      </c>
      <c r="E10" s="2832">
        <v>15</v>
      </c>
      <c r="F10" s="2832">
        <v>15</v>
      </c>
      <c r="G10" s="2832">
        <v>15</v>
      </c>
      <c r="H10" s="2832">
        <v>15</v>
      </c>
      <c r="I10" s="2832">
        <v>10</v>
      </c>
      <c r="J10" s="2832">
        <v>10</v>
      </c>
      <c r="K10" s="2832">
        <v>10</v>
      </c>
      <c r="L10" s="2832">
        <v>10</v>
      </c>
      <c r="M10" s="2833">
        <v>10</v>
      </c>
    </row>
    <row r="11" spans="1:13" ht="19.5" customHeight="1">
      <c r="A11" s="2831" t="s">
        <v>2614</v>
      </c>
      <c r="B11" s="2832">
        <v>30</v>
      </c>
      <c r="C11" s="2832">
        <v>30</v>
      </c>
      <c r="D11" s="2832">
        <v>25</v>
      </c>
      <c r="E11" s="2832">
        <v>25</v>
      </c>
      <c r="F11" s="2832">
        <v>25</v>
      </c>
      <c r="G11" s="2832">
        <v>25</v>
      </c>
      <c r="H11" s="2832">
        <v>25</v>
      </c>
      <c r="I11" s="2832">
        <v>20</v>
      </c>
      <c r="J11" s="2832">
        <v>20</v>
      </c>
      <c r="K11" s="2832">
        <v>20</v>
      </c>
      <c r="L11" s="2832">
        <v>20</v>
      </c>
      <c r="M11" s="2833">
        <v>20</v>
      </c>
    </row>
    <row r="12" spans="1:13" ht="19.5" customHeight="1">
      <c r="A12" s="2831" t="s">
        <v>2615</v>
      </c>
      <c r="B12" s="2832">
        <v>45</v>
      </c>
      <c r="C12" s="2832">
        <v>45</v>
      </c>
      <c r="D12" s="2832">
        <v>40</v>
      </c>
      <c r="E12" s="2832">
        <v>40</v>
      </c>
      <c r="F12" s="2832">
        <v>40</v>
      </c>
      <c r="G12" s="2832">
        <v>40</v>
      </c>
      <c r="H12" s="2832">
        <v>40</v>
      </c>
      <c r="I12" s="2832">
        <v>35</v>
      </c>
      <c r="J12" s="2832">
        <v>35</v>
      </c>
      <c r="K12" s="2832">
        <v>35</v>
      </c>
      <c r="L12" s="2832">
        <v>35</v>
      </c>
      <c r="M12" s="2833">
        <v>35</v>
      </c>
    </row>
    <row r="13" spans="1:13" ht="19.5" customHeight="1">
      <c r="A13" s="2831" t="s">
        <v>2616</v>
      </c>
      <c r="B13" s="2832">
        <v>60</v>
      </c>
      <c r="C13" s="2832">
        <v>60</v>
      </c>
      <c r="D13" s="2832">
        <v>50</v>
      </c>
      <c r="E13" s="2832">
        <v>50</v>
      </c>
      <c r="F13" s="2832">
        <v>50</v>
      </c>
      <c r="G13" s="2832">
        <v>50</v>
      </c>
      <c r="H13" s="2832">
        <v>50</v>
      </c>
      <c r="I13" s="2832">
        <v>40</v>
      </c>
      <c r="J13" s="2832">
        <v>40</v>
      </c>
      <c r="K13" s="2832">
        <v>40</v>
      </c>
      <c r="L13" s="2832">
        <v>40</v>
      </c>
      <c r="M13" s="2833">
        <v>40</v>
      </c>
    </row>
    <row r="14" spans="1:13" ht="19.5" customHeight="1">
      <c r="A14" s="2831" t="s">
        <v>2617</v>
      </c>
      <c r="B14" s="2832">
        <v>50</v>
      </c>
      <c r="C14" s="2832">
        <v>50</v>
      </c>
      <c r="D14" s="2832">
        <v>40</v>
      </c>
      <c r="E14" s="2832">
        <v>40</v>
      </c>
      <c r="F14" s="2832">
        <v>40</v>
      </c>
      <c r="G14" s="2832">
        <v>40</v>
      </c>
      <c r="H14" s="2832">
        <v>40</v>
      </c>
      <c r="I14" s="2832">
        <v>30</v>
      </c>
      <c r="J14" s="2832">
        <v>30</v>
      </c>
      <c r="K14" s="2832">
        <v>30</v>
      </c>
      <c r="L14" s="2832">
        <v>30</v>
      </c>
      <c r="M14" s="2833">
        <v>30</v>
      </c>
    </row>
    <row r="15" spans="1:13" ht="19.5" customHeight="1">
      <c r="A15" s="2834" t="s">
        <v>2618</v>
      </c>
      <c r="B15" s="2835">
        <v>20</v>
      </c>
      <c r="C15" s="2835">
        <v>20</v>
      </c>
      <c r="D15" s="2835">
        <v>15</v>
      </c>
      <c r="E15" s="2835">
        <v>15</v>
      </c>
      <c r="F15" s="2835">
        <v>15</v>
      </c>
      <c r="G15" s="2835">
        <v>15</v>
      </c>
      <c r="H15" s="2835">
        <v>15</v>
      </c>
      <c r="I15" s="2835">
        <v>10</v>
      </c>
      <c r="J15" s="2835">
        <v>10</v>
      </c>
      <c r="K15" s="2835">
        <v>10</v>
      </c>
      <c r="L15" s="2835">
        <v>10</v>
      </c>
      <c r="M15" s="2836">
        <v>10</v>
      </c>
    </row>
    <row r="16" spans="1:13" ht="19.5" customHeight="1">
      <c r="A16" s="2832" t="s">
        <v>2619</v>
      </c>
      <c r="B16" s="2766">
        <v>0</v>
      </c>
      <c r="C16" s="2766">
        <v>0</v>
      </c>
      <c r="D16" s="2766">
        <v>0</v>
      </c>
      <c r="E16" s="2766">
        <v>0</v>
      </c>
      <c r="F16" s="2766">
        <v>0</v>
      </c>
      <c r="G16" s="2766">
        <v>0</v>
      </c>
      <c r="H16" s="2766">
        <v>0</v>
      </c>
      <c r="I16" s="2766">
        <v>0</v>
      </c>
      <c r="J16" s="2766">
        <v>0</v>
      </c>
      <c r="K16" s="2766">
        <v>0</v>
      </c>
      <c r="L16" s="2766">
        <v>0</v>
      </c>
      <c r="M16" s="2766">
        <v>0</v>
      </c>
    </row>
    <row r="17" spans="1:13" ht="19.5" customHeight="1">
      <c r="A17" s="2832" t="s">
        <v>2620</v>
      </c>
      <c r="B17" s="2766">
        <f>SUM(B8:B15)</f>
        <v>375</v>
      </c>
      <c r="C17" s="2766">
        <f t="shared" ref="C17:H17" si="0">SUM(C8:C15)</f>
        <v>375</v>
      </c>
      <c r="D17" s="2766">
        <f t="shared" si="0"/>
        <v>315</v>
      </c>
      <c r="E17" s="2766">
        <f t="shared" si="0"/>
        <v>315</v>
      </c>
      <c r="F17" s="2766">
        <f t="shared" si="0"/>
        <v>315</v>
      </c>
      <c r="G17" s="2766">
        <f t="shared" si="0"/>
        <v>315</v>
      </c>
      <c r="H17" s="2766">
        <f t="shared" si="0"/>
        <v>315</v>
      </c>
      <c r="I17" s="2766">
        <f>SUM(I8:I15)-I13-I14</f>
        <v>185</v>
      </c>
      <c r="J17" s="2766">
        <f t="shared" ref="J17:M17" si="1">SUM(J8:J15)-J13-J14</f>
        <v>185</v>
      </c>
      <c r="K17" s="2766">
        <f t="shared" si="1"/>
        <v>185</v>
      </c>
      <c r="L17" s="2766">
        <f t="shared" si="1"/>
        <v>185</v>
      </c>
      <c r="M17" s="2766">
        <f t="shared" si="1"/>
        <v>185</v>
      </c>
    </row>
    <row r="18" spans="1:13" s="2839" customFormat="1" ht="19.5" customHeight="1">
      <c r="A18" s="2837" t="s">
        <v>2621</v>
      </c>
      <c r="B18" s="2837"/>
      <c r="C18" s="2838"/>
      <c r="D18" s="2838"/>
      <c r="E18" s="2837"/>
      <c r="F18" s="2838"/>
      <c r="G18" s="2838"/>
    </row>
    <row r="19" spans="1:13" ht="19.5" customHeight="1" thickBot="1">
      <c r="A19" s="2835" t="s">
        <v>2622</v>
      </c>
      <c r="B19" s="2840" t="s">
        <v>2623</v>
      </c>
      <c r="C19" s="2840" t="s">
        <v>2624</v>
      </c>
      <c r="D19" s="2841"/>
      <c r="E19" s="2835" t="s">
        <v>2625</v>
      </c>
      <c r="F19" s="2842"/>
      <c r="G19" s="2842"/>
    </row>
    <row r="20" spans="1:13" ht="19.5" customHeight="1">
      <c r="A20" s="3698" t="s">
        <v>2605</v>
      </c>
      <c r="B20" s="3691" t="s">
        <v>2626</v>
      </c>
      <c r="C20" s="2843" t="s">
        <v>2437</v>
      </c>
      <c r="D20" s="2844"/>
      <c r="E20" s="2845">
        <v>1</v>
      </c>
      <c r="F20" s="2846" t="s">
        <v>2438</v>
      </c>
      <c r="G20" s="2846"/>
    </row>
    <row r="21" spans="1:13" ht="19.5" customHeight="1">
      <c r="A21" s="3699"/>
      <c r="B21" s="3692"/>
      <c r="C21" s="2847" t="s">
        <v>2439</v>
      </c>
      <c r="D21" s="2848"/>
      <c r="E21" s="2849">
        <v>1</v>
      </c>
      <c r="F21" s="2846" t="s">
        <v>2440</v>
      </c>
      <c r="G21" s="2846"/>
    </row>
    <row r="22" spans="1:13" ht="19.5" customHeight="1">
      <c r="A22" s="3699"/>
      <c r="B22" s="3692"/>
      <c r="C22" s="2847" t="s">
        <v>2441</v>
      </c>
      <c r="D22" s="2848"/>
      <c r="E22" s="2849">
        <v>0.9</v>
      </c>
      <c r="F22" s="2846" t="s">
        <v>2442</v>
      </c>
      <c r="G22" s="2846"/>
    </row>
    <row r="23" spans="1:13" ht="19.5" customHeight="1">
      <c r="A23" s="3699"/>
      <c r="B23" s="3692"/>
      <c r="C23" s="2847" t="s">
        <v>2443</v>
      </c>
      <c r="D23" s="2848"/>
      <c r="E23" s="2849">
        <v>0.9</v>
      </c>
      <c r="F23" s="2846" t="s">
        <v>2444</v>
      </c>
      <c r="G23" s="2846"/>
    </row>
    <row r="24" spans="1:13" ht="19.5" customHeight="1">
      <c r="A24" s="3699"/>
      <c r="B24" s="3692"/>
      <c r="C24" s="2847" t="s">
        <v>2445</v>
      </c>
      <c r="D24" s="2848"/>
      <c r="E24" s="2849">
        <v>0.8</v>
      </c>
      <c r="F24" s="2846" t="s">
        <v>2446</v>
      </c>
      <c r="G24" s="2846"/>
    </row>
    <row r="25" spans="1:13" ht="19.5" customHeight="1" thickBot="1">
      <c r="A25" s="3700"/>
      <c r="B25" s="3693"/>
      <c r="C25" s="2850" t="s">
        <v>2447</v>
      </c>
      <c r="D25" s="2851"/>
      <c r="E25" s="2852">
        <v>0.8</v>
      </c>
      <c r="F25" s="2846" t="s">
        <v>2448</v>
      </c>
      <c r="G25" s="2846"/>
    </row>
    <row r="26" spans="1:13" ht="19.5" customHeight="1" thickBot="1">
      <c r="A26" s="2853" t="s">
        <v>2627</v>
      </c>
      <c r="B26" s="2854" t="s">
        <v>2626</v>
      </c>
      <c r="C26" s="2855" t="s">
        <v>2628</v>
      </c>
      <c r="D26" s="2856"/>
      <c r="E26" s="2857">
        <v>1</v>
      </c>
      <c r="F26" s="2846" t="s">
        <v>2449</v>
      </c>
      <c r="G26" s="2846"/>
    </row>
    <row r="27" spans="1:13" ht="19.5" customHeight="1">
      <c r="A27" s="3694" t="s">
        <v>2629</v>
      </c>
      <c r="B27" s="3691" t="s">
        <v>2610</v>
      </c>
      <c r="C27" s="2843" t="s">
        <v>2450</v>
      </c>
      <c r="D27" s="2844"/>
      <c r="E27" s="2845">
        <v>1</v>
      </c>
      <c r="F27" s="2846" t="s">
        <v>2451</v>
      </c>
      <c r="G27" s="2846"/>
    </row>
    <row r="28" spans="1:13" ht="19.5" customHeight="1">
      <c r="A28" s="3695"/>
      <c r="B28" s="3692"/>
      <c r="C28" s="2847" t="s">
        <v>2452</v>
      </c>
      <c r="D28" s="2848"/>
      <c r="E28" s="2849">
        <v>1</v>
      </c>
      <c r="F28" s="2846" t="s">
        <v>2453</v>
      </c>
      <c r="G28" s="2846"/>
    </row>
    <row r="29" spans="1:13" ht="19.5" customHeight="1">
      <c r="A29" s="3695"/>
      <c r="B29" s="3692"/>
      <c r="C29" s="2847" t="s">
        <v>2454</v>
      </c>
      <c r="D29" s="2848"/>
      <c r="E29" s="2849">
        <v>0.8</v>
      </c>
      <c r="F29" s="2846" t="s">
        <v>2455</v>
      </c>
      <c r="G29" s="2846"/>
    </row>
    <row r="30" spans="1:13" ht="19.5" customHeight="1">
      <c r="A30" s="3695"/>
      <c r="B30" s="3692"/>
      <c r="C30" s="2847" t="s">
        <v>2456</v>
      </c>
      <c r="D30" s="2848"/>
      <c r="E30" s="2849">
        <v>0.8</v>
      </c>
      <c r="F30" s="2846" t="s">
        <v>2457</v>
      </c>
      <c r="G30" s="2846"/>
    </row>
    <row r="31" spans="1:13" ht="19.5" customHeight="1">
      <c r="A31" s="3695"/>
      <c r="B31" s="3692"/>
      <c r="C31" s="2847" t="s">
        <v>2458</v>
      </c>
      <c r="D31" s="2848"/>
      <c r="E31" s="2849">
        <v>0.8</v>
      </c>
      <c r="F31" s="2846" t="s">
        <v>2459</v>
      </c>
      <c r="G31" s="2846"/>
    </row>
    <row r="32" spans="1:13" ht="19.5" customHeight="1">
      <c r="A32" s="3695"/>
      <c r="B32" s="3692"/>
      <c r="C32" s="2847" t="s">
        <v>2460</v>
      </c>
      <c r="D32" s="2848"/>
      <c r="E32" s="2849">
        <v>0.7</v>
      </c>
      <c r="F32" s="2846" t="s">
        <v>2461</v>
      </c>
      <c r="G32" s="2846"/>
    </row>
    <row r="33" spans="1:7" ht="19.5" customHeight="1">
      <c r="A33" s="3695"/>
      <c r="B33" s="3692"/>
      <c r="C33" s="2847" t="s">
        <v>2462</v>
      </c>
      <c r="D33" s="2848"/>
      <c r="E33" s="2849">
        <v>0.8</v>
      </c>
      <c r="F33" s="2846" t="s">
        <v>2463</v>
      </c>
      <c r="G33" s="2846"/>
    </row>
    <row r="34" spans="1:7" ht="19.5" customHeight="1">
      <c r="A34" s="3695"/>
      <c r="B34" s="3692"/>
      <c r="C34" s="2847" t="s">
        <v>2464</v>
      </c>
      <c r="D34" s="2848"/>
      <c r="E34" s="2849">
        <v>0.6</v>
      </c>
      <c r="F34" s="2846" t="s">
        <v>2465</v>
      </c>
      <c r="G34" s="2846"/>
    </row>
    <row r="35" spans="1:7" ht="19.5" customHeight="1">
      <c r="A35" s="3695"/>
      <c r="B35" s="3692"/>
      <c r="C35" s="2847" t="s">
        <v>2466</v>
      </c>
      <c r="D35" s="2848"/>
      <c r="E35" s="2849">
        <v>0.2</v>
      </c>
      <c r="F35" s="2846" t="s">
        <v>2467</v>
      </c>
      <c r="G35" s="2846"/>
    </row>
    <row r="36" spans="1:7" ht="19.5" customHeight="1">
      <c r="A36" s="3695"/>
      <c r="B36" s="3692"/>
      <c r="C36" s="2847" t="s">
        <v>2468</v>
      </c>
      <c r="D36" s="2848"/>
      <c r="E36" s="2849">
        <v>0.2</v>
      </c>
      <c r="F36" s="2846" t="s">
        <v>2469</v>
      </c>
      <c r="G36" s="2846"/>
    </row>
    <row r="37" spans="1:7" ht="19.5" customHeight="1">
      <c r="A37" s="3695"/>
      <c r="B37" s="3697" t="s">
        <v>2630</v>
      </c>
      <c r="C37" s="2847" t="s">
        <v>2470</v>
      </c>
      <c r="D37" s="2848"/>
      <c r="E37" s="2849">
        <v>0.6</v>
      </c>
      <c r="F37" s="2846" t="s">
        <v>2471</v>
      </c>
      <c r="G37" s="2846"/>
    </row>
    <row r="38" spans="1:7" ht="19.5" customHeight="1">
      <c r="A38" s="3695"/>
      <c r="B38" s="3692"/>
      <c r="C38" s="2847" t="s">
        <v>2472</v>
      </c>
      <c r="D38" s="2848"/>
      <c r="E38" s="2849">
        <v>0.6</v>
      </c>
      <c r="F38" s="2846" t="s">
        <v>2473</v>
      </c>
      <c r="G38" s="2846"/>
    </row>
    <row r="39" spans="1:7" ht="19.5" customHeight="1" thickBot="1">
      <c r="A39" s="3696"/>
      <c r="B39" s="3693"/>
      <c r="C39" s="2850" t="s">
        <v>2474</v>
      </c>
      <c r="D39" s="2851"/>
      <c r="E39" s="2852">
        <v>0.6</v>
      </c>
      <c r="F39" s="2846" t="s">
        <v>2475</v>
      </c>
      <c r="G39" s="2846"/>
    </row>
    <row r="40" spans="1:7" ht="19.5" customHeight="1" thickBot="1">
      <c r="A40" s="2853" t="s">
        <v>2607</v>
      </c>
      <c r="B40" s="2854" t="s">
        <v>2607</v>
      </c>
      <c r="C40" s="2855" t="s">
        <v>2631</v>
      </c>
      <c r="D40" s="2856"/>
      <c r="E40" s="2857">
        <v>1</v>
      </c>
      <c r="F40" s="2846" t="s">
        <v>2476</v>
      </c>
      <c r="G40" s="2846"/>
    </row>
    <row r="41" spans="1:7" ht="19.5" customHeight="1">
      <c r="A41" s="3698" t="s">
        <v>2608</v>
      </c>
      <c r="B41" s="3691" t="s">
        <v>2632</v>
      </c>
      <c r="C41" s="2843" t="s">
        <v>2477</v>
      </c>
      <c r="D41" s="2844"/>
      <c r="E41" s="2845">
        <v>1</v>
      </c>
      <c r="F41" s="2846" t="s">
        <v>2478</v>
      </c>
      <c r="G41" s="2846"/>
    </row>
    <row r="42" spans="1:7" ht="19.5" customHeight="1">
      <c r="A42" s="3699"/>
      <c r="B42" s="3692"/>
      <c r="C42" s="2847" t="s">
        <v>2479</v>
      </c>
      <c r="D42" s="2848"/>
      <c r="E42" s="2849">
        <v>1</v>
      </c>
      <c r="F42" s="2846" t="s">
        <v>2480</v>
      </c>
      <c r="G42" s="2846"/>
    </row>
    <row r="43" spans="1:7" ht="19.5" customHeight="1">
      <c r="A43" s="3699"/>
      <c r="B43" s="3701"/>
      <c r="C43" s="2847" t="s">
        <v>2481</v>
      </c>
      <c r="D43" s="2848"/>
      <c r="E43" s="2849">
        <v>1.5</v>
      </c>
      <c r="F43" s="2846" t="s">
        <v>2482</v>
      </c>
      <c r="G43" s="2846"/>
    </row>
    <row r="44" spans="1:7" ht="19.5" customHeight="1">
      <c r="A44" s="3699"/>
      <c r="B44" s="2858" t="s">
        <v>2633</v>
      </c>
      <c r="C44" s="2847" t="s">
        <v>2634</v>
      </c>
      <c r="D44" s="2848"/>
      <c r="E44" s="2849">
        <v>2</v>
      </c>
      <c r="F44" s="2846" t="s">
        <v>2483</v>
      </c>
      <c r="G44" s="2846"/>
    </row>
    <row r="45" spans="1:7" ht="19.5" customHeight="1">
      <c r="A45" s="3699"/>
      <c r="B45" s="3697" t="s">
        <v>2635</v>
      </c>
      <c r="C45" s="2847" t="s">
        <v>2484</v>
      </c>
      <c r="D45" s="2848"/>
      <c r="E45" s="2849">
        <v>1</v>
      </c>
      <c r="F45" s="2846" t="s">
        <v>2485</v>
      </c>
      <c r="G45" s="2846"/>
    </row>
    <row r="46" spans="1:7" ht="19.5" customHeight="1">
      <c r="A46" s="3699"/>
      <c r="B46" s="3692"/>
      <c r="C46" s="2847" t="s">
        <v>2486</v>
      </c>
      <c r="D46" s="2848"/>
      <c r="E46" s="2849">
        <v>1</v>
      </c>
      <c r="F46" s="2846" t="s">
        <v>2487</v>
      </c>
      <c r="G46" s="2846"/>
    </row>
    <row r="47" spans="1:7" ht="19.5" customHeight="1">
      <c r="A47" s="3699"/>
      <c r="B47" s="3692"/>
      <c r="C47" s="2847" t="s">
        <v>2488</v>
      </c>
      <c r="D47" s="2848"/>
      <c r="E47" s="2849">
        <v>1</v>
      </c>
      <c r="F47" s="2846" t="s">
        <v>2489</v>
      </c>
      <c r="G47" s="2846"/>
    </row>
    <row r="48" spans="1:7" ht="19.5" customHeight="1">
      <c r="A48" s="3699"/>
      <c r="B48" s="3692"/>
      <c r="C48" s="2847" t="s">
        <v>2490</v>
      </c>
      <c r="D48" s="2848"/>
      <c r="E48" s="2849">
        <v>1</v>
      </c>
      <c r="F48" s="2846" t="s">
        <v>2491</v>
      </c>
      <c r="G48" s="2846"/>
    </row>
    <row r="49" spans="1:7" ht="19.5" customHeight="1">
      <c r="A49" s="3699"/>
      <c r="B49" s="3692"/>
      <c r="C49" s="2847" t="s">
        <v>2492</v>
      </c>
      <c r="D49" s="2848"/>
      <c r="E49" s="2849">
        <v>1</v>
      </c>
      <c r="F49" s="2846" t="s">
        <v>2493</v>
      </c>
      <c r="G49" s="2846"/>
    </row>
    <row r="50" spans="1:7" ht="19.5" customHeight="1">
      <c r="A50" s="3699"/>
      <c r="B50" s="3692"/>
      <c r="C50" s="2847" t="s">
        <v>2494</v>
      </c>
      <c r="D50" s="2848"/>
      <c r="E50" s="2849">
        <v>1</v>
      </c>
      <c r="F50" s="2846" t="s">
        <v>2495</v>
      </c>
      <c r="G50" s="2846"/>
    </row>
    <row r="51" spans="1:7" ht="19.5" customHeight="1" thickBot="1">
      <c r="A51" s="3700"/>
      <c r="B51" s="3693"/>
      <c r="C51" s="2850" t="s">
        <v>2496</v>
      </c>
      <c r="D51" s="2851"/>
      <c r="E51" s="2852">
        <v>1</v>
      </c>
      <c r="F51" s="2846" t="s">
        <v>2497</v>
      </c>
      <c r="G51" s="2846"/>
    </row>
    <row r="52" spans="1:7" ht="19.5" customHeight="1">
      <c r="A52" s="2859"/>
      <c r="B52" s="2859"/>
      <c r="C52" s="2859"/>
      <c r="D52" s="2859"/>
      <c r="E52" s="2859"/>
      <c r="F52" s="2859"/>
      <c r="G52" s="2859"/>
    </row>
    <row r="54" spans="1:7" ht="19.5" customHeight="1">
      <c r="A54" s="2860"/>
      <c r="B54" s="2832" t="s">
        <v>2636</v>
      </c>
      <c r="C54" s="2832" t="s">
        <v>2636</v>
      </c>
      <c r="D54" s="2832" t="s">
        <v>2636</v>
      </c>
      <c r="E54" s="2835" t="s">
        <v>2636</v>
      </c>
      <c r="F54" s="2835" t="s">
        <v>2637</v>
      </c>
      <c r="G54" s="2835" t="s">
        <v>2638</v>
      </c>
    </row>
    <row r="55" spans="1:7" ht="19.5" customHeight="1">
      <c r="A55" s="2861"/>
      <c r="B55" s="2835" t="s">
        <v>2605</v>
      </c>
      <c r="C55" s="2835" t="s">
        <v>2605</v>
      </c>
      <c r="D55" s="2835" t="s">
        <v>2605</v>
      </c>
      <c r="E55" s="2832" t="s">
        <v>2606</v>
      </c>
      <c r="F55" s="2832" t="s">
        <v>2608</v>
      </c>
      <c r="G55" s="2832" t="s">
        <v>2639</v>
      </c>
    </row>
    <row r="56" spans="1:7" ht="19.5" customHeight="1">
      <c r="A56" s="2862"/>
      <c r="B56" s="2832">
        <v>1</v>
      </c>
      <c r="C56" s="2832">
        <v>2</v>
      </c>
      <c r="D56" s="2832">
        <v>3</v>
      </c>
      <c r="E56" s="2863" t="s">
        <v>2640</v>
      </c>
      <c r="F56" s="2863" t="s">
        <v>2640</v>
      </c>
      <c r="G56" s="2863" t="s">
        <v>2640</v>
      </c>
    </row>
    <row r="57" spans="1:7" ht="19.5" customHeight="1">
      <c r="A57" s="2864" t="s">
        <v>2593</v>
      </c>
      <c r="B57" s="2832">
        <v>0.7</v>
      </c>
      <c r="C57" s="2832">
        <v>0.4</v>
      </c>
      <c r="D57" s="2832">
        <v>0.3</v>
      </c>
      <c r="E57" s="2863">
        <v>0.3</v>
      </c>
      <c r="F57" s="2832">
        <v>0.3</v>
      </c>
      <c r="G57" s="2832">
        <v>0.2</v>
      </c>
    </row>
    <row r="58" spans="1:7" ht="19.5" customHeight="1">
      <c r="A58" s="2864" t="s">
        <v>2594</v>
      </c>
      <c r="B58" s="2832">
        <v>0.7</v>
      </c>
      <c r="C58" s="2832">
        <v>0.4</v>
      </c>
      <c r="D58" s="2832">
        <v>0.3</v>
      </c>
      <c r="E58" s="2832">
        <v>0.3</v>
      </c>
      <c r="F58" s="2832">
        <v>0.3</v>
      </c>
      <c r="G58" s="2832">
        <v>0.2</v>
      </c>
    </row>
    <row r="59" spans="1:7" ht="19.5" customHeight="1">
      <c r="A59" s="2864" t="s">
        <v>2595</v>
      </c>
      <c r="B59" s="2832">
        <v>0.6</v>
      </c>
      <c r="C59" s="2832">
        <v>0.3</v>
      </c>
      <c r="D59" s="2832">
        <v>0.25</v>
      </c>
      <c r="E59" s="2832">
        <v>0.25</v>
      </c>
      <c r="F59" s="2832">
        <v>0.25</v>
      </c>
      <c r="G59" s="2832">
        <v>0.15</v>
      </c>
    </row>
    <row r="60" spans="1:7" ht="19.5" customHeight="1">
      <c r="A60" s="2864" t="s">
        <v>2596</v>
      </c>
      <c r="B60" s="2832">
        <v>0.6</v>
      </c>
      <c r="C60" s="2832">
        <v>0.3</v>
      </c>
      <c r="D60" s="2832">
        <v>0.25</v>
      </c>
      <c r="E60" s="2832">
        <v>0.25</v>
      </c>
      <c r="F60" s="2832">
        <v>0.25</v>
      </c>
      <c r="G60" s="2832">
        <v>0.15</v>
      </c>
    </row>
    <row r="61" spans="1:7" ht="19.5" customHeight="1">
      <c r="A61" s="2864" t="s">
        <v>2597</v>
      </c>
      <c r="B61" s="2832">
        <v>0.6</v>
      </c>
      <c r="C61" s="2832">
        <v>0.3</v>
      </c>
      <c r="D61" s="2832">
        <v>0.25</v>
      </c>
      <c r="E61" s="2832">
        <v>0.25</v>
      </c>
      <c r="F61" s="2832">
        <v>0.25</v>
      </c>
      <c r="G61" s="2832">
        <v>0.15</v>
      </c>
    </row>
    <row r="62" spans="1:7" ht="19.5" customHeight="1">
      <c r="A62" s="2864" t="s">
        <v>2598</v>
      </c>
      <c r="B62" s="2832">
        <v>0.6</v>
      </c>
      <c r="C62" s="2832">
        <v>0.3</v>
      </c>
      <c r="D62" s="2832">
        <v>0.25</v>
      </c>
      <c r="E62" s="2832">
        <v>0.25</v>
      </c>
      <c r="F62" s="2832">
        <v>0.25</v>
      </c>
      <c r="G62" s="2832">
        <v>0.15</v>
      </c>
    </row>
    <row r="63" spans="1:7" ht="19.5" customHeight="1">
      <c r="A63" s="2864" t="s">
        <v>2599</v>
      </c>
      <c r="B63" s="2832">
        <v>0.6</v>
      </c>
      <c r="C63" s="2832">
        <v>0.3</v>
      </c>
      <c r="D63" s="2832">
        <v>0.25</v>
      </c>
      <c r="E63" s="2832">
        <v>0.25</v>
      </c>
      <c r="F63" s="2832">
        <v>0.25</v>
      </c>
      <c r="G63" s="2832">
        <v>0.15</v>
      </c>
    </row>
    <row r="64" spans="1:7" ht="19.5" customHeight="1">
      <c r="A64" s="2864" t="s">
        <v>2600</v>
      </c>
      <c r="B64" s="2832">
        <v>0.5</v>
      </c>
      <c r="C64" s="2832">
        <v>0.2</v>
      </c>
      <c r="D64" s="2832">
        <v>0.2</v>
      </c>
      <c r="E64" s="2832">
        <v>0.2</v>
      </c>
      <c r="F64" s="2832">
        <v>0.2</v>
      </c>
      <c r="G64" s="2832">
        <v>0.1</v>
      </c>
    </row>
    <row r="65" spans="1:7" ht="19.5" customHeight="1">
      <c r="A65" s="2864" t="s">
        <v>2601</v>
      </c>
      <c r="B65" s="2832">
        <v>0.5</v>
      </c>
      <c r="C65" s="2832">
        <v>0.2</v>
      </c>
      <c r="D65" s="2832">
        <v>0.2</v>
      </c>
      <c r="E65" s="2832">
        <v>0.2</v>
      </c>
      <c r="F65" s="2832">
        <v>0.2</v>
      </c>
      <c r="G65" s="2832">
        <v>0.1</v>
      </c>
    </row>
    <row r="66" spans="1:7" ht="19.5" customHeight="1">
      <c r="A66" s="2864" t="s">
        <v>2602</v>
      </c>
      <c r="B66" s="2832">
        <v>0.5</v>
      </c>
      <c r="C66" s="2832">
        <v>0.2</v>
      </c>
      <c r="D66" s="2832">
        <v>0.2</v>
      </c>
      <c r="E66" s="2832">
        <v>0.2</v>
      </c>
      <c r="F66" s="2832">
        <v>0.2</v>
      </c>
      <c r="G66" s="2832">
        <v>0.1</v>
      </c>
    </row>
    <row r="67" spans="1:7" ht="19.5" customHeight="1">
      <c r="A67" s="2864" t="s">
        <v>2603</v>
      </c>
      <c r="B67" s="2832">
        <v>0.5</v>
      </c>
      <c r="C67" s="2832">
        <v>0.2</v>
      </c>
      <c r="D67" s="2832">
        <v>0.2</v>
      </c>
      <c r="E67" s="2832">
        <v>0.2</v>
      </c>
      <c r="F67" s="2832">
        <v>0.2</v>
      </c>
      <c r="G67" s="2832">
        <v>0.1</v>
      </c>
    </row>
    <row r="68" spans="1:7" ht="19.5" customHeight="1">
      <c r="A68" s="2864" t="s">
        <v>2604</v>
      </c>
      <c r="B68" s="2832">
        <v>0.5</v>
      </c>
      <c r="C68" s="2832">
        <v>0.2</v>
      </c>
      <c r="D68" s="2832">
        <v>0.2</v>
      </c>
      <c r="E68" s="2832">
        <v>0.2</v>
      </c>
      <c r="F68" s="2832">
        <v>0.2</v>
      </c>
      <c r="G68" s="2832">
        <v>0.1</v>
      </c>
    </row>
    <row r="70" spans="1:7" ht="19.5" customHeight="1">
      <c r="A70" s="2846"/>
      <c r="B70" s="2865"/>
      <c r="C70" s="2865"/>
      <c r="D70" s="2865" t="s">
        <v>2641</v>
      </c>
      <c r="E70" s="2865"/>
      <c r="F70" s="2865"/>
    </row>
    <row r="71" spans="1:7" ht="19.5" customHeight="1">
      <c r="A71" s="2858" t="s">
        <v>2642</v>
      </c>
      <c r="B71" s="2858" t="s">
        <v>2643</v>
      </c>
      <c r="C71" s="2858" t="s">
        <v>2644</v>
      </c>
      <c r="D71" s="2858" t="s">
        <v>2645</v>
      </c>
      <c r="E71" s="2858" t="s">
        <v>2646</v>
      </c>
      <c r="F71" s="2858" t="s">
        <v>2647</v>
      </c>
    </row>
    <row r="72" spans="1:7" ht="13.5">
      <c r="A72" s="2858"/>
      <c r="B72" s="2858"/>
      <c r="C72" s="2858" t="s">
        <v>2648</v>
      </c>
      <c r="D72" s="2858"/>
      <c r="E72" s="2858" t="s">
        <v>2619</v>
      </c>
      <c r="F72" s="2858" t="s">
        <v>2619</v>
      </c>
    </row>
    <row r="73" spans="1:7" ht="13.5">
      <c r="A73" s="2858">
        <v>1</v>
      </c>
      <c r="B73" s="3697" t="s">
        <v>2649</v>
      </c>
      <c r="C73" s="2832" t="s">
        <v>2650</v>
      </c>
      <c r="D73" s="2832" t="s">
        <v>2651</v>
      </c>
      <c r="E73" s="2858">
        <v>0.2</v>
      </c>
      <c r="F73" s="2858">
        <v>25</v>
      </c>
    </row>
    <row r="74" spans="1:7" ht="24">
      <c r="A74" s="2858">
        <v>2</v>
      </c>
      <c r="B74" s="3692"/>
      <c r="C74" s="2832" t="s">
        <v>2652</v>
      </c>
      <c r="D74" s="2832" t="s">
        <v>2653</v>
      </c>
      <c r="E74" s="2858">
        <v>0.2</v>
      </c>
      <c r="F74" s="2858">
        <v>25</v>
      </c>
    </row>
    <row r="75" spans="1:7" ht="24">
      <c r="A75" s="2858">
        <v>3</v>
      </c>
      <c r="B75" s="3692"/>
      <c r="C75" s="2832" t="s">
        <v>2654</v>
      </c>
      <c r="D75" s="2832" t="s">
        <v>2655</v>
      </c>
      <c r="E75" s="2858">
        <v>0.2</v>
      </c>
      <c r="F75" s="2858">
        <v>25</v>
      </c>
    </row>
    <row r="76" spans="1:7" ht="13.5">
      <c r="A76" s="2858">
        <v>4</v>
      </c>
      <c r="B76" s="3692"/>
      <c r="C76" s="2832" t="s">
        <v>2656</v>
      </c>
      <c r="D76" s="2832" t="s">
        <v>2657</v>
      </c>
      <c r="E76" s="2858">
        <v>0.15</v>
      </c>
      <c r="F76" s="2858">
        <v>20</v>
      </c>
    </row>
    <row r="77" spans="1:7" ht="24">
      <c r="A77" s="2858">
        <v>5</v>
      </c>
      <c r="B77" s="3692"/>
      <c r="C77" s="2832" t="s">
        <v>2658</v>
      </c>
      <c r="D77" s="2832" t="s">
        <v>2659</v>
      </c>
      <c r="E77" s="2858">
        <v>0.15</v>
      </c>
      <c r="F77" s="2858">
        <v>20</v>
      </c>
    </row>
    <row r="78" spans="1:7" ht="24">
      <c r="A78" s="2858">
        <v>6</v>
      </c>
      <c r="B78" s="3692"/>
      <c r="C78" s="2832" t="s">
        <v>2660</v>
      </c>
      <c r="D78" s="2832" t="s">
        <v>2661</v>
      </c>
      <c r="E78" s="2858">
        <v>0.15</v>
      </c>
      <c r="F78" s="2858">
        <v>20</v>
      </c>
    </row>
    <row r="79" spans="1:7" ht="24">
      <c r="A79" s="2858">
        <v>7</v>
      </c>
      <c r="B79" s="3692"/>
      <c r="C79" s="2832" t="s">
        <v>2662</v>
      </c>
      <c r="D79" s="2832" t="s">
        <v>2663</v>
      </c>
      <c r="E79" s="2858">
        <v>0.15</v>
      </c>
      <c r="F79" s="2858">
        <v>20</v>
      </c>
    </row>
    <row r="80" spans="1:7" ht="24">
      <c r="A80" s="2858">
        <v>8</v>
      </c>
      <c r="B80" s="3692"/>
      <c r="C80" s="2832" t="s">
        <v>2664</v>
      </c>
      <c r="D80" s="2832" t="s">
        <v>2665</v>
      </c>
      <c r="E80" s="2858">
        <v>0.1</v>
      </c>
      <c r="F80" s="2858">
        <v>15</v>
      </c>
    </row>
    <row r="81" spans="1:6" ht="24">
      <c r="A81" s="2858">
        <v>9</v>
      </c>
      <c r="B81" s="3692"/>
      <c r="C81" s="2832" t="s">
        <v>2666</v>
      </c>
      <c r="D81" s="2832" t="s">
        <v>2667</v>
      </c>
      <c r="E81" s="2858">
        <v>0.1</v>
      </c>
      <c r="F81" s="2858">
        <v>15</v>
      </c>
    </row>
    <row r="82" spans="1:6" ht="24">
      <c r="A82" s="2858">
        <v>10</v>
      </c>
      <c r="B82" s="3692"/>
      <c r="C82" s="2832" t="s">
        <v>2668</v>
      </c>
      <c r="D82" s="2832" t="s">
        <v>2669</v>
      </c>
      <c r="E82" s="2858">
        <v>0.1</v>
      </c>
      <c r="F82" s="2858">
        <v>15</v>
      </c>
    </row>
    <row r="83" spans="1:6" ht="24">
      <c r="A83" s="2858">
        <v>11</v>
      </c>
      <c r="B83" s="3692"/>
      <c r="C83" s="2832" t="s">
        <v>2670</v>
      </c>
      <c r="D83" s="2832" t="s">
        <v>2671</v>
      </c>
      <c r="E83" s="2858">
        <v>0.1</v>
      </c>
      <c r="F83" s="2858">
        <v>15</v>
      </c>
    </row>
    <row r="84" spans="1:6" ht="24">
      <c r="A84" s="2858">
        <v>12</v>
      </c>
      <c r="B84" s="3692"/>
      <c r="C84" s="2832" t="s">
        <v>2672</v>
      </c>
      <c r="D84" s="2832" t="s">
        <v>2673</v>
      </c>
      <c r="E84" s="2858">
        <v>0.1</v>
      </c>
      <c r="F84" s="2858">
        <v>15</v>
      </c>
    </row>
    <row r="85" spans="1:6" ht="13.5">
      <c r="A85" s="2858">
        <v>13</v>
      </c>
      <c r="B85" s="3692"/>
      <c r="C85" s="2832" t="s">
        <v>2674</v>
      </c>
      <c r="D85" s="2832" t="s">
        <v>2675</v>
      </c>
      <c r="E85" s="2858">
        <v>0.1</v>
      </c>
      <c r="F85" s="2858">
        <v>15</v>
      </c>
    </row>
    <row r="86" spans="1:6" ht="13.5">
      <c r="A86" s="2858">
        <v>14</v>
      </c>
      <c r="B86" s="3692"/>
      <c r="C86" s="2832" t="s">
        <v>2676</v>
      </c>
      <c r="D86" s="2832" t="s">
        <v>2677</v>
      </c>
      <c r="E86" s="2858">
        <v>0.1</v>
      </c>
      <c r="F86" s="2858">
        <v>15</v>
      </c>
    </row>
    <row r="87" spans="1:6" ht="13.5">
      <c r="A87" s="2858">
        <v>15</v>
      </c>
      <c r="B87" s="3692"/>
      <c r="C87" s="2832" t="s">
        <v>2678</v>
      </c>
      <c r="D87" s="2832" t="s">
        <v>2679</v>
      </c>
      <c r="E87" s="2858">
        <v>0.1</v>
      </c>
      <c r="F87" s="2858">
        <v>15</v>
      </c>
    </row>
    <row r="88" spans="1:6" ht="24">
      <c r="A88" s="2858">
        <v>16</v>
      </c>
      <c r="B88" s="3692"/>
      <c r="C88" s="2832" t="s">
        <v>2680</v>
      </c>
      <c r="D88" s="2832" t="s">
        <v>2681</v>
      </c>
      <c r="E88" s="2858">
        <v>0.1</v>
      </c>
      <c r="F88" s="2858">
        <v>15</v>
      </c>
    </row>
    <row r="89" spans="1:6" ht="24">
      <c r="A89" s="2858">
        <v>17</v>
      </c>
      <c r="B89" s="3701"/>
      <c r="C89" s="2832" t="s">
        <v>2682</v>
      </c>
      <c r="D89" s="2832" t="s">
        <v>2683</v>
      </c>
      <c r="E89" s="2858">
        <v>0.1</v>
      </c>
      <c r="F89" s="2858">
        <v>15</v>
      </c>
    </row>
    <row r="90" spans="1:6" ht="13.5">
      <c r="A90" s="2858">
        <v>18</v>
      </c>
      <c r="B90" s="3697" t="s">
        <v>2684</v>
      </c>
      <c r="C90" s="2832" t="s">
        <v>2685</v>
      </c>
      <c r="D90" s="2832" t="s">
        <v>2686</v>
      </c>
      <c r="E90" s="2858">
        <v>0.2</v>
      </c>
      <c r="F90" s="2858">
        <v>25</v>
      </c>
    </row>
    <row r="91" spans="1:6" ht="24">
      <c r="A91" s="2858">
        <v>19</v>
      </c>
      <c r="B91" s="3692"/>
      <c r="C91" s="2832" t="s">
        <v>2687</v>
      </c>
      <c r="D91" s="2832" t="s">
        <v>2688</v>
      </c>
      <c r="E91" s="2858">
        <v>0.2</v>
      </c>
      <c r="F91" s="2858">
        <v>25</v>
      </c>
    </row>
    <row r="92" spans="1:6" ht="13.5">
      <c r="A92" s="2858">
        <v>20</v>
      </c>
      <c r="B92" s="3692"/>
      <c r="C92" s="2832" t="s">
        <v>2689</v>
      </c>
      <c r="D92" s="2832" t="s">
        <v>2690</v>
      </c>
      <c r="E92" s="2858">
        <v>0.15</v>
      </c>
      <c r="F92" s="2858">
        <v>20</v>
      </c>
    </row>
    <row r="93" spans="1:6" ht="13.5">
      <c r="A93" s="2858">
        <v>21</v>
      </c>
      <c r="B93" s="3692"/>
      <c r="C93" s="2832" t="s">
        <v>2691</v>
      </c>
      <c r="D93" s="2832" t="s">
        <v>2692</v>
      </c>
      <c r="E93" s="2858">
        <v>0.15</v>
      </c>
      <c r="F93" s="2858">
        <v>20</v>
      </c>
    </row>
    <row r="94" spans="1:6" ht="13.5">
      <c r="A94" s="2858">
        <v>22</v>
      </c>
      <c r="B94" s="3692"/>
      <c r="C94" s="2832" t="s">
        <v>2693</v>
      </c>
      <c r="D94" s="2832" t="s">
        <v>2694</v>
      </c>
      <c r="E94" s="2858">
        <v>0.15</v>
      </c>
      <c r="F94" s="2858">
        <v>20</v>
      </c>
    </row>
    <row r="95" spans="1:6" ht="36">
      <c r="A95" s="2858">
        <v>23</v>
      </c>
      <c r="B95" s="3692"/>
      <c r="C95" s="2832" t="s">
        <v>2695</v>
      </c>
      <c r="D95" s="2832" t="s">
        <v>2696</v>
      </c>
      <c r="E95" s="2858">
        <v>0.15</v>
      </c>
      <c r="F95" s="2858">
        <v>20</v>
      </c>
    </row>
    <row r="96" spans="1:6" ht="13.5">
      <c r="A96" s="2858">
        <v>24</v>
      </c>
      <c r="B96" s="3692"/>
      <c r="C96" s="2832" t="s">
        <v>2697</v>
      </c>
      <c r="D96" s="2832" t="s">
        <v>2698</v>
      </c>
      <c r="E96" s="2858">
        <v>0.1</v>
      </c>
      <c r="F96" s="2858">
        <v>15</v>
      </c>
    </row>
    <row r="97" spans="1:6" ht="13.5">
      <c r="A97" s="2858">
        <v>25</v>
      </c>
      <c r="B97" s="3692"/>
      <c r="C97" s="2832" t="s">
        <v>2699</v>
      </c>
      <c r="D97" s="2832" t="s">
        <v>2700</v>
      </c>
      <c r="E97" s="2858">
        <v>0.1</v>
      </c>
      <c r="F97" s="2858">
        <v>15</v>
      </c>
    </row>
    <row r="98" spans="1:6" ht="24">
      <c r="A98" s="2858">
        <v>26</v>
      </c>
      <c r="B98" s="3692"/>
      <c r="C98" s="2832" t="s">
        <v>2701</v>
      </c>
      <c r="D98" s="2832" t="s">
        <v>2702</v>
      </c>
      <c r="E98" s="2858">
        <v>0.1</v>
      </c>
      <c r="F98" s="2858">
        <v>15</v>
      </c>
    </row>
    <row r="99" spans="1:6" ht="24">
      <c r="A99" s="2858">
        <v>27</v>
      </c>
      <c r="B99" s="3692"/>
      <c r="C99" s="2832" t="s">
        <v>2703</v>
      </c>
      <c r="D99" s="2832" t="s">
        <v>2704</v>
      </c>
      <c r="E99" s="2858">
        <v>0.1</v>
      </c>
      <c r="F99" s="2858">
        <v>15</v>
      </c>
    </row>
    <row r="100" spans="1:6" ht="13.5">
      <c r="A100" s="2858">
        <v>28</v>
      </c>
      <c r="B100" s="3692"/>
      <c r="C100" s="2832" t="s">
        <v>2705</v>
      </c>
      <c r="D100" s="2832" t="s">
        <v>2706</v>
      </c>
      <c r="E100" s="2858">
        <v>0.1</v>
      </c>
      <c r="F100" s="2858">
        <v>15</v>
      </c>
    </row>
    <row r="101" spans="1:6" ht="13.5">
      <c r="A101" s="2858">
        <v>29</v>
      </c>
      <c r="B101" s="3692"/>
      <c r="C101" s="2832" t="s">
        <v>2707</v>
      </c>
      <c r="D101" s="2832" t="s">
        <v>2708</v>
      </c>
      <c r="E101" s="2858">
        <v>0.1</v>
      </c>
      <c r="F101" s="2858">
        <v>15</v>
      </c>
    </row>
    <row r="102" spans="1:6" ht="13.5">
      <c r="A102" s="2858">
        <v>30</v>
      </c>
      <c r="B102" s="3692"/>
      <c r="C102" s="2832" t="s">
        <v>2709</v>
      </c>
      <c r="D102" s="2832" t="s">
        <v>2710</v>
      </c>
      <c r="E102" s="2858">
        <v>0.1</v>
      </c>
      <c r="F102" s="2858">
        <v>15</v>
      </c>
    </row>
    <row r="103" spans="1:6" ht="24">
      <c r="A103" s="2858">
        <v>31</v>
      </c>
      <c r="B103" s="3692"/>
      <c r="C103" s="2832" t="s">
        <v>2711</v>
      </c>
      <c r="D103" s="2832" t="s">
        <v>2712</v>
      </c>
      <c r="E103" s="2858">
        <v>0.1</v>
      </c>
      <c r="F103" s="2858">
        <v>15</v>
      </c>
    </row>
    <row r="104" spans="1:6" ht="24">
      <c r="A104" s="2858">
        <v>32</v>
      </c>
      <c r="B104" s="3692"/>
      <c r="C104" s="2832" t="s">
        <v>2713</v>
      </c>
      <c r="D104" s="2832" t="s">
        <v>2714</v>
      </c>
      <c r="E104" s="2858">
        <v>0.1</v>
      </c>
      <c r="F104" s="2858">
        <v>15</v>
      </c>
    </row>
    <row r="105" spans="1:6" ht="24">
      <c r="A105" s="2858">
        <v>33</v>
      </c>
      <c r="B105" s="3692"/>
      <c r="C105" s="2832" t="s">
        <v>2715</v>
      </c>
      <c r="D105" s="2832" t="s">
        <v>2716</v>
      </c>
      <c r="E105" s="2858">
        <v>0.1</v>
      </c>
      <c r="F105" s="2858">
        <v>15</v>
      </c>
    </row>
    <row r="106" spans="1:6" ht="24">
      <c r="A106" s="2858">
        <v>34</v>
      </c>
      <c r="B106" s="3701"/>
      <c r="C106" s="2832" t="s">
        <v>2717</v>
      </c>
      <c r="D106" s="2832" t="s">
        <v>2718</v>
      </c>
      <c r="E106" s="2858">
        <v>0.1</v>
      </c>
      <c r="F106" s="2858">
        <v>15</v>
      </c>
    </row>
    <row r="107" spans="1:6" ht="24">
      <c r="A107" s="2858">
        <v>35</v>
      </c>
      <c r="B107" s="3697" t="s">
        <v>2719</v>
      </c>
      <c r="C107" s="2858" t="s">
        <v>2720</v>
      </c>
      <c r="D107" s="2832" t="s">
        <v>2721</v>
      </c>
      <c r="E107" s="2858">
        <v>0.15</v>
      </c>
      <c r="F107" s="2858">
        <v>20</v>
      </c>
    </row>
    <row r="108" spans="1:6" ht="13.5">
      <c r="A108" s="2858">
        <v>36</v>
      </c>
      <c r="B108" s="3692"/>
      <c r="C108" s="2858" t="s">
        <v>2722</v>
      </c>
      <c r="D108" s="2832" t="s">
        <v>2723</v>
      </c>
      <c r="E108" s="2858">
        <v>0.15</v>
      </c>
      <c r="F108" s="2858">
        <v>20</v>
      </c>
    </row>
    <row r="109" spans="1:6" ht="13.5">
      <c r="A109" s="2858">
        <v>37</v>
      </c>
      <c r="B109" s="3692"/>
      <c r="C109" s="2858" t="s">
        <v>2724</v>
      </c>
      <c r="D109" s="2832" t="s">
        <v>2725</v>
      </c>
      <c r="E109" s="2858">
        <v>0.15</v>
      </c>
      <c r="F109" s="2858">
        <v>20</v>
      </c>
    </row>
    <row r="110" spans="1:6" ht="13.5">
      <c r="A110" s="2858">
        <v>38</v>
      </c>
      <c r="B110" s="3692"/>
      <c r="C110" s="2858" t="s">
        <v>2726</v>
      </c>
      <c r="D110" s="2832" t="s">
        <v>2727</v>
      </c>
      <c r="E110" s="2858">
        <v>0.1</v>
      </c>
      <c r="F110" s="2858">
        <v>15</v>
      </c>
    </row>
    <row r="111" spans="1:6" ht="24">
      <c r="A111" s="2858">
        <v>39</v>
      </c>
      <c r="B111" s="3692"/>
      <c r="C111" s="2858" t="s">
        <v>2728</v>
      </c>
      <c r="D111" s="2832" t="s">
        <v>2729</v>
      </c>
      <c r="E111" s="2858">
        <v>0.1</v>
      </c>
      <c r="F111" s="2858">
        <v>15</v>
      </c>
    </row>
    <row r="112" spans="1:6" ht="24">
      <c r="A112" s="2858">
        <v>40</v>
      </c>
      <c r="B112" s="3701"/>
      <c r="C112" s="2858" t="s">
        <v>2730</v>
      </c>
      <c r="D112" s="2832" t="s">
        <v>2731</v>
      </c>
      <c r="E112" s="2858">
        <v>0.1</v>
      </c>
      <c r="F112" s="2858">
        <v>15</v>
      </c>
    </row>
    <row r="113" spans="1:6" ht="13.5">
      <c r="A113" s="2858">
        <v>41</v>
      </c>
      <c r="B113" s="3702" t="s">
        <v>2732</v>
      </c>
      <c r="C113" s="2858" t="s">
        <v>2733</v>
      </c>
      <c r="D113" s="2832" t="s">
        <v>2734</v>
      </c>
      <c r="E113" s="2858">
        <v>0.1</v>
      </c>
      <c r="F113" s="2858">
        <v>15</v>
      </c>
    </row>
    <row r="114" spans="1:6" ht="13.5">
      <c r="A114" s="2858">
        <v>42</v>
      </c>
      <c r="B114" s="3702"/>
      <c r="C114" s="2858" t="s">
        <v>2735</v>
      </c>
      <c r="D114" s="2832" t="s">
        <v>2736</v>
      </c>
      <c r="E114" s="2858">
        <v>0.1</v>
      </c>
      <c r="F114" s="2858">
        <v>15</v>
      </c>
    </row>
    <row r="115" spans="1:6" ht="24">
      <c r="A115" s="2858">
        <v>43</v>
      </c>
      <c r="B115" s="3702"/>
      <c r="C115" s="2858" t="s">
        <v>2737</v>
      </c>
      <c r="D115" s="2832" t="s">
        <v>2738</v>
      </c>
      <c r="E115" s="2858">
        <v>0.1</v>
      </c>
      <c r="F115" s="2858">
        <v>15</v>
      </c>
    </row>
    <row r="116" spans="1:6" ht="13.5">
      <c r="A116" s="2858">
        <v>44</v>
      </c>
      <c r="B116" s="3697" t="s">
        <v>2739</v>
      </c>
      <c r="C116" s="2858" t="s">
        <v>2740</v>
      </c>
      <c r="D116" s="2832" t="s">
        <v>2741</v>
      </c>
      <c r="E116" s="2858">
        <v>0.1</v>
      </c>
      <c r="F116" s="2858">
        <v>15</v>
      </c>
    </row>
    <row r="117" spans="1:6" ht="24">
      <c r="A117" s="2858">
        <v>45</v>
      </c>
      <c r="B117" s="3701"/>
      <c r="C117" s="2832" t="s">
        <v>2742</v>
      </c>
      <c r="D117" s="2832" t="s">
        <v>2743</v>
      </c>
      <c r="E117" s="2858">
        <v>0.1</v>
      </c>
      <c r="F117" s="2858">
        <v>15</v>
      </c>
    </row>
    <row r="118" spans="1:6" ht="24">
      <c r="A118" s="2858">
        <v>46</v>
      </c>
      <c r="B118" s="3697" t="s">
        <v>2744</v>
      </c>
      <c r="C118" s="2858" t="s">
        <v>2745</v>
      </c>
      <c r="D118" s="2832" t="s">
        <v>2746</v>
      </c>
      <c r="E118" s="2858">
        <v>0.1</v>
      </c>
      <c r="F118" s="2858">
        <v>15</v>
      </c>
    </row>
    <row r="119" spans="1:6" ht="24">
      <c r="A119" s="2858">
        <v>47</v>
      </c>
      <c r="B119" s="3701"/>
      <c r="C119" s="2858" t="s">
        <v>2747</v>
      </c>
      <c r="D119" s="2832" t="s">
        <v>2748</v>
      </c>
      <c r="E119" s="2858">
        <v>0.1</v>
      </c>
      <c r="F119" s="2858">
        <v>15</v>
      </c>
    </row>
    <row r="120" spans="1:6" ht="13.5">
      <c r="A120" s="2858">
        <v>48</v>
      </c>
      <c r="B120" s="3697" t="s">
        <v>2749</v>
      </c>
      <c r="C120" s="2858" t="s">
        <v>2750</v>
      </c>
      <c r="D120" s="2832" t="s">
        <v>2751</v>
      </c>
      <c r="E120" s="2858">
        <v>0.1</v>
      </c>
      <c r="F120" s="2858">
        <v>15</v>
      </c>
    </row>
    <row r="121" spans="1:6" ht="13.5">
      <c r="A121" s="2858">
        <v>49</v>
      </c>
      <c r="B121" s="3701"/>
      <c r="C121" s="2858" t="s">
        <v>2752</v>
      </c>
      <c r="D121" s="2832" t="s">
        <v>2753</v>
      </c>
      <c r="E121" s="2858">
        <v>0.1</v>
      </c>
      <c r="F121" s="2858">
        <v>15</v>
      </c>
    </row>
    <row r="122" spans="1:6" ht="24">
      <c r="A122" s="2858">
        <v>50</v>
      </c>
      <c r="B122" s="3702" t="s">
        <v>2754</v>
      </c>
      <c r="C122" s="2858" t="s">
        <v>2755</v>
      </c>
      <c r="D122" s="2832" t="s">
        <v>2756</v>
      </c>
      <c r="E122" s="2858">
        <v>0.1</v>
      </c>
      <c r="F122" s="2858">
        <v>15</v>
      </c>
    </row>
    <row r="123" spans="1:6" ht="24">
      <c r="A123" s="2858">
        <v>51</v>
      </c>
      <c r="B123" s="3702"/>
      <c r="C123" s="2858" t="s">
        <v>2757</v>
      </c>
      <c r="D123" s="2832" t="s">
        <v>2758</v>
      </c>
      <c r="E123" s="2858">
        <v>0.1</v>
      </c>
      <c r="F123" s="2858">
        <v>15</v>
      </c>
    </row>
    <row r="124" spans="1:6" ht="24">
      <c r="A124" s="2858">
        <v>52</v>
      </c>
      <c r="B124" s="3702" t="s">
        <v>2759</v>
      </c>
      <c r="C124" s="2858" t="s">
        <v>2760</v>
      </c>
      <c r="D124" s="2832" t="s">
        <v>2761</v>
      </c>
      <c r="E124" s="2858">
        <v>0.1</v>
      </c>
      <c r="F124" s="2858">
        <v>15</v>
      </c>
    </row>
    <row r="125" spans="1:6" ht="24">
      <c r="A125" s="2858">
        <v>53</v>
      </c>
      <c r="B125" s="3702"/>
      <c r="C125" s="2858" t="s">
        <v>2762</v>
      </c>
      <c r="D125" s="2832" t="s">
        <v>2763</v>
      </c>
      <c r="E125" s="2858">
        <v>0.1</v>
      </c>
      <c r="F125" s="2858">
        <v>15</v>
      </c>
    </row>
    <row r="126" spans="1:6" ht="13.5">
      <c r="A126" s="2858">
        <v>54</v>
      </c>
      <c r="B126" s="2858" t="s">
        <v>2764</v>
      </c>
      <c r="C126" s="2858" t="s">
        <v>2765</v>
      </c>
      <c r="D126" s="2832" t="s">
        <v>2766</v>
      </c>
      <c r="E126" s="2858">
        <v>0.1</v>
      </c>
      <c r="F126" s="2858">
        <v>15</v>
      </c>
    </row>
    <row r="127" spans="1:6" ht="13.5">
      <c r="A127" s="2858">
        <v>55</v>
      </c>
      <c r="B127" s="3702" t="s">
        <v>2767</v>
      </c>
      <c r="C127" s="2858" t="s">
        <v>2768</v>
      </c>
      <c r="D127" s="2832" t="s">
        <v>2769</v>
      </c>
      <c r="E127" s="2858">
        <v>0.1</v>
      </c>
      <c r="F127" s="2858">
        <v>15</v>
      </c>
    </row>
    <row r="128" spans="1:6" ht="13.5">
      <c r="A128" s="2858">
        <v>56</v>
      </c>
      <c r="B128" s="3702"/>
      <c r="C128" s="2858" t="s">
        <v>2770</v>
      </c>
      <c r="D128" s="2832" t="s">
        <v>2771</v>
      </c>
      <c r="E128" s="2858">
        <v>0.1</v>
      </c>
      <c r="F128" s="2858">
        <v>15</v>
      </c>
    </row>
    <row r="129" spans="1:6" ht="24">
      <c r="A129" s="2858">
        <v>57</v>
      </c>
      <c r="B129" s="3702"/>
      <c r="C129" s="2858" t="s">
        <v>2772</v>
      </c>
      <c r="D129" s="2832" t="s">
        <v>2773</v>
      </c>
      <c r="E129" s="2858">
        <v>0.1</v>
      </c>
      <c r="F129" s="2858">
        <v>15</v>
      </c>
    </row>
    <row r="130" spans="1:6" ht="24">
      <c r="A130" s="2858">
        <v>58</v>
      </c>
      <c r="B130" s="3702" t="s">
        <v>2774</v>
      </c>
      <c r="C130" s="2858" t="s">
        <v>2775</v>
      </c>
      <c r="D130" s="2832" t="s">
        <v>2776</v>
      </c>
      <c r="E130" s="2858">
        <v>0.1</v>
      </c>
      <c r="F130" s="2858">
        <v>15</v>
      </c>
    </row>
    <row r="131" spans="1:6" ht="13.5">
      <c r="A131" s="2858">
        <v>59</v>
      </c>
      <c r="B131" s="3702"/>
      <c r="C131" s="2858" t="s">
        <v>2777</v>
      </c>
      <c r="D131" s="2832" t="s">
        <v>2778</v>
      </c>
      <c r="E131" s="2858">
        <v>0.1</v>
      </c>
      <c r="F131" s="2858">
        <v>15</v>
      </c>
    </row>
    <row r="132" spans="1:6" ht="13.5">
      <c r="A132" s="2858">
        <v>60</v>
      </c>
      <c r="B132" s="3697" t="s">
        <v>2779</v>
      </c>
      <c r="C132" s="2858" t="s">
        <v>2780</v>
      </c>
      <c r="D132" s="2832" t="s">
        <v>2781</v>
      </c>
      <c r="E132" s="2858">
        <v>0.1</v>
      </c>
      <c r="F132" s="2858">
        <v>15</v>
      </c>
    </row>
    <row r="133" spans="1:6" ht="13.5">
      <c r="A133" s="2858">
        <v>61</v>
      </c>
      <c r="B133" s="3701"/>
      <c r="C133" s="2858" t="s">
        <v>2782</v>
      </c>
      <c r="D133" s="2832" t="s">
        <v>2783</v>
      </c>
      <c r="E133" s="2858">
        <v>0.1</v>
      </c>
      <c r="F133" s="2858">
        <v>15</v>
      </c>
    </row>
    <row r="134" spans="1:6" ht="24">
      <c r="A134" s="2858">
        <v>62</v>
      </c>
      <c r="B134" s="2858" t="s">
        <v>2784</v>
      </c>
      <c r="C134" s="2858" t="s">
        <v>2785</v>
      </c>
      <c r="D134" s="2832" t="s">
        <v>2786</v>
      </c>
      <c r="E134" s="2858">
        <v>0.1</v>
      </c>
      <c r="F134" s="2858">
        <v>15</v>
      </c>
    </row>
    <row r="135" spans="1:6" ht="13.5">
      <c r="A135" s="2858">
        <v>63</v>
      </c>
      <c r="B135" s="3702" t="s">
        <v>2787</v>
      </c>
      <c r="C135" s="2858" t="s">
        <v>2788</v>
      </c>
      <c r="D135" s="2832" t="s">
        <v>2789</v>
      </c>
      <c r="E135" s="2858">
        <v>0.1</v>
      </c>
      <c r="F135" s="2858">
        <v>15</v>
      </c>
    </row>
    <row r="136" spans="1:6" ht="13.5">
      <c r="A136" s="2858">
        <v>64</v>
      </c>
      <c r="B136" s="3702"/>
      <c r="C136" s="2858" t="s">
        <v>2790</v>
      </c>
      <c r="D136" s="2832" t="s">
        <v>2791</v>
      </c>
      <c r="E136" s="2858">
        <v>0.1</v>
      </c>
      <c r="F136" s="2858">
        <v>15</v>
      </c>
    </row>
    <row r="137" spans="1:6" ht="13.5">
      <c r="A137" s="2858">
        <v>65</v>
      </c>
      <c r="B137" s="2858" t="s">
        <v>2792</v>
      </c>
      <c r="C137" s="2858" t="s">
        <v>2793</v>
      </c>
      <c r="D137" s="2832" t="s">
        <v>2794</v>
      </c>
      <c r="E137" s="2858">
        <v>0.1</v>
      </c>
      <c r="F137" s="2858">
        <v>15</v>
      </c>
    </row>
    <row r="138" spans="1:6" ht="13.5">
      <c r="A138" s="2858"/>
      <c r="B138" s="2858"/>
      <c r="C138" s="2858"/>
      <c r="D138" s="2858"/>
      <c r="E138" s="2858" t="s">
        <v>2795</v>
      </c>
      <c r="F138" s="2858" t="s">
        <v>2795</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8"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U460"/>
  <sheetViews>
    <sheetView zoomScale="70" zoomScaleNormal="70" workbookViewId="0">
      <selection sqref="A1:XFD1048576"/>
    </sheetView>
  </sheetViews>
  <sheetFormatPr defaultColWidth="9" defaultRowHeight="13.5"/>
  <cols>
    <col min="1" max="13" width="9" style="2880"/>
  </cols>
  <sheetData>
    <row r="1" spans="1:20" ht="15" thickBot="1">
      <c r="A1" s="2866" t="s">
        <v>2796</v>
      </c>
      <c r="B1" s="2866"/>
      <c r="C1" s="2866"/>
      <c r="D1" s="2866"/>
      <c r="E1" s="2866"/>
      <c r="F1" s="2866"/>
      <c r="G1" s="2866"/>
      <c r="H1" s="2866"/>
      <c r="I1" s="2866"/>
      <c r="J1" s="2866"/>
      <c r="K1" s="2866"/>
      <c r="L1" s="2866"/>
      <c r="M1" s="2866"/>
      <c r="N1" s="707"/>
    </row>
    <row r="2" spans="1:20">
      <c r="A2" s="2867" t="s">
        <v>2797</v>
      </c>
      <c r="B2" s="2868" t="s">
        <v>2593</v>
      </c>
      <c r="C2" s="2868" t="s">
        <v>2594</v>
      </c>
      <c r="D2" s="2868" t="s">
        <v>2595</v>
      </c>
      <c r="E2" s="2868" t="s">
        <v>2596</v>
      </c>
      <c r="F2" s="2868" t="s">
        <v>2597</v>
      </c>
      <c r="G2" s="2868" t="s">
        <v>2598</v>
      </c>
      <c r="H2" s="2869" t="s">
        <v>2599</v>
      </c>
      <c r="I2" s="2869" t="s">
        <v>2600</v>
      </c>
      <c r="J2" s="2870" t="s">
        <v>2601</v>
      </c>
      <c r="K2" s="2870" t="s">
        <v>2602</v>
      </c>
      <c r="L2" s="2870" t="s">
        <v>2603</v>
      </c>
      <c r="M2" s="2871" t="s">
        <v>2604</v>
      </c>
      <c r="Q2" s="2881" t="s">
        <v>2802</v>
      </c>
      <c r="R2" s="2881" t="s">
        <v>2803</v>
      </c>
      <c r="S2" s="2881" t="s">
        <v>2804</v>
      </c>
      <c r="T2" s="2881" t="s">
        <v>2805</v>
      </c>
    </row>
    <row r="3" spans="1:20">
      <c r="A3" s="2872">
        <v>1</v>
      </c>
      <c r="B3" s="2873">
        <v>1.2574000000000001</v>
      </c>
      <c r="C3" s="2873">
        <v>1.2574000000000001</v>
      </c>
      <c r="D3" s="2873">
        <v>1.2299</v>
      </c>
      <c r="E3" s="2873">
        <v>1.2299</v>
      </c>
      <c r="F3" s="2873">
        <v>1.2299</v>
      </c>
      <c r="G3" s="2873">
        <v>1.2299</v>
      </c>
      <c r="H3" s="2873">
        <v>1.2299</v>
      </c>
      <c r="I3" s="2873">
        <v>1.2333000000000001</v>
      </c>
      <c r="J3" s="2873">
        <v>1.2333000000000001</v>
      </c>
      <c r="K3" s="2873">
        <v>1.2333000000000001</v>
      </c>
      <c r="L3" s="2873">
        <v>1.2333000000000001</v>
      </c>
      <c r="M3" s="2874">
        <v>1.2333000000000001</v>
      </c>
      <c r="Q3" s="2881">
        <v>10</v>
      </c>
      <c r="R3" s="2881">
        <f>ROUND(0.9968-0.011*Q3,4)</f>
        <v>0.88680000000000003</v>
      </c>
      <c r="S3" s="2881">
        <f>ROUND(0.949-0.014*Q3,4)</f>
        <v>0.80900000000000005</v>
      </c>
      <c r="T3" s="2881">
        <f>ROUND(0.8486-0.018*Q3,4)</f>
        <v>0.66859999999999997</v>
      </c>
    </row>
    <row r="4" spans="1:20">
      <c r="A4" s="2872">
        <v>1.1000000000000001</v>
      </c>
      <c r="B4" s="2873">
        <v>1.2283999999999999</v>
      </c>
      <c r="C4" s="2873">
        <v>1.2283999999999999</v>
      </c>
      <c r="D4" s="2873">
        <v>1.1984999999999999</v>
      </c>
      <c r="E4" s="2873">
        <v>1.1984999999999999</v>
      </c>
      <c r="F4" s="2873">
        <v>1.1984999999999999</v>
      </c>
      <c r="G4" s="2873">
        <v>1.1984999999999999</v>
      </c>
      <c r="H4" s="2873">
        <v>1.1984999999999999</v>
      </c>
      <c r="I4" s="2873">
        <v>1.1899</v>
      </c>
      <c r="J4" s="2873">
        <v>1.1899</v>
      </c>
      <c r="K4" s="2873">
        <v>1.1899</v>
      </c>
      <c r="L4" s="2873">
        <v>1.1899</v>
      </c>
      <c r="M4" s="2874">
        <v>1.1899</v>
      </c>
    </row>
    <row r="5" spans="1:20">
      <c r="A5" s="2872">
        <v>1.2</v>
      </c>
      <c r="B5" s="2873">
        <v>1.2031000000000001</v>
      </c>
      <c r="C5" s="2873">
        <v>1.2031000000000001</v>
      </c>
      <c r="D5" s="2873">
        <v>1.1711</v>
      </c>
      <c r="E5" s="2873">
        <v>1.1711</v>
      </c>
      <c r="F5" s="2873">
        <v>1.1711</v>
      </c>
      <c r="G5" s="2873">
        <v>1.1711</v>
      </c>
      <c r="H5" s="2873">
        <v>1.1711</v>
      </c>
      <c r="I5" s="2873">
        <v>1.1528</v>
      </c>
      <c r="J5" s="2873">
        <v>1.1528</v>
      </c>
      <c r="K5" s="2873">
        <v>1.1528</v>
      </c>
      <c r="L5" s="2873">
        <v>1.1528</v>
      </c>
      <c r="M5" s="2874">
        <v>1.1528</v>
      </c>
    </row>
    <row r="6" spans="1:20">
      <c r="A6" s="2872">
        <v>1.3</v>
      </c>
      <c r="B6" s="2873">
        <v>1.1811</v>
      </c>
      <c r="C6" s="2873">
        <v>1.1811</v>
      </c>
      <c r="D6" s="2873">
        <v>1.1472</v>
      </c>
      <c r="E6" s="2873">
        <v>1.1472</v>
      </c>
      <c r="F6" s="2873">
        <v>1.1472</v>
      </c>
      <c r="G6" s="2873">
        <v>1.1472</v>
      </c>
      <c r="H6" s="2873">
        <v>1.1472</v>
      </c>
      <c r="I6" s="2873">
        <v>1.1214</v>
      </c>
      <c r="J6" s="2873">
        <v>1.1214</v>
      </c>
      <c r="K6" s="2873">
        <v>1.1214</v>
      </c>
      <c r="L6" s="2873">
        <v>1.1214</v>
      </c>
      <c r="M6" s="2874">
        <v>1.1214</v>
      </c>
    </row>
    <row r="7" spans="1:20">
      <c r="A7" s="2872">
        <v>1.4</v>
      </c>
      <c r="B7" s="2873">
        <v>1.1619999999999999</v>
      </c>
      <c r="C7" s="2873">
        <v>1.1619999999999999</v>
      </c>
      <c r="D7" s="2873">
        <v>1.1265000000000001</v>
      </c>
      <c r="E7" s="2873">
        <v>1.1265000000000001</v>
      </c>
      <c r="F7" s="2873">
        <v>1.1265000000000001</v>
      </c>
      <c r="G7" s="2873">
        <v>1.1265000000000001</v>
      </c>
      <c r="H7" s="2873">
        <v>1.1265000000000001</v>
      </c>
      <c r="I7" s="2873">
        <v>1.0948</v>
      </c>
      <c r="J7" s="2873">
        <v>1.0948</v>
      </c>
      <c r="K7" s="2873">
        <v>1.0948</v>
      </c>
      <c r="L7" s="2873">
        <v>1.0948</v>
      </c>
      <c r="M7" s="2874">
        <v>1.0948</v>
      </c>
    </row>
    <row r="8" spans="1:20">
      <c r="A8" s="2872">
        <v>1.5</v>
      </c>
      <c r="B8" s="2873">
        <v>1.1453</v>
      </c>
      <c r="C8" s="2873">
        <v>1.1453</v>
      </c>
      <c r="D8" s="2873">
        <v>1.1084000000000001</v>
      </c>
      <c r="E8" s="2873">
        <v>1.1084000000000001</v>
      </c>
      <c r="F8" s="2873">
        <v>1.1084000000000001</v>
      </c>
      <c r="G8" s="2873">
        <v>1.1084000000000001</v>
      </c>
      <c r="H8" s="2873">
        <v>1.1084000000000001</v>
      </c>
      <c r="I8" s="2873">
        <v>1.0725</v>
      </c>
      <c r="J8" s="2873">
        <v>1.0725</v>
      </c>
      <c r="K8" s="2873">
        <v>1.0725</v>
      </c>
      <c r="L8" s="2873">
        <v>1.0725</v>
      </c>
      <c r="M8" s="2874">
        <v>1.0725</v>
      </c>
    </row>
    <row r="9" spans="1:20">
      <c r="A9" s="2872">
        <v>1.6</v>
      </c>
      <c r="B9" s="2873">
        <v>1.1306</v>
      </c>
      <c r="C9" s="2873">
        <v>1.1306</v>
      </c>
      <c r="D9" s="2873">
        <v>1.0924</v>
      </c>
      <c r="E9" s="2873">
        <v>1.0924</v>
      </c>
      <c r="F9" s="2873">
        <v>1.0924</v>
      </c>
      <c r="G9" s="2873">
        <v>1.0924</v>
      </c>
      <c r="H9" s="2873">
        <v>1.0924</v>
      </c>
      <c r="I9" s="2873">
        <v>1.0538000000000001</v>
      </c>
      <c r="J9" s="2873">
        <v>1.0538000000000001</v>
      </c>
      <c r="K9" s="2873">
        <v>1.0538000000000001</v>
      </c>
      <c r="L9" s="2873">
        <v>1.0538000000000001</v>
      </c>
      <c r="M9" s="2874">
        <v>1.0538000000000001</v>
      </c>
    </row>
    <row r="10" spans="1:20">
      <c r="A10" s="2872">
        <v>1.7</v>
      </c>
      <c r="B10" s="2873">
        <v>1.1175999999999999</v>
      </c>
      <c r="C10" s="2873">
        <v>1.1175999999999999</v>
      </c>
      <c r="D10" s="2873">
        <v>1.0783</v>
      </c>
      <c r="E10" s="2873">
        <v>1.0783</v>
      </c>
      <c r="F10" s="2873">
        <v>1.0783</v>
      </c>
      <c r="G10" s="2873">
        <v>1.0783</v>
      </c>
      <c r="H10" s="2873">
        <v>1.0783</v>
      </c>
      <c r="I10" s="2873">
        <v>1.0379</v>
      </c>
      <c r="J10" s="2873">
        <v>1.0379</v>
      </c>
      <c r="K10" s="2873">
        <v>1.0379</v>
      </c>
      <c r="L10" s="2873">
        <v>1.0379</v>
      </c>
      <c r="M10" s="2874">
        <v>1.0379</v>
      </c>
    </row>
    <row r="11" spans="1:20">
      <c r="A11" s="2872">
        <v>1.8</v>
      </c>
      <c r="B11" s="2873">
        <v>1.1057999999999999</v>
      </c>
      <c r="C11" s="2873">
        <v>1.1057999999999999</v>
      </c>
      <c r="D11" s="2873">
        <v>1.0653999999999999</v>
      </c>
      <c r="E11" s="2873">
        <v>1.0653999999999999</v>
      </c>
      <c r="F11" s="2873">
        <v>1.0653999999999999</v>
      </c>
      <c r="G11" s="2873">
        <v>1.0653999999999999</v>
      </c>
      <c r="H11" s="2873">
        <v>1.0653999999999999</v>
      </c>
      <c r="I11" s="2873">
        <v>1.0241</v>
      </c>
      <c r="J11" s="2873">
        <v>1.0241</v>
      </c>
      <c r="K11" s="2873">
        <v>1.0241</v>
      </c>
      <c r="L11" s="2873">
        <v>1.0241</v>
      </c>
      <c r="M11" s="2874">
        <v>1.0241</v>
      </c>
    </row>
    <row r="12" spans="1:20">
      <c r="A12" s="2872">
        <v>1.9</v>
      </c>
      <c r="B12" s="2873">
        <v>1.0949</v>
      </c>
      <c r="C12" s="2873">
        <v>1.0949</v>
      </c>
      <c r="D12" s="2873">
        <v>1.0537000000000001</v>
      </c>
      <c r="E12" s="2873">
        <v>1.0537000000000001</v>
      </c>
      <c r="F12" s="2873">
        <v>1.0537000000000001</v>
      </c>
      <c r="G12" s="2873">
        <v>1.0537000000000001</v>
      </c>
      <c r="H12" s="2873">
        <v>1.0537000000000001</v>
      </c>
      <c r="I12" s="2873">
        <v>1.0117</v>
      </c>
      <c r="J12" s="2873">
        <v>1.0117</v>
      </c>
      <c r="K12" s="2873">
        <v>1.0117</v>
      </c>
      <c r="L12" s="2873">
        <v>1.0117</v>
      </c>
      <c r="M12" s="2874">
        <v>1.0117</v>
      </c>
    </row>
    <row r="13" spans="1:20">
      <c r="A13" s="2872">
        <v>2</v>
      </c>
      <c r="B13" s="2873">
        <v>1.0847</v>
      </c>
      <c r="C13" s="2873">
        <v>1.0847</v>
      </c>
      <c r="D13" s="2873">
        <v>1.0427</v>
      </c>
      <c r="E13" s="2873">
        <v>1.0427</v>
      </c>
      <c r="F13" s="2873">
        <v>1.0427</v>
      </c>
      <c r="G13" s="2873">
        <v>1.0427</v>
      </c>
      <c r="H13" s="2873">
        <v>1.0427</v>
      </c>
      <c r="I13" s="2873">
        <v>1</v>
      </c>
      <c r="J13" s="2873">
        <v>1</v>
      </c>
      <c r="K13" s="2873">
        <v>1</v>
      </c>
      <c r="L13" s="2873">
        <v>1</v>
      </c>
      <c r="M13" s="2874">
        <v>1</v>
      </c>
    </row>
    <row r="14" spans="1:20">
      <c r="A14" s="2875">
        <v>2.1</v>
      </c>
      <c r="B14" s="2873">
        <v>1.0749</v>
      </c>
      <c r="C14" s="2873">
        <v>1.0749</v>
      </c>
      <c r="D14" s="2873">
        <v>1.0327999999999999</v>
      </c>
      <c r="E14" s="2873">
        <v>1.0327999999999999</v>
      </c>
      <c r="F14" s="2873">
        <v>1.0327999999999999</v>
      </c>
      <c r="G14" s="2873">
        <v>1.0327999999999999</v>
      </c>
      <c r="H14" s="2873">
        <v>1.0327999999999999</v>
      </c>
      <c r="I14" s="2873">
        <v>0.98819999999999997</v>
      </c>
      <c r="J14" s="2873">
        <v>0.98819999999999997</v>
      </c>
      <c r="K14" s="2873">
        <v>0.98819999999999997</v>
      </c>
      <c r="L14" s="2873">
        <v>0.98819999999999997</v>
      </c>
      <c r="M14" s="2874">
        <v>0.98819999999999997</v>
      </c>
    </row>
    <row r="15" spans="1:20">
      <c r="A15" s="2875">
        <v>2.2000000000000002</v>
      </c>
      <c r="B15" s="2873">
        <v>1.0663</v>
      </c>
      <c r="C15" s="2873">
        <v>1.0663</v>
      </c>
      <c r="D15" s="2873">
        <v>1.0237000000000001</v>
      </c>
      <c r="E15" s="2873">
        <v>1.0237000000000001</v>
      </c>
      <c r="F15" s="2873">
        <v>1.0237000000000001</v>
      </c>
      <c r="G15" s="2873">
        <v>1.0237000000000001</v>
      </c>
      <c r="H15" s="2873">
        <v>1.0237000000000001</v>
      </c>
      <c r="I15" s="2873">
        <v>0.9768</v>
      </c>
      <c r="J15" s="2873">
        <v>0.9768</v>
      </c>
      <c r="K15" s="2873">
        <v>0.9768</v>
      </c>
      <c r="L15" s="2873">
        <v>0.9768</v>
      </c>
      <c r="M15" s="2874">
        <v>0.9768</v>
      </c>
    </row>
    <row r="16" spans="1:20">
      <c r="A16" s="2875">
        <v>2.2999999999999998</v>
      </c>
      <c r="B16" s="2873">
        <v>1.0584</v>
      </c>
      <c r="C16" s="2873">
        <v>1.0584</v>
      </c>
      <c r="D16" s="2873">
        <v>1.0152000000000001</v>
      </c>
      <c r="E16" s="2873">
        <v>1.0152000000000001</v>
      </c>
      <c r="F16" s="2873">
        <v>1.0152000000000001</v>
      </c>
      <c r="G16" s="2873">
        <v>1.0152000000000001</v>
      </c>
      <c r="H16" s="2873">
        <v>1.0152000000000001</v>
      </c>
      <c r="I16" s="2873">
        <v>0.96609999999999996</v>
      </c>
      <c r="J16" s="2873">
        <v>0.96609999999999996</v>
      </c>
      <c r="K16" s="2873">
        <v>0.96609999999999996</v>
      </c>
      <c r="L16" s="2873">
        <v>0.96609999999999996</v>
      </c>
      <c r="M16" s="2874">
        <v>0.96609999999999996</v>
      </c>
    </row>
    <row r="17" spans="1:13">
      <c r="A17" s="2875">
        <v>2.4</v>
      </c>
      <c r="B17" s="2873">
        <v>1.0511999999999999</v>
      </c>
      <c r="C17" s="2873">
        <v>1.0511999999999999</v>
      </c>
      <c r="D17" s="2873">
        <v>1.0074000000000001</v>
      </c>
      <c r="E17" s="2873">
        <v>1.0074000000000001</v>
      </c>
      <c r="F17" s="2873">
        <v>1.0074000000000001</v>
      </c>
      <c r="G17" s="2873">
        <v>1.0074000000000001</v>
      </c>
      <c r="H17" s="2873">
        <v>1.0074000000000001</v>
      </c>
      <c r="I17" s="2873">
        <v>0.95579999999999998</v>
      </c>
      <c r="J17" s="2873">
        <v>0.95579999999999998</v>
      </c>
      <c r="K17" s="2873">
        <v>0.95579999999999998</v>
      </c>
      <c r="L17" s="2873">
        <v>0.95579999999999998</v>
      </c>
      <c r="M17" s="2874">
        <v>0.95579999999999998</v>
      </c>
    </row>
    <row r="18" spans="1:13">
      <c r="A18" s="2875">
        <v>2.5</v>
      </c>
      <c r="B18" s="2873">
        <v>1.0445</v>
      </c>
      <c r="C18" s="2873">
        <v>1.0445</v>
      </c>
      <c r="D18" s="2873">
        <v>1</v>
      </c>
      <c r="E18" s="2873">
        <v>1</v>
      </c>
      <c r="F18" s="2873">
        <v>1</v>
      </c>
      <c r="G18" s="2873">
        <v>1</v>
      </c>
      <c r="H18" s="2873">
        <v>1</v>
      </c>
      <c r="I18" s="2873">
        <v>0.94620000000000004</v>
      </c>
      <c r="J18" s="2873">
        <v>0.94620000000000004</v>
      </c>
      <c r="K18" s="2873">
        <v>0.94620000000000004</v>
      </c>
      <c r="L18" s="2873">
        <v>0.94620000000000004</v>
      </c>
      <c r="M18" s="2874">
        <v>0.94620000000000004</v>
      </c>
    </row>
    <row r="19" spans="1:13">
      <c r="A19" s="2875">
        <v>2.6</v>
      </c>
      <c r="B19" s="2873">
        <v>1.0386</v>
      </c>
      <c r="C19" s="2873">
        <v>1.0386</v>
      </c>
      <c r="D19" s="2873">
        <v>0.99350000000000005</v>
      </c>
      <c r="E19" s="2873">
        <v>0.99350000000000005</v>
      </c>
      <c r="F19" s="2873">
        <v>0.99350000000000005</v>
      </c>
      <c r="G19" s="2873">
        <v>0.99350000000000005</v>
      </c>
      <c r="H19" s="2873">
        <v>0.99350000000000005</v>
      </c>
      <c r="I19" s="2873">
        <v>0.93710000000000004</v>
      </c>
      <c r="J19" s="2873">
        <v>0.93710000000000004</v>
      </c>
      <c r="K19" s="2873">
        <v>0.93710000000000004</v>
      </c>
      <c r="L19" s="2873">
        <v>0.93710000000000004</v>
      </c>
      <c r="M19" s="2874">
        <v>0.93710000000000004</v>
      </c>
    </row>
    <row r="20" spans="1:13">
      <c r="A20" s="2875">
        <v>2.7</v>
      </c>
      <c r="B20" s="2873">
        <v>1.0331999999999999</v>
      </c>
      <c r="C20" s="2873">
        <v>1.0331999999999999</v>
      </c>
      <c r="D20" s="2873">
        <v>0.98770000000000002</v>
      </c>
      <c r="E20" s="2873">
        <v>0.98770000000000002</v>
      </c>
      <c r="F20" s="2873">
        <v>0.98770000000000002</v>
      </c>
      <c r="G20" s="2873">
        <v>0.98770000000000002</v>
      </c>
      <c r="H20" s="2873">
        <v>0.98770000000000002</v>
      </c>
      <c r="I20" s="2873">
        <v>0.92859999999999998</v>
      </c>
      <c r="J20" s="2873">
        <v>0.92859999999999998</v>
      </c>
      <c r="K20" s="2873">
        <v>0.92859999999999998</v>
      </c>
      <c r="L20" s="2873">
        <v>0.92859999999999998</v>
      </c>
      <c r="M20" s="2874">
        <v>0.92859999999999998</v>
      </c>
    </row>
    <row r="21" spans="1:13">
      <c r="A21" s="2875">
        <v>2.8</v>
      </c>
      <c r="B21" s="2873">
        <v>1.0282</v>
      </c>
      <c r="C21" s="2873">
        <v>1.0282</v>
      </c>
      <c r="D21" s="2873">
        <v>0.98260000000000003</v>
      </c>
      <c r="E21" s="2873">
        <v>0.98260000000000003</v>
      </c>
      <c r="F21" s="2873">
        <v>0.98260000000000003</v>
      </c>
      <c r="G21" s="2873">
        <v>0.98260000000000003</v>
      </c>
      <c r="H21" s="2873">
        <v>0.98260000000000003</v>
      </c>
      <c r="I21" s="2873">
        <v>0.92069999999999996</v>
      </c>
      <c r="J21" s="2873">
        <v>0.92069999999999996</v>
      </c>
      <c r="K21" s="2873">
        <v>0.92069999999999996</v>
      </c>
      <c r="L21" s="2873">
        <v>0.92069999999999996</v>
      </c>
      <c r="M21" s="2874">
        <v>0.92069999999999996</v>
      </c>
    </row>
    <row r="22" spans="1:13">
      <c r="A22" s="2875">
        <v>2.9</v>
      </c>
      <c r="B22" s="2873">
        <v>1.0235000000000001</v>
      </c>
      <c r="C22" s="2873">
        <v>1.0235000000000001</v>
      </c>
      <c r="D22" s="2873">
        <v>0.97770000000000001</v>
      </c>
      <c r="E22" s="2873">
        <v>0.97770000000000001</v>
      </c>
      <c r="F22" s="2873">
        <v>0.97770000000000001</v>
      </c>
      <c r="G22" s="2873">
        <v>0.97770000000000001</v>
      </c>
      <c r="H22" s="2873">
        <v>0.97770000000000001</v>
      </c>
      <c r="I22" s="2873">
        <v>0.9133</v>
      </c>
      <c r="J22" s="2873">
        <v>0.9133</v>
      </c>
      <c r="K22" s="2873">
        <v>0.9133</v>
      </c>
      <c r="L22" s="2873">
        <v>0.9133</v>
      </c>
      <c r="M22" s="2874">
        <v>0.9133</v>
      </c>
    </row>
    <row r="23" spans="1:13">
      <c r="A23" s="2875">
        <v>3</v>
      </c>
      <c r="B23" s="2873">
        <v>1.0190999999999999</v>
      </c>
      <c r="C23" s="2873">
        <v>1.0190999999999999</v>
      </c>
      <c r="D23" s="2873">
        <v>0.97299999999999998</v>
      </c>
      <c r="E23" s="2873">
        <v>0.97299999999999998</v>
      </c>
      <c r="F23" s="2873">
        <v>0.97299999999999998</v>
      </c>
      <c r="G23" s="2873">
        <v>0.97299999999999998</v>
      </c>
      <c r="H23" s="2873">
        <v>0.97299999999999998</v>
      </c>
      <c r="I23" s="2873">
        <v>0.90629999999999999</v>
      </c>
      <c r="J23" s="2873">
        <v>0.90629999999999999</v>
      </c>
      <c r="K23" s="2873">
        <v>0.90629999999999999</v>
      </c>
      <c r="L23" s="2873">
        <v>0.90629999999999999</v>
      </c>
      <c r="M23" s="2874">
        <v>0.90629999999999999</v>
      </c>
    </row>
    <row r="24" spans="1:13">
      <c r="A24" s="2875">
        <v>3.1</v>
      </c>
      <c r="B24" s="2873">
        <v>1.0148999999999999</v>
      </c>
      <c r="C24" s="2873">
        <v>1.0148999999999999</v>
      </c>
      <c r="D24" s="2873">
        <v>0.96840000000000004</v>
      </c>
      <c r="E24" s="2873">
        <v>0.96840000000000004</v>
      </c>
      <c r="F24" s="2873">
        <v>0.96840000000000004</v>
      </c>
      <c r="G24" s="2873">
        <v>0.96840000000000004</v>
      </c>
      <c r="H24" s="2873">
        <v>0.96840000000000004</v>
      </c>
      <c r="I24" s="2873">
        <v>0.89959999999999996</v>
      </c>
      <c r="J24" s="2873">
        <v>0.89959999999999996</v>
      </c>
      <c r="K24" s="2873">
        <v>0.89959999999999996</v>
      </c>
      <c r="L24" s="2873">
        <v>0.89959999999999996</v>
      </c>
      <c r="M24" s="2874">
        <v>0.89959999999999996</v>
      </c>
    </row>
    <row r="25" spans="1:13">
      <c r="A25" s="2875">
        <v>3.2</v>
      </c>
      <c r="B25" s="2873">
        <v>1.0108999999999999</v>
      </c>
      <c r="C25" s="2873">
        <v>1.0108999999999999</v>
      </c>
      <c r="D25" s="2873">
        <v>0.96399999999999997</v>
      </c>
      <c r="E25" s="2873">
        <v>0.96399999999999997</v>
      </c>
      <c r="F25" s="2873">
        <v>0.96399999999999997</v>
      </c>
      <c r="G25" s="2873">
        <v>0.96399999999999997</v>
      </c>
      <c r="H25" s="2873">
        <v>0.96399999999999997</v>
      </c>
      <c r="I25" s="2873">
        <v>0.89319999999999999</v>
      </c>
      <c r="J25" s="2873">
        <v>0.89319999999999999</v>
      </c>
      <c r="K25" s="2873">
        <v>0.89319999999999999</v>
      </c>
      <c r="L25" s="2873">
        <v>0.89319999999999999</v>
      </c>
      <c r="M25" s="2874">
        <v>0.89319999999999999</v>
      </c>
    </row>
    <row r="26" spans="1:13">
      <c r="A26" s="2875">
        <v>3.3</v>
      </c>
      <c r="B26" s="2873">
        <v>1.0071000000000001</v>
      </c>
      <c r="C26" s="2873">
        <v>1.0071000000000001</v>
      </c>
      <c r="D26" s="2873">
        <v>0.95979999999999999</v>
      </c>
      <c r="E26" s="2873">
        <v>0.95979999999999999</v>
      </c>
      <c r="F26" s="2873">
        <v>0.95979999999999999</v>
      </c>
      <c r="G26" s="2873">
        <v>0.95979999999999999</v>
      </c>
      <c r="H26" s="2873">
        <v>0.95979999999999999</v>
      </c>
      <c r="I26" s="2873">
        <v>0.8871</v>
      </c>
      <c r="J26" s="2873">
        <v>0.8871</v>
      </c>
      <c r="K26" s="2873">
        <v>0.8871</v>
      </c>
      <c r="L26" s="2873">
        <v>0.8871</v>
      </c>
      <c r="M26" s="2874">
        <v>0.8871</v>
      </c>
    </row>
    <row r="27" spans="1:13">
      <c r="A27" s="2875">
        <v>3.4</v>
      </c>
      <c r="B27" s="2873">
        <v>1.0035000000000001</v>
      </c>
      <c r="C27" s="2873">
        <v>1.0035000000000001</v>
      </c>
      <c r="D27" s="2873">
        <v>0.95579999999999998</v>
      </c>
      <c r="E27" s="2873">
        <v>0.95579999999999998</v>
      </c>
      <c r="F27" s="2873">
        <v>0.95579999999999998</v>
      </c>
      <c r="G27" s="2873">
        <v>0.95579999999999998</v>
      </c>
      <c r="H27" s="2873">
        <v>0.95579999999999998</v>
      </c>
      <c r="I27" s="2873">
        <v>0.88119999999999998</v>
      </c>
      <c r="J27" s="2873">
        <v>0.88119999999999998</v>
      </c>
      <c r="K27" s="2873">
        <v>0.88119999999999998</v>
      </c>
      <c r="L27" s="2873">
        <v>0.88119999999999998</v>
      </c>
      <c r="M27" s="2874">
        <v>0.88119999999999998</v>
      </c>
    </row>
    <row r="28" spans="1:13">
      <c r="A28" s="2875">
        <v>3.5</v>
      </c>
      <c r="B28" s="2873">
        <v>1</v>
      </c>
      <c r="C28" s="2873">
        <v>1</v>
      </c>
      <c r="D28" s="2873">
        <v>0.95199999999999996</v>
      </c>
      <c r="E28" s="2873">
        <v>0.95199999999999996</v>
      </c>
      <c r="F28" s="2873">
        <v>0.95199999999999996</v>
      </c>
      <c r="G28" s="2873">
        <v>0.95199999999999996</v>
      </c>
      <c r="H28" s="2873">
        <v>0.95199999999999996</v>
      </c>
      <c r="I28" s="2873">
        <v>0.87549999999999994</v>
      </c>
      <c r="J28" s="2873">
        <v>0.87549999999999994</v>
      </c>
      <c r="K28" s="2873">
        <v>0.87549999999999994</v>
      </c>
      <c r="L28" s="2873">
        <v>0.87549999999999994</v>
      </c>
      <c r="M28" s="2874">
        <v>0.87549999999999994</v>
      </c>
    </row>
    <row r="29" spans="1:13">
      <c r="A29" s="2875">
        <v>3.6</v>
      </c>
      <c r="B29" s="2873">
        <v>0.99660000000000004</v>
      </c>
      <c r="C29" s="2873">
        <v>0.99660000000000004</v>
      </c>
      <c r="D29" s="2873">
        <v>0.94840000000000002</v>
      </c>
      <c r="E29" s="2873">
        <v>0.94840000000000002</v>
      </c>
      <c r="F29" s="2873">
        <v>0.94840000000000002</v>
      </c>
      <c r="G29" s="2873">
        <v>0.94840000000000002</v>
      </c>
      <c r="H29" s="2873">
        <v>0.94840000000000002</v>
      </c>
      <c r="I29" s="2873">
        <v>0.87</v>
      </c>
      <c r="J29" s="2873">
        <v>0.87</v>
      </c>
      <c r="K29" s="2873">
        <v>0.87</v>
      </c>
      <c r="L29" s="2873">
        <v>0.87</v>
      </c>
      <c r="M29" s="2874">
        <v>0.87</v>
      </c>
    </row>
    <row r="30" spans="1:13">
      <c r="A30" s="2875">
        <v>3.7</v>
      </c>
      <c r="B30" s="2873">
        <v>0.99329999999999996</v>
      </c>
      <c r="C30" s="2873">
        <v>0.99329999999999996</v>
      </c>
      <c r="D30" s="2873">
        <v>0.94499999999999995</v>
      </c>
      <c r="E30" s="2873">
        <v>0.94499999999999995</v>
      </c>
      <c r="F30" s="2873">
        <v>0.94499999999999995</v>
      </c>
      <c r="G30" s="2873">
        <v>0.94499999999999995</v>
      </c>
      <c r="H30" s="2873">
        <v>0.94499999999999995</v>
      </c>
      <c r="I30" s="2873">
        <v>0.86470000000000002</v>
      </c>
      <c r="J30" s="2873">
        <v>0.86470000000000002</v>
      </c>
      <c r="K30" s="2873">
        <v>0.86470000000000002</v>
      </c>
      <c r="L30" s="2873">
        <v>0.86470000000000002</v>
      </c>
      <c r="M30" s="2874">
        <v>0.86470000000000002</v>
      </c>
    </row>
    <row r="31" spans="1:13">
      <c r="A31" s="2875">
        <v>3.8</v>
      </c>
      <c r="B31" s="2873">
        <v>0.99009999999999998</v>
      </c>
      <c r="C31" s="2873">
        <v>0.99009999999999998</v>
      </c>
      <c r="D31" s="2873">
        <v>0.94169999999999998</v>
      </c>
      <c r="E31" s="2873">
        <v>0.94169999999999998</v>
      </c>
      <c r="F31" s="2873">
        <v>0.94169999999999998</v>
      </c>
      <c r="G31" s="2873">
        <v>0.94169999999999998</v>
      </c>
      <c r="H31" s="2873">
        <v>0.94169999999999998</v>
      </c>
      <c r="I31" s="2873">
        <v>0.85960000000000003</v>
      </c>
      <c r="J31" s="2873">
        <v>0.85960000000000003</v>
      </c>
      <c r="K31" s="2873">
        <v>0.85960000000000003</v>
      </c>
      <c r="L31" s="2873">
        <v>0.85960000000000003</v>
      </c>
      <c r="M31" s="2874">
        <v>0.85960000000000003</v>
      </c>
    </row>
    <row r="32" spans="1:13">
      <c r="A32" s="2875">
        <v>3.9</v>
      </c>
      <c r="B32" s="2873">
        <v>0.98699999999999999</v>
      </c>
      <c r="C32" s="2873">
        <v>0.98699999999999999</v>
      </c>
      <c r="D32" s="2873">
        <v>0.9385</v>
      </c>
      <c r="E32" s="2873">
        <v>0.9385</v>
      </c>
      <c r="F32" s="2873">
        <v>0.9385</v>
      </c>
      <c r="G32" s="2873">
        <v>0.9385</v>
      </c>
      <c r="H32" s="2873">
        <v>0.9385</v>
      </c>
      <c r="I32" s="2873">
        <v>0.85470000000000002</v>
      </c>
      <c r="J32" s="2873">
        <v>0.85470000000000002</v>
      </c>
      <c r="K32" s="2873">
        <v>0.85470000000000002</v>
      </c>
      <c r="L32" s="2873">
        <v>0.85470000000000002</v>
      </c>
      <c r="M32" s="2874">
        <v>0.85470000000000002</v>
      </c>
    </row>
    <row r="33" spans="1:13">
      <c r="A33" s="2875">
        <v>4</v>
      </c>
      <c r="B33" s="2873">
        <v>0.98399999999999999</v>
      </c>
      <c r="C33" s="2873">
        <v>0.98399999999999999</v>
      </c>
      <c r="D33" s="2873">
        <v>0.93540000000000001</v>
      </c>
      <c r="E33" s="2873">
        <v>0.93540000000000001</v>
      </c>
      <c r="F33" s="2873">
        <v>0.93540000000000001</v>
      </c>
      <c r="G33" s="2873">
        <v>0.93540000000000001</v>
      </c>
      <c r="H33" s="2873">
        <v>0.93540000000000001</v>
      </c>
      <c r="I33" s="2873">
        <v>0.84989999999999999</v>
      </c>
      <c r="J33" s="2873">
        <v>0.84989999999999999</v>
      </c>
      <c r="K33" s="2873">
        <v>0.84989999999999999</v>
      </c>
      <c r="L33" s="2873">
        <v>0.84989999999999999</v>
      </c>
      <c r="M33" s="2874">
        <v>0.84989999999999999</v>
      </c>
    </row>
    <row r="34" spans="1:13">
      <c r="A34" s="2875">
        <v>4.0999999999999996</v>
      </c>
      <c r="B34" s="2873">
        <v>0.98109999999999997</v>
      </c>
      <c r="C34" s="2873">
        <v>0.98109999999999997</v>
      </c>
      <c r="D34" s="2873">
        <v>0.93240000000000001</v>
      </c>
      <c r="E34" s="2873">
        <v>0.93240000000000001</v>
      </c>
      <c r="F34" s="2873">
        <v>0.93240000000000001</v>
      </c>
      <c r="G34" s="2873">
        <v>0.93240000000000001</v>
      </c>
      <c r="H34" s="2873">
        <v>0.93240000000000001</v>
      </c>
      <c r="I34" s="2873">
        <v>0.84519999999999995</v>
      </c>
      <c r="J34" s="2873">
        <v>0.84519999999999995</v>
      </c>
      <c r="K34" s="2873">
        <v>0.84519999999999995</v>
      </c>
      <c r="L34" s="2873">
        <v>0.84519999999999995</v>
      </c>
      <c r="M34" s="2874">
        <v>0.84519999999999995</v>
      </c>
    </row>
    <row r="35" spans="1:13">
      <c r="A35" s="2875">
        <v>4.2</v>
      </c>
      <c r="B35" s="2873">
        <v>0.97829999999999995</v>
      </c>
      <c r="C35" s="2873">
        <v>0.97829999999999995</v>
      </c>
      <c r="D35" s="2873">
        <v>0.92949999999999999</v>
      </c>
      <c r="E35" s="2873">
        <v>0.92949999999999999</v>
      </c>
      <c r="F35" s="2873">
        <v>0.92949999999999999</v>
      </c>
      <c r="G35" s="2873">
        <v>0.92949999999999999</v>
      </c>
      <c r="H35" s="2873">
        <v>0.92949999999999999</v>
      </c>
      <c r="I35" s="2873">
        <v>0.84060000000000001</v>
      </c>
      <c r="J35" s="2873">
        <v>0.84060000000000001</v>
      </c>
      <c r="K35" s="2873">
        <v>0.84060000000000001</v>
      </c>
      <c r="L35" s="2873">
        <v>0.84060000000000001</v>
      </c>
      <c r="M35" s="2874">
        <v>0.84060000000000001</v>
      </c>
    </row>
    <row r="36" spans="1:13">
      <c r="A36" s="2875">
        <v>4.3</v>
      </c>
      <c r="B36" s="2873">
        <v>0.97560000000000002</v>
      </c>
      <c r="C36" s="2873">
        <v>0.97560000000000002</v>
      </c>
      <c r="D36" s="2873">
        <v>0.92669999999999997</v>
      </c>
      <c r="E36" s="2873">
        <v>0.92669999999999997</v>
      </c>
      <c r="F36" s="2873">
        <v>0.92669999999999997</v>
      </c>
      <c r="G36" s="2873">
        <v>0.92669999999999997</v>
      </c>
      <c r="H36" s="2873">
        <v>0.92669999999999997</v>
      </c>
      <c r="I36" s="2873">
        <v>0.83609999999999995</v>
      </c>
      <c r="J36" s="2873">
        <v>0.83609999999999995</v>
      </c>
      <c r="K36" s="2873">
        <v>0.83609999999999995</v>
      </c>
      <c r="L36" s="2873">
        <v>0.83609999999999995</v>
      </c>
      <c r="M36" s="2874">
        <v>0.83609999999999995</v>
      </c>
    </row>
    <row r="37" spans="1:13">
      <c r="A37" s="2875">
        <v>4.4000000000000004</v>
      </c>
      <c r="B37" s="2873">
        <v>0.97299999999999998</v>
      </c>
      <c r="C37" s="2873">
        <v>0.97299999999999998</v>
      </c>
      <c r="D37" s="2873">
        <v>0.92400000000000004</v>
      </c>
      <c r="E37" s="2873">
        <v>0.92400000000000004</v>
      </c>
      <c r="F37" s="2873">
        <v>0.92400000000000004</v>
      </c>
      <c r="G37" s="2873">
        <v>0.92400000000000004</v>
      </c>
      <c r="H37" s="2873">
        <v>0.92400000000000004</v>
      </c>
      <c r="I37" s="2873">
        <v>0.83169999999999999</v>
      </c>
      <c r="J37" s="2873">
        <v>0.83169999999999999</v>
      </c>
      <c r="K37" s="2873">
        <v>0.83169999999999999</v>
      </c>
      <c r="L37" s="2873">
        <v>0.83169999999999999</v>
      </c>
      <c r="M37" s="2874">
        <v>0.83169999999999999</v>
      </c>
    </row>
    <row r="38" spans="1:13">
      <c r="A38" s="2875">
        <v>4.5</v>
      </c>
      <c r="B38" s="2873">
        <v>0.97050000000000003</v>
      </c>
      <c r="C38" s="2873">
        <v>0.97050000000000003</v>
      </c>
      <c r="D38" s="2873">
        <v>0.92130000000000001</v>
      </c>
      <c r="E38" s="2873">
        <v>0.92130000000000001</v>
      </c>
      <c r="F38" s="2873">
        <v>0.92130000000000001</v>
      </c>
      <c r="G38" s="2873">
        <v>0.92130000000000001</v>
      </c>
      <c r="H38" s="2873">
        <v>0.92130000000000001</v>
      </c>
      <c r="I38" s="2873">
        <v>0.82740000000000002</v>
      </c>
      <c r="J38" s="2873">
        <v>0.82740000000000002</v>
      </c>
      <c r="K38" s="2873">
        <v>0.82740000000000002</v>
      </c>
      <c r="L38" s="2873">
        <v>0.82740000000000002</v>
      </c>
      <c r="M38" s="2874">
        <v>0.82740000000000002</v>
      </c>
    </row>
    <row r="39" spans="1:13">
      <c r="A39" s="2875">
        <v>4.5999999999999996</v>
      </c>
      <c r="B39" s="2873">
        <v>0.96809999999999996</v>
      </c>
      <c r="C39" s="2873">
        <v>0.96809999999999996</v>
      </c>
      <c r="D39" s="2873">
        <v>0.91869999999999996</v>
      </c>
      <c r="E39" s="2873">
        <v>0.91869999999999996</v>
      </c>
      <c r="F39" s="2873">
        <v>0.91869999999999996</v>
      </c>
      <c r="G39" s="2873">
        <v>0.91869999999999996</v>
      </c>
      <c r="H39" s="2873">
        <v>0.91869999999999996</v>
      </c>
      <c r="I39" s="2873">
        <v>0.82320000000000004</v>
      </c>
      <c r="J39" s="2873">
        <v>0.82320000000000004</v>
      </c>
      <c r="K39" s="2873">
        <v>0.82320000000000004</v>
      </c>
      <c r="L39" s="2873">
        <v>0.82320000000000004</v>
      </c>
      <c r="M39" s="2874">
        <v>0.82320000000000004</v>
      </c>
    </row>
    <row r="40" spans="1:13">
      <c r="A40" s="2875">
        <v>4.7</v>
      </c>
      <c r="B40" s="2873">
        <v>0.96579999999999999</v>
      </c>
      <c r="C40" s="2873">
        <v>0.96579999999999999</v>
      </c>
      <c r="D40" s="2873">
        <v>0.91610000000000003</v>
      </c>
      <c r="E40" s="2873">
        <v>0.91610000000000003</v>
      </c>
      <c r="F40" s="2873">
        <v>0.91610000000000003</v>
      </c>
      <c r="G40" s="2873">
        <v>0.91610000000000003</v>
      </c>
      <c r="H40" s="2873">
        <v>0.91610000000000003</v>
      </c>
      <c r="I40" s="2873">
        <v>0.81910000000000005</v>
      </c>
      <c r="J40" s="2873">
        <v>0.81910000000000005</v>
      </c>
      <c r="K40" s="2873">
        <v>0.81910000000000005</v>
      </c>
      <c r="L40" s="2873">
        <v>0.81910000000000005</v>
      </c>
      <c r="M40" s="2874">
        <v>0.81910000000000005</v>
      </c>
    </row>
    <row r="41" spans="1:13">
      <c r="A41" s="2875">
        <v>4.8</v>
      </c>
      <c r="B41" s="2873">
        <v>0.96360000000000001</v>
      </c>
      <c r="C41" s="2873">
        <v>0.96360000000000001</v>
      </c>
      <c r="D41" s="2873">
        <v>0.91349999999999998</v>
      </c>
      <c r="E41" s="2873">
        <v>0.91349999999999998</v>
      </c>
      <c r="F41" s="2873">
        <v>0.91349999999999998</v>
      </c>
      <c r="G41" s="2873">
        <v>0.91349999999999998</v>
      </c>
      <c r="H41" s="2873">
        <v>0.91349999999999998</v>
      </c>
      <c r="I41" s="2873">
        <v>0.81510000000000005</v>
      </c>
      <c r="J41" s="2873">
        <v>0.81510000000000005</v>
      </c>
      <c r="K41" s="2873">
        <v>0.81510000000000005</v>
      </c>
      <c r="L41" s="2873">
        <v>0.81510000000000005</v>
      </c>
      <c r="M41" s="2874">
        <v>0.81510000000000005</v>
      </c>
    </row>
    <row r="42" spans="1:13">
      <c r="A42" s="2875">
        <v>4.9000000000000004</v>
      </c>
      <c r="B42" s="2873">
        <v>0.96150000000000002</v>
      </c>
      <c r="C42" s="2873">
        <v>0.96150000000000002</v>
      </c>
      <c r="D42" s="2873">
        <v>0.91100000000000003</v>
      </c>
      <c r="E42" s="2873">
        <v>0.91100000000000003</v>
      </c>
      <c r="F42" s="2873">
        <v>0.91100000000000003</v>
      </c>
      <c r="G42" s="2873">
        <v>0.91100000000000003</v>
      </c>
      <c r="H42" s="2873">
        <v>0.91100000000000003</v>
      </c>
      <c r="I42" s="2873">
        <v>0.81110000000000004</v>
      </c>
      <c r="J42" s="2873">
        <v>0.81110000000000004</v>
      </c>
      <c r="K42" s="2873">
        <v>0.81110000000000004</v>
      </c>
      <c r="L42" s="2873">
        <v>0.81110000000000004</v>
      </c>
      <c r="M42" s="2874">
        <v>0.81110000000000004</v>
      </c>
    </row>
    <row r="43" spans="1:13">
      <c r="A43" s="2875">
        <v>5</v>
      </c>
      <c r="B43" s="2873">
        <v>0.95940000000000003</v>
      </c>
      <c r="C43" s="2873">
        <v>0.95940000000000003</v>
      </c>
      <c r="D43" s="2873">
        <v>0.90849999999999997</v>
      </c>
      <c r="E43" s="2873">
        <v>0.90849999999999997</v>
      </c>
      <c r="F43" s="2873">
        <v>0.90849999999999997</v>
      </c>
      <c r="G43" s="2873">
        <v>0.90849999999999997</v>
      </c>
      <c r="H43" s="2873">
        <v>0.90849999999999997</v>
      </c>
      <c r="I43" s="2873">
        <v>0.80720000000000003</v>
      </c>
      <c r="J43" s="2873">
        <v>0.80720000000000003</v>
      </c>
      <c r="K43" s="2873">
        <v>0.80720000000000003</v>
      </c>
      <c r="L43" s="2873">
        <v>0.80720000000000003</v>
      </c>
      <c r="M43" s="2874">
        <v>0.80720000000000003</v>
      </c>
    </row>
    <row r="44" spans="1:13">
      <c r="A44" s="2872">
        <v>5.0999999999999996</v>
      </c>
      <c r="B44" s="2873">
        <v>0.95740000000000003</v>
      </c>
      <c r="C44" s="2873">
        <v>0.95740000000000003</v>
      </c>
      <c r="D44" s="2873">
        <v>0.90600000000000003</v>
      </c>
      <c r="E44" s="2873">
        <v>0.90600000000000003</v>
      </c>
      <c r="F44" s="2873">
        <v>0.90600000000000003</v>
      </c>
      <c r="G44" s="2873">
        <v>0.90600000000000003</v>
      </c>
      <c r="H44" s="2873">
        <v>0.90600000000000003</v>
      </c>
      <c r="I44" s="2873">
        <v>0.80330000000000001</v>
      </c>
      <c r="J44" s="2873">
        <v>0.80330000000000001</v>
      </c>
      <c r="K44" s="2873">
        <v>0.80330000000000001</v>
      </c>
      <c r="L44" s="2873">
        <v>0.80330000000000001</v>
      </c>
      <c r="M44" s="2874">
        <v>0.80330000000000001</v>
      </c>
    </row>
    <row r="45" spans="1:13">
      <c r="A45" s="2872">
        <v>5.2</v>
      </c>
      <c r="B45" s="2873">
        <v>0.95540000000000003</v>
      </c>
      <c r="C45" s="2873">
        <v>0.95540000000000003</v>
      </c>
      <c r="D45" s="2873">
        <v>0.90349999999999997</v>
      </c>
      <c r="E45" s="2873">
        <v>0.90349999999999997</v>
      </c>
      <c r="F45" s="2873">
        <v>0.90349999999999997</v>
      </c>
      <c r="G45" s="2873">
        <v>0.90349999999999997</v>
      </c>
      <c r="H45" s="2873">
        <v>0.90349999999999997</v>
      </c>
      <c r="I45" s="2873">
        <v>0.79949999999999999</v>
      </c>
      <c r="J45" s="2873">
        <v>0.79949999999999999</v>
      </c>
      <c r="K45" s="2873">
        <v>0.79949999999999999</v>
      </c>
      <c r="L45" s="2873">
        <v>0.79949999999999999</v>
      </c>
      <c r="M45" s="2874">
        <v>0.79949999999999999</v>
      </c>
    </row>
    <row r="46" spans="1:13">
      <c r="A46" s="2872">
        <v>5.3</v>
      </c>
      <c r="B46" s="2873">
        <v>0.95350000000000001</v>
      </c>
      <c r="C46" s="2873">
        <v>0.95350000000000001</v>
      </c>
      <c r="D46" s="2873">
        <v>0.90110000000000001</v>
      </c>
      <c r="E46" s="2873">
        <v>0.90110000000000001</v>
      </c>
      <c r="F46" s="2873">
        <v>0.90110000000000001</v>
      </c>
      <c r="G46" s="2873">
        <v>0.90110000000000001</v>
      </c>
      <c r="H46" s="2873">
        <v>0.90110000000000001</v>
      </c>
      <c r="I46" s="2873">
        <v>0.79569999999999996</v>
      </c>
      <c r="J46" s="2873">
        <v>0.79569999999999996</v>
      </c>
      <c r="K46" s="2873">
        <v>0.79569999999999996</v>
      </c>
      <c r="L46" s="2873">
        <v>0.79569999999999996</v>
      </c>
      <c r="M46" s="2874">
        <v>0.79569999999999996</v>
      </c>
    </row>
    <row r="47" spans="1:13">
      <c r="A47" s="2872">
        <v>5.4</v>
      </c>
      <c r="B47" s="2873">
        <v>0.9516</v>
      </c>
      <c r="C47" s="2873">
        <v>0.9516</v>
      </c>
      <c r="D47" s="2873">
        <v>0.89870000000000005</v>
      </c>
      <c r="E47" s="2873">
        <v>0.89870000000000005</v>
      </c>
      <c r="F47" s="2873">
        <v>0.89870000000000005</v>
      </c>
      <c r="G47" s="2873">
        <v>0.89870000000000005</v>
      </c>
      <c r="H47" s="2873">
        <v>0.89870000000000005</v>
      </c>
      <c r="I47" s="2873">
        <v>0.79200000000000004</v>
      </c>
      <c r="J47" s="2873">
        <v>0.79200000000000004</v>
      </c>
      <c r="K47" s="2873">
        <v>0.79200000000000004</v>
      </c>
      <c r="L47" s="2873">
        <v>0.79200000000000004</v>
      </c>
      <c r="M47" s="2874">
        <v>0.79200000000000004</v>
      </c>
    </row>
    <row r="48" spans="1:13">
      <c r="A48" s="2872">
        <v>5.5</v>
      </c>
      <c r="B48" s="2873">
        <v>0.94979999999999998</v>
      </c>
      <c r="C48" s="2873">
        <v>0.94979999999999998</v>
      </c>
      <c r="D48" s="2873">
        <v>0.89629999999999999</v>
      </c>
      <c r="E48" s="2873">
        <v>0.89629999999999999</v>
      </c>
      <c r="F48" s="2873">
        <v>0.89629999999999999</v>
      </c>
      <c r="G48" s="2873">
        <v>0.89629999999999999</v>
      </c>
      <c r="H48" s="2873">
        <v>0.89629999999999999</v>
      </c>
      <c r="I48" s="2873">
        <v>0.7883</v>
      </c>
      <c r="J48" s="2873">
        <v>0.7883</v>
      </c>
      <c r="K48" s="2873">
        <v>0.7883</v>
      </c>
      <c r="L48" s="2873">
        <v>0.7883</v>
      </c>
      <c r="M48" s="2874">
        <v>0.7883</v>
      </c>
    </row>
    <row r="49" spans="1:13">
      <c r="A49" s="2872">
        <v>5.6</v>
      </c>
      <c r="B49" s="2873">
        <v>0.94799999999999995</v>
      </c>
      <c r="C49" s="2873">
        <v>0.94799999999999995</v>
      </c>
      <c r="D49" s="2873">
        <v>0.89390000000000003</v>
      </c>
      <c r="E49" s="2873">
        <v>0.89390000000000003</v>
      </c>
      <c r="F49" s="2873">
        <v>0.89390000000000003</v>
      </c>
      <c r="G49" s="2873">
        <v>0.89390000000000003</v>
      </c>
      <c r="H49" s="2873">
        <v>0.89390000000000003</v>
      </c>
      <c r="I49" s="2873">
        <v>0.78469999999999995</v>
      </c>
      <c r="J49" s="2873">
        <v>0.78469999999999995</v>
      </c>
      <c r="K49" s="2873">
        <v>0.78469999999999995</v>
      </c>
      <c r="L49" s="2873">
        <v>0.78469999999999995</v>
      </c>
      <c r="M49" s="2874">
        <v>0.78469999999999995</v>
      </c>
    </row>
    <row r="50" spans="1:13">
      <c r="A50" s="2875">
        <v>5.7</v>
      </c>
      <c r="B50" s="2873">
        <v>0.94620000000000004</v>
      </c>
      <c r="C50" s="2873">
        <v>0.94620000000000004</v>
      </c>
      <c r="D50" s="2873">
        <v>0.89149999999999996</v>
      </c>
      <c r="E50" s="2873">
        <v>0.89149999999999996</v>
      </c>
      <c r="F50" s="2873">
        <v>0.89149999999999996</v>
      </c>
      <c r="G50" s="2873">
        <v>0.89149999999999996</v>
      </c>
      <c r="H50" s="2873">
        <v>0.89149999999999996</v>
      </c>
      <c r="I50" s="2873">
        <v>0.78110000000000002</v>
      </c>
      <c r="J50" s="2873">
        <v>0.78110000000000002</v>
      </c>
      <c r="K50" s="2873">
        <v>0.78110000000000002</v>
      </c>
      <c r="L50" s="2873">
        <v>0.78110000000000002</v>
      </c>
      <c r="M50" s="2874">
        <v>0.78110000000000002</v>
      </c>
    </row>
    <row r="51" spans="1:13">
      <c r="A51" s="2872">
        <v>5.8</v>
      </c>
      <c r="B51" s="2873">
        <v>0.94450000000000001</v>
      </c>
      <c r="C51" s="2873">
        <v>0.94450000000000001</v>
      </c>
      <c r="D51" s="2873">
        <v>0.88919999999999999</v>
      </c>
      <c r="E51" s="2873">
        <v>0.88919999999999999</v>
      </c>
      <c r="F51" s="2873">
        <v>0.88919999999999999</v>
      </c>
      <c r="G51" s="2873">
        <v>0.88919999999999999</v>
      </c>
      <c r="H51" s="2873">
        <v>0.88919999999999999</v>
      </c>
      <c r="I51" s="2873">
        <v>0.77759999999999996</v>
      </c>
      <c r="J51" s="2873">
        <v>0.77759999999999996</v>
      </c>
      <c r="K51" s="2873">
        <v>0.77759999999999996</v>
      </c>
      <c r="L51" s="2873">
        <v>0.77759999999999996</v>
      </c>
      <c r="M51" s="2874">
        <v>0.77759999999999996</v>
      </c>
    </row>
    <row r="52" spans="1:13">
      <c r="A52" s="2872">
        <v>5.9</v>
      </c>
      <c r="B52" s="2873">
        <v>0.94279999999999997</v>
      </c>
      <c r="C52" s="2873">
        <v>0.94279999999999997</v>
      </c>
      <c r="D52" s="2873">
        <v>0.88690000000000002</v>
      </c>
      <c r="E52" s="2873">
        <v>0.88690000000000002</v>
      </c>
      <c r="F52" s="2873">
        <v>0.88690000000000002</v>
      </c>
      <c r="G52" s="2873">
        <v>0.88690000000000002</v>
      </c>
      <c r="H52" s="2873">
        <v>0.88690000000000002</v>
      </c>
      <c r="I52" s="2873">
        <v>0.77410000000000001</v>
      </c>
      <c r="J52" s="2873">
        <v>0.77410000000000001</v>
      </c>
      <c r="K52" s="2873">
        <v>0.77410000000000001</v>
      </c>
      <c r="L52" s="2873">
        <v>0.77410000000000001</v>
      </c>
      <c r="M52" s="2874">
        <v>0.77410000000000001</v>
      </c>
    </row>
    <row r="53" spans="1:13">
      <c r="A53" s="2872">
        <v>6</v>
      </c>
      <c r="B53" s="2873">
        <v>0.94110000000000005</v>
      </c>
      <c r="C53" s="2873">
        <v>0.94110000000000005</v>
      </c>
      <c r="D53" s="2873">
        <v>0.88460000000000005</v>
      </c>
      <c r="E53" s="2873">
        <v>0.88460000000000005</v>
      </c>
      <c r="F53" s="2873">
        <v>0.88460000000000005</v>
      </c>
      <c r="G53" s="2873">
        <v>0.88460000000000005</v>
      </c>
      <c r="H53" s="2873">
        <v>0.88460000000000005</v>
      </c>
      <c r="I53" s="2873">
        <v>0.77070000000000005</v>
      </c>
      <c r="J53" s="2873">
        <v>0.77070000000000005</v>
      </c>
      <c r="K53" s="2873">
        <v>0.77070000000000005</v>
      </c>
      <c r="L53" s="2873">
        <v>0.77070000000000005</v>
      </c>
      <c r="M53" s="2874">
        <v>0.77070000000000005</v>
      </c>
    </row>
    <row r="54" spans="1:13">
      <c r="A54" s="2872">
        <v>6.1</v>
      </c>
      <c r="B54" s="2873">
        <v>0.93940000000000001</v>
      </c>
      <c r="C54" s="2873">
        <v>0.93940000000000001</v>
      </c>
      <c r="D54" s="2873">
        <v>0.88229999999999997</v>
      </c>
      <c r="E54" s="2873">
        <v>0.88229999999999997</v>
      </c>
      <c r="F54" s="2873">
        <v>0.88229999999999997</v>
      </c>
      <c r="G54" s="2873">
        <v>0.88229999999999997</v>
      </c>
      <c r="H54" s="2873">
        <v>0.88229999999999997</v>
      </c>
      <c r="I54" s="2873">
        <v>0.76729999999999998</v>
      </c>
      <c r="J54" s="2873">
        <v>0.76729999999999998</v>
      </c>
      <c r="K54" s="2873">
        <v>0.76729999999999998</v>
      </c>
      <c r="L54" s="2873">
        <v>0.76729999999999998</v>
      </c>
      <c r="M54" s="2874">
        <v>0.76729999999999998</v>
      </c>
    </row>
    <row r="55" spans="1:13">
      <c r="A55" s="2872">
        <v>6.2</v>
      </c>
      <c r="B55" s="2873">
        <v>0.93769999999999998</v>
      </c>
      <c r="C55" s="2873">
        <v>0.93769999999999998</v>
      </c>
      <c r="D55" s="2873">
        <v>0.88</v>
      </c>
      <c r="E55" s="2873">
        <v>0.88</v>
      </c>
      <c r="F55" s="2873">
        <v>0.88</v>
      </c>
      <c r="G55" s="2873">
        <v>0.88</v>
      </c>
      <c r="H55" s="2873">
        <v>0.88</v>
      </c>
      <c r="I55" s="2873">
        <v>0.76400000000000001</v>
      </c>
      <c r="J55" s="2873">
        <v>0.76400000000000001</v>
      </c>
      <c r="K55" s="2873">
        <v>0.76400000000000001</v>
      </c>
      <c r="L55" s="2873">
        <v>0.76400000000000001</v>
      </c>
      <c r="M55" s="2874">
        <v>0.76400000000000001</v>
      </c>
    </row>
    <row r="56" spans="1:13">
      <c r="A56" s="2872">
        <v>6.3</v>
      </c>
      <c r="B56" s="2873">
        <v>0.93610000000000004</v>
      </c>
      <c r="C56" s="2873">
        <v>0.93610000000000004</v>
      </c>
      <c r="D56" s="2873">
        <v>0.87780000000000002</v>
      </c>
      <c r="E56" s="2873">
        <v>0.87780000000000002</v>
      </c>
      <c r="F56" s="2873">
        <v>0.87780000000000002</v>
      </c>
      <c r="G56" s="2873">
        <v>0.87780000000000002</v>
      </c>
      <c r="H56" s="2873">
        <v>0.87780000000000002</v>
      </c>
      <c r="I56" s="2873">
        <v>0.76070000000000004</v>
      </c>
      <c r="J56" s="2873">
        <v>0.76070000000000004</v>
      </c>
      <c r="K56" s="2873">
        <v>0.76070000000000004</v>
      </c>
      <c r="L56" s="2873">
        <v>0.76070000000000004</v>
      </c>
      <c r="M56" s="2874">
        <v>0.76070000000000004</v>
      </c>
    </row>
    <row r="57" spans="1:13">
      <c r="A57" s="2872">
        <v>6.4</v>
      </c>
      <c r="B57" s="2873">
        <v>0.9345</v>
      </c>
      <c r="C57" s="2873">
        <v>0.9345</v>
      </c>
      <c r="D57" s="2873">
        <v>0.87560000000000004</v>
      </c>
      <c r="E57" s="2873">
        <v>0.87560000000000004</v>
      </c>
      <c r="F57" s="2873">
        <v>0.87560000000000004</v>
      </c>
      <c r="G57" s="2873">
        <v>0.87560000000000004</v>
      </c>
      <c r="H57" s="2873">
        <v>0.87560000000000004</v>
      </c>
      <c r="I57" s="2873">
        <v>0.75749999999999995</v>
      </c>
      <c r="J57" s="2873">
        <v>0.75749999999999995</v>
      </c>
      <c r="K57" s="2873">
        <v>0.75749999999999995</v>
      </c>
      <c r="L57" s="2873">
        <v>0.75749999999999995</v>
      </c>
      <c r="M57" s="2874">
        <v>0.75749999999999995</v>
      </c>
    </row>
    <row r="58" spans="1:13">
      <c r="A58" s="2872">
        <v>6.5</v>
      </c>
      <c r="B58" s="2873">
        <v>0.93289999999999995</v>
      </c>
      <c r="C58" s="2873">
        <v>0.93289999999999995</v>
      </c>
      <c r="D58" s="2873">
        <v>0.87339999999999995</v>
      </c>
      <c r="E58" s="2873">
        <v>0.87339999999999995</v>
      </c>
      <c r="F58" s="2873">
        <v>0.87339999999999995</v>
      </c>
      <c r="G58" s="2873">
        <v>0.87339999999999995</v>
      </c>
      <c r="H58" s="2873">
        <v>0.87339999999999995</v>
      </c>
      <c r="I58" s="2873">
        <v>0.75429999999999997</v>
      </c>
      <c r="J58" s="2873">
        <v>0.75429999999999997</v>
      </c>
      <c r="K58" s="2873">
        <v>0.75429999999999997</v>
      </c>
      <c r="L58" s="2873">
        <v>0.75429999999999997</v>
      </c>
      <c r="M58" s="2874">
        <v>0.75429999999999997</v>
      </c>
    </row>
    <row r="59" spans="1:13">
      <c r="A59" s="2872">
        <v>6.6</v>
      </c>
      <c r="B59" s="2873">
        <v>0.93130000000000002</v>
      </c>
      <c r="C59" s="2873">
        <v>0.93130000000000002</v>
      </c>
      <c r="D59" s="2873">
        <v>0.87119999999999997</v>
      </c>
      <c r="E59" s="2873">
        <v>0.87119999999999997</v>
      </c>
      <c r="F59" s="2873">
        <v>0.87119999999999997</v>
      </c>
      <c r="G59" s="2873">
        <v>0.87119999999999997</v>
      </c>
      <c r="H59" s="2873">
        <v>0.87119999999999997</v>
      </c>
      <c r="I59" s="2873">
        <v>0.75119999999999998</v>
      </c>
      <c r="J59" s="2873">
        <v>0.75119999999999998</v>
      </c>
      <c r="K59" s="2873">
        <v>0.75119999999999998</v>
      </c>
      <c r="L59" s="2873">
        <v>0.75119999999999998</v>
      </c>
      <c r="M59" s="2874">
        <v>0.75119999999999998</v>
      </c>
    </row>
    <row r="60" spans="1:13">
      <c r="A60" s="2872">
        <v>6.7</v>
      </c>
      <c r="B60" s="2873">
        <v>0.92969999999999997</v>
      </c>
      <c r="C60" s="2873">
        <v>0.92969999999999997</v>
      </c>
      <c r="D60" s="2873">
        <v>0.86899999999999999</v>
      </c>
      <c r="E60" s="2873">
        <v>0.86899999999999999</v>
      </c>
      <c r="F60" s="2873">
        <v>0.86899999999999999</v>
      </c>
      <c r="G60" s="2873">
        <v>0.86899999999999999</v>
      </c>
      <c r="H60" s="2873">
        <v>0.86899999999999999</v>
      </c>
      <c r="I60" s="2873">
        <v>0.74809999999999999</v>
      </c>
      <c r="J60" s="2873">
        <v>0.74809999999999999</v>
      </c>
      <c r="K60" s="2873">
        <v>0.74809999999999999</v>
      </c>
      <c r="L60" s="2873">
        <v>0.74809999999999999</v>
      </c>
      <c r="M60" s="2874">
        <v>0.74809999999999999</v>
      </c>
    </row>
    <row r="61" spans="1:13">
      <c r="A61" s="2872">
        <v>6.8</v>
      </c>
      <c r="B61" s="2873">
        <v>0.92820000000000003</v>
      </c>
      <c r="C61" s="2873">
        <v>0.92820000000000003</v>
      </c>
      <c r="D61" s="2873">
        <v>0.8669</v>
      </c>
      <c r="E61" s="2873">
        <v>0.8669</v>
      </c>
      <c r="F61" s="2873">
        <v>0.8669</v>
      </c>
      <c r="G61" s="2873">
        <v>0.8669</v>
      </c>
      <c r="H61" s="2873">
        <v>0.8669</v>
      </c>
      <c r="I61" s="2873">
        <v>0.74509999999999998</v>
      </c>
      <c r="J61" s="2873">
        <v>0.74509999999999998</v>
      </c>
      <c r="K61" s="2873">
        <v>0.74509999999999998</v>
      </c>
      <c r="L61" s="2873">
        <v>0.74509999999999998</v>
      </c>
      <c r="M61" s="2874">
        <v>0.74509999999999998</v>
      </c>
    </row>
    <row r="62" spans="1:13">
      <c r="A62" s="2872">
        <v>6.9</v>
      </c>
      <c r="B62" s="2873">
        <v>0.92669999999999997</v>
      </c>
      <c r="C62" s="2873">
        <v>0.92669999999999997</v>
      </c>
      <c r="D62" s="2873">
        <v>0.86480000000000001</v>
      </c>
      <c r="E62" s="2873">
        <v>0.86480000000000001</v>
      </c>
      <c r="F62" s="2873">
        <v>0.86480000000000001</v>
      </c>
      <c r="G62" s="2873">
        <v>0.86480000000000001</v>
      </c>
      <c r="H62" s="2873">
        <v>0.86480000000000001</v>
      </c>
      <c r="I62" s="2873">
        <v>0.74209999999999998</v>
      </c>
      <c r="J62" s="2873">
        <v>0.74209999999999998</v>
      </c>
      <c r="K62" s="2873">
        <v>0.74209999999999998</v>
      </c>
      <c r="L62" s="2873">
        <v>0.74209999999999998</v>
      </c>
      <c r="M62" s="2874">
        <v>0.74209999999999998</v>
      </c>
    </row>
    <row r="63" spans="1:13">
      <c r="A63" s="2872">
        <v>7</v>
      </c>
      <c r="B63" s="2873">
        <v>0.92520000000000002</v>
      </c>
      <c r="C63" s="2873">
        <v>0.92520000000000002</v>
      </c>
      <c r="D63" s="2873">
        <v>0.86270000000000002</v>
      </c>
      <c r="E63" s="2873">
        <v>0.86270000000000002</v>
      </c>
      <c r="F63" s="2873">
        <v>0.86270000000000002</v>
      </c>
      <c r="G63" s="2873">
        <v>0.86270000000000002</v>
      </c>
      <c r="H63" s="2873">
        <v>0.86270000000000002</v>
      </c>
      <c r="I63" s="2873">
        <v>0.73919999999999997</v>
      </c>
      <c r="J63" s="2873">
        <v>0.73919999999999997</v>
      </c>
      <c r="K63" s="2873">
        <v>0.73919999999999997</v>
      </c>
      <c r="L63" s="2873">
        <v>0.73919999999999997</v>
      </c>
      <c r="M63" s="2874">
        <v>0.73919999999999997</v>
      </c>
    </row>
    <row r="64" spans="1:13">
      <c r="A64" s="2872">
        <v>7.1</v>
      </c>
      <c r="B64" s="2873">
        <v>0.92369999999999997</v>
      </c>
      <c r="C64" s="2873">
        <v>0.92369999999999997</v>
      </c>
      <c r="D64" s="2873">
        <v>0.86060000000000003</v>
      </c>
      <c r="E64" s="2873">
        <v>0.86060000000000003</v>
      </c>
      <c r="F64" s="2873">
        <v>0.86060000000000003</v>
      </c>
      <c r="G64" s="2873">
        <v>0.86060000000000003</v>
      </c>
      <c r="H64" s="2873">
        <v>0.86060000000000003</v>
      </c>
      <c r="I64" s="2873">
        <v>0.73629999999999995</v>
      </c>
      <c r="J64" s="2873">
        <v>0.73629999999999995</v>
      </c>
      <c r="K64" s="2873">
        <v>0.73629999999999995</v>
      </c>
      <c r="L64" s="2873">
        <v>0.73629999999999995</v>
      </c>
      <c r="M64" s="2874">
        <v>0.73629999999999995</v>
      </c>
    </row>
    <row r="65" spans="1:13">
      <c r="A65" s="2872">
        <v>7.2</v>
      </c>
      <c r="B65" s="2873">
        <v>0.92220000000000002</v>
      </c>
      <c r="C65" s="2873">
        <v>0.92220000000000002</v>
      </c>
      <c r="D65" s="2873">
        <v>0.85850000000000004</v>
      </c>
      <c r="E65" s="2873">
        <v>0.85850000000000004</v>
      </c>
      <c r="F65" s="2873">
        <v>0.85850000000000004</v>
      </c>
      <c r="G65" s="2873">
        <v>0.85850000000000004</v>
      </c>
      <c r="H65" s="2873">
        <v>0.85850000000000004</v>
      </c>
      <c r="I65" s="2873">
        <v>0.73350000000000004</v>
      </c>
      <c r="J65" s="2873">
        <v>0.73350000000000004</v>
      </c>
      <c r="K65" s="2873">
        <v>0.73350000000000004</v>
      </c>
      <c r="L65" s="2873">
        <v>0.73350000000000004</v>
      </c>
      <c r="M65" s="2874">
        <v>0.73350000000000004</v>
      </c>
    </row>
    <row r="66" spans="1:13">
      <c r="A66" s="2872">
        <v>7.3</v>
      </c>
      <c r="B66" s="2873">
        <v>0.92069999999999996</v>
      </c>
      <c r="C66" s="2873">
        <v>0.92069999999999996</v>
      </c>
      <c r="D66" s="2873">
        <v>0.85650000000000004</v>
      </c>
      <c r="E66" s="2873">
        <v>0.85650000000000004</v>
      </c>
      <c r="F66" s="2873">
        <v>0.85650000000000004</v>
      </c>
      <c r="G66" s="2873">
        <v>0.85650000000000004</v>
      </c>
      <c r="H66" s="2873">
        <v>0.85650000000000004</v>
      </c>
      <c r="I66" s="2873">
        <v>0.73070000000000002</v>
      </c>
      <c r="J66" s="2873">
        <v>0.73070000000000002</v>
      </c>
      <c r="K66" s="2873">
        <v>0.73070000000000002</v>
      </c>
      <c r="L66" s="2873">
        <v>0.73070000000000002</v>
      </c>
      <c r="M66" s="2874">
        <v>0.73070000000000002</v>
      </c>
    </row>
    <row r="67" spans="1:13">
      <c r="A67" s="2872">
        <v>7.4</v>
      </c>
      <c r="B67" s="2873">
        <v>0.91930000000000001</v>
      </c>
      <c r="C67" s="2873">
        <v>0.91930000000000001</v>
      </c>
      <c r="D67" s="2873">
        <v>0.85450000000000004</v>
      </c>
      <c r="E67" s="2873">
        <v>0.85450000000000004</v>
      </c>
      <c r="F67" s="2873">
        <v>0.85450000000000004</v>
      </c>
      <c r="G67" s="2873">
        <v>0.85450000000000004</v>
      </c>
      <c r="H67" s="2873">
        <v>0.85450000000000004</v>
      </c>
      <c r="I67" s="2873">
        <v>0.72799999999999998</v>
      </c>
      <c r="J67" s="2873">
        <v>0.72799999999999998</v>
      </c>
      <c r="K67" s="2873">
        <v>0.72799999999999998</v>
      </c>
      <c r="L67" s="2873">
        <v>0.72799999999999998</v>
      </c>
      <c r="M67" s="2874">
        <v>0.72799999999999998</v>
      </c>
    </row>
    <row r="68" spans="1:13">
      <c r="A68" s="2872">
        <v>7.5</v>
      </c>
      <c r="B68" s="2873">
        <v>0.91790000000000005</v>
      </c>
      <c r="C68" s="2873">
        <v>0.91790000000000005</v>
      </c>
      <c r="D68" s="2873">
        <v>0.85250000000000004</v>
      </c>
      <c r="E68" s="2873">
        <v>0.85250000000000004</v>
      </c>
      <c r="F68" s="2873">
        <v>0.85250000000000004</v>
      </c>
      <c r="G68" s="2873">
        <v>0.85250000000000004</v>
      </c>
      <c r="H68" s="2873">
        <v>0.85250000000000004</v>
      </c>
      <c r="I68" s="2873">
        <v>0.72529999999999994</v>
      </c>
      <c r="J68" s="2873">
        <v>0.72529999999999994</v>
      </c>
      <c r="K68" s="2873">
        <v>0.72529999999999994</v>
      </c>
      <c r="L68" s="2873">
        <v>0.72529999999999994</v>
      </c>
      <c r="M68" s="2874">
        <v>0.72529999999999994</v>
      </c>
    </row>
    <row r="69" spans="1:13">
      <c r="A69" s="2872">
        <v>7.6</v>
      </c>
      <c r="B69" s="2873">
        <v>0.91649999999999998</v>
      </c>
      <c r="C69" s="2873">
        <v>0.91649999999999998</v>
      </c>
      <c r="D69" s="2873">
        <v>0.85050000000000003</v>
      </c>
      <c r="E69" s="2873">
        <v>0.85050000000000003</v>
      </c>
      <c r="F69" s="2873">
        <v>0.85050000000000003</v>
      </c>
      <c r="G69" s="2873">
        <v>0.85050000000000003</v>
      </c>
      <c r="H69" s="2873">
        <v>0.85050000000000003</v>
      </c>
      <c r="I69" s="2873">
        <v>0.72260000000000002</v>
      </c>
      <c r="J69" s="2873">
        <v>0.72260000000000002</v>
      </c>
      <c r="K69" s="2873">
        <v>0.72260000000000002</v>
      </c>
      <c r="L69" s="2873">
        <v>0.72260000000000002</v>
      </c>
      <c r="M69" s="2874">
        <v>0.72260000000000002</v>
      </c>
    </row>
    <row r="70" spans="1:13">
      <c r="A70" s="2872">
        <v>7.7</v>
      </c>
      <c r="B70" s="2873">
        <v>0.91510000000000002</v>
      </c>
      <c r="C70" s="2873">
        <v>0.91510000000000002</v>
      </c>
      <c r="D70" s="2873">
        <v>0.84850000000000003</v>
      </c>
      <c r="E70" s="2873">
        <v>0.84850000000000003</v>
      </c>
      <c r="F70" s="2873">
        <v>0.84850000000000003</v>
      </c>
      <c r="G70" s="2873">
        <v>0.84850000000000003</v>
      </c>
      <c r="H70" s="2873">
        <v>0.84850000000000003</v>
      </c>
      <c r="I70" s="2873">
        <v>0.72</v>
      </c>
      <c r="J70" s="2873">
        <v>0.72</v>
      </c>
      <c r="K70" s="2873">
        <v>0.72</v>
      </c>
      <c r="L70" s="2873">
        <v>0.72</v>
      </c>
      <c r="M70" s="2874">
        <v>0.72</v>
      </c>
    </row>
    <row r="71" spans="1:13">
      <c r="A71" s="2872">
        <v>7.8</v>
      </c>
      <c r="B71" s="2873">
        <v>0.91369999999999996</v>
      </c>
      <c r="C71" s="2873">
        <v>0.91369999999999996</v>
      </c>
      <c r="D71" s="2873">
        <v>0.84660000000000002</v>
      </c>
      <c r="E71" s="2873">
        <v>0.84660000000000002</v>
      </c>
      <c r="F71" s="2873">
        <v>0.84660000000000002</v>
      </c>
      <c r="G71" s="2873">
        <v>0.84660000000000002</v>
      </c>
      <c r="H71" s="2873">
        <v>0.84660000000000002</v>
      </c>
      <c r="I71" s="2873">
        <v>0.71740000000000004</v>
      </c>
      <c r="J71" s="2873">
        <v>0.71740000000000004</v>
      </c>
      <c r="K71" s="2873">
        <v>0.71740000000000004</v>
      </c>
      <c r="L71" s="2873">
        <v>0.71740000000000004</v>
      </c>
      <c r="M71" s="2874">
        <v>0.71740000000000004</v>
      </c>
    </row>
    <row r="72" spans="1:13">
      <c r="A72" s="2872">
        <v>7.9</v>
      </c>
      <c r="B72" s="2873">
        <v>0.9123</v>
      </c>
      <c r="C72" s="2873">
        <v>0.9123</v>
      </c>
      <c r="D72" s="2873">
        <v>0.84470000000000001</v>
      </c>
      <c r="E72" s="2873">
        <v>0.84470000000000001</v>
      </c>
      <c r="F72" s="2873">
        <v>0.84470000000000001</v>
      </c>
      <c r="G72" s="2873">
        <v>0.84470000000000001</v>
      </c>
      <c r="H72" s="2873">
        <v>0.84470000000000001</v>
      </c>
      <c r="I72" s="2873">
        <v>0.71479999999999999</v>
      </c>
      <c r="J72" s="2873">
        <v>0.71479999999999999</v>
      </c>
      <c r="K72" s="2873">
        <v>0.71479999999999999</v>
      </c>
      <c r="L72" s="2873">
        <v>0.71479999999999999</v>
      </c>
      <c r="M72" s="2874">
        <v>0.71479999999999999</v>
      </c>
    </row>
    <row r="73" spans="1:13">
      <c r="A73" s="2872">
        <v>8</v>
      </c>
      <c r="B73" s="2873">
        <v>0.91090000000000004</v>
      </c>
      <c r="C73" s="2873">
        <v>0.91090000000000004</v>
      </c>
      <c r="D73" s="2873">
        <v>0.84279999999999999</v>
      </c>
      <c r="E73" s="2873">
        <v>0.84279999999999999</v>
      </c>
      <c r="F73" s="2873">
        <v>0.84279999999999999</v>
      </c>
      <c r="G73" s="2873">
        <v>0.84279999999999999</v>
      </c>
      <c r="H73" s="2873">
        <v>0.84279999999999999</v>
      </c>
      <c r="I73" s="2873">
        <v>0.71230000000000004</v>
      </c>
      <c r="J73" s="2873">
        <v>0.71230000000000004</v>
      </c>
      <c r="K73" s="2873">
        <v>0.71230000000000004</v>
      </c>
      <c r="L73" s="2873">
        <v>0.71230000000000004</v>
      </c>
      <c r="M73" s="2874">
        <v>0.71230000000000004</v>
      </c>
    </row>
    <row r="74" spans="1:13">
      <c r="A74" s="2872">
        <v>8.1</v>
      </c>
      <c r="B74" s="2873">
        <v>0.90959999999999996</v>
      </c>
      <c r="C74" s="2873">
        <v>0.90959999999999996</v>
      </c>
      <c r="D74" s="2873">
        <v>0.84089999999999998</v>
      </c>
      <c r="E74" s="2873">
        <v>0.84089999999999998</v>
      </c>
      <c r="F74" s="2873">
        <v>0.84089999999999998</v>
      </c>
      <c r="G74" s="2873">
        <v>0.84089999999999998</v>
      </c>
      <c r="H74" s="2873">
        <v>0.84089999999999998</v>
      </c>
      <c r="I74" s="2873">
        <v>0.70979999999999999</v>
      </c>
      <c r="J74" s="2873">
        <v>0.70979999999999999</v>
      </c>
      <c r="K74" s="2873">
        <v>0.70979999999999999</v>
      </c>
      <c r="L74" s="2873">
        <v>0.70979999999999999</v>
      </c>
      <c r="M74" s="2874">
        <v>0.70979999999999999</v>
      </c>
    </row>
    <row r="75" spans="1:13">
      <c r="A75" s="2872">
        <v>8.1999999999999993</v>
      </c>
      <c r="B75" s="2873">
        <v>0.9083</v>
      </c>
      <c r="C75" s="2873">
        <v>0.9083</v>
      </c>
      <c r="D75" s="2873">
        <v>0.83899999999999997</v>
      </c>
      <c r="E75" s="2873">
        <v>0.83899999999999997</v>
      </c>
      <c r="F75" s="2873">
        <v>0.83899999999999997</v>
      </c>
      <c r="G75" s="2873">
        <v>0.83899999999999997</v>
      </c>
      <c r="H75" s="2873">
        <v>0.83899999999999997</v>
      </c>
      <c r="I75" s="2873">
        <v>0.70730000000000004</v>
      </c>
      <c r="J75" s="2873">
        <v>0.70730000000000004</v>
      </c>
      <c r="K75" s="2873">
        <v>0.70730000000000004</v>
      </c>
      <c r="L75" s="2873">
        <v>0.70730000000000004</v>
      </c>
      <c r="M75" s="2874">
        <v>0.70730000000000004</v>
      </c>
    </row>
    <row r="76" spans="1:13">
      <c r="A76" s="2872">
        <v>8.3000000000000007</v>
      </c>
      <c r="B76" s="2873">
        <v>0.90700000000000003</v>
      </c>
      <c r="C76" s="2873">
        <v>0.90700000000000003</v>
      </c>
      <c r="D76" s="2873">
        <v>0.83720000000000006</v>
      </c>
      <c r="E76" s="2873">
        <v>0.83720000000000006</v>
      </c>
      <c r="F76" s="2873">
        <v>0.83720000000000006</v>
      </c>
      <c r="G76" s="2873">
        <v>0.83720000000000006</v>
      </c>
      <c r="H76" s="2873">
        <v>0.83720000000000006</v>
      </c>
      <c r="I76" s="2873">
        <v>0.70489999999999997</v>
      </c>
      <c r="J76" s="2873">
        <v>0.70489999999999997</v>
      </c>
      <c r="K76" s="2873">
        <v>0.70489999999999997</v>
      </c>
      <c r="L76" s="2873">
        <v>0.70489999999999997</v>
      </c>
      <c r="M76" s="2874">
        <v>0.70489999999999997</v>
      </c>
    </row>
    <row r="77" spans="1:13">
      <c r="A77" s="2872">
        <v>8.4</v>
      </c>
      <c r="B77" s="2873">
        <v>0.90569999999999995</v>
      </c>
      <c r="C77" s="2873">
        <v>0.90569999999999995</v>
      </c>
      <c r="D77" s="2873">
        <v>0.83540000000000003</v>
      </c>
      <c r="E77" s="2873">
        <v>0.83540000000000003</v>
      </c>
      <c r="F77" s="2873">
        <v>0.83540000000000003</v>
      </c>
      <c r="G77" s="2873">
        <v>0.83540000000000003</v>
      </c>
      <c r="H77" s="2873">
        <v>0.83540000000000003</v>
      </c>
      <c r="I77" s="2873">
        <v>0.70250000000000001</v>
      </c>
      <c r="J77" s="2873">
        <v>0.70250000000000001</v>
      </c>
      <c r="K77" s="2873">
        <v>0.70250000000000001</v>
      </c>
      <c r="L77" s="2873">
        <v>0.70250000000000001</v>
      </c>
      <c r="M77" s="2874">
        <v>0.70250000000000001</v>
      </c>
    </row>
    <row r="78" spans="1:13">
      <c r="A78" s="2872">
        <v>8.5</v>
      </c>
      <c r="B78" s="2873">
        <v>0.90439999999999998</v>
      </c>
      <c r="C78" s="2873">
        <v>0.90439999999999998</v>
      </c>
      <c r="D78" s="2873">
        <v>0.83360000000000001</v>
      </c>
      <c r="E78" s="2873">
        <v>0.83360000000000001</v>
      </c>
      <c r="F78" s="2873">
        <v>0.83360000000000001</v>
      </c>
      <c r="G78" s="2873">
        <v>0.83360000000000001</v>
      </c>
      <c r="H78" s="2873">
        <v>0.83360000000000001</v>
      </c>
      <c r="I78" s="2873">
        <v>0.70009999999999994</v>
      </c>
      <c r="J78" s="2873">
        <v>0.70009999999999994</v>
      </c>
      <c r="K78" s="2873">
        <v>0.70009999999999994</v>
      </c>
      <c r="L78" s="2873">
        <v>0.70009999999999994</v>
      </c>
      <c r="M78" s="2874">
        <v>0.70009999999999994</v>
      </c>
    </row>
    <row r="79" spans="1:13">
      <c r="A79" s="2872">
        <v>8.6</v>
      </c>
      <c r="B79" s="2873">
        <v>0.90310000000000001</v>
      </c>
      <c r="C79" s="2873">
        <v>0.90310000000000001</v>
      </c>
      <c r="D79" s="2873">
        <v>0.83179999999999998</v>
      </c>
      <c r="E79" s="2873">
        <v>0.83179999999999998</v>
      </c>
      <c r="F79" s="2873">
        <v>0.83179999999999998</v>
      </c>
      <c r="G79" s="2873">
        <v>0.83179999999999998</v>
      </c>
      <c r="H79" s="2873">
        <v>0.83179999999999998</v>
      </c>
      <c r="I79" s="2873">
        <v>0.69779999999999998</v>
      </c>
      <c r="J79" s="2873">
        <v>0.69779999999999998</v>
      </c>
      <c r="K79" s="2873">
        <v>0.69779999999999998</v>
      </c>
      <c r="L79" s="2873">
        <v>0.69779999999999998</v>
      </c>
      <c r="M79" s="2874">
        <v>0.69779999999999998</v>
      </c>
    </row>
    <row r="80" spans="1:13">
      <c r="A80" s="2872">
        <v>8.6999999999999993</v>
      </c>
      <c r="B80" s="2873">
        <v>0.90180000000000005</v>
      </c>
      <c r="C80" s="2873">
        <v>0.90180000000000005</v>
      </c>
      <c r="D80" s="2873">
        <v>0.83</v>
      </c>
      <c r="E80" s="2873">
        <v>0.83</v>
      </c>
      <c r="F80" s="2873">
        <v>0.83</v>
      </c>
      <c r="G80" s="2873">
        <v>0.83</v>
      </c>
      <c r="H80" s="2873">
        <v>0.83</v>
      </c>
      <c r="I80" s="2873">
        <v>0.69550000000000001</v>
      </c>
      <c r="J80" s="2873">
        <v>0.69550000000000001</v>
      </c>
      <c r="K80" s="2873">
        <v>0.69550000000000001</v>
      </c>
      <c r="L80" s="2873">
        <v>0.69550000000000001</v>
      </c>
      <c r="M80" s="2874">
        <v>0.69550000000000001</v>
      </c>
    </row>
    <row r="81" spans="1:20">
      <c r="A81" s="2872">
        <v>8.8000000000000007</v>
      </c>
      <c r="B81" s="2873">
        <v>0.90059999999999996</v>
      </c>
      <c r="C81" s="2873">
        <v>0.90059999999999996</v>
      </c>
      <c r="D81" s="2873">
        <v>0.82830000000000004</v>
      </c>
      <c r="E81" s="2873">
        <v>0.82830000000000004</v>
      </c>
      <c r="F81" s="2873">
        <v>0.82830000000000004</v>
      </c>
      <c r="G81" s="2873">
        <v>0.82830000000000004</v>
      </c>
      <c r="H81" s="2873">
        <v>0.82830000000000004</v>
      </c>
      <c r="I81" s="2873">
        <v>0.69320000000000004</v>
      </c>
      <c r="J81" s="2873">
        <v>0.69320000000000004</v>
      </c>
      <c r="K81" s="2873">
        <v>0.69320000000000004</v>
      </c>
      <c r="L81" s="2873">
        <v>0.69320000000000004</v>
      </c>
      <c r="M81" s="2874">
        <v>0.69320000000000004</v>
      </c>
    </row>
    <row r="82" spans="1:20">
      <c r="A82" s="2872">
        <v>8.9</v>
      </c>
      <c r="B82" s="2873">
        <v>0.89939999999999998</v>
      </c>
      <c r="C82" s="2873">
        <v>0.89939999999999998</v>
      </c>
      <c r="D82" s="2873">
        <v>0.8266</v>
      </c>
      <c r="E82" s="2873">
        <v>0.8266</v>
      </c>
      <c r="F82" s="2873">
        <v>0.8266</v>
      </c>
      <c r="G82" s="2873">
        <v>0.8266</v>
      </c>
      <c r="H82" s="2873">
        <v>0.8266</v>
      </c>
      <c r="I82" s="2873">
        <v>0.69099999999999995</v>
      </c>
      <c r="J82" s="2873">
        <v>0.69099999999999995</v>
      </c>
      <c r="K82" s="2873">
        <v>0.69099999999999995</v>
      </c>
      <c r="L82" s="2873">
        <v>0.69099999999999995</v>
      </c>
      <c r="M82" s="2874">
        <v>0.69099999999999995</v>
      </c>
    </row>
    <row r="83" spans="1:20">
      <c r="A83" s="2875">
        <v>9</v>
      </c>
      <c r="B83" s="2873">
        <v>0.8982</v>
      </c>
      <c r="C83" s="2873">
        <v>0.8982</v>
      </c>
      <c r="D83" s="2873">
        <v>0.82489999999999997</v>
      </c>
      <c r="E83" s="2873">
        <v>0.82489999999999997</v>
      </c>
      <c r="F83" s="2873">
        <v>0.82489999999999997</v>
      </c>
      <c r="G83" s="2873">
        <v>0.82489999999999997</v>
      </c>
      <c r="H83" s="2873">
        <v>0.82489999999999997</v>
      </c>
      <c r="I83" s="2873">
        <v>0.68879999999999997</v>
      </c>
      <c r="J83" s="2873">
        <v>0.68879999999999997</v>
      </c>
      <c r="K83" s="2873">
        <v>0.68879999999999997</v>
      </c>
      <c r="L83" s="2873">
        <v>0.68879999999999997</v>
      </c>
      <c r="M83" s="2874">
        <v>0.68879999999999997</v>
      </c>
    </row>
    <row r="84" spans="1:20">
      <c r="A84" s="2875">
        <v>9.1</v>
      </c>
      <c r="B84" s="2873">
        <v>0.89700000000000002</v>
      </c>
      <c r="C84" s="2873">
        <v>0.89700000000000002</v>
      </c>
      <c r="D84" s="2873">
        <v>0.82320000000000004</v>
      </c>
      <c r="E84" s="2873">
        <v>0.82320000000000004</v>
      </c>
      <c r="F84" s="2873">
        <v>0.82320000000000004</v>
      </c>
      <c r="G84" s="2873">
        <v>0.82320000000000004</v>
      </c>
      <c r="H84" s="2873">
        <v>0.82320000000000004</v>
      </c>
      <c r="I84" s="2873">
        <v>0.68659999999999999</v>
      </c>
      <c r="J84" s="2873">
        <v>0.68659999999999999</v>
      </c>
      <c r="K84" s="2873">
        <v>0.68659999999999999</v>
      </c>
      <c r="L84" s="2873">
        <v>0.68659999999999999</v>
      </c>
      <c r="M84" s="2874">
        <v>0.68659999999999999</v>
      </c>
    </row>
    <row r="85" spans="1:20">
      <c r="A85" s="2875">
        <v>9.1999999999999993</v>
      </c>
      <c r="B85" s="2873">
        <v>0.89580000000000004</v>
      </c>
      <c r="C85" s="2873">
        <v>0.89580000000000004</v>
      </c>
      <c r="D85" s="2873">
        <v>0.82150000000000001</v>
      </c>
      <c r="E85" s="2873">
        <v>0.82150000000000001</v>
      </c>
      <c r="F85" s="2873">
        <v>0.82150000000000001</v>
      </c>
      <c r="G85" s="2873">
        <v>0.82150000000000001</v>
      </c>
      <c r="H85" s="2873">
        <v>0.82150000000000001</v>
      </c>
      <c r="I85" s="2873">
        <v>0.6845</v>
      </c>
      <c r="J85" s="2873">
        <v>0.6845</v>
      </c>
      <c r="K85" s="2873">
        <v>0.6845</v>
      </c>
      <c r="L85" s="2873">
        <v>0.6845</v>
      </c>
      <c r="M85" s="2874">
        <v>0.6845</v>
      </c>
    </row>
    <row r="86" spans="1:20">
      <c r="A86" s="2875">
        <v>9.3000000000000007</v>
      </c>
      <c r="B86" s="2873">
        <v>0.89459999999999995</v>
      </c>
      <c r="C86" s="2873">
        <v>0.89459999999999995</v>
      </c>
      <c r="D86" s="2873">
        <v>0.81989999999999996</v>
      </c>
      <c r="E86" s="2873">
        <v>0.81989999999999996</v>
      </c>
      <c r="F86" s="2873">
        <v>0.81989999999999996</v>
      </c>
      <c r="G86" s="2873">
        <v>0.81989999999999996</v>
      </c>
      <c r="H86" s="2873">
        <v>0.81989999999999996</v>
      </c>
      <c r="I86" s="2873">
        <v>0.68240000000000001</v>
      </c>
      <c r="J86" s="2873">
        <v>0.68240000000000001</v>
      </c>
      <c r="K86" s="2873">
        <v>0.68240000000000001</v>
      </c>
      <c r="L86" s="2873">
        <v>0.68240000000000001</v>
      </c>
      <c r="M86" s="2874">
        <v>0.68240000000000001</v>
      </c>
    </row>
    <row r="87" spans="1:20">
      <c r="A87" s="2875">
        <v>9.4</v>
      </c>
      <c r="B87" s="2873">
        <v>0.89339999999999997</v>
      </c>
      <c r="C87" s="2873">
        <v>0.89339999999999997</v>
      </c>
      <c r="D87" s="2873">
        <v>0.81830000000000003</v>
      </c>
      <c r="E87" s="2873">
        <v>0.81830000000000003</v>
      </c>
      <c r="F87" s="2873">
        <v>0.81830000000000003</v>
      </c>
      <c r="G87" s="2873">
        <v>0.81830000000000003</v>
      </c>
      <c r="H87" s="2873">
        <v>0.81830000000000003</v>
      </c>
      <c r="I87" s="2873">
        <v>0.68030000000000002</v>
      </c>
      <c r="J87" s="2873">
        <v>0.68030000000000002</v>
      </c>
      <c r="K87" s="2873">
        <v>0.68030000000000002</v>
      </c>
      <c r="L87" s="2873">
        <v>0.68030000000000002</v>
      </c>
      <c r="M87" s="2874">
        <v>0.68030000000000002</v>
      </c>
    </row>
    <row r="88" spans="1:20">
      <c r="A88" s="2875">
        <v>9.5</v>
      </c>
      <c r="B88" s="2873">
        <v>0.89229999999999998</v>
      </c>
      <c r="C88" s="2873">
        <v>0.89229999999999998</v>
      </c>
      <c r="D88" s="2873">
        <v>0.81669999999999998</v>
      </c>
      <c r="E88" s="2873">
        <v>0.81669999999999998</v>
      </c>
      <c r="F88" s="2873">
        <v>0.81669999999999998</v>
      </c>
      <c r="G88" s="2873">
        <v>0.81669999999999998</v>
      </c>
      <c r="H88" s="2873">
        <v>0.81669999999999998</v>
      </c>
      <c r="I88" s="2873">
        <v>0.67830000000000001</v>
      </c>
      <c r="J88" s="2873">
        <v>0.67830000000000001</v>
      </c>
      <c r="K88" s="2873">
        <v>0.67830000000000001</v>
      </c>
      <c r="L88" s="2873">
        <v>0.67830000000000001</v>
      </c>
      <c r="M88" s="2874">
        <v>0.67830000000000001</v>
      </c>
    </row>
    <row r="89" spans="1:20">
      <c r="A89" s="2875">
        <v>9.6</v>
      </c>
      <c r="B89" s="2873">
        <v>0.89119999999999999</v>
      </c>
      <c r="C89" s="2873">
        <v>0.89119999999999999</v>
      </c>
      <c r="D89" s="2873">
        <v>0.81510000000000005</v>
      </c>
      <c r="E89" s="2873">
        <v>0.81510000000000005</v>
      </c>
      <c r="F89" s="2873">
        <v>0.81510000000000005</v>
      </c>
      <c r="G89" s="2873">
        <v>0.81510000000000005</v>
      </c>
      <c r="H89" s="2873">
        <v>0.81510000000000005</v>
      </c>
      <c r="I89" s="2873">
        <v>0.67630000000000001</v>
      </c>
      <c r="J89" s="2873">
        <v>0.67630000000000001</v>
      </c>
      <c r="K89" s="2873">
        <v>0.67630000000000001</v>
      </c>
      <c r="L89" s="2873">
        <v>0.67630000000000001</v>
      </c>
      <c r="M89" s="2874">
        <v>0.67630000000000001</v>
      </c>
    </row>
    <row r="90" spans="1:20">
      <c r="A90" s="2875">
        <v>9.6999999999999993</v>
      </c>
      <c r="B90" s="2873">
        <v>0.8901</v>
      </c>
      <c r="C90" s="2873">
        <v>0.8901</v>
      </c>
      <c r="D90" s="2873">
        <v>0.8135</v>
      </c>
      <c r="E90" s="2873">
        <v>0.8135</v>
      </c>
      <c r="F90" s="2873">
        <v>0.8135</v>
      </c>
      <c r="G90" s="2873">
        <v>0.8135</v>
      </c>
      <c r="H90" s="2873">
        <v>0.8135</v>
      </c>
      <c r="I90" s="2873">
        <v>0.67430000000000001</v>
      </c>
      <c r="J90" s="2873">
        <v>0.67430000000000001</v>
      </c>
      <c r="K90" s="2873">
        <v>0.67430000000000001</v>
      </c>
      <c r="L90" s="2873">
        <v>0.67430000000000001</v>
      </c>
      <c r="M90" s="2874">
        <v>0.67430000000000001</v>
      </c>
    </row>
    <row r="91" spans="1:20">
      <c r="A91" s="2875">
        <v>9.8000000000000007</v>
      </c>
      <c r="B91" s="2873">
        <v>0.88900000000000001</v>
      </c>
      <c r="C91" s="2873">
        <v>0.88900000000000001</v>
      </c>
      <c r="D91" s="2873">
        <v>0.81200000000000006</v>
      </c>
      <c r="E91" s="2873">
        <v>0.81200000000000006</v>
      </c>
      <c r="F91" s="2873">
        <v>0.81200000000000006</v>
      </c>
      <c r="G91" s="2873">
        <v>0.81200000000000006</v>
      </c>
      <c r="H91" s="2873">
        <v>0.81200000000000006</v>
      </c>
      <c r="I91" s="2873">
        <v>0.6724</v>
      </c>
      <c r="J91" s="2873">
        <v>0.6724</v>
      </c>
      <c r="K91" s="2873">
        <v>0.6724</v>
      </c>
      <c r="L91" s="2873">
        <v>0.6724</v>
      </c>
      <c r="M91" s="2874">
        <v>0.6724</v>
      </c>
    </row>
    <row r="92" spans="1:20" ht="14.25" thickBot="1">
      <c r="A92" s="2876">
        <v>9.9</v>
      </c>
      <c r="B92" s="2877">
        <v>0.88790000000000002</v>
      </c>
      <c r="C92" s="2877">
        <v>0.88790000000000002</v>
      </c>
      <c r="D92" s="2877">
        <v>0.8105</v>
      </c>
      <c r="E92" s="2877">
        <v>0.8105</v>
      </c>
      <c r="F92" s="2877">
        <v>0.8105</v>
      </c>
      <c r="G92" s="2877">
        <v>0.8105</v>
      </c>
      <c r="H92" s="2877">
        <v>0.8105</v>
      </c>
      <c r="I92" s="2877">
        <v>0.67049999999999998</v>
      </c>
      <c r="J92" s="2877">
        <v>0.67049999999999998</v>
      </c>
      <c r="K92" s="2877">
        <v>0.67049999999999998</v>
      </c>
      <c r="L92" s="2877">
        <v>0.67049999999999998</v>
      </c>
      <c r="M92" s="2878">
        <v>0.67049999999999998</v>
      </c>
    </row>
    <row r="93" spans="1:20" ht="15" thickBot="1">
      <c r="A93" s="2866" t="s">
        <v>2798</v>
      </c>
      <c r="B93" s="2866"/>
      <c r="C93" s="2866"/>
      <c r="D93" s="2866"/>
      <c r="E93" s="2866"/>
      <c r="F93" s="2866"/>
      <c r="G93" s="2866"/>
      <c r="H93" s="2866"/>
      <c r="I93" s="2866"/>
      <c r="J93" s="2866"/>
      <c r="K93" s="2866"/>
      <c r="L93" s="2866"/>
      <c r="M93" s="2866"/>
    </row>
    <row r="94" spans="1:20">
      <c r="A94" s="2867" t="s">
        <v>2797</v>
      </c>
      <c r="B94" s="2868" t="s">
        <v>2593</v>
      </c>
      <c r="C94" s="2868" t="s">
        <v>2594</v>
      </c>
      <c r="D94" s="2868" t="s">
        <v>2595</v>
      </c>
      <c r="E94" s="2868" t="s">
        <v>2596</v>
      </c>
      <c r="F94" s="2868" t="s">
        <v>2597</v>
      </c>
      <c r="G94" s="2868" t="s">
        <v>2598</v>
      </c>
      <c r="H94" s="2869" t="s">
        <v>2599</v>
      </c>
      <c r="I94" s="2869" t="s">
        <v>2600</v>
      </c>
      <c r="J94" s="2870" t="s">
        <v>2601</v>
      </c>
      <c r="K94" s="2870" t="s">
        <v>2602</v>
      </c>
      <c r="L94" s="2870" t="s">
        <v>2603</v>
      </c>
      <c r="M94" s="2871" t="s">
        <v>2604</v>
      </c>
      <c r="N94">
        <f>SUMPRODUCT((A95:A184=ROUNDDOWN(基准地价修正!G3,1))*(B94:M94=基准地价修正!G2)*(B95:M184))</f>
        <v>0</v>
      </c>
      <c r="Q94" s="2881" t="s">
        <v>2802</v>
      </c>
      <c r="R94" s="2881" t="s">
        <v>2803</v>
      </c>
      <c r="S94" s="2881" t="s">
        <v>2804</v>
      </c>
      <c r="T94" s="2881" t="s">
        <v>2805</v>
      </c>
    </row>
    <row r="95" spans="1:20">
      <c r="A95" s="2872">
        <v>1</v>
      </c>
      <c r="B95" s="2873">
        <v>1.2501</v>
      </c>
      <c r="C95" s="2873">
        <v>1.2501</v>
      </c>
      <c r="D95" s="2873">
        <v>1.2158</v>
      </c>
      <c r="E95" s="2873">
        <v>1.2158</v>
      </c>
      <c r="F95" s="2873">
        <v>1.2158</v>
      </c>
      <c r="G95" s="2873">
        <v>1.2158</v>
      </c>
      <c r="H95" s="2873">
        <v>1.2158</v>
      </c>
      <c r="I95" s="2873">
        <v>1.2302</v>
      </c>
      <c r="J95" s="2873">
        <v>1.2302</v>
      </c>
      <c r="K95" s="2873">
        <v>1.2302</v>
      </c>
      <c r="L95" s="2873">
        <v>1.2302</v>
      </c>
      <c r="M95" s="2874">
        <v>1.2302</v>
      </c>
      <c r="Q95" s="2881">
        <v>10</v>
      </c>
      <c r="R95" s="2881">
        <f>ROUND(0.993-0.0112*Q95,4)</f>
        <v>0.88100000000000001</v>
      </c>
      <c r="S95" s="2881">
        <f>ROUND(0.9415-0.0142*Q95,4)</f>
        <v>0.79949999999999999</v>
      </c>
      <c r="T95" s="2881">
        <f>ROUND(0.8438-0.0182*Q95,4)</f>
        <v>0.66180000000000005</v>
      </c>
    </row>
    <row r="96" spans="1:20">
      <c r="A96" s="2872">
        <v>1.1000000000000001</v>
      </c>
      <c r="B96" s="2873">
        <v>1.2310000000000001</v>
      </c>
      <c r="C96" s="2873">
        <v>1.2310000000000001</v>
      </c>
      <c r="D96" s="2873">
        <v>1.1947000000000001</v>
      </c>
      <c r="E96" s="2873">
        <v>1.1947000000000001</v>
      </c>
      <c r="F96" s="2873">
        <v>1.1947000000000001</v>
      </c>
      <c r="G96" s="2873">
        <v>1.1947000000000001</v>
      </c>
      <c r="H96" s="2873">
        <v>1.1947000000000001</v>
      </c>
      <c r="I96" s="2873">
        <v>1.2008000000000001</v>
      </c>
      <c r="J96" s="2873">
        <v>1.2008000000000001</v>
      </c>
      <c r="K96" s="2873">
        <v>1.2008000000000001</v>
      </c>
      <c r="L96" s="2873">
        <v>1.2008000000000001</v>
      </c>
      <c r="M96" s="2874">
        <v>1.2008000000000001</v>
      </c>
    </row>
    <row r="97" spans="1:14">
      <c r="A97" s="2872">
        <v>1.2</v>
      </c>
      <c r="B97" s="2873">
        <v>1.2130000000000001</v>
      </c>
      <c r="C97" s="2873">
        <v>1.2130000000000001</v>
      </c>
      <c r="D97" s="2873">
        <v>1.1748000000000001</v>
      </c>
      <c r="E97" s="2873">
        <v>1.1748000000000001</v>
      </c>
      <c r="F97" s="2873">
        <v>1.1748000000000001</v>
      </c>
      <c r="G97" s="2873">
        <v>1.1748000000000001</v>
      </c>
      <c r="H97" s="2873">
        <v>1.1748000000000001</v>
      </c>
      <c r="I97" s="2873">
        <v>1.173</v>
      </c>
      <c r="J97" s="2873">
        <v>1.173</v>
      </c>
      <c r="K97" s="2873">
        <v>1.173</v>
      </c>
      <c r="L97" s="2873">
        <v>1.173</v>
      </c>
      <c r="M97" s="2874">
        <v>1.173</v>
      </c>
    </row>
    <row r="98" spans="1:14">
      <c r="A98" s="2872">
        <v>1.3</v>
      </c>
      <c r="B98" s="2873">
        <v>1.196</v>
      </c>
      <c r="C98" s="2873">
        <v>1.196</v>
      </c>
      <c r="D98" s="2873">
        <v>1.1559999999999999</v>
      </c>
      <c r="E98" s="2873">
        <v>1.1559999999999999</v>
      </c>
      <c r="F98" s="2873">
        <v>1.1559999999999999</v>
      </c>
      <c r="G98" s="2873">
        <v>1.1559999999999999</v>
      </c>
      <c r="H98" s="2873">
        <v>1.1559999999999999</v>
      </c>
      <c r="I98" s="2873">
        <v>1.1468</v>
      </c>
      <c r="J98" s="2873">
        <v>1.1468</v>
      </c>
      <c r="K98" s="2873">
        <v>1.1468</v>
      </c>
      <c r="L98" s="2873">
        <v>1.1468</v>
      </c>
      <c r="M98" s="2874">
        <v>1.1468</v>
      </c>
    </row>
    <row r="99" spans="1:14">
      <c r="A99" s="2872">
        <v>1.4</v>
      </c>
      <c r="B99" s="2873">
        <v>1.18</v>
      </c>
      <c r="C99" s="2873">
        <v>1.18</v>
      </c>
      <c r="D99" s="2873">
        <v>1.1382000000000001</v>
      </c>
      <c r="E99" s="2873">
        <v>1.1382000000000001</v>
      </c>
      <c r="F99" s="2873">
        <v>1.1382000000000001</v>
      </c>
      <c r="G99" s="2873">
        <v>1.1382000000000001</v>
      </c>
      <c r="H99" s="2873">
        <v>1.1382000000000001</v>
      </c>
      <c r="I99" s="2873">
        <v>1.1220000000000001</v>
      </c>
      <c r="J99" s="2873">
        <v>1.1220000000000001</v>
      </c>
      <c r="K99" s="2873">
        <v>1.1220000000000001</v>
      </c>
      <c r="L99" s="2873">
        <v>1.1220000000000001</v>
      </c>
      <c r="M99" s="2874">
        <v>1.1220000000000001</v>
      </c>
    </row>
    <row r="100" spans="1:14">
      <c r="A100" s="2872">
        <v>1.5</v>
      </c>
      <c r="B100" s="2873">
        <v>1.1649</v>
      </c>
      <c r="C100" s="2873">
        <v>1.1649</v>
      </c>
      <c r="D100" s="2873">
        <v>1.1214999999999999</v>
      </c>
      <c r="E100" s="2873">
        <v>1.1214999999999999</v>
      </c>
      <c r="F100" s="2873">
        <v>1.1214999999999999</v>
      </c>
      <c r="G100" s="2873">
        <v>1.1214999999999999</v>
      </c>
      <c r="H100" s="2873">
        <v>1.1214999999999999</v>
      </c>
      <c r="I100" s="2873">
        <v>1.0985</v>
      </c>
      <c r="J100" s="2873">
        <v>1.0985</v>
      </c>
      <c r="K100" s="2873">
        <v>1.0985</v>
      </c>
      <c r="L100" s="2873">
        <v>1.0985</v>
      </c>
      <c r="M100" s="2874">
        <v>1.0985</v>
      </c>
    </row>
    <row r="101" spans="1:14">
      <c r="A101" s="2872">
        <v>1.6</v>
      </c>
      <c r="B101" s="2873">
        <v>1.1507000000000001</v>
      </c>
      <c r="C101" s="2873">
        <v>1.1507000000000001</v>
      </c>
      <c r="D101" s="2873">
        <v>1.1056999999999999</v>
      </c>
      <c r="E101" s="2873">
        <v>1.1056999999999999</v>
      </c>
      <c r="F101" s="2873">
        <v>1.1056999999999999</v>
      </c>
      <c r="G101" s="2873">
        <v>1.1056999999999999</v>
      </c>
      <c r="H101" s="2873">
        <v>1.1056999999999999</v>
      </c>
      <c r="I101" s="2873">
        <v>1.0764</v>
      </c>
      <c r="J101" s="2873">
        <v>1.0764</v>
      </c>
      <c r="K101" s="2873">
        <v>1.0764</v>
      </c>
      <c r="L101" s="2873">
        <v>1.0764</v>
      </c>
      <c r="M101" s="2874">
        <v>1.0764</v>
      </c>
    </row>
    <row r="102" spans="1:14">
      <c r="A102" s="2872">
        <v>1.7</v>
      </c>
      <c r="B102" s="2873">
        <v>1.1373</v>
      </c>
      <c r="C102" s="2873">
        <v>1.1373</v>
      </c>
      <c r="D102" s="2873">
        <v>1.0908</v>
      </c>
      <c r="E102" s="2873">
        <v>1.0908</v>
      </c>
      <c r="F102" s="2873">
        <v>1.0908</v>
      </c>
      <c r="G102" s="2873">
        <v>1.0908</v>
      </c>
      <c r="H102" s="2873">
        <v>1.0908</v>
      </c>
      <c r="I102" s="2873">
        <v>1.0556000000000001</v>
      </c>
      <c r="J102" s="2873">
        <v>1.0556000000000001</v>
      </c>
      <c r="K102" s="2873">
        <v>1.0556000000000001</v>
      </c>
      <c r="L102" s="2873">
        <v>1.0556000000000001</v>
      </c>
      <c r="M102" s="2874">
        <v>1.0556000000000001</v>
      </c>
    </row>
    <row r="103" spans="1:14" ht="14.25">
      <c r="A103" s="2872">
        <v>1.8</v>
      </c>
      <c r="B103" s="2873">
        <v>1.1247</v>
      </c>
      <c r="C103" s="2873">
        <v>1.1247</v>
      </c>
      <c r="D103" s="2873">
        <v>1.0768</v>
      </c>
      <c r="E103" s="2873">
        <v>1.0768</v>
      </c>
      <c r="F103" s="2873">
        <v>1.0768</v>
      </c>
      <c r="G103" s="2873">
        <v>1.0768</v>
      </c>
      <c r="H103" s="2873">
        <v>1.0768</v>
      </c>
      <c r="I103" s="2873">
        <v>1.0359</v>
      </c>
      <c r="J103" s="2873">
        <v>1.0359</v>
      </c>
      <c r="K103" s="2873">
        <v>1.0359</v>
      </c>
      <c r="L103" s="2873">
        <v>1.0359</v>
      </c>
      <c r="M103" s="2874">
        <v>1.0359</v>
      </c>
      <c r="N103" s="707"/>
    </row>
    <row r="104" spans="1:14" ht="14.25">
      <c r="A104" s="2872">
        <v>1.9</v>
      </c>
      <c r="B104" s="2873">
        <v>1.1128</v>
      </c>
      <c r="C104" s="2873">
        <v>1.1128</v>
      </c>
      <c r="D104" s="2873">
        <v>1.0637000000000001</v>
      </c>
      <c r="E104" s="2873">
        <v>1.0637000000000001</v>
      </c>
      <c r="F104" s="2873">
        <v>1.0637000000000001</v>
      </c>
      <c r="G104" s="2873">
        <v>1.0637000000000001</v>
      </c>
      <c r="H104" s="2873">
        <v>1.0637000000000001</v>
      </c>
      <c r="I104" s="2873">
        <v>1.0174000000000001</v>
      </c>
      <c r="J104" s="2873">
        <v>1.0174000000000001</v>
      </c>
      <c r="K104" s="2873">
        <v>1.0174000000000001</v>
      </c>
      <c r="L104" s="2873">
        <v>1.0174000000000001</v>
      </c>
      <c r="M104" s="2874">
        <v>1.0174000000000001</v>
      </c>
      <c r="N104" s="707"/>
    </row>
    <row r="105" spans="1:14">
      <c r="A105" s="2872">
        <v>2</v>
      </c>
      <c r="B105" s="2873">
        <v>1.1016999999999999</v>
      </c>
      <c r="C105" s="2873">
        <v>1.1016999999999999</v>
      </c>
      <c r="D105" s="2873">
        <v>1.0512999999999999</v>
      </c>
      <c r="E105" s="2873">
        <v>1.0512999999999999</v>
      </c>
      <c r="F105" s="2873">
        <v>1.0512999999999999</v>
      </c>
      <c r="G105" s="2873">
        <v>1.0512999999999999</v>
      </c>
      <c r="H105" s="2873">
        <v>1.0512999999999999</v>
      </c>
      <c r="I105" s="2873">
        <v>1</v>
      </c>
      <c r="J105" s="2873">
        <v>1</v>
      </c>
      <c r="K105" s="2873">
        <v>1</v>
      </c>
      <c r="L105" s="2873">
        <v>1</v>
      </c>
      <c r="M105" s="2874">
        <v>1</v>
      </c>
    </row>
    <row r="106" spans="1:14">
      <c r="A106" s="2875">
        <v>2.1</v>
      </c>
      <c r="B106" s="2873">
        <v>1.0912999999999999</v>
      </c>
      <c r="C106" s="2873">
        <v>1.0912999999999999</v>
      </c>
      <c r="D106" s="2873">
        <v>1.0397000000000001</v>
      </c>
      <c r="E106" s="2873">
        <v>1.0397000000000001</v>
      </c>
      <c r="F106" s="2873">
        <v>1.0397000000000001</v>
      </c>
      <c r="G106" s="2873">
        <v>1.0397000000000001</v>
      </c>
      <c r="H106" s="2873">
        <v>1.0397000000000001</v>
      </c>
      <c r="I106" s="2873">
        <v>0.98360000000000003</v>
      </c>
      <c r="J106" s="2873">
        <v>0.98360000000000003</v>
      </c>
      <c r="K106" s="2873">
        <v>0.98360000000000003</v>
      </c>
      <c r="L106" s="2873">
        <v>0.98360000000000003</v>
      </c>
      <c r="M106" s="2874">
        <v>0.98360000000000003</v>
      </c>
    </row>
    <row r="107" spans="1:14">
      <c r="A107" s="2875">
        <v>2.2000000000000002</v>
      </c>
      <c r="B107" s="2873">
        <v>1.0814999999999999</v>
      </c>
      <c r="C107" s="2873">
        <v>1.0814999999999999</v>
      </c>
      <c r="D107" s="2873">
        <v>1.0287999999999999</v>
      </c>
      <c r="E107" s="2873">
        <v>1.0287999999999999</v>
      </c>
      <c r="F107" s="2873">
        <v>1.0287999999999999</v>
      </c>
      <c r="G107" s="2873">
        <v>1.0287999999999999</v>
      </c>
      <c r="H107" s="2873">
        <v>1.0287999999999999</v>
      </c>
      <c r="I107" s="2873">
        <v>0.96819999999999995</v>
      </c>
      <c r="J107" s="2873">
        <v>0.96819999999999995</v>
      </c>
      <c r="K107" s="2873">
        <v>0.96819999999999995</v>
      </c>
      <c r="L107" s="2873">
        <v>0.96819999999999995</v>
      </c>
      <c r="M107" s="2874">
        <v>0.96819999999999995</v>
      </c>
    </row>
    <row r="108" spans="1:14">
      <c r="A108" s="2875">
        <v>2.2999999999999998</v>
      </c>
      <c r="B108" s="2873">
        <v>1.0724</v>
      </c>
      <c r="C108" s="2873">
        <v>1.0724</v>
      </c>
      <c r="D108" s="2873">
        <v>1.0185999999999999</v>
      </c>
      <c r="E108" s="2873">
        <v>1.0185999999999999</v>
      </c>
      <c r="F108" s="2873">
        <v>1.0185999999999999</v>
      </c>
      <c r="G108" s="2873">
        <v>1.0185999999999999</v>
      </c>
      <c r="H108" s="2873">
        <v>1.0185999999999999</v>
      </c>
      <c r="I108" s="2873">
        <v>0.95369999999999999</v>
      </c>
      <c r="J108" s="2873">
        <v>0.95369999999999999</v>
      </c>
      <c r="K108" s="2873">
        <v>0.95369999999999999</v>
      </c>
      <c r="L108" s="2873">
        <v>0.95369999999999999</v>
      </c>
      <c r="M108" s="2874">
        <v>0.95369999999999999</v>
      </c>
    </row>
    <row r="109" spans="1:14">
      <c r="A109" s="2875">
        <v>2.4</v>
      </c>
      <c r="B109" s="2873">
        <v>1.0638000000000001</v>
      </c>
      <c r="C109" s="2873">
        <v>1.0638000000000001</v>
      </c>
      <c r="D109" s="2873">
        <v>1.0089999999999999</v>
      </c>
      <c r="E109" s="2873">
        <v>1.0089999999999999</v>
      </c>
      <c r="F109" s="2873">
        <v>1.0089999999999999</v>
      </c>
      <c r="G109" s="2873">
        <v>1.0089999999999999</v>
      </c>
      <c r="H109" s="2873">
        <v>1.0089999999999999</v>
      </c>
      <c r="I109" s="2873">
        <v>0.94010000000000005</v>
      </c>
      <c r="J109" s="2873">
        <v>0.94010000000000005</v>
      </c>
      <c r="K109" s="2873">
        <v>0.94010000000000005</v>
      </c>
      <c r="L109" s="2873">
        <v>0.94010000000000005</v>
      </c>
      <c r="M109" s="2874">
        <v>0.94010000000000005</v>
      </c>
    </row>
    <row r="110" spans="1:14">
      <c r="A110" s="2875">
        <v>2.5</v>
      </c>
      <c r="B110" s="2873">
        <v>1.0558000000000001</v>
      </c>
      <c r="C110" s="2873">
        <v>1.0558000000000001</v>
      </c>
      <c r="D110" s="2873">
        <v>1</v>
      </c>
      <c r="E110" s="2873">
        <v>1</v>
      </c>
      <c r="F110" s="2873">
        <v>1</v>
      </c>
      <c r="G110" s="2873">
        <v>1</v>
      </c>
      <c r="H110" s="2873">
        <v>1</v>
      </c>
      <c r="I110" s="2873">
        <v>0.9274</v>
      </c>
      <c r="J110" s="2873">
        <v>0.9274</v>
      </c>
      <c r="K110" s="2873">
        <v>0.9274</v>
      </c>
      <c r="L110" s="2873">
        <v>0.9274</v>
      </c>
      <c r="M110" s="2874">
        <v>0.9274</v>
      </c>
    </row>
    <row r="111" spans="1:14">
      <c r="A111" s="2875">
        <v>2.6</v>
      </c>
      <c r="B111" s="2873">
        <v>1.0483</v>
      </c>
      <c r="C111" s="2873">
        <v>1.0483</v>
      </c>
      <c r="D111" s="2873">
        <v>0.99160000000000004</v>
      </c>
      <c r="E111" s="2873">
        <v>0.99160000000000004</v>
      </c>
      <c r="F111" s="2873">
        <v>0.99160000000000004</v>
      </c>
      <c r="G111" s="2873">
        <v>0.99160000000000004</v>
      </c>
      <c r="H111" s="2873">
        <v>0.99160000000000004</v>
      </c>
      <c r="I111" s="2873">
        <v>0.91539999999999999</v>
      </c>
      <c r="J111" s="2873">
        <v>0.91539999999999999</v>
      </c>
      <c r="K111" s="2873">
        <v>0.91539999999999999</v>
      </c>
      <c r="L111" s="2873">
        <v>0.91539999999999999</v>
      </c>
      <c r="M111" s="2874">
        <v>0.91539999999999999</v>
      </c>
    </row>
    <row r="112" spans="1:14">
      <c r="A112" s="2875">
        <v>2.7</v>
      </c>
      <c r="B112" s="2873">
        <v>1.0412999999999999</v>
      </c>
      <c r="C112" s="2873">
        <v>1.0412999999999999</v>
      </c>
      <c r="D112" s="2873">
        <v>0.98370000000000002</v>
      </c>
      <c r="E112" s="2873">
        <v>0.98370000000000002</v>
      </c>
      <c r="F112" s="2873">
        <v>0.98370000000000002</v>
      </c>
      <c r="G112" s="2873">
        <v>0.98370000000000002</v>
      </c>
      <c r="H112" s="2873">
        <v>0.98370000000000002</v>
      </c>
      <c r="I112" s="2873">
        <v>0.90429999999999999</v>
      </c>
      <c r="J112" s="2873">
        <v>0.90429999999999999</v>
      </c>
      <c r="K112" s="2873">
        <v>0.90429999999999999</v>
      </c>
      <c r="L112" s="2873">
        <v>0.90429999999999999</v>
      </c>
      <c r="M112" s="2874">
        <v>0.90429999999999999</v>
      </c>
    </row>
    <row r="113" spans="1:13">
      <c r="A113" s="2875">
        <v>2.8</v>
      </c>
      <c r="B113" s="2873">
        <v>1.0347999999999999</v>
      </c>
      <c r="C113" s="2873">
        <v>1.0347999999999999</v>
      </c>
      <c r="D113" s="2873">
        <v>0.97640000000000005</v>
      </c>
      <c r="E113" s="2873">
        <v>0.97640000000000005</v>
      </c>
      <c r="F113" s="2873">
        <v>0.97640000000000005</v>
      </c>
      <c r="G113" s="2873">
        <v>0.97640000000000005</v>
      </c>
      <c r="H113" s="2873">
        <v>0.97640000000000005</v>
      </c>
      <c r="I113" s="2873">
        <v>0.89370000000000005</v>
      </c>
      <c r="J113" s="2873">
        <v>0.89370000000000005</v>
      </c>
      <c r="K113" s="2873">
        <v>0.89370000000000005</v>
      </c>
      <c r="L113" s="2873">
        <v>0.89370000000000005</v>
      </c>
      <c r="M113" s="2874">
        <v>0.89370000000000005</v>
      </c>
    </row>
    <row r="114" spans="1:13">
      <c r="A114" s="2875">
        <v>2.9</v>
      </c>
      <c r="B114" s="2873">
        <v>1.0286999999999999</v>
      </c>
      <c r="C114" s="2873">
        <v>1.0286999999999999</v>
      </c>
      <c r="D114" s="2873">
        <v>0.96950000000000003</v>
      </c>
      <c r="E114" s="2873">
        <v>0.96950000000000003</v>
      </c>
      <c r="F114" s="2873">
        <v>0.96950000000000003</v>
      </c>
      <c r="G114" s="2873">
        <v>0.96950000000000003</v>
      </c>
      <c r="H114" s="2873">
        <v>0.96950000000000003</v>
      </c>
      <c r="I114" s="2873">
        <v>0.88390000000000002</v>
      </c>
      <c r="J114" s="2873">
        <v>0.88390000000000002</v>
      </c>
      <c r="K114" s="2873">
        <v>0.88390000000000002</v>
      </c>
      <c r="L114" s="2873">
        <v>0.88390000000000002</v>
      </c>
      <c r="M114" s="2874">
        <v>0.88390000000000002</v>
      </c>
    </row>
    <row r="115" spans="1:13">
      <c r="A115" s="2875">
        <v>3</v>
      </c>
      <c r="B115" s="2873">
        <v>1.0229999999999999</v>
      </c>
      <c r="C115" s="2873">
        <v>1.0229999999999999</v>
      </c>
      <c r="D115" s="2873">
        <v>0.96309999999999996</v>
      </c>
      <c r="E115" s="2873">
        <v>0.96309999999999996</v>
      </c>
      <c r="F115" s="2873">
        <v>0.96309999999999996</v>
      </c>
      <c r="G115" s="2873">
        <v>0.96309999999999996</v>
      </c>
      <c r="H115" s="2873">
        <v>0.96309999999999996</v>
      </c>
      <c r="I115" s="2873">
        <v>0.87460000000000004</v>
      </c>
      <c r="J115" s="2873">
        <v>0.87460000000000004</v>
      </c>
      <c r="K115" s="2873">
        <v>0.87460000000000004</v>
      </c>
      <c r="L115" s="2873">
        <v>0.87460000000000004</v>
      </c>
      <c r="M115" s="2874">
        <v>0.87460000000000004</v>
      </c>
    </row>
    <row r="116" spans="1:13">
      <c r="A116" s="2875">
        <v>3.1</v>
      </c>
      <c r="B116" s="2873">
        <v>1.0177</v>
      </c>
      <c r="C116" s="2873">
        <v>1.0177</v>
      </c>
      <c r="D116" s="2873">
        <v>0.95709999999999995</v>
      </c>
      <c r="E116" s="2873">
        <v>0.95709999999999995</v>
      </c>
      <c r="F116" s="2873">
        <v>0.95709999999999995</v>
      </c>
      <c r="G116" s="2873">
        <v>0.95709999999999995</v>
      </c>
      <c r="H116" s="2873">
        <v>0.95709999999999995</v>
      </c>
      <c r="I116" s="2873">
        <v>0.8659</v>
      </c>
      <c r="J116" s="2873">
        <v>0.8659</v>
      </c>
      <c r="K116" s="2873">
        <v>0.8659</v>
      </c>
      <c r="L116" s="2873">
        <v>0.8659</v>
      </c>
      <c r="M116" s="2874">
        <v>0.8659</v>
      </c>
    </row>
    <row r="117" spans="1:13">
      <c r="A117" s="2875">
        <v>3.2</v>
      </c>
      <c r="B117" s="2873">
        <v>1.0127999999999999</v>
      </c>
      <c r="C117" s="2873">
        <v>1.0127999999999999</v>
      </c>
      <c r="D117" s="2873">
        <v>0.9516</v>
      </c>
      <c r="E117" s="2873">
        <v>0.9516</v>
      </c>
      <c r="F117" s="2873">
        <v>0.9516</v>
      </c>
      <c r="G117" s="2873">
        <v>0.9516</v>
      </c>
      <c r="H117" s="2873">
        <v>0.9516</v>
      </c>
      <c r="I117" s="2873">
        <v>0.85780000000000001</v>
      </c>
      <c r="J117" s="2873">
        <v>0.85780000000000001</v>
      </c>
      <c r="K117" s="2873">
        <v>0.85780000000000001</v>
      </c>
      <c r="L117" s="2873">
        <v>0.85780000000000001</v>
      </c>
      <c r="M117" s="2874">
        <v>0.85780000000000001</v>
      </c>
    </row>
    <row r="118" spans="1:13">
      <c r="A118" s="2875">
        <v>3.3</v>
      </c>
      <c r="B118" s="2873">
        <v>1.0082</v>
      </c>
      <c r="C118" s="2873">
        <v>1.0082</v>
      </c>
      <c r="D118" s="2873">
        <v>0.94640000000000002</v>
      </c>
      <c r="E118" s="2873">
        <v>0.94640000000000002</v>
      </c>
      <c r="F118" s="2873">
        <v>0.94640000000000002</v>
      </c>
      <c r="G118" s="2873">
        <v>0.94640000000000002</v>
      </c>
      <c r="H118" s="2873">
        <v>0.94640000000000002</v>
      </c>
      <c r="I118" s="2873">
        <v>0.85029999999999994</v>
      </c>
      <c r="J118" s="2873">
        <v>0.85029999999999994</v>
      </c>
      <c r="K118" s="2873">
        <v>0.85029999999999994</v>
      </c>
      <c r="L118" s="2873">
        <v>0.85029999999999994</v>
      </c>
      <c r="M118" s="2874">
        <v>0.85029999999999994</v>
      </c>
    </row>
    <row r="119" spans="1:13">
      <c r="A119" s="2875">
        <v>3.4</v>
      </c>
      <c r="B119" s="2873">
        <v>1.004</v>
      </c>
      <c r="C119" s="2873">
        <v>1.004</v>
      </c>
      <c r="D119" s="2873">
        <v>0.9415</v>
      </c>
      <c r="E119" s="2873">
        <v>0.9415</v>
      </c>
      <c r="F119" s="2873">
        <v>0.9415</v>
      </c>
      <c r="G119" s="2873">
        <v>0.9415</v>
      </c>
      <c r="H119" s="2873">
        <v>0.9415</v>
      </c>
      <c r="I119" s="2873">
        <v>0.84319999999999995</v>
      </c>
      <c r="J119" s="2873">
        <v>0.84319999999999995</v>
      </c>
      <c r="K119" s="2873">
        <v>0.84319999999999995</v>
      </c>
      <c r="L119" s="2873">
        <v>0.84319999999999995</v>
      </c>
      <c r="M119" s="2874">
        <v>0.84319999999999995</v>
      </c>
    </row>
    <row r="120" spans="1:13">
      <c r="A120" s="2875">
        <v>3.5</v>
      </c>
      <c r="B120" s="2873">
        <v>1</v>
      </c>
      <c r="C120" s="2873">
        <v>1</v>
      </c>
      <c r="D120" s="2873">
        <v>0.93700000000000006</v>
      </c>
      <c r="E120" s="2873">
        <v>0.93700000000000006</v>
      </c>
      <c r="F120" s="2873">
        <v>0.93700000000000006</v>
      </c>
      <c r="G120" s="2873">
        <v>0.93700000000000006</v>
      </c>
      <c r="H120" s="2873">
        <v>0.93700000000000006</v>
      </c>
      <c r="I120" s="2873">
        <v>0.83660000000000001</v>
      </c>
      <c r="J120" s="2873">
        <v>0.83660000000000001</v>
      </c>
      <c r="K120" s="2873">
        <v>0.83660000000000001</v>
      </c>
      <c r="L120" s="2873">
        <v>0.83660000000000001</v>
      </c>
      <c r="M120" s="2874">
        <v>0.83660000000000001</v>
      </c>
    </row>
    <row r="121" spans="1:13">
      <c r="A121" s="2875">
        <v>3.6</v>
      </c>
      <c r="B121" s="2873">
        <v>0.99629999999999996</v>
      </c>
      <c r="C121" s="2873">
        <v>0.99629999999999996</v>
      </c>
      <c r="D121" s="2873">
        <v>0.93279999999999996</v>
      </c>
      <c r="E121" s="2873">
        <v>0.93279999999999996</v>
      </c>
      <c r="F121" s="2873">
        <v>0.93279999999999996</v>
      </c>
      <c r="G121" s="2873">
        <v>0.93279999999999996</v>
      </c>
      <c r="H121" s="2873">
        <v>0.93279999999999996</v>
      </c>
      <c r="I121" s="2873">
        <v>0.83040000000000003</v>
      </c>
      <c r="J121" s="2873">
        <v>0.83040000000000003</v>
      </c>
      <c r="K121" s="2873">
        <v>0.83040000000000003</v>
      </c>
      <c r="L121" s="2873">
        <v>0.83040000000000003</v>
      </c>
      <c r="M121" s="2874">
        <v>0.83040000000000003</v>
      </c>
    </row>
    <row r="122" spans="1:13">
      <c r="A122" s="2875">
        <v>3.7</v>
      </c>
      <c r="B122" s="2873">
        <v>0.9929</v>
      </c>
      <c r="C122" s="2873">
        <v>0.9929</v>
      </c>
      <c r="D122" s="2873">
        <v>0.92879999999999996</v>
      </c>
      <c r="E122" s="2873">
        <v>0.92879999999999996</v>
      </c>
      <c r="F122" s="2873">
        <v>0.92879999999999996</v>
      </c>
      <c r="G122" s="2873">
        <v>0.92879999999999996</v>
      </c>
      <c r="H122" s="2873">
        <v>0.92879999999999996</v>
      </c>
      <c r="I122" s="2873">
        <v>0.8246</v>
      </c>
      <c r="J122" s="2873">
        <v>0.8246</v>
      </c>
      <c r="K122" s="2873">
        <v>0.8246</v>
      </c>
      <c r="L122" s="2873">
        <v>0.8246</v>
      </c>
      <c r="M122" s="2874">
        <v>0.8246</v>
      </c>
    </row>
    <row r="123" spans="1:13">
      <c r="A123" s="2875">
        <v>3.8</v>
      </c>
      <c r="B123" s="2873">
        <v>0.98970000000000002</v>
      </c>
      <c r="C123" s="2873">
        <v>0.98970000000000002</v>
      </c>
      <c r="D123" s="2873">
        <v>0.92520000000000002</v>
      </c>
      <c r="E123" s="2873">
        <v>0.92520000000000002</v>
      </c>
      <c r="F123" s="2873">
        <v>0.92520000000000002</v>
      </c>
      <c r="G123" s="2873">
        <v>0.92520000000000002</v>
      </c>
      <c r="H123" s="2873">
        <v>0.92520000000000002</v>
      </c>
      <c r="I123" s="2873">
        <v>0.81920000000000004</v>
      </c>
      <c r="J123" s="2873">
        <v>0.81920000000000004</v>
      </c>
      <c r="K123" s="2873">
        <v>0.81920000000000004</v>
      </c>
      <c r="L123" s="2873">
        <v>0.81920000000000004</v>
      </c>
      <c r="M123" s="2874">
        <v>0.81920000000000004</v>
      </c>
    </row>
    <row r="124" spans="1:13">
      <c r="A124" s="2875">
        <v>3.9</v>
      </c>
      <c r="B124" s="2873">
        <v>0.98670000000000002</v>
      </c>
      <c r="C124" s="2873">
        <v>0.98670000000000002</v>
      </c>
      <c r="D124" s="2873">
        <v>0.92179999999999995</v>
      </c>
      <c r="E124" s="2873">
        <v>0.92179999999999995</v>
      </c>
      <c r="F124" s="2873">
        <v>0.92179999999999995</v>
      </c>
      <c r="G124" s="2873">
        <v>0.92179999999999995</v>
      </c>
      <c r="H124" s="2873">
        <v>0.92179999999999995</v>
      </c>
      <c r="I124" s="2873">
        <v>0.81410000000000005</v>
      </c>
      <c r="J124" s="2873">
        <v>0.81410000000000005</v>
      </c>
      <c r="K124" s="2873">
        <v>0.81410000000000005</v>
      </c>
      <c r="L124" s="2873">
        <v>0.81410000000000005</v>
      </c>
      <c r="M124" s="2874">
        <v>0.81410000000000005</v>
      </c>
    </row>
    <row r="125" spans="1:13">
      <c r="A125" s="2875">
        <v>4</v>
      </c>
      <c r="B125" s="2873">
        <v>0.98380000000000001</v>
      </c>
      <c r="C125" s="2873">
        <v>0.98380000000000001</v>
      </c>
      <c r="D125" s="2873">
        <v>0.91859999999999997</v>
      </c>
      <c r="E125" s="2873">
        <v>0.91859999999999997</v>
      </c>
      <c r="F125" s="2873">
        <v>0.91859999999999997</v>
      </c>
      <c r="G125" s="2873">
        <v>0.91859999999999997</v>
      </c>
      <c r="H125" s="2873">
        <v>0.91859999999999997</v>
      </c>
      <c r="I125" s="2873">
        <v>0.80940000000000001</v>
      </c>
      <c r="J125" s="2873">
        <v>0.80940000000000001</v>
      </c>
      <c r="K125" s="2873">
        <v>0.80940000000000001</v>
      </c>
      <c r="L125" s="2873">
        <v>0.80940000000000001</v>
      </c>
      <c r="M125" s="2874">
        <v>0.80940000000000001</v>
      </c>
    </row>
    <row r="126" spans="1:13">
      <c r="A126" s="2875">
        <v>4.0999999999999996</v>
      </c>
      <c r="B126" s="2873">
        <v>0.98099999999999998</v>
      </c>
      <c r="C126" s="2873">
        <v>0.98099999999999998</v>
      </c>
      <c r="D126" s="2873">
        <v>0.91559999999999997</v>
      </c>
      <c r="E126" s="2873">
        <v>0.91559999999999997</v>
      </c>
      <c r="F126" s="2873">
        <v>0.91559999999999997</v>
      </c>
      <c r="G126" s="2873">
        <v>0.91559999999999997</v>
      </c>
      <c r="H126" s="2873">
        <v>0.91559999999999997</v>
      </c>
      <c r="I126" s="2873">
        <v>0.80489999999999995</v>
      </c>
      <c r="J126" s="2873">
        <v>0.80489999999999995</v>
      </c>
      <c r="K126" s="2873">
        <v>0.80489999999999995</v>
      </c>
      <c r="L126" s="2873">
        <v>0.80489999999999995</v>
      </c>
      <c r="M126" s="2874">
        <v>0.80489999999999995</v>
      </c>
    </row>
    <row r="127" spans="1:13">
      <c r="A127" s="2875">
        <v>4.2</v>
      </c>
      <c r="B127" s="2873">
        <v>0.97829999999999995</v>
      </c>
      <c r="C127" s="2873">
        <v>0.97829999999999995</v>
      </c>
      <c r="D127" s="2873">
        <v>0.91269999999999996</v>
      </c>
      <c r="E127" s="2873">
        <v>0.91269999999999996</v>
      </c>
      <c r="F127" s="2873">
        <v>0.91269999999999996</v>
      </c>
      <c r="G127" s="2873">
        <v>0.91269999999999996</v>
      </c>
      <c r="H127" s="2873">
        <v>0.91269999999999996</v>
      </c>
      <c r="I127" s="2873">
        <v>0.80059999999999998</v>
      </c>
      <c r="J127" s="2873">
        <v>0.80059999999999998</v>
      </c>
      <c r="K127" s="2873">
        <v>0.80059999999999998</v>
      </c>
      <c r="L127" s="2873">
        <v>0.80059999999999998</v>
      </c>
      <c r="M127" s="2874">
        <v>0.80059999999999998</v>
      </c>
    </row>
    <row r="128" spans="1:13">
      <c r="A128" s="2875">
        <v>4.3</v>
      </c>
      <c r="B128" s="2873">
        <v>0.97570000000000001</v>
      </c>
      <c r="C128" s="2873">
        <v>0.97570000000000001</v>
      </c>
      <c r="D128" s="2873">
        <v>0.90990000000000004</v>
      </c>
      <c r="E128" s="2873">
        <v>0.90990000000000004</v>
      </c>
      <c r="F128" s="2873">
        <v>0.90990000000000004</v>
      </c>
      <c r="G128" s="2873">
        <v>0.90990000000000004</v>
      </c>
      <c r="H128" s="2873">
        <v>0.90990000000000004</v>
      </c>
      <c r="I128" s="2873">
        <v>0.79649999999999999</v>
      </c>
      <c r="J128" s="2873">
        <v>0.79649999999999999</v>
      </c>
      <c r="K128" s="2873">
        <v>0.79649999999999999</v>
      </c>
      <c r="L128" s="2873">
        <v>0.79649999999999999</v>
      </c>
      <c r="M128" s="2874">
        <v>0.79649999999999999</v>
      </c>
    </row>
    <row r="129" spans="1:13">
      <c r="A129" s="2875">
        <v>4.4000000000000004</v>
      </c>
      <c r="B129" s="2873">
        <v>0.97319999999999995</v>
      </c>
      <c r="C129" s="2873">
        <v>0.97319999999999995</v>
      </c>
      <c r="D129" s="2873">
        <v>0.90720000000000001</v>
      </c>
      <c r="E129" s="2873">
        <v>0.90720000000000001</v>
      </c>
      <c r="F129" s="2873">
        <v>0.90720000000000001</v>
      </c>
      <c r="G129" s="2873">
        <v>0.90720000000000001</v>
      </c>
      <c r="H129" s="2873">
        <v>0.90720000000000001</v>
      </c>
      <c r="I129" s="2873">
        <v>0.79259999999999997</v>
      </c>
      <c r="J129" s="2873">
        <v>0.79259999999999997</v>
      </c>
      <c r="K129" s="2873">
        <v>0.79259999999999997</v>
      </c>
      <c r="L129" s="2873">
        <v>0.79259999999999997</v>
      </c>
      <c r="M129" s="2874">
        <v>0.79259999999999997</v>
      </c>
    </row>
    <row r="130" spans="1:13">
      <c r="A130" s="2875">
        <v>4.5</v>
      </c>
      <c r="B130" s="2873">
        <v>0.9708</v>
      </c>
      <c r="C130" s="2873">
        <v>0.9708</v>
      </c>
      <c r="D130" s="2873">
        <v>0.90459999999999996</v>
      </c>
      <c r="E130" s="2873">
        <v>0.90459999999999996</v>
      </c>
      <c r="F130" s="2873">
        <v>0.90459999999999996</v>
      </c>
      <c r="G130" s="2873">
        <v>0.90459999999999996</v>
      </c>
      <c r="H130" s="2873">
        <v>0.90459999999999996</v>
      </c>
      <c r="I130" s="2873">
        <v>0.78890000000000005</v>
      </c>
      <c r="J130" s="2873">
        <v>0.78890000000000005</v>
      </c>
      <c r="K130" s="2873">
        <v>0.78890000000000005</v>
      </c>
      <c r="L130" s="2873">
        <v>0.78890000000000005</v>
      </c>
      <c r="M130" s="2874">
        <v>0.78890000000000005</v>
      </c>
    </row>
    <row r="131" spans="1:13">
      <c r="A131" s="2875">
        <v>4.5999999999999996</v>
      </c>
      <c r="B131" s="2873">
        <v>0.96850000000000003</v>
      </c>
      <c r="C131" s="2873">
        <v>0.96850000000000003</v>
      </c>
      <c r="D131" s="2873">
        <v>0.90210000000000001</v>
      </c>
      <c r="E131" s="2873">
        <v>0.90210000000000001</v>
      </c>
      <c r="F131" s="2873">
        <v>0.90210000000000001</v>
      </c>
      <c r="G131" s="2873">
        <v>0.90210000000000001</v>
      </c>
      <c r="H131" s="2873">
        <v>0.90210000000000001</v>
      </c>
      <c r="I131" s="2873">
        <v>0.78539999999999999</v>
      </c>
      <c r="J131" s="2873">
        <v>0.78539999999999999</v>
      </c>
      <c r="K131" s="2873">
        <v>0.78539999999999999</v>
      </c>
      <c r="L131" s="2873">
        <v>0.78539999999999999</v>
      </c>
      <c r="M131" s="2874">
        <v>0.78539999999999999</v>
      </c>
    </row>
    <row r="132" spans="1:13">
      <c r="A132" s="2875">
        <v>4.7</v>
      </c>
      <c r="B132" s="2873">
        <v>0.96630000000000005</v>
      </c>
      <c r="C132" s="2873">
        <v>0.96630000000000005</v>
      </c>
      <c r="D132" s="2873">
        <v>0.89959999999999996</v>
      </c>
      <c r="E132" s="2873">
        <v>0.89959999999999996</v>
      </c>
      <c r="F132" s="2873">
        <v>0.89959999999999996</v>
      </c>
      <c r="G132" s="2873">
        <v>0.89959999999999996</v>
      </c>
      <c r="H132" s="2873">
        <v>0.89959999999999996</v>
      </c>
      <c r="I132" s="2873">
        <v>0.78210000000000002</v>
      </c>
      <c r="J132" s="2873">
        <v>0.78210000000000002</v>
      </c>
      <c r="K132" s="2873">
        <v>0.78210000000000002</v>
      </c>
      <c r="L132" s="2873">
        <v>0.78210000000000002</v>
      </c>
      <c r="M132" s="2874">
        <v>0.78210000000000002</v>
      </c>
    </row>
    <row r="133" spans="1:13">
      <c r="A133" s="2875">
        <v>4.8</v>
      </c>
      <c r="B133" s="2873">
        <v>0.96409999999999996</v>
      </c>
      <c r="C133" s="2873">
        <v>0.96409999999999996</v>
      </c>
      <c r="D133" s="2873">
        <v>0.8972</v>
      </c>
      <c r="E133" s="2873">
        <v>0.8972</v>
      </c>
      <c r="F133" s="2873">
        <v>0.8972</v>
      </c>
      <c r="G133" s="2873">
        <v>0.8972</v>
      </c>
      <c r="H133" s="2873">
        <v>0.8972</v>
      </c>
      <c r="I133" s="2873">
        <v>0.77890000000000004</v>
      </c>
      <c r="J133" s="2873">
        <v>0.77890000000000004</v>
      </c>
      <c r="K133" s="2873">
        <v>0.77890000000000004</v>
      </c>
      <c r="L133" s="2873">
        <v>0.77890000000000004</v>
      </c>
      <c r="M133" s="2874">
        <v>0.77890000000000004</v>
      </c>
    </row>
    <row r="134" spans="1:13">
      <c r="A134" s="2875">
        <v>4.9000000000000004</v>
      </c>
      <c r="B134" s="2873">
        <v>0.96199999999999997</v>
      </c>
      <c r="C134" s="2873">
        <v>0.96199999999999997</v>
      </c>
      <c r="D134" s="2873">
        <v>0.89480000000000004</v>
      </c>
      <c r="E134" s="2873">
        <v>0.89480000000000004</v>
      </c>
      <c r="F134" s="2873">
        <v>0.89480000000000004</v>
      </c>
      <c r="G134" s="2873">
        <v>0.89480000000000004</v>
      </c>
      <c r="H134" s="2873">
        <v>0.89480000000000004</v>
      </c>
      <c r="I134" s="2873">
        <v>0.77580000000000005</v>
      </c>
      <c r="J134" s="2873">
        <v>0.77580000000000005</v>
      </c>
      <c r="K134" s="2873">
        <v>0.77580000000000005</v>
      </c>
      <c r="L134" s="2873">
        <v>0.77580000000000005</v>
      </c>
      <c r="M134" s="2874">
        <v>0.77580000000000005</v>
      </c>
    </row>
    <row r="135" spans="1:13">
      <c r="A135" s="2875">
        <v>5</v>
      </c>
      <c r="B135" s="2873">
        <v>0.95989999999999998</v>
      </c>
      <c r="C135" s="2873">
        <v>0.95989999999999998</v>
      </c>
      <c r="D135" s="2873">
        <v>0.89239999999999997</v>
      </c>
      <c r="E135" s="2873">
        <v>0.89239999999999997</v>
      </c>
      <c r="F135" s="2873">
        <v>0.89239999999999997</v>
      </c>
      <c r="G135" s="2873">
        <v>0.89239999999999997</v>
      </c>
      <c r="H135" s="2873">
        <v>0.89239999999999997</v>
      </c>
      <c r="I135" s="2873">
        <v>0.77280000000000004</v>
      </c>
      <c r="J135" s="2873">
        <v>0.77280000000000004</v>
      </c>
      <c r="K135" s="2873">
        <v>0.77280000000000004</v>
      </c>
      <c r="L135" s="2873">
        <v>0.77280000000000004</v>
      </c>
      <c r="M135" s="2874">
        <v>0.77280000000000004</v>
      </c>
    </row>
    <row r="136" spans="1:13">
      <c r="A136" s="2872">
        <v>5.0999999999999996</v>
      </c>
      <c r="B136" s="2873">
        <v>0.95779999999999998</v>
      </c>
      <c r="C136" s="2873">
        <v>0.95779999999999998</v>
      </c>
      <c r="D136" s="2873">
        <v>0.8901</v>
      </c>
      <c r="E136" s="2873">
        <v>0.8901</v>
      </c>
      <c r="F136" s="2873">
        <v>0.8901</v>
      </c>
      <c r="G136" s="2873">
        <v>0.8901</v>
      </c>
      <c r="H136" s="2873">
        <v>0.8901</v>
      </c>
      <c r="I136" s="2873">
        <v>0.76990000000000003</v>
      </c>
      <c r="J136" s="2873">
        <v>0.76990000000000003</v>
      </c>
      <c r="K136" s="2873">
        <v>0.76990000000000003</v>
      </c>
      <c r="L136" s="2873">
        <v>0.76990000000000003</v>
      </c>
      <c r="M136" s="2874">
        <v>0.76990000000000003</v>
      </c>
    </row>
    <row r="137" spans="1:13">
      <c r="A137" s="2872">
        <v>5.2</v>
      </c>
      <c r="B137" s="2873">
        <v>0.95579999999999998</v>
      </c>
      <c r="C137" s="2873">
        <v>0.95579999999999998</v>
      </c>
      <c r="D137" s="2873">
        <v>0.88780000000000003</v>
      </c>
      <c r="E137" s="2873">
        <v>0.88780000000000003</v>
      </c>
      <c r="F137" s="2873">
        <v>0.88780000000000003</v>
      </c>
      <c r="G137" s="2873">
        <v>0.88780000000000003</v>
      </c>
      <c r="H137" s="2873">
        <v>0.88780000000000003</v>
      </c>
      <c r="I137" s="2873">
        <v>0.76700000000000002</v>
      </c>
      <c r="J137" s="2873">
        <v>0.76700000000000002</v>
      </c>
      <c r="K137" s="2873">
        <v>0.76700000000000002</v>
      </c>
      <c r="L137" s="2873">
        <v>0.76700000000000002</v>
      </c>
      <c r="M137" s="2874">
        <v>0.76700000000000002</v>
      </c>
    </row>
    <row r="138" spans="1:13">
      <c r="A138" s="2872">
        <v>5.3</v>
      </c>
      <c r="B138" s="2873">
        <v>0.95379999999999998</v>
      </c>
      <c r="C138" s="2873">
        <v>0.95379999999999998</v>
      </c>
      <c r="D138" s="2873">
        <v>0.88549999999999995</v>
      </c>
      <c r="E138" s="2873">
        <v>0.88549999999999995</v>
      </c>
      <c r="F138" s="2873">
        <v>0.88549999999999995</v>
      </c>
      <c r="G138" s="2873">
        <v>0.88549999999999995</v>
      </c>
      <c r="H138" s="2873">
        <v>0.88549999999999995</v>
      </c>
      <c r="I138" s="2873">
        <v>0.76419999999999999</v>
      </c>
      <c r="J138" s="2873">
        <v>0.76419999999999999</v>
      </c>
      <c r="K138" s="2873">
        <v>0.76419999999999999</v>
      </c>
      <c r="L138" s="2873">
        <v>0.76419999999999999</v>
      </c>
      <c r="M138" s="2874">
        <v>0.76419999999999999</v>
      </c>
    </row>
    <row r="139" spans="1:13">
      <c r="A139" s="2872">
        <v>5.4</v>
      </c>
      <c r="B139" s="2873">
        <v>0.95179999999999998</v>
      </c>
      <c r="C139" s="2873">
        <v>0.95179999999999998</v>
      </c>
      <c r="D139" s="2873">
        <v>0.88329999999999997</v>
      </c>
      <c r="E139" s="2873">
        <v>0.88329999999999997</v>
      </c>
      <c r="F139" s="2873">
        <v>0.88329999999999997</v>
      </c>
      <c r="G139" s="2873">
        <v>0.88329999999999997</v>
      </c>
      <c r="H139" s="2873">
        <v>0.88329999999999997</v>
      </c>
      <c r="I139" s="2873">
        <v>0.76139999999999997</v>
      </c>
      <c r="J139" s="2873">
        <v>0.76139999999999997</v>
      </c>
      <c r="K139" s="2873">
        <v>0.76139999999999997</v>
      </c>
      <c r="L139" s="2873">
        <v>0.76139999999999997</v>
      </c>
      <c r="M139" s="2874">
        <v>0.76139999999999997</v>
      </c>
    </row>
    <row r="140" spans="1:13">
      <c r="A140" s="2872">
        <v>5.5</v>
      </c>
      <c r="B140" s="2873">
        <v>0.94979999999999998</v>
      </c>
      <c r="C140" s="2873">
        <v>0.94979999999999998</v>
      </c>
      <c r="D140" s="2873">
        <v>0.88109999999999999</v>
      </c>
      <c r="E140" s="2873">
        <v>0.88109999999999999</v>
      </c>
      <c r="F140" s="2873">
        <v>0.88109999999999999</v>
      </c>
      <c r="G140" s="2873">
        <v>0.88109999999999999</v>
      </c>
      <c r="H140" s="2873">
        <v>0.88109999999999999</v>
      </c>
      <c r="I140" s="2873">
        <v>0.75860000000000005</v>
      </c>
      <c r="J140" s="2873">
        <v>0.75860000000000005</v>
      </c>
      <c r="K140" s="2873">
        <v>0.75860000000000005</v>
      </c>
      <c r="L140" s="2873">
        <v>0.75860000000000005</v>
      </c>
      <c r="M140" s="2874">
        <v>0.75860000000000005</v>
      </c>
    </row>
    <row r="141" spans="1:13">
      <c r="A141" s="2872">
        <v>5.6</v>
      </c>
      <c r="B141" s="2873">
        <v>0.94789999999999996</v>
      </c>
      <c r="C141" s="2873">
        <v>0.94789999999999996</v>
      </c>
      <c r="D141" s="2873">
        <v>0.87890000000000001</v>
      </c>
      <c r="E141" s="2873">
        <v>0.87890000000000001</v>
      </c>
      <c r="F141" s="2873">
        <v>0.87890000000000001</v>
      </c>
      <c r="G141" s="2873">
        <v>0.87890000000000001</v>
      </c>
      <c r="H141" s="2873">
        <v>0.87890000000000001</v>
      </c>
      <c r="I141" s="2873">
        <v>0.75590000000000002</v>
      </c>
      <c r="J141" s="2873">
        <v>0.75590000000000002</v>
      </c>
      <c r="K141" s="2873">
        <v>0.75590000000000002</v>
      </c>
      <c r="L141" s="2873">
        <v>0.75590000000000002</v>
      </c>
      <c r="M141" s="2874">
        <v>0.75590000000000002</v>
      </c>
    </row>
    <row r="142" spans="1:13">
      <c r="A142" s="2875">
        <v>5.7</v>
      </c>
      <c r="B142" s="2873">
        <v>0.94599999999999995</v>
      </c>
      <c r="C142" s="2873">
        <v>0.94599999999999995</v>
      </c>
      <c r="D142" s="2873">
        <v>0.87670000000000003</v>
      </c>
      <c r="E142" s="2873">
        <v>0.87670000000000003</v>
      </c>
      <c r="F142" s="2873">
        <v>0.87670000000000003</v>
      </c>
      <c r="G142" s="2873">
        <v>0.87670000000000003</v>
      </c>
      <c r="H142" s="2873">
        <v>0.87670000000000003</v>
      </c>
      <c r="I142" s="2873">
        <v>0.75319999999999998</v>
      </c>
      <c r="J142" s="2873">
        <v>0.75319999999999998</v>
      </c>
      <c r="K142" s="2873">
        <v>0.75319999999999998</v>
      </c>
      <c r="L142" s="2873">
        <v>0.75319999999999998</v>
      </c>
      <c r="M142" s="2874">
        <v>0.75319999999999998</v>
      </c>
    </row>
    <row r="143" spans="1:13">
      <c r="A143" s="2872">
        <v>5.8</v>
      </c>
      <c r="B143" s="2873">
        <v>0.94410000000000005</v>
      </c>
      <c r="C143" s="2873">
        <v>0.94410000000000005</v>
      </c>
      <c r="D143" s="2873">
        <v>0.87460000000000004</v>
      </c>
      <c r="E143" s="2873">
        <v>0.87460000000000004</v>
      </c>
      <c r="F143" s="2873">
        <v>0.87460000000000004</v>
      </c>
      <c r="G143" s="2873">
        <v>0.87460000000000004</v>
      </c>
      <c r="H143" s="2873">
        <v>0.87460000000000004</v>
      </c>
      <c r="I143" s="2873">
        <v>0.75049999999999994</v>
      </c>
      <c r="J143" s="2873">
        <v>0.75049999999999994</v>
      </c>
      <c r="K143" s="2873">
        <v>0.75049999999999994</v>
      </c>
      <c r="L143" s="2873">
        <v>0.75049999999999994</v>
      </c>
      <c r="M143" s="2874">
        <v>0.75049999999999994</v>
      </c>
    </row>
    <row r="144" spans="1:13">
      <c r="A144" s="2872">
        <v>5.9</v>
      </c>
      <c r="B144" s="2873">
        <v>0.94220000000000004</v>
      </c>
      <c r="C144" s="2873">
        <v>0.94220000000000004</v>
      </c>
      <c r="D144" s="2873">
        <v>0.87250000000000005</v>
      </c>
      <c r="E144" s="2873">
        <v>0.87250000000000005</v>
      </c>
      <c r="F144" s="2873">
        <v>0.87250000000000005</v>
      </c>
      <c r="G144" s="2873">
        <v>0.87250000000000005</v>
      </c>
      <c r="H144" s="2873">
        <v>0.87250000000000005</v>
      </c>
      <c r="I144" s="2873">
        <v>0.74780000000000002</v>
      </c>
      <c r="J144" s="2873">
        <v>0.74780000000000002</v>
      </c>
      <c r="K144" s="2873">
        <v>0.74780000000000002</v>
      </c>
      <c r="L144" s="2873">
        <v>0.74780000000000002</v>
      </c>
      <c r="M144" s="2874">
        <v>0.74780000000000002</v>
      </c>
    </row>
    <row r="145" spans="1:13">
      <c r="A145" s="2872">
        <v>6</v>
      </c>
      <c r="B145" s="2873">
        <v>0.94040000000000001</v>
      </c>
      <c r="C145" s="2873">
        <v>0.94040000000000001</v>
      </c>
      <c r="D145" s="2873">
        <v>0.87039999999999995</v>
      </c>
      <c r="E145" s="2873">
        <v>0.87039999999999995</v>
      </c>
      <c r="F145" s="2873">
        <v>0.87039999999999995</v>
      </c>
      <c r="G145" s="2873">
        <v>0.87039999999999995</v>
      </c>
      <c r="H145" s="2873">
        <v>0.87039999999999995</v>
      </c>
      <c r="I145" s="2873">
        <v>0.74519999999999997</v>
      </c>
      <c r="J145" s="2873">
        <v>0.74519999999999997</v>
      </c>
      <c r="K145" s="2873">
        <v>0.74519999999999997</v>
      </c>
      <c r="L145" s="2873">
        <v>0.74519999999999997</v>
      </c>
      <c r="M145" s="2874">
        <v>0.74519999999999997</v>
      </c>
    </row>
    <row r="146" spans="1:13">
      <c r="A146" s="2872">
        <v>6.1</v>
      </c>
      <c r="B146" s="2873">
        <v>0.93859999999999999</v>
      </c>
      <c r="C146" s="2873">
        <v>0.93859999999999999</v>
      </c>
      <c r="D146" s="2873">
        <v>0.86829999999999996</v>
      </c>
      <c r="E146" s="2873">
        <v>0.86829999999999996</v>
      </c>
      <c r="F146" s="2873">
        <v>0.86829999999999996</v>
      </c>
      <c r="G146" s="2873">
        <v>0.86829999999999996</v>
      </c>
      <c r="H146" s="2873">
        <v>0.86829999999999996</v>
      </c>
      <c r="I146" s="2873">
        <v>0.74260000000000004</v>
      </c>
      <c r="J146" s="2873">
        <v>0.74260000000000004</v>
      </c>
      <c r="K146" s="2873">
        <v>0.74260000000000004</v>
      </c>
      <c r="L146" s="2873">
        <v>0.74260000000000004</v>
      </c>
      <c r="M146" s="2874">
        <v>0.74260000000000004</v>
      </c>
    </row>
    <row r="147" spans="1:13">
      <c r="A147" s="2872">
        <v>6.2</v>
      </c>
      <c r="B147" s="2873">
        <v>0.93679999999999997</v>
      </c>
      <c r="C147" s="2873">
        <v>0.93679999999999997</v>
      </c>
      <c r="D147" s="2873">
        <v>0.86619999999999997</v>
      </c>
      <c r="E147" s="2873">
        <v>0.86619999999999997</v>
      </c>
      <c r="F147" s="2873">
        <v>0.86619999999999997</v>
      </c>
      <c r="G147" s="2873">
        <v>0.86619999999999997</v>
      </c>
      <c r="H147" s="2873">
        <v>0.86619999999999997</v>
      </c>
      <c r="I147" s="2873">
        <v>0.74</v>
      </c>
      <c r="J147" s="2873">
        <v>0.74</v>
      </c>
      <c r="K147" s="2873">
        <v>0.74</v>
      </c>
      <c r="L147" s="2873">
        <v>0.74</v>
      </c>
      <c r="M147" s="2874">
        <v>0.74</v>
      </c>
    </row>
    <row r="148" spans="1:13">
      <c r="A148" s="2872">
        <v>6.3</v>
      </c>
      <c r="B148" s="2873">
        <v>0.93500000000000005</v>
      </c>
      <c r="C148" s="2873">
        <v>0.93500000000000005</v>
      </c>
      <c r="D148" s="2873">
        <v>0.86409999999999998</v>
      </c>
      <c r="E148" s="2873">
        <v>0.86409999999999998</v>
      </c>
      <c r="F148" s="2873">
        <v>0.86409999999999998</v>
      </c>
      <c r="G148" s="2873">
        <v>0.86409999999999998</v>
      </c>
      <c r="H148" s="2873">
        <v>0.86409999999999998</v>
      </c>
      <c r="I148" s="2873">
        <v>0.73740000000000006</v>
      </c>
      <c r="J148" s="2873">
        <v>0.73740000000000006</v>
      </c>
      <c r="K148" s="2873">
        <v>0.73740000000000006</v>
      </c>
      <c r="L148" s="2873">
        <v>0.73740000000000006</v>
      </c>
      <c r="M148" s="2874">
        <v>0.73740000000000006</v>
      </c>
    </row>
    <row r="149" spans="1:13">
      <c r="A149" s="2872">
        <v>6.4</v>
      </c>
      <c r="B149" s="2873">
        <v>0.93320000000000003</v>
      </c>
      <c r="C149" s="2873">
        <v>0.93320000000000003</v>
      </c>
      <c r="D149" s="2873">
        <v>0.86209999999999998</v>
      </c>
      <c r="E149" s="2873">
        <v>0.86209999999999998</v>
      </c>
      <c r="F149" s="2873">
        <v>0.86209999999999998</v>
      </c>
      <c r="G149" s="2873">
        <v>0.86209999999999998</v>
      </c>
      <c r="H149" s="2873">
        <v>0.86209999999999998</v>
      </c>
      <c r="I149" s="2873">
        <v>0.73480000000000001</v>
      </c>
      <c r="J149" s="2873">
        <v>0.73480000000000001</v>
      </c>
      <c r="K149" s="2873">
        <v>0.73480000000000001</v>
      </c>
      <c r="L149" s="2873">
        <v>0.73480000000000001</v>
      </c>
      <c r="M149" s="2874">
        <v>0.73480000000000001</v>
      </c>
    </row>
    <row r="150" spans="1:13">
      <c r="A150" s="2872">
        <v>6.5</v>
      </c>
      <c r="B150" s="2873">
        <v>0.93149999999999999</v>
      </c>
      <c r="C150" s="2873">
        <v>0.93149999999999999</v>
      </c>
      <c r="D150" s="2873">
        <v>0.86009999999999998</v>
      </c>
      <c r="E150" s="2873">
        <v>0.86009999999999998</v>
      </c>
      <c r="F150" s="2873">
        <v>0.86009999999999998</v>
      </c>
      <c r="G150" s="2873">
        <v>0.86009999999999998</v>
      </c>
      <c r="H150" s="2873">
        <v>0.86009999999999998</v>
      </c>
      <c r="I150" s="2873">
        <v>0.73229999999999995</v>
      </c>
      <c r="J150" s="2873">
        <v>0.73229999999999995</v>
      </c>
      <c r="K150" s="2873">
        <v>0.73229999999999995</v>
      </c>
      <c r="L150" s="2873">
        <v>0.73229999999999995</v>
      </c>
      <c r="M150" s="2874">
        <v>0.73229999999999995</v>
      </c>
    </row>
    <row r="151" spans="1:13">
      <c r="A151" s="2872">
        <v>6.6</v>
      </c>
      <c r="B151" s="2873">
        <v>0.92979999999999996</v>
      </c>
      <c r="C151" s="2873">
        <v>0.92979999999999996</v>
      </c>
      <c r="D151" s="2873">
        <v>0.85809999999999997</v>
      </c>
      <c r="E151" s="2873">
        <v>0.85809999999999997</v>
      </c>
      <c r="F151" s="2873">
        <v>0.85809999999999997</v>
      </c>
      <c r="G151" s="2873">
        <v>0.85809999999999997</v>
      </c>
      <c r="H151" s="2873">
        <v>0.85809999999999997</v>
      </c>
      <c r="I151" s="2873">
        <v>0.7298</v>
      </c>
      <c r="J151" s="2873">
        <v>0.7298</v>
      </c>
      <c r="K151" s="2873">
        <v>0.7298</v>
      </c>
      <c r="L151" s="2873">
        <v>0.7298</v>
      </c>
      <c r="M151" s="2874">
        <v>0.7298</v>
      </c>
    </row>
    <row r="152" spans="1:13">
      <c r="A152" s="2872">
        <v>6.7</v>
      </c>
      <c r="B152" s="2873">
        <v>0.92810000000000004</v>
      </c>
      <c r="C152" s="2873">
        <v>0.92810000000000004</v>
      </c>
      <c r="D152" s="2873">
        <v>0.85609999999999997</v>
      </c>
      <c r="E152" s="2873">
        <v>0.85609999999999997</v>
      </c>
      <c r="F152" s="2873">
        <v>0.85609999999999997</v>
      </c>
      <c r="G152" s="2873">
        <v>0.85609999999999997</v>
      </c>
      <c r="H152" s="2873">
        <v>0.85609999999999997</v>
      </c>
      <c r="I152" s="2873">
        <v>0.72729999999999995</v>
      </c>
      <c r="J152" s="2873">
        <v>0.72729999999999995</v>
      </c>
      <c r="K152" s="2873">
        <v>0.72729999999999995</v>
      </c>
      <c r="L152" s="2873">
        <v>0.72729999999999995</v>
      </c>
      <c r="M152" s="2874">
        <v>0.72729999999999995</v>
      </c>
    </row>
    <row r="153" spans="1:13">
      <c r="A153" s="2872">
        <v>6.8</v>
      </c>
      <c r="B153" s="2873">
        <v>0.9264</v>
      </c>
      <c r="C153" s="2873">
        <v>0.9264</v>
      </c>
      <c r="D153" s="2873">
        <v>0.85409999999999997</v>
      </c>
      <c r="E153" s="2873">
        <v>0.85409999999999997</v>
      </c>
      <c r="F153" s="2873">
        <v>0.85409999999999997</v>
      </c>
      <c r="G153" s="2873">
        <v>0.85409999999999997</v>
      </c>
      <c r="H153" s="2873">
        <v>0.85409999999999997</v>
      </c>
      <c r="I153" s="2873">
        <v>0.7248</v>
      </c>
      <c r="J153" s="2873">
        <v>0.7248</v>
      </c>
      <c r="K153" s="2873">
        <v>0.7248</v>
      </c>
      <c r="L153" s="2873">
        <v>0.7248</v>
      </c>
      <c r="M153" s="2874">
        <v>0.7248</v>
      </c>
    </row>
    <row r="154" spans="1:13">
      <c r="A154" s="2872">
        <v>6.9</v>
      </c>
      <c r="B154" s="2873">
        <v>0.92469999999999997</v>
      </c>
      <c r="C154" s="2873">
        <v>0.92469999999999997</v>
      </c>
      <c r="D154" s="2873">
        <v>0.85209999999999997</v>
      </c>
      <c r="E154" s="2873">
        <v>0.85209999999999997</v>
      </c>
      <c r="F154" s="2873">
        <v>0.85209999999999997</v>
      </c>
      <c r="G154" s="2873">
        <v>0.85209999999999997</v>
      </c>
      <c r="H154" s="2873">
        <v>0.85209999999999997</v>
      </c>
      <c r="I154" s="2873">
        <v>0.72230000000000005</v>
      </c>
      <c r="J154" s="2873">
        <v>0.72230000000000005</v>
      </c>
      <c r="K154" s="2873">
        <v>0.72230000000000005</v>
      </c>
      <c r="L154" s="2873">
        <v>0.72230000000000005</v>
      </c>
      <c r="M154" s="2874">
        <v>0.72230000000000005</v>
      </c>
    </row>
    <row r="155" spans="1:13">
      <c r="A155" s="2872">
        <v>7</v>
      </c>
      <c r="B155" s="2873">
        <v>0.92300000000000004</v>
      </c>
      <c r="C155" s="2873">
        <v>0.92300000000000004</v>
      </c>
      <c r="D155" s="2873">
        <v>0.85019999999999996</v>
      </c>
      <c r="E155" s="2873">
        <v>0.85019999999999996</v>
      </c>
      <c r="F155" s="2873">
        <v>0.85019999999999996</v>
      </c>
      <c r="G155" s="2873">
        <v>0.85019999999999996</v>
      </c>
      <c r="H155" s="2873">
        <v>0.85019999999999996</v>
      </c>
      <c r="I155" s="2873">
        <v>0.71989999999999998</v>
      </c>
      <c r="J155" s="2873">
        <v>0.71989999999999998</v>
      </c>
      <c r="K155" s="2873">
        <v>0.71989999999999998</v>
      </c>
      <c r="L155" s="2873">
        <v>0.71989999999999998</v>
      </c>
      <c r="M155" s="2874">
        <v>0.71989999999999998</v>
      </c>
    </row>
    <row r="156" spans="1:13">
      <c r="A156" s="2872">
        <v>7.1</v>
      </c>
      <c r="B156" s="2873">
        <v>0.9214</v>
      </c>
      <c r="C156" s="2873">
        <v>0.9214</v>
      </c>
      <c r="D156" s="2873">
        <v>0.84830000000000005</v>
      </c>
      <c r="E156" s="2873">
        <v>0.84830000000000005</v>
      </c>
      <c r="F156" s="2873">
        <v>0.84830000000000005</v>
      </c>
      <c r="G156" s="2873">
        <v>0.84830000000000005</v>
      </c>
      <c r="H156" s="2873">
        <v>0.84830000000000005</v>
      </c>
      <c r="I156" s="2873">
        <v>0.71750000000000003</v>
      </c>
      <c r="J156" s="2873">
        <v>0.71750000000000003</v>
      </c>
      <c r="K156" s="2873">
        <v>0.71750000000000003</v>
      </c>
      <c r="L156" s="2873">
        <v>0.71750000000000003</v>
      </c>
      <c r="M156" s="2874">
        <v>0.71750000000000003</v>
      </c>
    </row>
    <row r="157" spans="1:13">
      <c r="A157" s="2872">
        <v>7.2</v>
      </c>
      <c r="B157" s="2873">
        <v>0.91979999999999995</v>
      </c>
      <c r="C157" s="2873">
        <v>0.91979999999999995</v>
      </c>
      <c r="D157" s="2873">
        <v>0.84640000000000004</v>
      </c>
      <c r="E157" s="2873">
        <v>0.84640000000000004</v>
      </c>
      <c r="F157" s="2873">
        <v>0.84640000000000004</v>
      </c>
      <c r="G157" s="2873">
        <v>0.84640000000000004</v>
      </c>
      <c r="H157" s="2873">
        <v>0.84640000000000004</v>
      </c>
      <c r="I157" s="2873">
        <v>0.71509999999999996</v>
      </c>
      <c r="J157" s="2873">
        <v>0.71509999999999996</v>
      </c>
      <c r="K157" s="2873">
        <v>0.71509999999999996</v>
      </c>
      <c r="L157" s="2873">
        <v>0.71509999999999996</v>
      </c>
      <c r="M157" s="2874">
        <v>0.71509999999999996</v>
      </c>
    </row>
    <row r="158" spans="1:13">
      <c r="A158" s="2872">
        <v>7.3</v>
      </c>
      <c r="B158" s="2873">
        <v>0.91820000000000002</v>
      </c>
      <c r="C158" s="2873">
        <v>0.91820000000000002</v>
      </c>
      <c r="D158" s="2873">
        <v>0.84450000000000003</v>
      </c>
      <c r="E158" s="2873">
        <v>0.84450000000000003</v>
      </c>
      <c r="F158" s="2873">
        <v>0.84450000000000003</v>
      </c>
      <c r="G158" s="2873">
        <v>0.84450000000000003</v>
      </c>
      <c r="H158" s="2873">
        <v>0.84450000000000003</v>
      </c>
      <c r="I158" s="2873">
        <v>0.7127</v>
      </c>
      <c r="J158" s="2873">
        <v>0.7127</v>
      </c>
      <c r="K158" s="2873">
        <v>0.7127</v>
      </c>
      <c r="L158" s="2873">
        <v>0.7127</v>
      </c>
      <c r="M158" s="2874">
        <v>0.7127</v>
      </c>
    </row>
    <row r="159" spans="1:13">
      <c r="A159" s="2872">
        <v>7.4</v>
      </c>
      <c r="B159" s="2873">
        <v>0.91659999999999997</v>
      </c>
      <c r="C159" s="2873">
        <v>0.91659999999999997</v>
      </c>
      <c r="D159" s="2873">
        <v>0.84260000000000002</v>
      </c>
      <c r="E159" s="2873">
        <v>0.84260000000000002</v>
      </c>
      <c r="F159" s="2873">
        <v>0.84260000000000002</v>
      </c>
      <c r="G159" s="2873">
        <v>0.84260000000000002</v>
      </c>
      <c r="H159" s="2873">
        <v>0.84260000000000002</v>
      </c>
      <c r="I159" s="2873">
        <v>0.71030000000000004</v>
      </c>
      <c r="J159" s="2873">
        <v>0.71030000000000004</v>
      </c>
      <c r="K159" s="2873">
        <v>0.71030000000000004</v>
      </c>
      <c r="L159" s="2873">
        <v>0.71030000000000004</v>
      </c>
      <c r="M159" s="2874">
        <v>0.71030000000000004</v>
      </c>
    </row>
    <row r="160" spans="1:13">
      <c r="A160" s="2872">
        <v>7.5</v>
      </c>
      <c r="B160" s="2873">
        <v>0.91500000000000004</v>
      </c>
      <c r="C160" s="2873">
        <v>0.91500000000000004</v>
      </c>
      <c r="D160" s="2873">
        <v>0.8407</v>
      </c>
      <c r="E160" s="2873">
        <v>0.8407</v>
      </c>
      <c r="F160" s="2873">
        <v>0.8407</v>
      </c>
      <c r="G160" s="2873">
        <v>0.8407</v>
      </c>
      <c r="H160" s="2873">
        <v>0.8407</v>
      </c>
      <c r="I160" s="2873">
        <v>0.70799999999999996</v>
      </c>
      <c r="J160" s="2873">
        <v>0.70799999999999996</v>
      </c>
      <c r="K160" s="2873">
        <v>0.70799999999999996</v>
      </c>
      <c r="L160" s="2873">
        <v>0.70799999999999996</v>
      </c>
      <c r="M160" s="2874">
        <v>0.70799999999999996</v>
      </c>
    </row>
    <row r="161" spans="1:13">
      <c r="A161" s="2872">
        <v>7.6</v>
      </c>
      <c r="B161" s="2873">
        <v>0.91339999999999999</v>
      </c>
      <c r="C161" s="2873">
        <v>0.91339999999999999</v>
      </c>
      <c r="D161" s="2873">
        <v>0.83889999999999998</v>
      </c>
      <c r="E161" s="2873">
        <v>0.83889999999999998</v>
      </c>
      <c r="F161" s="2873">
        <v>0.83889999999999998</v>
      </c>
      <c r="G161" s="2873">
        <v>0.83889999999999998</v>
      </c>
      <c r="H161" s="2873">
        <v>0.83889999999999998</v>
      </c>
      <c r="I161" s="2873">
        <v>0.70569999999999999</v>
      </c>
      <c r="J161" s="2873">
        <v>0.70569999999999999</v>
      </c>
      <c r="K161" s="2873">
        <v>0.70569999999999999</v>
      </c>
      <c r="L161" s="2873">
        <v>0.70569999999999999</v>
      </c>
      <c r="M161" s="2874">
        <v>0.70569999999999999</v>
      </c>
    </row>
    <row r="162" spans="1:13">
      <c r="A162" s="2872">
        <v>7.7</v>
      </c>
      <c r="B162" s="2873">
        <v>0.91190000000000004</v>
      </c>
      <c r="C162" s="2873">
        <v>0.91190000000000004</v>
      </c>
      <c r="D162" s="2873">
        <v>0.83709999999999996</v>
      </c>
      <c r="E162" s="2873">
        <v>0.83709999999999996</v>
      </c>
      <c r="F162" s="2873">
        <v>0.83709999999999996</v>
      </c>
      <c r="G162" s="2873">
        <v>0.83709999999999996</v>
      </c>
      <c r="H162" s="2873">
        <v>0.83709999999999996</v>
      </c>
      <c r="I162" s="2873">
        <v>0.70340000000000003</v>
      </c>
      <c r="J162" s="2873">
        <v>0.70340000000000003</v>
      </c>
      <c r="K162" s="2873">
        <v>0.70340000000000003</v>
      </c>
      <c r="L162" s="2873">
        <v>0.70340000000000003</v>
      </c>
      <c r="M162" s="2874">
        <v>0.70340000000000003</v>
      </c>
    </row>
    <row r="163" spans="1:13">
      <c r="A163" s="2872">
        <v>7.8</v>
      </c>
      <c r="B163" s="2873">
        <v>0.91039999999999999</v>
      </c>
      <c r="C163" s="2873">
        <v>0.91039999999999999</v>
      </c>
      <c r="D163" s="2873">
        <v>0.83530000000000004</v>
      </c>
      <c r="E163" s="2873">
        <v>0.83530000000000004</v>
      </c>
      <c r="F163" s="2873">
        <v>0.83530000000000004</v>
      </c>
      <c r="G163" s="2873">
        <v>0.83530000000000004</v>
      </c>
      <c r="H163" s="2873">
        <v>0.83530000000000004</v>
      </c>
      <c r="I163" s="2873">
        <v>0.70109999999999995</v>
      </c>
      <c r="J163" s="2873">
        <v>0.70109999999999995</v>
      </c>
      <c r="K163" s="2873">
        <v>0.70109999999999995</v>
      </c>
      <c r="L163" s="2873">
        <v>0.70109999999999995</v>
      </c>
      <c r="M163" s="2874">
        <v>0.70109999999999995</v>
      </c>
    </row>
    <row r="164" spans="1:13">
      <c r="A164" s="2872">
        <v>7.9</v>
      </c>
      <c r="B164" s="2873">
        <v>0.90890000000000004</v>
      </c>
      <c r="C164" s="2873">
        <v>0.90890000000000004</v>
      </c>
      <c r="D164" s="2873">
        <v>0.83350000000000002</v>
      </c>
      <c r="E164" s="2873">
        <v>0.83350000000000002</v>
      </c>
      <c r="F164" s="2873">
        <v>0.83350000000000002</v>
      </c>
      <c r="G164" s="2873">
        <v>0.83350000000000002</v>
      </c>
      <c r="H164" s="2873">
        <v>0.83350000000000002</v>
      </c>
      <c r="I164" s="2873">
        <v>0.69879999999999998</v>
      </c>
      <c r="J164" s="2873">
        <v>0.69879999999999998</v>
      </c>
      <c r="K164" s="2873">
        <v>0.69879999999999998</v>
      </c>
      <c r="L164" s="2873">
        <v>0.69879999999999998</v>
      </c>
      <c r="M164" s="2874">
        <v>0.69879999999999998</v>
      </c>
    </row>
    <row r="165" spans="1:13">
      <c r="A165" s="2872">
        <v>8</v>
      </c>
      <c r="B165" s="2873">
        <v>0.90739999999999998</v>
      </c>
      <c r="C165" s="2873">
        <v>0.90739999999999998</v>
      </c>
      <c r="D165" s="2873">
        <v>0.83169999999999999</v>
      </c>
      <c r="E165" s="2873">
        <v>0.83169999999999999</v>
      </c>
      <c r="F165" s="2873">
        <v>0.83169999999999999</v>
      </c>
      <c r="G165" s="2873">
        <v>0.83169999999999999</v>
      </c>
      <c r="H165" s="2873">
        <v>0.83169999999999999</v>
      </c>
      <c r="I165" s="2873">
        <v>0.6966</v>
      </c>
      <c r="J165" s="2873">
        <v>0.6966</v>
      </c>
      <c r="K165" s="2873">
        <v>0.6966</v>
      </c>
      <c r="L165" s="2873">
        <v>0.6966</v>
      </c>
      <c r="M165" s="2874">
        <v>0.6966</v>
      </c>
    </row>
    <row r="166" spans="1:13">
      <c r="A166" s="2872">
        <v>8.1</v>
      </c>
      <c r="B166" s="2873">
        <v>0.90590000000000004</v>
      </c>
      <c r="C166" s="2873">
        <v>0.90590000000000004</v>
      </c>
      <c r="D166" s="2873">
        <v>0.82989999999999997</v>
      </c>
      <c r="E166" s="2873">
        <v>0.82989999999999997</v>
      </c>
      <c r="F166" s="2873">
        <v>0.82989999999999997</v>
      </c>
      <c r="G166" s="2873">
        <v>0.82989999999999997</v>
      </c>
      <c r="H166" s="2873">
        <v>0.82989999999999997</v>
      </c>
      <c r="I166" s="2873">
        <v>0.69440000000000002</v>
      </c>
      <c r="J166" s="2873">
        <v>0.69440000000000002</v>
      </c>
      <c r="K166" s="2873">
        <v>0.69440000000000002</v>
      </c>
      <c r="L166" s="2873">
        <v>0.69440000000000002</v>
      </c>
      <c r="M166" s="2874">
        <v>0.69440000000000002</v>
      </c>
    </row>
    <row r="167" spans="1:13">
      <c r="A167" s="2872">
        <v>8.1999999999999993</v>
      </c>
      <c r="B167" s="2873">
        <v>0.90439999999999998</v>
      </c>
      <c r="C167" s="2873">
        <v>0.90439999999999998</v>
      </c>
      <c r="D167" s="2873">
        <v>0.82820000000000005</v>
      </c>
      <c r="E167" s="2873">
        <v>0.82820000000000005</v>
      </c>
      <c r="F167" s="2873">
        <v>0.82820000000000005</v>
      </c>
      <c r="G167" s="2873">
        <v>0.82820000000000005</v>
      </c>
      <c r="H167" s="2873">
        <v>0.82820000000000005</v>
      </c>
      <c r="I167" s="2873">
        <v>0.69220000000000004</v>
      </c>
      <c r="J167" s="2873">
        <v>0.69220000000000004</v>
      </c>
      <c r="K167" s="2873">
        <v>0.69220000000000004</v>
      </c>
      <c r="L167" s="2873">
        <v>0.69220000000000004</v>
      </c>
      <c r="M167" s="2874">
        <v>0.69220000000000004</v>
      </c>
    </row>
    <row r="168" spans="1:13">
      <c r="A168" s="2872">
        <v>8.3000000000000007</v>
      </c>
      <c r="B168" s="2873">
        <v>0.90300000000000002</v>
      </c>
      <c r="C168" s="2873">
        <v>0.90300000000000002</v>
      </c>
      <c r="D168" s="2873">
        <v>0.82650000000000001</v>
      </c>
      <c r="E168" s="2873">
        <v>0.82650000000000001</v>
      </c>
      <c r="F168" s="2873">
        <v>0.82650000000000001</v>
      </c>
      <c r="G168" s="2873">
        <v>0.82650000000000001</v>
      </c>
      <c r="H168" s="2873">
        <v>0.82650000000000001</v>
      </c>
      <c r="I168" s="2873">
        <v>0.69</v>
      </c>
      <c r="J168" s="2873">
        <v>0.69</v>
      </c>
      <c r="K168" s="2873">
        <v>0.69</v>
      </c>
      <c r="L168" s="2873">
        <v>0.69</v>
      </c>
      <c r="M168" s="2874">
        <v>0.69</v>
      </c>
    </row>
    <row r="169" spans="1:13">
      <c r="A169" s="2872">
        <v>8.4</v>
      </c>
      <c r="B169" s="2873">
        <v>0.90159999999999996</v>
      </c>
      <c r="C169" s="2873">
        <v>0.90159999999999996</v>
      </c>
      <c r="D169" s="2873">
        <v>0.82479999999999998</v>
      </c>
      <c r="E169" s="2873">
        <v>0.82479999999999998</v>
      </c>
      <c r="F169" s="2873">
        <v>0.82479999999999998</v>
      </c>
      <c r="G169" s="2873">
        <v>0.82479999999999998</v>
      </c>
      <c r="H169" s="2873">
        <v>0.82479999999999998</v>
      </c>
      <c r="I169" s="2873">
        <v>0.68779999999999997</v>
      </c>
      <c r="J169" s="2873">
        <v>0.68779999999999997</v>
      </c>
      <c r="K169" s="2873">
        <v>0.68779999999999997</v>
      </c>
      <c r="L169" s="2873">
        <v>0.68779999999999997</v>
      </c>
      <c r="M169" s="2874">
        <v>0.68779999999999997</v>
      </c>
    </row>
    <row r="170" spans="1:13">
      <c r="A170" s="2872">
        <v>8.5</v>
      </c>
      <c r="B170" s="2873">
        <v>0.9002</v>
      </c>
      <c r="C170" s="2873">
        <v>0.9002</v>
      </c>
      <c r="D170" s="2873">
        <v>0.82310000000000005</v>
      </c>
      <c r="E170" s="2873">
        <v>0.82310000000000005</v>
      </c>
      <c r="F170" s="2873">
        <v>0.82310000000000005</v>
      </c>
      <c r="G170" s="2873">
        <v>0.82310000000000005</v>
      </c>
      <c r="H170" s="2873">
        <v>0.82310000000000005</v>
      </c>
      <c r="I170" s="2873">
        <v>0.68569999999999998</v>
      </c>
      <c r="J170" s="2873">
        <v>0.68569999999999998</v>
      </c>
      <c r="K170" s="2873">
        <v>0.68569999999999998</v>
      </c>
      <c r="L170" s="2873">
        <v>0.68569999999999998</v>
      </c>
      <c r="M170" s="2874">
        <v>0.68569999999999998</v>
      </c>
    </row>
    <row r="171" spans="1:13">
      <c r="A171" s="2872">
        <v>8.6</v>
      </c>
      <c r="B171" s="2873">
        <v>0.89880000000000004</v>
      </c>
      <c r="C171" s="2873">
        <v>0.89880000000000004</v>
      </c>
      <c r="D171" s="2873">
        <v>0.82140000000000002</v>
      </c>
      <c r="E171" s="2873">
        <v>0.82140000000000002</v>
      </c>
      <c r="F171" s="2873">
        <v>0.82140000000000002</v>
      </c>
      <c r="G171" s="2873">
        <v>0.82140000000000002</v>
      </c>
      <c r="H171" s="2873">
        <v>0.82140000000000002</v>
      </c>
      <c r="I171" s="2873">
        <v>0.68359999999999999</v>
      </c>
      <c r="J171" s="2873">
        <v>0.68359999999999999</v>
      </c>
      <c r="K171" s="2873">
        <v>0.68359999999999999</v>
      </c>
      <c r="L171" s="2873">
        <v>0.68359999999999999</v>
      </c>
      <c r="M171" s="2874">
        <v>0.68359999999999999</v>
      </c>
    </row>
    <row r="172" spans="1:13">
      <c r="A172" s="2872">
        <v>8.6999999999999993</v>
      </c>
      <c r="B172" s="2873">
        <v>0.89739999999999998</v>
      </c>
      <c r="C172" s="2873">
        <v>0.89739999999999998</v>
      </c>
      <c r="D172" s="2873">
        <v>0.81969999999999998</v>
      </c>
      <c r="E172" s="2873">
        <v>0.81969999999999998</v>
      </c>
      <c r="F172" s="2873">
        <v>0.81969999999999998</v>
      </c>
      <c r="G172" s="2873">
        <v>0.81969999999999998</v>
      </c>
      <c r="H172" s="2873">
        <v>0.81969999999999998</v>
      </c>
      <c r="I172" s="2873">
        <v>0.68149999999999999</v>
      </c>
      <c r="J172" s="2873">
        <v>0.68149999999999999</v>
      </c>
      <c r="K172" s="2873">
        <v>0.68149999999999999</v>
      </c>
      <c r="L172" s="2873">
        <v>0.68149999999999999</v>
      </c>
      <c r="M172" s="2874">
        <v>0.68149999999999999</v>
      </c>
    </row>
    <row r="173" spans="1:13">
      <c r="A173" s="2872">
        <v>8.8000000000000007</v>
      </c>
      <c r="B173" s="2873">
        <v>0.89600000000000002</v>
      </c>
      <c r="C173" s="2873">
        <v>0.89600000000000002</v>
      </c>
      <c r="D173" s="2873">
        <v>0.81810000000000005</v>
      </c>
      <c r="E173" s="2873">
        <v>0.81810000000000005</v>
      </c>
      <c r="F173" s="2873">
        <v>0.81810000000000005</v>
      </c>
      <c r="G173" s="2873">
        <v>0.81810000000000005</v>
      </c>
      <c r="H173" s="2873">
        <v>0.81810000000000005</v>
      </c>
      <c r="I173" s="2873">
        <v>0.6794</v>
      </c>
      <c r="J173" s="2873">
        <v>0.6794</v>
      </c>
      <c r="K173" s="2873">
        <v>0.6794</v>
      </c>
      <c r="L173" s="2873">
        <v>0.6794</v>
      </c>
      <c r="M173" s="2874">
        <v>0.6794</v>
      </c>
    </row>
    <row r="174" spans="1:13">
      <c r="A174" s="2872">
        <v>8.9</v>
      </c>
      <c r="B174" s="2873">
        <v>0.89470000000000005</v>
      </c>
      <c r="C174" s="2873">
        <v>0.89470000000000005</v>
      </c>
      <c r="D174" s="2873">
        <v>0.8165</v>
      </c>
      <c r="E174" s="2873">
        <v>0.8165</v>
      </c>
      <c r="F174" s="2873">
        <v>0.8165</v>
      </c>
      <c r="G174" s="2873">
        <v>0.8165</v>
      </c>
      <c r="H174" s="2873">
        <v>0.8165</v>
      </c>
      <c r="I174" s="2873">
        <v>0.6774</v>
      </c>
      <c r="J174" s="2873">
        <v>0.6774</v>
      </c>
      <c r="K174" s="2873">
        <v>0.6774</v>
      </c>
      <c r="L174" s="2873">
        <v>0.6774</v>
      </c>
      <c r="M174" s="2874">
        <v>0.6774</v>
      </c>
    </row>
    <row r="175" spans="1:13">
      <c r="A175" s="2875">
        <v>9</v>
      </c>
      <c r="B175" s="2873">
        <v>0.89339999999999997</v>
      </c>
      <c r="C175" s="2873">
        <v>0.89339999999999997</v>
      </c>
      <c r="D175" s="2873">
        <v>0.81489999999999996</v>
      </c>
      <c r="E175" s="2873">
        <v>0.81489999999999996</v>
      </c>
      <c r="F175" s="2873">
        <v>0.81489999999999996</v>
      </c>
      <c r="G175" s="2873">
        <v>0.81489999999999996</v>
      </c>
      <c r="H175" s="2873">
        <v>0.81489999999999996</v>
      </c>
      <c r="I175" s="2873">
        <v>0.6754</v>
      </c>
      <c r="J175" s="2873">
        <v>0.6754</v>
      </c>
      <c r="K175" s="2873">
        <v>0.6754</v>
      </c>
      <c r="L175" s="2873">
        <v>0.6754</v>
      </c>
      <c r="M175" s="2874">
        <v>0.6754</v>
      </c>
    </row>
    <row r="176" spans="1:13">
      <c r="A176" s="2875">
        <v>9.1</v>
      </c>
      <c r="B176" s="2873">
        <v>0.8921</v>
      </c>
      <c r="C176" s="2873">
        <v>0.8921</v>
      </c>
      <c r="D176" s="2873">
        <v>0.81330000000000002</v>
      </c>
      <c r="E176" s="2873">
        <v>0.81330000000000002</v>
      </c>
      <c r="F176" s="2873">
        <v>0.81330000000000002</v>
      </c>
      <c r="G176" s="2873">
        <v>0.81330000000000002</v>
      </c>
      <c r="H176" s="2873">
        <v>0.81330000000000002</v>
      </c>
      <c r="I176" s="2873">
        <v>0.6734</v>
      </c>
      <c r="J176" s="2873">
        <v>0.6734</v>
      </c>
      <c r="K176" s="2873">
        <v>0.6734</v>
      </c>
      <c r="L176" s="2873">
        <v>0.6734</v>
      </c>
      <c r="M176" s="2874">
        <v>0.6734</v>
      </c>
    </row>
    <row r="177" spans="1:20">
      <c r="A177" s="2875">
        <v>9.1999999999999993</v>
      </c>
      <c r="B177" s="2873">
        <v>0.89080000000000004</v>
      </c>
      <c r="C177" s="2873">
        <v>0.89080000000000004</v>
      </c>
      <c r="D177" s="2873">
        <v>0.81169999999999998</v>
      </c>
      <c r="E177" s="2873">
        <v>0.81169999999999998</v>
      </c>
      <c r="F177" s="2873">
        <v>0.81169999999999998</v>
      </c>
      <c r="G177" s="2873">
        <v>0.81169999999999998</v>
      </c>
      <c r="H177" s="2873">
        <v>0.81169999999999998</v>
      </c>
      <c r="I177" s="2873">
        <v>0.6714</v>
      </c>
      <c r="J177" s="2873">
        <v>0.6714</v>
      </c>
      <c r="K177" s="2873">
        <v>0.6714</v>
      </c>
      <c r="L177" s="2873">
        <v>0.6714</v>
      </c>
      <c r="M177" s="2874">
        <v>0.6714</v>
      </c>
    </row>
    <row r="178" spans="1:20">
      <c r="A178" s="2875">
        <v>9.3000000000000007</v>
      </c>
      <c r="B178" s="2873">
        <v>0.88949999999999996</v>
      </c>
      <c r="C178" s="2873">
        <v>0.88949999999999996</v>
      </c>
      <c r="D178" s="2873">
        <v>0.81010000000000004</v>
      </c>
      <c r="E178" s="2873">
        <v>0.81010000000000004</v>
      </c>
      <c r="F178" s="2873">
        <v>0.81010000000000004</v>
      </c>
      <c r="G178" s="2873">
        <v>0.81010000000000004</v>
      </c>
      <c r="H178" s="2873">
        <v>0.81010000000000004</v>
      </c>
      <c r="I178" s="2873">
        <v>0.6694</v>
      </c>
      <c r="J178" s="2873">
        <v>0.6694</v>
      </c>
      <c r="K178" s="2873">
        <v>0.6694</v>
      </c>
      <c r="L178" s="2873">
        <v>0.6694</v>
      </c>
      <c r="M178" s="2874">
        <v>0.6694</v>
      </c>
    </row>
    <row r="179" spans="1:20">
      <c r="A179" s="2875">
        <v>9.4</v>
      </c>
      <c r="B179" s="2873">
        <v>0.88819999999999999</v>
      </c>
      <c r="C179" s="2873">
        <v>0.88819999999999999</v>
      </c>
      <c r="D179" s="2873">
        <v>0.8085</v>
      </c>
      <c r="E179" s="2873">
        <v>0.8085</v>
      </c>
      <c r="F179" s="2873">
        <v>0.8085</v>
      </c>
      <c r="G179" s="2873">
        <v>0.8085</v>
      </c>
      <c r="H179" s="2873">
        <v>0.8085</v>
      </c>
      <c r="I179" s="2873">
        <v>0.66739999999999999</v>
      </c>
      <c r="J179" s="2873">
        <v>0.66739999999999999</v>
      </c>
      <c r="K179" s="2873">
        <v>0.66739999999999999</v>
      </c>
      <c r="L179" s="2873">
        <v>0.66739999999999999</v>
      </c>
      <c r="M179" s="2874">
        <v>0.66739999999999999</v>
      </c>
    </row>
    <row r="180" spans="1:20">
      <c r="A180" s="2875">
        <v>9.5</v>
      </c>
      <c r="B180" s="2873">
        <v>0.88700000000000001</v>
      </c>
      <c r="C180" s="2873">
        <v>0.88700000000000001</v>
      </c>
      <c r="D180" s="2873">
        <v>0.80700000000000005</v>
      </c>
      <c r="E180" s="2873">
        <v>0.80700000000000005</v>
      </c>
      <c r="F180" s="2873">
        <v>0.80700000000000005</v>
      </c>
      <c r="G180" s="2873">
        <v>0.80700000000000005</v>
      </c>
      <c r="H180" s="2873">
        <v>0.80700000000000005</v>
      </c>
      <c r="I180" s="2873">
        <v>0.66549999999999998</v>
      </c>
      <c r="J180" s="2873">
        <v>0.66549999999999998</v>
      </c>
      <c r="K180" s="2873">
        <v>0.66549999999999998</v>
      </c>
      <c r="L180" s="2873">
        <v>0.66549999999999998</v>
      </c>
      <c r="M180" s="2874">
        <v>0.66549999999999998</v>
      </c>
    </row>
    <row r="181" spans="1:20">
      <c r="A181" s="2875">
        <v>9.6</v>
      </c>
      <c r="B181" s="2873">
        <v>0.88580000000000003</v>
      </c>
      <c r="C181" s="2873">
        <v>0.88580000000000003</v>
      </c>
      <c r="D181" s="2873">
        <v>0.80549999999999999</v>
      </c>
      <c r="E181" s="2873">
        <v>0.80549999999999999</v>
      </c>
      <c r="F181" s="2873">
        <v>0.80549999999999999</v>
      </c>
      <c r="G181" s="2873">
        <v>0.80549999999999999</v>
      </c>
      <c r="H181" s="2873">
        <v>0.80549999999999999</v>
      </c>
      <c r="I181" s="2873">
        <v>0.66359999999999997</v>
      </c>
      <c r="J181" s="2873">
        <v>0.66359999999999997</v>
      </c>
      <c r="K181" s="2873">
        <v>0.66359999999999997</v>
      </c>
      <c r="L181" s="2873">
        <v>0.66359999999999997</v>
      </c>
      <c r="M181" s="2874">
        <v>0.66359999999999997</v>
      </c>
    </row>
    <row r="182" spans="1:20">
      <c r="A182" s="2875">
        <v>9.6999999999999993</v>
      </c>
      <c r="B182" s="2873">
        <v>0.88460000000000005</v>
      </c>
      <c r="C182" s="2873">
        <v>0.88460000000000005</v>
      </c>
      <c r="D182" s="2873">
        <v>0.80400000000000005</v>
      </c>
      <c r="E182" s="2873">
        <v>0.80400000000000005</v>
      </c>
      <c r="F182" s="2873">
        <v>0.80400000000000005</v>
      </c>
      <c r="G182" s="2873">
        <v>0.80400000000000005</v>
      </c>
      <c r="H182" s="2873">
        <v>0.80400000000000005</v>
      </c>
      <c r="I182" s="2873">
        <v>0.66169999999999995</v>
      </c>
      <c r="J182" s="2873">
        <v>0.66169999999999995</v>
      </c>
      <c r="K182" s="2873">
        <v>0.66169999999999995</v>
      </c>
      <c r="L182" s="2873">
        <v>0.66169999999999995</v>
      </c>
      <c r="M182" s="2874">
        <v>0.66169999999999995</v>
      </c>
    </row>
    <row r="183" spans="1:20">
      <c r="A183" s="2875">
        <v>9.8000000000000007</v>
      </c>
      <c r="B183" s="2873">
        <v>0.88339999999999996</v>
      </c>
      <c r="C183" s="2873">
        <v>0.88339999999999996</v>
      </c>
      <c r="D183" s="2873">
        <v>0.80249999999999999</v>
      </c>
      <c r="E183" s="2873">
        <v>0.80249999999999999</v>
      </c>
      <c r="F183" s="2873">
        <v>0.80249999999999999</v>
      </c>
      <c r="G183" s="2873">
        <v>0.80249999999999999</v>
      </c>
      <c r="H183" s="2873">
        <v>0.80249999999999999</v>
      </c>
      <c r="I183" s="2873">
        <v>0.65980000000000005</v>
      </c>
      <c r="J183" s="2873">
        <v>0.65980000000000005</v>
      </c>
      <c r="K183" s="2873">
        <v>0.65980000000000005</v>
      </c>
      <c r="L183" s="2873">
        <v>0.65980000000000005</v>
      </c>
      <c r="M183" s="2874">
        <v>0.65980000000000005</v>
      </c>
    </row>
    <row r="184" spans="1:20" ht="14.25" thickBot="1">
      <c r="A184" s="2876">
        <v>9.9</v>
      </c>
      <c r="B184" s="2877">
        <v>0.88219999999999998</v>
      </c>
      <c r="C184" s="2877">
        <v>0.88219999999999998</v>
      </c>
      <c r="D184" s="2877">
        <v>0.80100000000000005</v>
      </c>
      <c r="E184" s="2877">
        <v>0.80100000000000005</v>
      </c>
      <c r="F184" s="2877">
        <v>0.80100000000000005</v>
      </c>
      <c r="G184" s="2877">
        <v>0.80100000000000005</v>
      </c>
      <c r="H184" s="2877">
        <v>0.80100000000000005</v>
      </c>
      <c r="I184" s="2877">
        <v>0.65790000000000004</v>
      </c>
      <c r="J184" s="2877">
        <v>0.65790000000000004</v>
      </c>
      <c r="K184" s="2877">
        <v>0.65790000000000004</v>
      </c>
      <c r="L184" s="2877">
        <v>0.65790000000000004</v>
      </c>
      <c r="M184" s="2878">
        <v>0.65790000000000004</v>
      </c>
    </row>
    <row r="185" spans="1:20" ht="15" thickBot="1">
      <c r="A185" s="2866" t="s">
        <v>2799</v>
      </c>
      <c r="B185" s="2866"/>
      <c r="C185" s="2866"/>
      <c r="D185" s="2866"/>
      <c r="E185" s="2866"/>
      <c r="F185" s="2866"/>
      <c r="G185" s="2866"/>
      <c r="H185" s="2866"/>
      <c r="I185" s="2866"/>
      <c r="J185" s="2866"/>
      <c r="K185" s="2866"/>
      <c r="L185" s="2866"/>
      <c r="M185" s="2866"/>
    </row>
    <row r="186" spans="1:20">
      <c r="A186" s="2867" t="s">
        <v>2797</v>
      </c>
      <c r="B186" s="2868" t="s">
        <v>2593</v>
      </c>
      <c r="C186" s="2868" t="s">
        <v>2594</v>
      </c>
      <c r="D186" s="2868" t="s">
        <v>2595</v>
      </c>
      <c r="E186" s="2868" t="s">
        <v>2596</v>
      </c>
      <c r="F186" s="2868" t="s">
        <v>2597</v>
      </c>
      <c r="G186" s="2868" t="s">
        <v>2598</v>
      </c>
      <c r="H186" s="2869" t="s">
        <v>2599</v>
      </c>
      <c r="I186" s="2869" t="s">
        <v>2600</v>
      </c>
      <c r="J186" s="2870" t="s">
        <v>2601</v>
      </c>
      <c r="K186" s="2870" t="s">
        <v>2602</v>
      </c>
      <c r="L186" s="2870" t="s">
        <v>2603</v>
      </c>
      <c r="M186" s="2871" t="s">
        <v>2604</v>
      </c>
      <c r="Q186" s="2881" t="s">
        <v>2802</v>
      </c>
      <c r="R186" s="2881" t="s">
        <v>2803</v>
      </c>
      <c r="S186" s="2881" t="s">
        <v>2804</v>
      </c>
      <c r="T186" s="2881" t="s">
        <v>2805</v>
      </c>
    </row>
    <row r="187" spans="1:20">
      <c r="A187" s="2872">
        <v>1</v>
      </c>
      <c r="B187" s="2873">
        <v>1.1901999999999999</v>
      </c>
      <c r="C187" s="2873">
        <v>1.1901999999999999</v>
      </c>
      <c r="D187" s="2873">
        <v>1.222</v>
      </c>
      <c r="E187" s="2873">
        <v>1.222</v>
      </c>
      <c r="F187" s="2873">
        <v>1.222</v>
      </c>
      <c r="G187" s="2873">
        <v>1.222</v>
      </c>
      <c r="H187" s="2873">
        <v>1.222</v>
      </c>
      <c r="I187" s="2873">
        <v>1.1054999999999999</v>
      </c>
      <c r="J187" s="2873">
        <v>1.1054999999999999</v>
      </c>
      <c r="K187" s="2873">
        <v>1.1054999999999999</v>
      </c>
      <c r="L187" s="2873">
        <v>1.1054999999999999</v>
      </c>
      <c r="M187" s="2874">
        <v>1.1054999999999999</v>
      </c>
      <c r="Q187" s="2881">
        <v>10</v>
      </c>
      <c r="R187" s="2881">
        <f>ROUND(0.9448-0.0115*Q187,4)</f>
        <v>0.82979999999999998</v>
      </c>
      <c r="S187" s="2881">
        <f>ROUND(0.937-0.0145*Q187,4)</f>
        <v>0.79200000000000004</v>
      </c>
      <c r="T187" s="2881">
        <f>ROUND(0.7965-0.0185*Q187,4)</f>
        <v>0.61150000000000004</v>
      </c>
    </row>
    <row r="188" spans="1:20">
      <c r="A188" s="2872">
        <v>1.1000000000000001</v>
      </c>
      <c r="B188" s="2873">
        <v>1.1715</v>
      </c>
      <c r="C188" s="2873">
        <v>1.1715</v>
      </c>
      <c r="D188" s="2873">
        <v>1.2002999999999999</v>
      </c>
      <c r="E188" s="2873">
        <v>1.2002999999999999</v>
      </c>
      <c r="F188" s="2873">
        <v>1.2002999999999999</v>
      </c>
      <c r="G188" s="2873">
        <v>1.2002999999999999</v>
      </c>
      <c r="H188" s="2873">
        <v>1.2002999999999999</v>
      </c>
      <c r="I188" s="2873">
        <v>1.0819000000000001</v>
      </c>
      <c r="J188" s="2873">
        <v>1.0819000000000001</v>
      </c>
      <c r="K188" s="2873">
        <v>1.0819000000000001</v>
      </c>
      <c r="L188" s="2873">
        <v>1.0819000000000001</v>
      </c>
      <c r="M188" s="2874">
        <v>1.0819000000000001</v>
      </c>
    </row>
    <row r="189" spans="1:20">
      <c r="A189" s="2872">
        <v>1.2</v>
      </c>
      <c r="B189" s="2873">
        <v>1.1538999999999999</v>
      </c>
      <c r="C189" s="2873">
        <v>1.1538999999999999</v>
      </c>
      <c r="D189" s="2873">
        <v>1.1798</v>
      </c>
      <c r="E189" s="2873">
        <v>1.1798</v>
      </c>
      <c r="F189" s="2873">
        <v>1.1798</v>
      </c>
      <c r="G189" s="2873">
        <v>1.1798</v>
      </c>
      <c r="H189" s="2873">
        <v>1.1798</v>
      </c>
      <c r="I189" s="2873">
        <v>1.0597000000000001</v>
      </c>
      <c r="J189" s="2873">
        <v>1.0597000000000001</v>
      </c>
      <c r="K189" s="2873">
        <v>1.0597000000000001</v>
      </c>
      <c r="L189" s="2873">
        <v>1.0597000000000001</v>
      </c>
      <c r="M189" s="2874">
        <v>1.0597000000000001</v>
      </c>
    </row>
    <row r="190" spans="1:20">
      <c r="A190" s="2872">
        <v>1.3</v>
      </c>
      <c r="B190" s="2873">
        <v>1.1372</v>
      </c>
      <c r="C190" s="2873">
        <v>1.1372</v>
      </c>
      <c r="D190" s="2873">
        <v>1.1605000000000001</v>
      </c>
      <c r="E190" s="2873">
        <v>1.1605000000000001</v>
      </c>
      <c r="F190" s="2873">
        <v>1.1605000000000001</v>
      </c>
      <c r="G190" s="2873">
        <v>1.1605000000000001</v>
      </c>
      <c r="H190" s="2873">
        <v>1.1605000000000001</v>
      </c>
      <c r="I190" s="2873">
        <v>1.0386</v>
      </c>
      <c r="J190" s="2873">
        <v>1.0386</v>
      </c>
      <c r="K190" s="2873">
        <v>1.0386</v>
      </c>
      <c r="L190" s="2873">
        <v>1.0386</v>
      </c>
      <c r="M190" s="2874">
        <v>1.0386</v>
      </c>
    </row>
    <row r="191" spans="1:20">
      <c r="A191" s="2872">
        <v>1.4</v>
      </c>
      <c r="B191" s="2873">
        <v>1.1215999999999999</v>
      </c>
      <c r="C191" s="2873">
        <v>1.1215999999999999</v>
      </c>
      <c r="D191" s="2873">
        <v>1.1422000000000001</v>
      </c>
      <c r="E191" s="2873">
        <v>1.1422000000000001</v>
      </c>
      <c r="F191" s="2873">
        <v>1.1422000000000001</v>
      </c>
      <c r="G191" s="2873">
        <v>1.1422000000000001</v>
      </c>
      <c r="H191" s="2873">
        <v>1.1422000000000001</v>
      </c>
      <c r="I191" s="2873">
        <v>1.0187999999999999</v>
      </c>
      <c r="J191" s="2873">
        <v>1.0187999999999999</v>
      </c>
      <c r="K191" s="2873">
        <v>1.0187999999999999</v>
      </c>
      <c r="L191" s="2873">
        <v>1.0187999999999999</v>
      </c>
      <c r="M191" s="2874">
        <v>1.0187999999999999</v>
      </c>
    </row>
    <row r="192" spans="1:20">
      <c r="A192" s="2872">
        <v>1.5</v>
      </c>
      <c r="B192" s="2873">
        <v>1.1069</v>
      </c>
      <c r="C192" s="2873">
        <v>1.1069</v>
      </c>
      <c r="D192" s="2873">
        <v>1.125</v>
      </c>
      <c r="E192" s="2873">
        <v>1.125</v>
      </c>
      <c r="F192" s="2873">
        <v>1.125</v>
      </c>
      <c r="G192" s="2873">
        <v>1.125</v>
      </c>
      <c r="H192" s="2873">
        <v>1.125</v>
      </c>
      <c r="I192" s="2873">
        <v>1</v>
      </c>
      <c r="J192" s="2873">
        <v>1</v>
      </c>
      <c r="K192" s="2873">
        <v>1</v>
      </c>
      <c r="L192" s="2873">
        <v>1</v>
      </c>
      <c r="M192" s="2874">
        <v>1</v>
      </c>
    </row>
    <row r="193" spans="1:13">
      <c r="A193" s="2872">
        <v>1.6</v>
      </c>
      <c r="B193" s="2873">
        <v>1.0929</v>
      </c>
      <c r="C193" s="2873">
        <v>1.0929</v>
      </c>
      <c r="D193" s="2873">
        <v>1.1087</v>
      </c>
      <c r="E193" s="2873">
        <v>1.1087</v>
      </c>
      <c r="F193" s="2873">
        <v>1.1087</v>
      </c>
      <c r="G193" s="2873">
        <v>1.1087</v>
      </c>
      <c r="H193" s="2873">
        <v>1.1087</v>
      </c>
      <c r="I193" s="2873">
        <v>0.98229999999999995</v>
      </c>
      <c r="J193" s="2873">
        <v>0.98229999999999995</v>
      </c>
      <c r="K193" s="2873">
        <v>0.98229999999999995</v>
      </c>
      <c r="L193" s="2873">
        <v>0.98229999999999995</v>
      </c>
      <c r="M193" s="2874">
        <v>0.98229999999999995</v>
      </c>
    </row>
    <row r="194" spans="1:13">
      <c r="A194" s="2872">
        <v>1.7</v>
      </c>
      <c r="B194" s="2873">
        <v>1.0798000000000001</v>
      </c>
      <c r="C194" s="2873">
        <v>1.0798000000000001</v>
      </c>
      <c r="D194" s="2873">
        <v>1.0933999999999999</v>
      </c>
      <c r="E194" s="2873">
        <v>1.0933999999999999</v>
      </c>
      <c r="F194" s="2873">
        <v>1.0933999999999999</v>
      </c>
      <c r="G194" s="2873">
        <v>1.0933999999999999</v>
      </c>
      <c r="H194" s="2873">
        <v>1.0933999999999999</v>
      </c>
      <c r="I194" s="2873">
        <v>0.96560000000000001</v>
      </c>
      <c r="J194" s="2873">
        <v>0.96560000000000001</v>
      </c>
      <c r="K194" s="2873">
        <v>0.96560000000000001</v>
      </c>
      <c r="L194" s="2873">
        <v>0.96560000000000001</v>
      </c>
      <c r="M194" s="2874">
        <v>0.96560000000000001</v>
      </c>
    </row>
    <row r="195" spans="1:13">
      <c r="A195" s="2872">
        <v>1.8</v>
      </c>
      <c r="B195" s="2873">
        <v>1.0674999999999999</v>
      </c>
      <c r="C195" s="2873">
        <v>1.0674999999999999</v>
      </c>
      <c r="D195" s="2873">
        <v>1.0790999999999999</v>
      </c>
      <c r="E195" s="2873">
        <v>1.0790999999999999</v>
      </c>
      <c r="F195" s="2873">
        <v>1.0790999999999999</v>
      </c>
      <c r="G195" s="2873">
        <v>1.0790999999999999</v>
      </c>
      <c r="H195" s="2873">
        <v>1.0790999999999999</v>
      </c>
      <c r="I195" s="2873">
        <v>0.94989999999999997</v>
      </c>
      <c r="J195" s="2873">
        <v>0.94989999999999997</v>
      </c>
      <c r="K195" s="2873">
        <v>0.94989999999999997</v>
      </c>
      <c r="L195" s="2873">
        <v>0.94989999999999997</v>
      </c>
      <c r="M195" s="2874">
        <v>0.94989999999999997</v>
      </c>
    </row>
    <row r="196" spans="1:13">
      <c r="A196" s="2872">
        <v>1.9</v>
      </c>
      <c r="B196" s="2873">
        <v>1.0558000000000001</v>
      </c>
      <c r="C196" s="2873">
        <v>1.0558000000000001</v>
      </c>
      <c r="D196" s="2873">
        <v>1.0654999999999999</v>
      </c>
      <c r="E196" s="2873">
        <v>1.0654999999999999</v>
      </c>
      <c r="F196" s="2873">
        <v>1.0654999999999999</v>
      </c>
      <c r="G196" s="2873">
        <v>1.0654999999999999</v>
      </c>
      <c r="H196" s="2873">
        <v>1.0654999999999999</v>
      </c>
      <c r="I196" s="2873">
        <v>0.93520000000000003</v>
      </c>
      <c r="J196" s="2873">
        <v>0.93520000000000003</v>
      </c>
      <c r="K196" s="2873">
        <v>0.93520000000000003</v>
      </c>
      <c r="L196" s="2873">
        <v>0.93520000000000003</v>
      </c>
      <c r="M196" s="2874">
        <v>0.93520000000000003</v>
      </c>
    </row>
    <row r="197" spans="1:13">
      <c r="A197" s="2872">
        <v>2</v>
      </c>
      <c r="B197" s="2873">
        <v>1.0449999999999999</v>
      </c>
      <c r="C197" s="2873">
        <v>1.0449999999999999</v>
      </c>
      <c r="D197" s="2873">
        <v>1.0528</v>
      </c>
      <c r="E197" s="2873">
        <v>1.0528</v>
      </c>
      <c r="F197" s="2873">
        <v>1.0528</v>
      </c>
      <c r="G197" s="2873">
        <v>1.0528</v>
      </c>
      <c r="H197" s="2873">
        <v>1.0528</v>
      </c>
      <c r="I197" s="2873">
        <v>0.92130000000000001</v>
      </c>
      <c r="J197" s="2873">
        <v>0.92130000000000001</v>
      </c>
      <c r="K197" s="2873">
        <v>0.92130000000000001</v>
      </c>
      <c r="L197" s="2873">
        <v>0.92130000000000001</v>
      </c>
      <c r="M197" s="2874">
        <v>0.92130000000000001</v>
      </c>
    </row>
    <row r="198" spans="1:13">
      <c r="A198" s="2875">
        <v>2.1</v>
      </c>
      <c r="B198" s="2873">
        <v>1.0347999999999999</v>
      </c>
      <c r="C198" s="2873">
        <v>1.0347999999999999</v>
      </c>
      <c r="D198" s="2873">
        <v>1.0407999999999999</v>
      </c>
      <c r="E198" s="2873">
        <v>1.0407999999999999</v>
      </c>
      <c r="F198" s="2873">
        <v>1.0407999999999999</v>
      </c>
      <c r="G198" s="2873">
        <v>1.0407999999999999</v>
      </c>
      <c r="H198" s="2873">
        <v>1.0407999999999999</v>
      </c>
      <c r="I198" s="2873">
        <v>0.90820000000000001</v>
      </c>
      <c r="J198" s="2873">
        <v>0.90820000000000001</v>
      </c>
      <c r="K198" s="2873">
        <v>0.90820000000000001</v>
      </c>
      <c r="L198" s="2873">
        <v>0.90820000000000001</v>
      </c>
      <c r="M198" s="2874">
        <v>0.90820000000000001</v>
      </c>
    </row>
    <row r="199" spans="1:13">
      <c r="A199" s="2875">
        <v>2.2000000000000002</v>
      </c>
      <c r="B199" s="2873">
        <v>1.0251999999999999</v>
      </c>
      <c r="C199" s="2873">
        <v>1.0251999999999999</v>
      </c>
      <c r="D199" s="2873">
        <v>1.0296000000000001</v>
      </c>
      <c r="E199" s="2873">
        <v>1.0296000000000001</v>
      </c>
      <c r="F199" s="2873">
        <v>1.0296000000000001</v>
      </c>
      <c r="G199" s="2873">
        <v>1.0296000000000001</v>
      </c>
      <c r="H199" s="2873">
        <v>1.0296000000000001</v>
      </c>
      <c r="I199" s="2873">
        <v>0.89570000000000005</v>
      </c>
      <c r="J199" s="2873">
        <v>0.89570000000000005</v>
      </c>
      <c r="K199" s="2873">
        <v>0.89570000000000005</v>
      </c>
      <c r="L199" s="2873">
        <v>0.89570000000000005</v>
      </c>
      <c r="M199" s="2874">
        <v>0.89570000000000005</v>
      </c>
    </row>
    <row r="200" spans="1:13">
      <c r="A200" s="2875">
        <v>2.2999999999999998</v>
      </c>
      <c r="B200" s="2873">
        <v>1.0162</v>
      </c>
      <c r="C200" s="2873">
        <v>1.0162</v>
      </c>
      <c r="D200" s="2873">
        <v>1.0190999999999999</v>
      </c>
      <c r="E200" s="2873">
        <v>1.0190999999999999</v>
      </c>
      <c r="F200" s="2873">
        <v>1.0190999999999999</v>
      </c>
      <c r="G200" s="2873">
        <v>1.0190999999999999</v>
      </c>
      <c r="H200" s="2873">
        <v>1.0190999999999999</v>
      </c>
      <c r="I200" s="2873">
        <v>0.88419999999999999</v>
      </c>
      <c r="J200" s="2873">
        <v>0.88419999999999999</v>
      </c>
      <c r="K200" s="2873">
        <v>0.88419999999999999</v>
      </c>
      <c r="L200" s="2873">
        <v>0.88419999999999999</v>
      </c>
      <c r="M200" s="2874">
        <v>0.88419999999999999</v>
      </c>
    </row>
    <row r="201" spans="1:13">
      <c r="A201" s="2875">
        <v>2.4</v>
      </c>
      <c r="B201" s="2873">
        <v>1.0078</v>
      </c>
      <c r="C201" s="2873">
        <v>1.0078</v>
      </c>
      <c r="D201" s="2873">
        <v>1.0092000000000001</v>
      </c>
      <c r="E201" s="2873">
        <v>1.0092000000000001</v>
      </c>
      <c r="F201" s="2873">
        <v>1.0092000000000001</v>
      </c>
      <c r="G201" s="2873">
        <v>1.0092000000000001</v>
      </c>
      <c r="H201" s="2873">
        <v>1.0092000000000001</v>
      </c>
      <c r="I201" s="2873">
        <v>0.87329999999999997</v>
      </c>
      <c r="J201" s="2873">
        <v>0.87329999999999997</v>
      </c>
      <c r="K201" s="2873">
        <v>0.87329999999999997</v>
      </c>
      <c r="L201" s="2873">
        <v>0.87329999999999997</v>
      </c>
      <c r="M201" s="2874">
        <v>0.87329999999999997</v>
      </c>
    </row>
    <row r="202" spans="1:13">
      <c r="A202" s="2875">
        <v>2.5</v>
      </c>
      <c r="B202" s="2873">
        <v>1</v>
      </c>
      <c r="C202" s="2873">
        <v>1</v>
      </c>
      <c r="D202" s="2873">
        <v>1</v>
      </c>
      <c r="E202" s="2873">
        <v>1</v>
      </c>
      <c r="F202" s="2873">
        <v>1</v>
      </c>
      <c r="G202" s="2873">
        <v>1</v>
      </c>
      <c r="H202" s="2873">
        <v>1</v>
      </c>
      <c r="I202" s="2873">
        <v>0.86299999999999999</v>
      </c>
      <c r="J202" s="2873">
        <v>0.86299999999999999</v>
      </c>
      <c r="K202" s="2873">
        <v>0.86299999999999999</v>
      </c>
      <c r="L202" s="2873">
        <v>0.86299999999999999</v>
      </c>
      <c r="M202" s="2874">
        <v>0.86299999999999999</v>
      </c>
    </row>
    <row r="203" spans="1:13">
      <c r="A203" s="2875">
        <v>2.6</v>
      </c>
      <c r="B203" s="2873">
        <v>0.99270000000000003</v>
      </c>
      <c r="C203" s="2873">
        <v>0.99270000000000003</v>
      </c>
      <c r="D203" s="2873">
        <v>0.99139999999999995</v>
      </c>
      <c r="E203" s="2873">
        <v>0.99139999999999995</v>
      </c>
      <c r="F203" s="2873">
        <v>0.99139999999999995</v>
      </c>
      <c r="G203" s="2873">
        <v>0.99139999999999995</v>
      </c>
      <c r="H203" s="2873">
        <v>0.99139999999999995</v>
      </c>
      <c r="I203" s="2873">
        <v>0.85340000000000005</v>
      </c>
      <c r="J203" s="2873">
        <v>0.85340000000000005</v>
      </c>
      <c r="K203" s="2873">
        <v>0.85340000000000005</v>
      </c>
      <c r="L203" s="2873">
        <v>0.85340000000000005</v>
      </c>
      <c r="M203" s="2874">
        <v>0.85340000000000005</v>
      </c>
    </row>
    <row r="204" spans="1:13">
      <c r="A204" s="2875">
        <v>2.7</v>
      </c>
      <c r="B204" s="2873">
        <v>0.98580000000000001</v>
      </c>
      <c r="C204" s="2873">
        <v>0.98580000000000001</v>
      </c>
      <c r="D204" s="2873">
        <v>0.98329999999999995</v>
      </c>
      <c r="E204" s="2873">
        <v>0.98329999999999995</v>
      </c>
      <c r="F204" s="2873">
        <v>0.98329999999999995</v>
      </c>
      <c r="G204" s="2873">
        <v>0.98329999999999995</v>
      </c>
      <c r="H204" s="2873">
        <v>0.98329999999999995</v>
      </c>
      <c r="I204" s="2873">
        <v>0.84440000000000004</v>
      </c>
      <c r="J204" s="2873">
        <v>0.84440000000000004</v>
      </c>
      <c r="K204" s="2873">
        <v>0.84440000000000004</v>
      </c>
      <c r="L204" s="2873">
        <v>0.84440000000000004</v>
      </c>
      <c r="M204" s="2874">
        <v>0.84440000000000004</v>
      </c>
    </row>
    <row r="205" spans="1:13">
      <c r="A205" s="2875">
        <v>2.8</v>
      </c>
      <c r="B205" s="2873">
        <v>0.97940000000000005</v>
      </c>
      <c r="C205" s="2873">
        <v>0.97940000000000005</v>
      </c>
      <c r="D205" s="2873">
        <v>0.97570000000000001</v>
      </c>
      <c r="E205" s="2873">
        <v>0.97570000000000001</v>
      </c>
      <c r="F205" s="2873">
        <v>0.97570000000000001</v>
      </c>
      <c r="G205" s="2873">
        <v>0.97570000000000001</v>
      </c>
      <c r="H205" s="2873">
        <v>0.97570000000000001</v>
      </c>
      <c r="I205" s="2873">
        <v>0.83599999999999997</v>
      </c>
      <c r="J205" s="2873">
        <v>0.83599999999999997</v>
      </c>
      <c r="K205" s="2873">
        <v>0.83599999999999997</v>
      </c>
      <c r="L205" s="2873">
        <v>0.83599999999999997</v>
      </c>
      <c r="M205" s="2874">
        <v>0.83599999999999997</v>
      </c>
    </row>
    <row r="206" spans="1:13">
      <c r="A206" s="2875">
        <v>2.9</v>
      </c>
      <c r="B206" s="2873">
        <v>0.97350000000000003</v>
      </c>
      <c r="C206" s="2873">
        <v>0.97350000000000003</v>
      </c>
      <c r="D206" s="2873">
        <v>0.96870000000000001</v>
      </c>
      <c r="E206" s="2873">
        <v>0.96870000000000001</v>
      </c>
      <c r="F206" s="2873">
        <v>0.96870000000000001</v>
      </c>
      <c r="G206" s="2873">
        <v>0.96870000000000001</v>
      </c>
      <c r="H206" s="2873">
        <v>0.96870000000000001</v>
      </c>
      <c r="I206" s="2873">
        <v>0.82820000000000005</v>
      </c>
      <c r="J206" s="2873">
        <v>0.82820000000000005</v>
      </c>
      <c r="K206" s="2873">
        <v>0.82820000000000005</v>
      </c>
      <c r="L206" s="2873">
        <v>0.82820000000000005</v>
      </c>
      <c r="M206" s="2874">
        <v>0.82820000000000005</v>
      </c>
    </row>
    <row r="207" spans="1:13">
      <c r="A207" s="2875">
        <v>3</v>
      </c>
      <c r="B207" s="2873">
        <v>0.96789999999999998</v>
      </c>
      <c r="C207" s="2873">
        <v>0.96789999999999998</v>
      </c>
      <c r="D207" s="2873">
        <v>0.96209999999999996</v>
      </c>
      <c r="E207" s="2873">
        <v>0.96209999999999996</v>
      </c>
      <c r="F207" s="2873">
        <v>0.96209999999999996</v>
      </c>
      <c r="G207" s="2873">
        <v>0.96209999999999996</v>
      </c>
      <c r="H207" s="2873">
        <v>0.96209999999999996</v>
      </c>
      <c r="I207" s="2873">
        <v>0.82079999999999997</v>
      </c>
      <c r="J207" s="2873">
        <v>0.82079999999999997</v>
      </c>
      <c r="K207" s="2873">
        <v>0.82079999999999997</v>
      </c>
      <c r="L207" s="2873">
        <v>0.82079999999999997</v>
      </c>
      <c r="M207" s="2874">
        <v>0.82079999999999997</v>
      </c>
    </row>
    <row r="208" spans="1:13">
      <c r="A208" s="2875">
        <v>3.1</v>
      </c>
      <c r="B208" s="2873">
        <v>0.9627</v>
      </c>
      <c r="C208" s="2873">
        <v>0.9627</v>
      </c>
      <c r="D208" s="2873">
        <v>0.95589999999999997</v>
      </c>
      <c r="E208" s="2873">
        <v>0.95589999999999997</v>
      </c>
      <c r="F208" s="2873">
        <v>0.95589999999999997</v>
      </c>
      <c r="G208" s="2873">
        <v>0.95589999999999997</v>
      </c>
      <c r="H208" s="2873">
        <v>0.95589999999999997</v>
      </c>
      <c r="I208" s="2873">
        <v>0.81389999999999996</v>
      </c>
      <c r="J208" s="2873">
        <v>0.81389999999999996</v>
      </c>
      <c r="K208" s="2873">
        <v>0.81389999999999996</v>
      </c>
      <c r="L208" s="2873">
        <v>0.81389999999999996</v>
      </c>
      <c r="M208" s="2874">
        <v>0.81389999999999996</v>
      </c>
    </row>
    <row r="209" spans="1:13">
      <c r="A209" s="2875">
        <v>3.2</v>
      </c>
      <c r="B209" s="2873">
        <v>0.95789999999999997</v>
      </c>
      <c r="C209" s="2873">
        <v>0.95789999999999997</v>
      </c>
      <c r="D209" s="2873">
        <v>0.95020000000000004</v>
      </c>
      <c r="E209" s="2873">
        <v>0.95020000000000004</v>
      </c>
      <c r="F209" s="2873">
        <v>0.95020000000000004</v>
      </c>
      <c r="G209" s="2873">
        <v>0.95020000000000004</v>
      </c>
      <c r="H209" s="2873">
        <v>0.95020000000000004</v>
      </c>
      <c r="I209" s="2873">
        <v>0.8075</v>
      </c>
      <c r="J209" s="2873">
        <v>0.8075</v>
      </c>
      <c r="K209" s="2873">
        <v>0.8075</v>
      </c>
      <c r="L209" s="2873">
        <v>0.8075</v>
      </c>
      <c r="M209" s="2874">
        <v>0.8075</v>
      </c>
    </row>
    <row r="210" spans="1:13">
      <c r="A210" s="2875">
        <v>3.3</v>
      </c>
      <c r="B210" s="2873">
        <v>0.95340000000000003</v>
      </c>
      <c r="C210" s="2873">
        <v>0.95340000000000003</v>
      </c>
      <c r="D210" s="2873">
        <v>0.94479999999999997</v>
      </c>
      <c r="E210" s="2873">
        <v>0.94479999999999997</v>
      </c>
      <c r="F210" s="2873">
        <v>0.94479999999999997</v>
      </c>
      <c r="G210" s="2873">
        <v>0.94479999999999997</v>
      </c>
      <c r="H210" s="2873">
        <v>0.94479999999999997</v>
      </c>
      <c r="I210" s="2873">
        <v>0.80149999999999999</v>
      </c>
      <c r="J210" s="2873">
        <v>0.80149999999999999</v>
      </c>
      <c r="K210" s="2873">
        <v>0.80149999999999999</v>
      </c>
      <c r="L210" s="2873">
        <v>0.80149999999999999</v>
      </c>
      <c r="M210" s="2874">
        <v>0.80149999999999999</v>
      </c>
    </row>
    <row r="211" spans="1:13">
      <c r="A211" s="2875">
        <v>3.4</v>
      </c>
      <c r="B211" s="2873">
        <v>0.94920000000000004</v>
      </c>
      <c r="C211" s="2873">
        <v>0.94920000000000004</v>
      </c>
      <c r="D211" s="2873">
        <v>0.93989999999999996</v>
      </c>
      <c r="E211" s="2873">
        <v>0.93989999999999996</v>
      </c>
      <c r="F211" s="2873">
        <v>0.93989999999999996</v>
      </c>
      <c r="G211" s="2873">
        <v>0.93989999999999996</v>
      </c>
      <c r="H211" s="2873">
        <v>0.93989999999999996</v>
      </c>
      <c r="I211" s="2873">
        <v>0.79590000000000005</v>
      </c>
      <c r="J211" s="2873">
        <v>0.79590000000000005</v>
      </c>
      <c r="K211" s="2873">
        <v>0.79590000000000005</v>
      </c>
      <c r="L211" s="2873">
        <v>0.79590000000000005</v>
      </c>
      <c r="M211" s="2874">
        <v>0.79590000000000005</v>
      </c>
    </row>
    <row r="212" spans="1:13">
      <c r="A212" s="2875">
        <v>3.5</v>
      </c>
      <c r="B212" s="2873">
        <v>0.94540000000000002</v>
      </c>
      <c r="C212" s="2873">
        <v>0.94540000000000002</v>
      </c>
      <c r="D212" s="2873">
        <v>0.93520000000000003</v>
      </c>
      <c r="E212" s="2873">
        <v>0.93520000000000003</v>
      </c>
      <c r="F212" s="2873">
        <v>0.93520000000000003</v>
      </c>
      <c r="G212" s="2873">
        <v>0.93520000000000003</v>
      </c>
      <c r="H212" s="2873">
        <v>0.93520000000000003</v>
      </c>
      <c r="I212" s="2873">
        <v>0.79059999999999997</v>
      </c>
      <c r="J212" s="2873">
        <v>0.79059999999999997</v>
      </c>
      <c r="K212" s="2873">
        <v>0.79059999999999997</v>
      </c>
      <c r="L212" s="2873">
        <v>0.79059999999999997</v>
      </c>
      <c r="M212" s="2874">
        <v>0.79059999999999997</v>
      </c>
    </row>
    <row r="213" spans="1:13">
      <c r="A213" s="2875">
        <v>3.6</v>
      </c>
      <c r="B213" s="2873">
        <v>0.94179999999999997</v>
      </c>
      <c r="C213" s="2873">
        <v>0.94179999999999997</v>
      </c>
      <c r="D213" s="2873">
        <v>0.93089999999999995</v>
      </c>
      <c r="E213" s="2873">
        <v>0.93089999999999995</v>
      </c>
      <c r="F213" s="2873">
        <v>0.93089999999999995</v>
      </c>
      <c r="G213" s="2873">
        <v>0.93089999999999995</v>
      </c>
      <c r="H213" s="2873">
        <v>0.93089999999999995</v>
      </c>
      <c r="I213" s="2873">
        <v>0.78569999999999995</v>
      </c>
      <c r="J213" s="2873">
        <v>0.78569999999999995</v>
      </c>
      <c r="K213" s="2873">
        <v>0.78569999999999995</v>
      </c>
      <c r="L213" s="2873">
        <v>0.78569999999999995</v>
      </c>
      <c r="M213" s="2874">
        <v>0.78569999999999995</v>
      </c>
    </row>
    <row r="214" spans="1:13">
      <c r="A214" s="2875">
        <v>3.7</v>
      </c>
      <c r="B214" s="2873">
        <v>0.93840000000000001</v>
      </c>
      <c r="C214" s="2873">
        <v>0.93840000000000001</v>
      </c>
      <c r="D214" s="2873">
        <v>0.92689999999999995</v>
      </c>
      <c r="E214" s="2873">
        <v>0.92689999999999995</v>
      </c>
      <c r="F214" s="2873">
        <v>0.92689999999999995</v>
      </c>
      <c r="G214" s="2873">
        <v>0.92689999999999995</v>
      </c>
      <c r="H214" s="2873">
        <v>0.92689999999999995</v>
      </c>
      <c r="I214" s="2873">
        <v>0.78110000000000002</v>
      </c>
      <c r="J214" s="2873">
        <v>0.78110000000000002</v>
      </c>
      <c r="K214" s="2873">
        <v>0.78110000000000002</v>
      </c>
      <c r="L214" s="2873">
        <v>0.78110000000000002</v>
      </c>
      <c r="M214" s="2874">
        <v>0.78110000000000002</v>
      </c>
    </row>
    <row r="215" spans="1:13">
      <c r="A215" s="2875">
        <v>3.8</v>
      </c>
      <c r="B215" s="2873">
        <v>0.93530000000000002</v>
      </c>
      <c r="C215" s="2873">
        <v>0.93530000000000002</v>
      </c>
      <c r="D215" s="2873">
        <v>0.92310000000000003</v>
      </c>
      <c r="E215" s="2873">
        <v>0.92310000000000003</v>
      </c>
      <c r="F215" s="2873">
        <v>0.92310000000000003</v>
      </c>
      <c r="G215" s="2873">
        <v>0.92310000000000003</v>
      </c>
      <c r="H215" s="2873">
        <v>0.92310000000000003</v>
      </c>
      <c r="I215" s="2873">
        <v>0.77680000000000005</v>
      </c>
      <c r="J215" s="2873">
        <v>0.77680000000000005</v>
      </c>
      <c r="K215" s="2873">
        <v>0.77680000000000005</v>
      </c>
      <c r="L215" s="2873">
        <v>0.77680000000000005</v>
      </c>
      <c r="M215" s="2874">
        <v>0.77680000000000005</v>
      </c>
    </row>
    <row r="216" spans="1:13">
      <c r="A216" s="2875">
        <v>3.9</v>
      </c>
      <c r="B216" s="2873">
        <v>0.93240000000000001</v>
      </c>
      <c r="C216" s="2873">
        <v>0.93240000000000001</v>
      </c>
      <c r="D216" s="2873">
        <v>0.91959999999999997</v>
      </c>
      <c r="E216" s="2873">
        <v>0.91959999999999997</v>
      </c>
      <c r="F216" s="2873">
        <v>0.91959999999999997</v>
      </c>
      <c r="G216" s="2873">
        <v>0.91959999999999997</v>
      </c>
      <c r="H216" s="2873">
        <v>0.91959999999999997</v>
      </c>
      <c r="I216" s="2873">
        <v>0.77270000000000005</v>
      </c>
      <c r="J216" s="2873">
        <v>0.77270000000000005</v>
      </c>
      <c r="K216" s="2873">
        <v>0.77270000000000005</v>
      </c>
      <c r="L216" s="2873">
        <v>0.77270000000000005</v>
      </c>
      <c r="M216" s="2874">
        <v>0.77270000000000005</v>
      </c>
    </row>
    <row r="217" spans="1:13">
      <c r="A217" s="2875">
        <v>4</v>
      </c>
      <c r="B217" s="2873">
        <v>0.92969999999999997</v>
      </c>
      <c r="C217" s="2873">
        <v>0.92969999999999997</v>
      </c>
      <c r="D217" s="2873">
        <v>0.9163</v>
      </c>
      <c r="E217" s="2873">
        <v>0.9163</v>
      </c>
      <c r="F217" s="2873">
        <v>0.9163</v>
      </c>
      <c r="G217" s="2873">
        <v>0.9163</v>
      </c>
      <c r="H217" s="2873">
        <v>0.9163</v>
      </c>
      <c r="I217" s="2873">
        <v>0.76880000000000004</v>
      </c>
      <c r="J217" s="2873">
        <v>0.76880000000000004</v>
      </c>
      <c r="K217" s="2873">
        <v>0.76880000000000004</v>
      </c>
      <c r="L217" s="2873">
        <v>0.76880000000000004</v>
      </c>
      <c r="M217" s="2874">
        <v>0.76880000000000004</v>
      </c>
    </row>
    <row r="218" spans="1:13">
      <c r="A218" s="2875">
        <v>4.0999999999999996</v>
      </c>
      <c r="B218" s="2873">
        <v>0.92720000000000002</v>
      </c>
      <c r="C218" s="2873">
        <v>0.92720000000000002</v>
      </c>
      <c r="D218" s="2873">
        <v>0.91320000000000001</v>
      </c>
      <c r="E218" s="2873">
        <v>0.91320000000000001</v>
      </c>
      <c r="F218" s="2873">
        <v>0.91320000000000001</v>
      </c>
      <c r="G218" s="2873">
        <v>0.91320000000000001</v>
      </c>
      <c r="H218" s="2873">
        <v>0.91320000000000001</v>
      </c>
      <c r="I218" s="2873">
        <v>0.7651</v>
      </c>
      <c r="J218" s="2873">
        <v>0.7651</v>
      </c>
      <c r="K218" s="2873">
        <v>0.7651</v>
      </c>
      <c r="L218" s="2873">
        <v>0.7651</v>
      </c>
      <c r="M218" s="2874">
        <v>0.7651</v>
      </c>
    </row>
    <row r="219" spans="1:13">
      <c r="A219" s="2875">
        <v>4.2</v>
      </c>
      <c r="B219" s="2873">
        <v>0.92479999999999996</v>
      </c>
      <c r="C219" s="2873">
        <v>0.92479999999999996</v>
      </c>
      <c r="D219" s="2873">
        <v>0.91020000000000001</v>
      </c>
      <c r="E219" s="2873">
        <v>0.91020000000000001</v>
      </c>
      <c r="F219" s="2873">
        <v>0.91020000000000001</v>
      </c>
      <c r="G219" s="2873">
        <v>0.91020000000000001</v>
      </c>
      <c r="H219" s="2873">
        <v>0.91020000000000001</v>
      </c>
      <c r="I219" s="2873">
        <v>0.76149999999999995</v>
      </c>
      <c r="J219" s="2873">
        <v>0.76149999999999995</v>
      </c>
      <c r="K219" s="2873">
        <v>0.76149999999999995</v>
      </c>
      <c r="L219" s="2873">
        <v>0.76149999999999995</v>
      </c>
      <c r="M219" s="2874">
        <v>0.76149999999999995</v>
      </c>
    </row>
    <row r="220" spans="1:13">
      <c r="A220" s="2875">
        <v>4.3</v>
      </c>
      <c r="B220" s="2873">
        <v>0.92249999999999999</v>
      </c>
      <c r="C220" s="2873">
        <v>0.92249999999999999</v>
      </c>
      <c r="D220" s="2873">
        <v>0.9073</v>
      </c>
      <c r="E220" s="2873">
        <v>0.9073</v>
      </c>
      <c r="F220" s="2873">
        <v>0.9073</v>
      </c>
      <c r="G220" s="2873">
        <v>0.9073</v>
      </c>
      <c r="H220" s="2873">
        <v>0.9073</v>
      </c>
      <c r="I220" s="2873">
        <v>0.75800000000000001</v>
      </c>
      <c r="J220" s="2873">
        <v>0.75800000000000001</v>
      </c>
      <c r="K220" s="2873">
        <v>0.75800000000000001</v>
      </c>
      <c r="L220" s="2873">
        <v>0.75800000000000001</v>
      </c>
      <c r="M220" s="2874">
        <v>0.75800000000000001</v>
      </c>
    </row>
    <row r="221" spans="1:13">
      <c r="A221" s="2875">
        <v>4.4000000000000004</v>
      </c>
      <c r="B221" s="2873">
        <v>0.92030000000000001</v>
      </c>
      <c r="C221" s="2873">
        <v>0.92030000000000001</v>
      </c>
      <c r="D221" s="2873">
        <v>0.90449999999999997</v>
      </c>
      <c r="E221" s="2873">
        <v>0.90449999999999997</v>
      </c>
      <c r="F221" s="2873">
        <v>0.90449999999999997</v>
      </c>
      <c r="G221" s="2873">
        <v>0.90449999999999997</v>
      </c>
      <c r="H221" s="2873">
        <v>0.90449999999999997</v>
      </c>
      <c r="I221" s="2873">
        <v>0.75460000000000005</v>
      </c>
      <c r="J221" s="2873">
        <v>0.75460000000000005</v>
      </c>
      <c r="K221" s="2873">
        <v>0.75460000000000005</v>
      </c>
      <c r="L221" s="2873">
        <v>0.75460000000000005</v>
      </c>
      <c r="M221" s="2874">
        <v>0.75460000000000005</v>
      </c>
    </row>
    <row r="222" spans="1:13">
      <c r="A222" s="2875">
        <v>4.5</v>
      </c>
      <c r="B222" s="2873">
        <v>0.91810000000000003</v>
      </c>
      <c r="C222" s="2873">
        <v>0.91810000000000003</v>
      </c>
      <c r="D222" s="2873">
        <v>0.90180000000000005</v>
      </c>
      <c r="E222" s="2873">
        <v>0.90180000000000005</v>
      </c>
      <c r="F222" s="2873">
        <v>0.90180000000000005</v>
      </c>
      <c r="G222" s="2873">
        <v>0.90180000000000005</v>
      </c>
      <c r="H222" s="2873">
        <v>0.90180000000000005</v>
      </c>
      <c r="I222" s="2873">
        <v>0.75129999999999997</v>
      </c>
      <c r="J222" s="2873">
        <v>0.75129999999999997</v>
      </c>
      <c r="K222" s="2873">
        <v>0.75129999999999997</v>
      </c>
      <c r="L222" s="2873">
        <v>0.75129999999999997</v>
      </c>
      <c r="M222" s="2874">
        <v>0.75129999999999997</v>
      </c>
    </row>
    <row r="223" spans="1:13">
      <c r="A223" s="2875">
        <v>4.5999999999999996</v>
      </c>
      <c r="B223" s="2873">
        <v>0.91600000000000004</v>
      </c>
      <c r="C223" s="2873">
        <v>0.91600000000000004</v>
      </c>
      <c r="D223" s="2873">
        <v>0.8992</v>
      </c>
      <c r="E223" s="2873">
        <v>0.8992</v>
      </c>
      <c r="F223" s="2873">
        <v>0.8992</v>
      </c>
      <c r="G223" s="2873">
        <v>0.8992</v>
      </c>
      <c r="H223" s="2873">
        <v>0.8992</v>
      </c>
      <c r="I223" s="2873">
        <v>0.748</v>
      </c>
      <c r="J223" s="2873">
        <v>0.748</v>
      </c>
      <c r="K223" s="2873">
        <v>0.748</v>
      </c>
      <c r="L223" s="2873">
        <v>0.748</v>
      </c>
      <c r="M223" s="2874">
        <v>0.748</v>
      </c>
    </row>
    <row r="224" spans="1:13">
      <c r="A224" s="2875">
        <v>4.7</v>
      </c>
      <c r="B224" s="2873">
        <v>0.91390000000000005</v>
      </c>
      <c r="C224" s="2873">
        <v>0.91390000000000005</v>
      </c>
      <c r="D224" s="2873">
        <v>0.89659999999999995</v>
      </c>
      <c r="E224" s="2873">
        <v>0.89659999999999995</v>
      </c>
      <c r="F224" s="2873">
        <v>0.89659999999999995</v>
      </c>
      <c r="G224" s="2873">
        <v>0.89659999999999995</v>
      </c>
      <c r="H224" s="2873">
        <v>0.89659999999999995</v>
      </c>
      <c r="I224" s="2873">
        <v>0.74480000000000002</v>
      </c>
      <c r="J224" s="2873">
        <v>0.74480000000000002</v>
      </c>
      <c r="K224" s="2873">
        <v>0.74480000000000002</v>
      </c>
      <c r="L224" s="2873">
        <v>0.74480000000000002</v>
      </c>
      <c r="M224" s="2874">
        <v>0.74480000000000002</v>
      </c>
    </row>
    <row r="225" spans="1:13">
      <c r="A225" s="2875">
        <v>4.8</v>
      </c>
      <c r="B225" s="2873">
        <v>0.91180000000000005</v>
      </c>
      <c r="C225" s="2873">
        <v>0.91180000000000005</v>
      </c>
      <c r="D225" s="2873">
        <v>0.89410000000000001</v>
      </c>
      <c r="E225" s="2873">
        <v>0.89410000000000001</v>
      </c>
      <c r="F225" s="2873">
        <v>0.89410000000000001</v>
      </c>
      <c r="G225" s="2873">
        <v>0.89410000000000001</v>
      </c>
      <c r="H225" s="2873">
        <v>0.89410000000000001</v>
      </c>
      <c r="I225" s="2873">
        <v>0.74160000000000004</v>
      </c>
      <c r="J225" s="2873">
        <v>0.74160000000000004</v>
      </c>
      <c r="K225" s="2873">
        <v>0.74160000000000004</v>
      </c>
      <c r="L225" s="2873">
        <v>0.74160000000000004</v>
      </c>
      <c r="M225" s="2874">
        <v>0.74160000000000004</v>
      </c>
    </row>
    <row r="226" spans="1:13">
      <c r="A226" s="2875">
        <v>4.9000000000000004</v>
      </c>
      <c r="B226" s="2873">
        <v>0.90980000000000005</v>
      </c>
      <c r="C226" s="2873">
        <v>0.90980000000000005</v>
      </c>
      <c r="D226" s="2873">
        <v>0.89159999999999995</v>
      </c>
      <c r="E226" s="2873">
        <v>0.89159999999999995</v>
      </c>
      <c r="F226" s="2873">
        <v>0.89159999999999995</v>
      </c>
      <c r="G226" s="2873">
        <v>0.89159999999999995</v>
      </c>
      <c r="H226" s="2873">
        <v>0.89159999999999995</v>
      </c>
      <c r="I226" s="2873">
        <v>0.73839999999999995</v>
      </c>
      <c r="J226" s="2873">
        <v>0.73839999999999995</v>
      </c>
      <c r="K226" s="2873">
        <v>0.73839999999999995</v>
      </c>
      <c r="L226" s="2873">
        <v>0.73839999999999995</v>
      </c>
      <c r="M226" s="2874">
        <v>0.73839999999999995</v>
      </c>
    </row>
    <row r="227" spans="1:13">
      <c r="A227" s="2875">
        <v>5</v>
      </c>
      <c r="B227" s="2873">
        <v>0.90780000000000005</v>
      </c>
      <c r="C227" s="2873">
        <v>0.90780000000000005</v>
      </c>
      <c r="D227" s="2873">
        <v>0.8891</v>
      </c>
      <c r="E227" s="2873">
        <v>0.8891</v>
      </c>
      <c r="F227" s="2873">
        <v>0.8891</v>
      </c>
      <c r="G227" s="2873">
        <v>0.8891</v>
      </c>
      <c r="H227" s="2873">
        <v>0.8891</v>
      </c>
      <c r="I227" s="2873">
        <v>0.73529999999999995</v>
      </c>
      <c r="J227" s="2873">
        <v>0.73529999999999995</v>
      </c>
      <c r="K227" s="2873">
        <v>0.73529999999999995</v>
      </c>
      <c r="L227" s="2873">
        <v>0.73529999999999995</v>
      </c>
      <c r="M227" s="2874">
        <v>0.73529999999999995</v>
      </c>
    </row>
    <row r="228" spans="1:13">
      <c r="A228" s="2872">
        <v>5.0999999999999996</v>
      </c>
      <c r="B228" s="2873">
        <v>0.90580000000000005</v>
      </c>
      <c r="C228" s="2873">
        <v>0.90580000000000005</v>
      </c>
      <c r="D228" s="2873">
        <v>0.88670000000000004</v>
      </c>
      <c r="E228" s="2873">
        <v>0.88670000000000004</v>
      </c>
      <c r="F228" s="2873">
        <v>0.88670000000000004</v>
      </c>
      <c r="G228" s="2873">
        <v>0.88670000000000004</v>
      </c>
      <c r="H228" s="2873">
        <v>0.88670000000000004</v>
      </c>
      <c r="I228" s="2873">
        <v>0.73219999999999996</v>
      </c>
      <c r="J228" s="2873">
        <v>0.73219999999999996</v>
      </c>
      <c r="K228" s="2873">
        <v>0.73219999999999996</v>
      </c>
      <c r="L228" s="2873">
        <v>0.73219999999999996</v>
      </c>
      <c r="M228" s="2874">
        <v>0.73219999999999996</v>
      </c>
    </row>
    <row r="229" spans="1:13">
      <c r="A229" s="2872">
        <v>5.2</v>
      </c>
      <c r="B229" s="2873">
        <v>0.90380000000000005</v>
      </c>
      <c r="C229" s="2873">
        <v>0.90380000000000005</v>
      </c>
      <c r="D229" s="2873">
        <v>0.88429999999999997</v>
      </c>
      <c r="E229" s="2873">
        <v>0.88429999999999997</v>
      </c>
      <c r="F229" s="2873">
        <v>0.88429999999999997</v>
      </c>
      <c r="G229" s="2873">
        <v>0.88429999999999997</v>
      </c>
      <c r="H229" s="2873">
        <v>0.88429999999999997</v>
      </c>
      <c r="I229" s="2873">
        <v>0.72909999999999997</v>
      </c>
      <c r="J229" s="2873">
        <v>0.72909999999999997</v>
      </c>
      <c r="K229" s="2873">
        <v>0.72909999999999997</v>
      </c>
      <c r="L229" s="2873">
        <v>0.72909999999999997</v>
      </c>
      <c r="M229" s="2874">
        <v>0.72909999999999997</v>
      </c>
    </row>
    <row r="230" spans="1:13">
      <c r="A230" s="2872">
        <v>5.3</v>
      </c>
      <c r="B230" s="2873">
        <v>0.90190000000000003</v>
      </c>
      <c r="C230" s="2873">
        <v>0.90190000000000003</v>
      </c>
      <c r="D230" s="2873">
        <v>0.88190000000000002</v>
      </c>
      <c r="E230" s="2873">
        <v>0.88190000000000002</v>
      </c>
      <c r="F230" s="2873">
        <v>0.88190000000000002</v>
      </c>
      <c r="G230" s="2873">
        <v>0.88190000000000002</v>
      </c>
      <c r="H230" s="2873">
        <v>0.88190000000000002</v>
      </c>
      <c r="I230" s="2873">
        <v>0.72609999999999997</v>
      </c>
      <c r="J230" s="2873">
        <v>0.72609999999999997</v>
      </c>
      <c r="K230" s="2873">
        <v>0.72609999999999997</v>
      </c>
      <c r="L230" s="2873">
        <v>0.72609999999999997</v>
      </c>
      <c r="M230" s="2874">
        <v>0.72609999999999997</v>
      </c>
    </row>
    <row r="231" spans="1:13">
      <c r="A231" s="2872">
        <v>5.4</v>
      </c>
      <c r="B231" s="2873">
        <v>0.9</v>
      </c>
      <c r="C231" s="2873">
        <v>0.9</v>
      </c>
      <c r="D231" s="2873">
        <v>0.87949999999999995</v>
      </c>
      <c r="E231" s="2873">
        <v>0.87949999999999995</v>
      </c>
      <c r="F231" s="2873">
        <v>0.87949999999999995</v>
      </c>
      <c r="G231" s="2873">
        <v>0.87949999999999995</v>
      </c>
      <c r="H231" s="2873">
        <v>0.87949999999999995</v>
      </c>
      <c r="I231" s="2873">
        <v>0.72309999999999997</v>
      </c>
      <c r="J231" s="2873">
        <v>0.72309999999999997</v>
      </c>
      <c r="K231" s="2873">
        <v>0.72309999999999997</v>
      </c>
      <c r="L231" s="2873">
        <v>0.72309999999999997</v>
      </c>
      <c r="M231" s="2874">
        <v>0.72309999999999997</v>
      </c>
    </row>
    <row r="232" spans="1:13">
      <c r="A232" s="2872">
        <v>5.5</v>
      </c>
      <c r="B232" s="2873">
        <v>0.89810000000000001</v>
      </c>
      <c r="C232" s="2873">
        <v>0.89810000000000001</v>
      </c>
      <c r="D232" s="2873">
        <v>0.87719999999999998</v>
      </c>
      <c r="E232" s="2873">
        <v>0.87719999999999998</v>
      </c>
      <c r="F232" s="2873">
        <v>0.87719999999999998</v>
      </c>
      <c r="G232" s="2873">
        <v>0.87719999999999998</v>
      </c>
      <c r="H232" s="2873">
        <v>0.87719999999999998</v>
      </c>
      <c r="I232" s="2873">
        <v>0.72009999999999996</v>
      </c>
      <c r="J232" s="2873">
        <v>0.72009999999999996</v>
      </c>
      <c r="K232" s="2873">
        <v>0.72009999999999996</v>
      </c>
      <c r="L232" s="2873">
        <v>0.72009999999999996</v>
      </c>
      <c r="M232" s="2874">
        <v>0.72009999999999996</v>
      </c>
    </row>
    <row r="233" spans="1:13">
      <c r="A233" s="2872">
        <v>5.6</v>
      </c>
      <c r="B233" s="2873">
        <v>0.8962</v>
      </c>
      <c r="C233" s="2873">
        <v>0.8962</v>
      </c>
      <c r="D233" s="2873">
        <v>0.87490000000000001</v>
      </c>
      <c r="E233" s="2873">
        <v>0.87490000000000001</v>
      </c>
      <c r="F233" s="2873">
        <v>0.87490000000000001</v>
      </c>
      <c r="G233" s="2873">
        <v>0.87490000000000001</v>
      </c>
      <c r="H233" s="2873">
        <v>0.87490000000000001</v>
      </c>
      <c r="I233" s="2873">
        <v>0.71709999999999996</v>
      </c>
      <c r="J233" s="2873">
        <v>0.71709999999999996</v>
      </c>
      <c r="K233" s="2873">
        <v>0.71709999999999996</v>
      </c>
      <c r="L233" s="2873">
        <v>0.71709999999999996</v>
      </c>
      <c r="M233" s="2874">
        <v>0.71709999999999996</v>
      </c>
    </row>
    <row r="234" spans="1:13">
      <c r="A234" s="2875">
        <v>5.7</v>
      </c>
      <c r="B234" s="2873">
        <v>0.89429999999999998</v>
      </c>
      <c r="C234" s="2873">
        <v>0.89429999999999998</v>
      </c>
      <c r="D234" s="2873">
        <v>0.87260000000000004</v>
      </c>
      <c r="E234" s="2873">
        <v>0.87260000000000004</v>
      </c>
      <c r="F234" s="2873">
        <v>0.87260000000000004</v>
      </c>
      <c r="G234" s="2873">
        <v>0.87260000000000004</v>
      </c>
      <c r="H234" s="2873">
        <v>0.87260000000000004</v>
      </c>
      <c r="I234" s="2873">
        <v>0.71419999999999995</v>
      </c>
      <c r="J234" s="2873">
        <v>0.71419999999999995</v>
      </c>
      <c r="K234" s="2873">
        <v>0.71419999999999995</v>
      </c>
      <c r="L234" s="2873">
        <v>0.71419999999999995</v>
      </c>
      <c r="M234" s="2874">
        <v>0.71419999999999995</v>
      </c>
    </row>
    <row r="235" spans="1:13">
      <c r="A235" s="2872">
        <v>5.8</v>
      </c>
      <c r="B235" s="2873">
        <v>0.89249999999999996</v>
      </c>
      <c r="C235" s="2873">
        <v>0.89249999999999996</v>
      </c>
      <c r="D235" s="2873">
        <v>0.87029999999999996</v>
      </c>
      <c r="E235" s="2873">
        <v>0.87029999999999996</v>
      </c>
      <c r="F235" s="2873">
        <v>0.87029999999999996</v>
      </c>
      <c r="G235" s="2873">
        <v>0.87029999999999996</v>
      </c>
      <c r="H235" s="2873">
        <v>0.87029999999999996</v>
      </c>
      <c r="I235" s="2873">
        <v>0.71130000000000004</v>
      </c>
      <c r="J235" s="2873">
        <v>0.71130000000000004</v>
      </c>
      <c r="K235" s="2873">
        <v>0.71130000000000004</v>
      </c>
      <c r="L235" s="2873">
        <v>0.71130000000000004</v>
      </c>
      <c r="M235" s="2874">
        <v>0.71130000000000004</v>
      </c>
    </row>
    <row r="236" spans="1:13">
      <c r="A236" s="2872">
        <v>5.9</v>
      </c>
      <c r="B236" s="2873">
        <v>0.89070000000000005</v>
      </c>
      <c r="C236" s="2873">
        <v>0.89070000000000005</v>
      </c>
      <c r="D236" s="2873">
        <v>0.86799999999999999</v>
      </c>
      <c r="E236" s="2873">
        <v>0.86799999999999999</v>
      </c>
      <c r="F236" s="2873">
        <v>0.86799999999999999</v>
      </c>
      <c r="G236" s="2873">
        <v>0.86799999999999999</v>
      </c>
      <c r="H236" s="2873">
        <v>0.86799999999999999</v>
      </c>
      <c r="I236" s="2873">
        <v>0.70840000000000003</v>
      </c>
      <c r="J236" s="2873">
        <v>0.70840000000000003</v>
      </c>
      <c r="K236" s="2873">
        <v>0.70840000000000003</v>
      </c>
      <c r="L236" s="2873">
        <v>0.70840000000000003</v>
      </c>
      <c r="M236" s="2874">
        <v>0.70840000000000003</v>
      </c>
    </row>
    <row r="237" spans="1:13">
      <c r="A237" s="2872">
        <v>6</v>
      </c>
      <c r="B237" s="2873">
        <v>0.88890000000000002</v>
      </c>
      <c r="C237" s="2873">
        <v>0.88890000000000002</v>
      </c>
      <c r="D237" s="2873">
        <v>0.86580000000000001</v>
      </c>
      <c r="E237" s="2873">
        <v>0.86580000000000001</v>
      </c>
      <c r="F237" s="2873">
        <v>0.86580000000000001</v>
      </c>
      <c r="G237" s="2873">
        <v>0.86580000000000001</v>
      </c>
      <c r="H237" s="2873">
        <v>0.86580000000000001</v>
      </c>
      <c r="I237" s="2873">
        <v>0.70550000000000002</v>
      </c>
      <c r="J237" s="2873">
        <v>0.70550000000000002</v>
      </c>
      <c r="K237" s="2873">
        <v>0.70550000000000002</v>
      </c>
      <c r="L237" s="2873">
        <v>0.70550000000000002</v>
      </c>
      <c r="M237" s="2874">
        <v>0.70550000000000002</v>
      </c>
    </row>
    <row r="238" spans="1:13">
      <c r="A238" s="2872">
        <v>6.1</v>
      </c>
      <c r="B238" s="2873">
        <v>0.8871</v>
      </c>
      <c r="C238" s="2873">
        <v>0.8871</v>
      </c>
      <c r="D238" s="2873">
        <v>0.86360000000000003</v>
      </c>
      <c r="E238" s="2873">
        <v>0.86360000000000003</v>
      </c>
      <c r="F238" s="2873">
        <v>0.86360000000000003</v>
      </c>
      <c r="G238" s="2873">
        <v>0.86360000000000003</v>
      </c>
      <c r="H238" s="2873">
        <v>0.86360000000000003</v>
      </c>
      <c r="I238" s="2873">
        <v>0.70269999999999999</v>
      </c>
      <c r="J238" s="2873">
        <v>0.70269999999999999</v>
      </c>
      <c r="K238" s="2873">
        <v>0.70269999999999999</v>
      </c>
      <c r="L238" s="2873">
        <v>0.70269999999999999</v>
      </c>
      <c r="M238" s="2874">
        <v>0.70269999999999999</v>
      </c>
    </row>
    <row r="239" spans="1:13">
      <c r="A239" s="2872">
        <v>6.2</v>
      </c>
      <c r="B239" s="2873">
        <v>0.88529999999999998</v>
      </c>
      <c r="C239" s="2873">
        <v>0.88529999999999998</v>
      </c>
      <c r="D239" s="2873">
        <v>0.86140000000000005</v>
      </c>
      <c r="E239" s="2873">
        <v>0.86140000000000005</v>
      </c>
      <c r="F239" s="2873">
        <v>0.86140000000000005</v>
      </c>
      <c r="G239" s="2873">
        <v>0.86140000000000005</v>
      </c>
      <c r="H239" s="2873">
        <v>0.86140000000000005</v>
      </c>
      <c r="I239" s="2873">
        <v>0.69989999999999997</v>
      </c>
      <c r="J239" s="2873">
        <v>0.69989999999999997</v>
      </c>
      <c r="K239" s="2873">
        <v>0.69989999999999997</v>
      </c>
      <c r="L239" s="2873">
        <v>0.69989999999999997</v>
      </c>
      <c r="M239" s="2874">
        <v>0.69989999999999997</v>
      </c>
    </row>
    <row r="240" spans="1:13">
      <c r="A240" s="2872">
        <v>6.3</v>
      </c>
      <c r="B240" s="2873">
        <v>0.88349999999999995</v>
      </c>
      <c r="C240" s="2873">
        <v>0.88349999999999995</v>
      </c>
      <c r="D240" s="2873">
        <v>0.85919999999999996</v>
      </c>
      <c r="E240" s="2873">
        <v>0.85919999999999996</v>
      </c>
      <c r="F240" s="2873">
        <v>0.85919999999999996</v>
      </c>
      <c r="G240" s="2873">
        <v>0.85919999999999996</v>
      </c>
      <c r="H240" s="2873">
        <v>0.85919999999999996</v>
      </c>
      <c r="I240" s="2873">
        <v>0.69710000000000005</v>
      </c>
      <c r="J240" s="2873">
        <v>0.69710000000000005</v>
      </c>
      <c r="K240" s="2873">
        <v>0.69710000000000005</v>
      </c>
      <c r="L240" s="2873">
        <v>0.69710000000000005</v>
      </c>
      <c r="M240" s="2874">
        <v>0.69710000000000005</v>
      </c>
    </row>
    <row r="241" spans="1:13">
      <c r="A241" s="2872">
        <v>6.4</v>
      </c>
      <c r="B241" s="2873">
        <v>0.88180000000000003</v>
      </c>
      <c r="C241" s="2873">
        <v>0.88180000000000003</v>
      </c>
      <c r="D241" s="2873">
        <v>0.85699999999999998</v>
      </c>
      <c r="E241" s="2873">
        <v>0.85699999999999998</v>
      </c>
      <c r="F241" s="2873">
        <v>0.85699999999999998</v>
      </c>
      <c r="G241" s="2873">
        <v>0.85699999999999998</v>
      </c>
      <c r="H241" s="2873">
        <v>0.85699999999999998</v>
      </c>
      <c r="I241" s="2873">
        <v>0.69430000000000003</v>
      </c>
      <c r="J241" s="2873">
        <v>0.69430000000000003</v>
      </c>
      <c r="K241" s="2873">
        <v>0.69430000000000003</v>
      </c>
      <c r="L241" s="2873">
        <v>0.69430000000000003</v>
      </c>
      <c r="M241" s="2874">
        <v>0.69430000000000003</v>
      </c>
    </row>
    <row r="242" spans="1:13">
      <c r="A242" s="2872">
        <v>6.5</v>
      </c>
      <c r="B242" s="2873">
        <v>0.88009999999999999</v>
      </c>
      <c r="C242" s="2873">
        <v>0.88009999999999999</v>
      </c>
      <c r="D242" s="2873">
        <v>0.85489999999999999</v>
      </c>
      <c r="E242" s="2873">
        <v>0.85489999999999999</v>
      </c>
      <c r="F242" s="2873">
        <v>0.85489999999999999</v>
      </c>
      <c r="G242" s="2873">
        <v>0.85489999999999999</v>
      </c>
      <c r="H242" s="2873">
        <v>0.85489999999999999</v>
      </c>
      <c r="I242" s="2873">
        <v>0.69159999999999999</v>
      </c>
      <c r="J242" s="2873">
        <v>0.69159999999999999</v>
      </c>
      <c r="K242" s="2873">
        <v>0.69159999999999999</v>
      </c>
      <c r="L242" s="2873">
        <v>0.69159999999999999</v>
      </c>
      <c r="M242" s="2874">
        <v>0.69159999999999999</v>
      </c>
    </row>
    <row r="243" spans="1:13">
      <c r="A243" s="2872">
        <v>6.6</v>
      </c>
      <c r="B243" s="2873">
        <v>0.87839999999999996</v>
      </c>
      <c r="C243" s="2873">
        <v>0.87839999999999996</v>
      </c>
      <c r="D243" s="2873">
        <v>0.8528</v>
      </c>
      <c r="E243" s="2873">
        <v>0.8528</v>
      </c>
      <c r="F243" s="2873">
        <v>0.8528</v>
      </c>
      <c r="G243" s="2873">
        <v>0.8528</v>
      </c>
      <c r="H243" s="2873">
        <v>0.8528</v>
      </c>
      <c r="I243" s="2873">
        <v>0.68889999999999996</v>
      </c>
      <c r="J243" s="2873">
        <v>0.68889999999999996</v>
      </c>
      <c r="K243" s="2873">
        <v>0.68889999999999996</v>
      </c>
      <c r="L243" s="2873">
        <v>0.68889999999999996</v>
      </c>
      <c r="M243" s="2874">
        <v>0.68889999999999996</v>
      </c>
    </row>
    <row r="244" spans="1:13">
      <c r="A244" s="2872">
        <v>6.7</v>
      </c>
      <c r="B244" s="2873">
        <v>0.87670000000000003</v>
      </c>
      <c r="C244" s="2873">
        <v>0.87670000000000003</v>
      </c>
      <c r="D244" s="2873">
        <v>0.85070000000000001</v>
      </c>
      <c r="E244" s="2873">
        <v>0.85070000000000001</v>
      </c>
      <c r="F244" s="2873">
        <v>0.85070000000000001</v>
      </c>
      <c r="G244" s="2873">
        <v>0.85070000000000001</v>
      </c>
      <c r="H244" s="2873">
        <v>0.85070000000000001</v>
      </c>
      <c r="I244" s="2873">
        <v>0.68620000000000003</v>
      </c>
      <c r="J244" s="2873">
        <v>0.68620000000000003</v>
      </c>
      <c r="K244" s="2873">
        <v>0.68620000000000003</v>
      </c>
      <c r="L244" s="2873">
        <v>0.68620000000000003</v>
      </c>
      <c r="M244" s="2874">
        <v>0.68620000000000003</v>
      </c>
    </row>
    <row r="245" spans="1:13">
      <c r="A245" s="2872">
        <v>6.8</v>
      </c>
      <c r="B245" s="2873">
        <v>0.875</v>
      </c>
      <c r="C245" s="2873">
        <v>0.875</v>
      </c>
      <c r="D245" s="2873">
        <v>0.84860000000000002</v>
      </c>
      <c r="E245" s="2873">
        <v>0.84860000000000002</v>
      </c>
      <c r="F245" s="2873">
        <v>0.84860000000000002</v>
      </c>
      <c r="G245" s="2873">
        <v>0.84860000000000002</v>
      </c>
      <c r="H245" s="2873">
        <v>0.84860000000000002</v>
      </c>
      <c r="I245" s="2873">
        <v>0.6835</v>
      </c>
      <c r="J245" s="2873">
        <v>0.6835</v>
      </c>
      <c r="K245" s="2873">
        <v>0.6835</v>
      </c>
      <c r="L245" s="2873">
        <v>0.6835</v>
      </c>
      <c r="M245" s="2874">
        <v>0.6835</v>
      </c>
    </row>
    <row r="246" spans="1:13">
      <c r="A246" s="2872">
        <v>6.9</v>
      </c>
      <c r="B246" s="2873">
        <v>0.87329999999999997</v>
      </c>
      <c r="C246" s="2873">
        <v>0.87329999999999997</v>
      </c>
      <c r="D246" s="2873">
        <v>0.84650000000000003</v>
      </c>
      <c r="E246" s="2873">
        <v>0.84650000000000003</v>
      </c>
      <c r="F246" s="2873">
        <v>0.84650000000000003</v>
      </c>
      <c r="G246" s="2873">
        <v>0.84650000000000003</v>
      </c>
      <c r="H246" s="2873">
        <v>0.84650000000000003</v>
      </c>
      <c r="I246" s="2873">
        <v>0.68089999999999995</v>
      </c>
      <c r="J246" s="2873">
        <v>0.68089999999999995</v>
      </c>
      <c r="K246" s="2873">
        <v>0.68089999999999995</v>
      </c>
      <c r="L246" s="2873">
        <v>0.68089999999999995</v>
      </c>
      <c r="M246" s="2874">
        <v>0.68089999999999995</v>
      </c>
    </row>
    <row r="247" spans="1:13">
      <c r="A247" s="2872">
        <v>7</v>
      </c>
      <c r="B247" s="2873">
        <v>0.87170000000000003</v>
      </c>
      <c r="C247" s="2873">
        <v>0.87170000000000003</v>
      </c>
      <c r="D247" s="2873">
        <v>0.84450000000000003</v>
      </c>
      <c r="E247" s="2873">
        <v>0.84450000000000003</v>
      </c>
      <c r="F247" s="2873">
        <v>0.84450000000000003</v>
      </c>
      <c r="G247" s="2873">
        <v>0.84450000000000003</v>
      </c>
      <c r="H247" s="2873">
        <v>0.84450000000000003</v>
      </c>
      <c r="I247" s="2873">
        <v>0.67830000000000001</v>
      </c>
      <c r="J247" s="2873">
        <v>0.67830000000000001</v>
      </c>
      <c r="K247" s="2873">
        <v>0.67830000000000001</v>
      </c>
      <c r="L247" s="2873">
        <v>0.67830000000000001</v>
      </c>
      <c r="M247" s="2874">
        <v>0.67830000000000001</v>
      </c>
    </row>
    <row r="248" spans="1:13">
      <c r="A248" s="2872">
        <v>7.1</v>
      </c>
      <c r="B248" s="2873">
        <v>0.87009999999999998</v>
      </c>
      <c r="C248" s="2873">
        <v>0.87009999999999998</v>
      </c>
      <c r="D248" s="2873">
        <v>0.84250000000000003</v>
      </c>
      <c r="E248" s="2873">
        <v>0.84250000000000003</v>
      </c>
      <c r="F248" s="2873">
        <v>0.84250000000000003</v>
      </c>
      <c r="G248" s="2873">
        <v>0.84250000000000003</v>
      </c>
      <c r="H248" s="2873">
        <v>0.84250000000000003</v>
      </c>
      <c r="I248" s="2873">
        <v>0.67569999999999997</v>
      </c>
      <c r="J248" s="2873">
        <v>0.67569999999999997</v>
      </c>
      <c r="K248" s="2873">
        <v>0.67569999999999997</v>
      </c>
      <c r="L248" s="2873">
        <v>0.67569999999999997</v>
      </c>
      <c r="M248" s="2874">
        <v>0.67569999999999997</v>
      </c>
    </row>
    <row r="249" spans="1:13">
      <c r="A249" s="2872">
        <v>7.2</v>
      </c>
      <c r="B249" s="2873">
        <v>0.86850000000000005</v>
      </c>
      <c r="C249" s="2873">
        <v>0.86850000000000005</v>
      </c>
      <c r="D249" s="2873">
        <v>0.84050000000000002</v>
      </c>
      <c r="E249" s="2873">
        <v>0.84050000000000002</v>
      </c>
      <c r="F249" s="2873">
        <v>0.84050000000000002</v>
      </c>
      <c r="G249" s="2873">
        <v>0.84050000000000002</v>
      </c>
      <c r="H249" s="2873">
        <v>0.84050000000000002</v>
      </c>
      <c r="I249" s="2873">
        <v>0.67310000000000003</v>
      </c>
      <c r="J249" s="2873">
        <v>0.67310000000000003</v>
      </c>
      <c r="K249" s="2873">
        <v>0.67310000000000003</v>
      </c>
      <c r="L249" s="2873">
        <v>0.67310000000000003</v>
      </c>
      <c r="M249" s="2874">
        <v>0.67310000000000003</v>
      </c>
    </row>
    <row r="250" spans="1:13">
      <c r="A250" s="2872">
        <v>7.3</v>
      </c>
      <c r="B250" s="2873">
        <v>0.8669</v>
      </c>
      <c r="C250" s="2873">
        <v>0.8669</v>
      </c>
      <c r="D250" s="2873">
        <v>0.83850000000000002</v>
      </c>
      <c r="E250" s="2873">
        <v>0.83850000000000002</v>
      </c>
      <c r="F250" s="2873">
        <v>0.83850000000000002</v>
      </c>
      <c r="G250" s="2873">
        <v>0.83850000000000002</v>
      </c>
      <c r="H250" s="2873">
        <v>0.83850000000000002</v>
      </c>
      <c r="I250" s="2873">
        <v>0.67059999999999997</v>
      </c>
      <c r="J250" s="2873">
        <v>0.67059999999999997</v>
      </c>
      <c r="K250" s="2873">
        <v>0.67059999999999997</v>
      </c>
      <c r="L250" s="2873">
        <v>0.67059999999999997</v>
      </c>
      <c r="M250" s="2874">
        <v>0.67059999999999997</v>
      </c>
    </row>
    <row r="251" spans="1:13">
      <c r="A251" s="2872">
        <v>7.4</v>
      </c>
      <c r="B251" s="2873">
        <v>0.86529999999999996</v>
      </c>
      <c r="C251" s="2873">
        <v>0.86529999999999996</v>
      </c>
      <c r="D251" s="2873">
        <v>0.83650000000000002</v>
      </c>
      <c r="E251" s="2873">
        <v>0.83650000000000002</v>
      </c>
      <c r="F251" s="2873">
        <v>0.83650000000000002</v>
      </c>
      <c r="G251" s="2873">
        <v>0.83650000000000002</v>
      </c>
      <c r="H251" s="2873">
        <v>0.83650000000000002</v>
      </c>
      <c r="I251" s="2873">
        <v>0.66810000000000003</v>
      </c>
      <c r="J251" s="2873">
        <v>0.66810000000000003</v>
      </c>
      <c r="K251" s="2873">
        <v>0.66810000000000003</v>
      </c>
      <c r="L251" s="2873">
        <v>0.66810000000000003</v>
      </c>
      <c r="M251" s="2874">
        <v>0.66810000000000003</v>
      </c>
    </row>
    <row r="252" spans="1:13">
      <c r="A252" s="2872">
        <v>7.5</v>
      </c>
      <c r="B252" s="2873">
        <v>0.86370000000000002</v>
      </c>
      <c r="C252" s="2873">
        <v>0.86370000000000002</v>
      </c>
      <c r="D252" s="2873">
        <v>0.83460000000000001</v>
      </c>
      <c r="E252" s="2873">
        <v>0.83460000000000001</v>
      </c>
      <c r="F252" s="2873">
        <v>0.83460000000000001</v>
      </c>
      <c r="G252" s="2873">
        <v>0.83460000000000001</v>
      </c>
      <c r="H252" s="2873">
        <v>0.83460000000000001</v>
      </c>
      <c r="I252" s="2873">
        <v>0.66559999999999997</v>
      </c>
      <c r="J252" s="2873">
        <v>0.66559999999999997</v>
      </c>
      <c r="K252" s="2873">
        <v>0.66559999999999997</v>
      </c>
      <c r="L252" s="2873">
        <v>0.66559999999999997</v>
      </c>
      <c r="M252" s="2874">
        <v>0.66559999999999997</v>
      </c>
    </row>
    <row r="253" spans="1:13">
      <c r="A253" s="2872">
        <v>7.6</v>
      </c>
      <c r="B253" s="2873">
        <v>0.86219999999999997</v>
      </c>
      <c r="C253" s="2873">
        <v>0.86219999999999997</v>
      </c>
      <c r="D253" s="2873">
        <v>0.8327</v>
      </c>
      <c r="E253" s="2873">
        <v>0.8327</v>
      </c>
      <c r="F253" s="2873">
        <v>0.8327</v>
      </c>
      <c r="G253" s="2873">
        <v>0.8327</v>
      </c>
      <c r="H253" s="2873">
        <v>0.8327</v>
      </c>
      <c r="I253" s="2873">
        <v>0.66310000000000002</v>
      </c>
      <c r="J253" s="2873">
        <v>0.66310000000000002</v>
      </c>
      <c r="K253" s="2873">
        <v>0.66310000000000002</v>
      </c>
      <c r="L253" s="2873">
        <v>0.66310000000000002</v>
      </c>
      <c r="M253" s="2874">
        <v>0.66310000000000002</v>
      </c>
    </row>
    <row r="254" spans="1:13">
      <c r="A254" s="2872">
        <v>7.7</v>
      </c>
      <c r="B254" s="2873">
        <v>0.86070000000000002</v>
      </c>
      <c r="C254" s="2873">
        <v>0.86070000000000002</v>
      </c>
      <c r="D254" s="2873">
        <v>0.83079999999999998</v>
      </c>
      <c r="E254" s="2873">
        <v>0.83079999999999998</v>
      </c>
      <c r="F254" s="2873">
        <v>0.83079999999999998</v>
      </c>
      <c r="G254" s="2873">
        <v>0.83079999999999998</v>
      </c>
      <c r="H254" s="2873">
        <v>0.83079999999999998</v>
      </c>
      <c r="I254" s="2873">
        <v>0.66069999999999995</v>
      </c>
      <c r="J254" s="2873">
        <v>0.66069999999999995</v>
      </c>
      <c r="K254" s="2873">
        <v>0.66069999999999995</v>
      </c>
      <c r="L254" s="2873">
        <v>0.66069999999999995</v>
      </c>
      <c r="M254" s="2874">
        <v>0.66069999999999995</v>
      </c>
    </row>
    <row r="255" spans="1:13">
      <c r="A255" s="2872">
        <v>7.8</v>
      </c>
      <c r="B255" s="2873">
        <v>0.85919999999999996</v>
      </c>
      <c r="C255" s="2873">
        <v>0.85919999999999996</v>
      </c>
      <c r="D255" s="2873">
        <v>0.82889999999999997</v>
      </c>
      <c r="E255" s="2873">
        <v>0.82889999999999997</v>
      </c>
      <c r="F255" s="2873">
        <v>0.82889999999999997</v>
      </c>
      <c r="G255" s="2873">
        <v>0.82889999999999997</v>
      </c>
      <c r="H255" s="2873">
        <v>0.82889999999999997</v>
      </c>
      <c r="I255" s="2873">
        <v>0.6583</v>
      </c>
      <c r="J255" s="2873">
        <v>0.6583</v>
      </c>
      <c r="K255" s="2873">
        <v>0.6583</v>
      </c>
      <c r="L255" s="2873">
        <v>0.6583</v>
      </c>
      <c r="M255" s="2874">
        <v>0.6583</v>
      </c>
    </row>
    <row r="256" spans="1:13">
      <c r="A256" s="2872">
        <v>7.9</v>
      </c>
      <c r="B256" s="2873">
        <v>0.85770000000000002</v>
      </c>
      <c r="C256" s="2873">
        <v>0.85770000000000002</v>
      </c>
      <c r="D256" s="2873">
        <v>0.82699999999999996</v>
      </c>
      <c r="E256" s="2873">
        <v>0.82699999999999996</v>
      </c>
      <c r="F256" s="2873">
        <v>0.82699999999999996</v>
      </c>
      <c r="G256" s="2873">
        <v>0.82699999999999996</v>
      </c>
      <c r="H256" s="2873">
        <v>0.82699999999999996</v>
      </c>
      <c r="I256" s="2873">
        <v>0.65590000000000004</v>
      </c>
      <c r="J256" s="2873">
        <v>0.65590000000000004</v>
      </c>
      <c r="K256" s="2873">
        <v>0.65590000000000004</v>
      </c>
      <c r="L256" s="2873">
        <v>0.65590000000000004</v>
      </c>
      <c r="M256" s="2874">
        <v>0.65590000000000004</v>
      </c>
    </row>
    <row r="257" spans="1:13">
      <c r="A257" s="2872">
        <v>8</v>
      </c>
      <c r="B257" s="2873">
        <v>0.85619999999999996</v>
      </c>
      <c r="C257" s="2873">
        <v>0.85619999999999996</v>
      </c>
      <c r="D257" s="2873">
        <v>0.82509999999999994</v>
      </c>
      <c r="E257" s="2873">
        <v>0.82509999999999994</v>
      </c>
      <c r="F257" s="2873">
        <v>0.82509999999999994</v>
      </c>
      <c r="G257" s="2873">
        <v>0.82509999999999994</v>
      </c>
      <c r="H257" s="2873">
        <v>0.82509999999999994</v>
      </c>
      <c r="I257" s="2873">
        <v>0.65349999999999997</v>
      </c>
      <c r="J257" s="2873">
        <v>0.65349999999999997</v>
      </c>
      <c r="K257" s="2873">
        <v>0.65349999999999997</v>
      </c>
      <c r="L257" s="2873">
        <v>0.65349999999999997</v>
      </c>
      <c r="M257" s="2874">
        <v>0.65349999999999997</v>
      </c>
    </row>
    <row r="258" spans="1:13">
      <c r="A258" s="2872">
        <v>8.1</v>
      </c>
      <c r="B258" s="2873">
        <v>0.85470000000000002</v>
      </c>
      <c r="C258" s="2873">
        <v>0.85470000000000002</v>
      </c>
      <c r="D258" s="2873">
        <v>0.82330000000000003</v>
      </c>
      <c r="E258" s="2873">
        <v>0.82330000000000003</v>
      </c>
      <c r="F258" s="2873">
        <v>0.82330000000000003</v>
      </c>
      <c r="G258" s="2873">
        <v>0.82330000000000003</v>
      </c>
      <c r="H258" s="2873">
        <v>0.82330000000000003</v>
      </c>
      <c r="I258" s="2873">
        <v>0.6512</v>
      </c>
      <c r="J258" s="2873">
        <v>0.6512</v>
      </c>
      <c r="K258" s="2873">
        <v>0.6512</v>
      </c>
      <c r="L258" s="2873">
        <v>0.6512</v>
      </c>
      <c r="M258" s="2874">
        <v>0.6512</v>
      </c>
    </row>
    <row r="259" spans="1:13">
      <c r="A259" s="2872">
        <v>8.1999999999999993</v>
      </c>
      <c r="B259" s="2873">
        <v>0.85329999999999995</v>
      </c>
      <c r="C259" s="2873">
        <v>0.85329999999999995</v>
      </c>
      <c r="D259" s="2873">
        <v>0.82150000000000001</v>
      </c>
      <c r="E259" s="2873">
        <v>0.82150000000000001</v>
      </c>
      <c r="F259" s="2873">
        <v>0.82150000000000001</v>
      </c>
      <c r="G259" s="2873">
        <v>0.82150000000000001</v>
      </c>
      <c r="H259" s="2873">
        <v>0.82150000000000001</v>
      </c>
      <c r="I259" s="2873">
        <v>0.64890000000000003</v>
      </c>
      <c r="J259" s="2873">
        <v>0.64890000000000003</v>
      </c>
      <c r="K259" s="2873">
        <v>0.64890000000000003</v>
      </c>
      <c r="L259" s="2873">
        <v>0.64890000000000003</v>
      </c>
      <c r="M259" s="2874">
        <v>0.64890000000000003</v>
      </c>
    </row>
    <row r="260" spans="1:13">
      <c r="A260" s="2872">
        <v>8.3000000000000007</v>
      </c>
      <c r="B260" s="2873">
        <v>0.85189999999999999</v>
      </c>
      <c r="C260" s="2873">
        <v>0.85189999999999999</v>
      </c>
      <c r="D260" s="2873">
        <v>0.81969999999999998</v>
      </c>
      <c r="E260" s="2873">
        <v>0.81969999999999998</v>
      </c>
      <c r="F260" s="2873">
        <v>0.81969999999999998</v>
      </c>
      <c r="G260" s="2873">
        <v>0.81969999999999998</v>
      </c>
      <c r="H260" s="2873">
        <v>0.81969999999999998</v>
      </c>
      <c r="I260" s="2873">
        <v>0.64659999999999995</v>
      </c>
      <c r="J260" s="2873">
        <v>0.64659999999999995</v>
      </c>
      <c r="K260" s="2873">
        <v>0.64659999999999995</v>
      </c>
      <c r="L260" s="2873">
        <v>0.64659999999999995</v>
      </c>
      <c r="M260" s="2874">
        <v>0.64659999999999995</v>
      </c>
    </row>
    <row r="261" spans="1:13">
      <c r="A261" s="2872">
        <v>8.4</v>
      </c>
      <c r="B261" s="2873">
        <v>0.85050000000000003</v>
      </c>
      <c r="C261" s="2873">
        <v>0.85050000000000003</v>
      </c>
      <c r="D261" s="2873">
        <v>0.81789999999999996</v>
      </c>
      <c r="E261" s="2873">
        <v>0.81789999999999996</v>
      </c>
      <c r="F261" s="2873">
        <v>0.81789999999999996</v>
      </c>
      <c r="G261" s="2873">
        <v>0.81789999999999996</v>
      </c>
      <c r="H261" s="2873">
        <v>0.81789999999999996</v>
      </c>
      <c r="I261" s="2873">
        <v>0.64429999999999998</v>
      </c>
      <c r="J261" s="2873">
        <v>0.64429999999999998</v>
      </c>
      <c r="K261" s="2873">
        <v>0.64429999999999998</v>
      </c>
      <c r="L261" s="2873">
        <v>0.64429999999999998</v>
      </c>
      <c r="M261" s="2874">
        <v>0.64429999999999998</v>
      </c>
    </row>
    <row r="262" spans="1:13">
      <c r="A262" s="2872">
        <v>8.5</v>
      </c>
      <c r="B262" s="2873">
        <v>0.84909999999999997</v>
      </c>
      <c r="C262" s="2873">
        <v>0.84909999999999997</v>
      </c>
      <c r="D262" s="2873">
        <v>0.81610000000000005</v>
      </c>
      <c r="E262" s="2873">
        <v>0.81610000000000005</v>
      </c>
      <c r="F262" s="2873">
        <v>0.81610000000000005</v>
      </c>
      <c r="G262" s="2873">
        <v>0.81610000000000005</v>
      </c>
      <c r="H262" s="2873">
        <v>0.81610000000000005</v>
      </c>
      <c r="I262" s="2873">
        <v>0.6421</v>
      </c>
      <c r="J262" s="2873">
        <v>0.6421</v>
      </c>
      <c r="K262" s="2873">
        <v>0.6421</v>
      </c>
      <c r="L262" s="2873">
        <v>0.6421</v>
      </c>
      <c r="M262" s="2874">
        <v>0.6421</v>
      </c>
    </row>
    <row r="263" spans="1:13">
      <c r="A263" s="2872">
        <v>8.6</v>
      </c>
      <c r="B263" s="2873">
        <v>0.84770000000000001</v>
      </c>
      <c r="C263" s="2873">
        <v>0.84770000000000001</v>
      </c>
      <c r="D263" s="2873">
        <v>0.81440000000000001</v>
      </c>
      <c r="E263" s="2873">
        <v>0.81440000000000001</v>
      </c>
      <c r="F263" s="2873">
        <v>0.81440000000000001</v>
      </c>
      <c r="G263" s="2873">
        <v>0.81440000000000001</v>
      </c>
      <c r="H263" s="2873">
        <v>0.81440000000000001</v>
      </c>
      <c r="I263" s="2873">
        <v>0.63990000000000002</v>
      </c>
      <c r="J263" s="2873">
        <v>0.63990000000000002</v>
      </c>
      <c r="K263" s="2873">
        <v>0.63990000000000002</v>
      </c>
      <c r="L263" s="2873">
        <v>0.63990000000000002</v>
      </c>
      <c r="M263" s="2874">
        <v>0.63990000000000002</v>
      </c>
    </row>
    <row r="264" spans="1:13">
      <c r="A264" s="2872">
        <v>8.6999999999999993</v>
      </c>
      <c r="B264" s="2873">
        <v>0.84630000000000005</v>
      </c>
      <c r="C264" s="2873">
        <v>0.84630000000000005</v>
      </c>
      <c r="D264" s="2873">
        <v>0.81269999999999998</v>
      </c>
      <c r="E264" s="2873">
        <v>0.81269999999999998</v>
      </c>
      <c r="F264" s="2873">
        <v>0.81269999999999998</v>
      </c>
      <c r="G264" s="2873">
        <v>0.81269999999999998</v>
      </c>
      <c r="H264" s="2873">
        <v>0.81269999999999998</v>
      </c>
      <c r="I264" s="2873">
        <v>0.63770000000000004</v>
      </c>
      <c r="J264" s="2873">
        <v>0.63770000000000004</v>
      </c>
      <c r="K264" s="2873">
        <v>0.63770000000000004</v>
      </c>
      <c r="L264" s="2873">
        <v>0.63770000000000004</v>
      </c>
      <c r="M264" s="2874">
        <v>0.63770000000000004</v>
      </c>
    </row>
    <row r="265" spans="1:13">
      <c r="A265" s="2872">
        <v>8.8000000000000007</v>
      </c>
      <c r="B265" s="2873">
        <v>0.84489999999999998</v>
      </c>
      <c r="C265" s="2873">
        <v>0.84489999999999998</v>
      </c>
      <c r="D265" s="2873">
        <v>0.81100000000000005</v>
      </c>
      <c r="E265" s="2873">
        <v>0.81100000000000005</v>
      </c>
      <c r="F265" s="2873">
        <v>0.81100000000000005</v>
      </c>
      <c r="G265" s="2873">
        <v>0.81100000000000005</v>
      </c>
      <c r="H265" s="2873">
        <v>0.81100000000000005</v>
      </c>
      <c r="I265" s="2873">
        <v>0.63549999999999995</v>
      </c>
      <c r="J265" s="2873">
        <v>0.63549999999999995</v>
      </c>
      <c r="K265" s="2873">
        <v>0.63549999999999995</v>
      </c>
      <c r="L265" s="2873">
        <v>0.63549999999999995</v>
      </c>
      <c r="M265" s="2874">
        <v>0.63549999999999995</v>
      </c>
    </row>
    <row r="266" spans="1:13">
      <c r="A266" s="2872">
        <v>8.9</v>
      </c>
      <c r="B266" s="2873">
        <v>0.84360000000000002</v>
      </c>
      <c r="C266" s="2873">
        <v>0.84360000000000002</v>
      </c>
      <c r="D266" s="2873">
        <v>0.80930000000000002</v>
      </c>
      <c r="E266" s="2873">
        <v>0.80930000000000002</v>
      </c>
      <c r="F266" s="2873">
        <v>0.80930000000000002</v>
      </c>
      <c r="G266" s="2873">
        <v>0.80930000000000002</v>
      </c>
      <c r="H266" s="2873">
        <v>0.80930000000000002</v>
      </c>
      <c r="I266" s="2873">
        <v>0.63339999999999996</v>
      </c>
      <c r="J266" s="2873">
        <v>0.63339999999999996</v>
      </c>
      <c r="K266" s="2873">
        <v>0.63339999999999996</v>
      </c>
      <c r="L266" s="2873">
        <v>0.63339999999999996</v>
      </c>
      <c r="M266" s="2874">
        <v>0.63339999999999996</v>
      </c>
    </row>
    <row r="267" spans="1:13">
      <c r="A267" s="2875">
        <v>9</v>
      </c>
      <c r="B267" s="2873">
        <v>0.84230000000000005</v>
      </c>
      <c r="C267" s="2873">
        <v>0.84230000000000005</v>
      </c>
      <c r="D267" s="2873">
        <v>0.80759999999999998</v>
      </c>
      <c r="E267" s="2873">
        <v>0.80759999999999998</v>
      </c>
      <c r="F267" s="2873">
        <v>0.80759999999999998</v>
      </c>
      <c r="G267" s="2873">
        <v>0.80759999999999998</v>
      </c>
      <c r="H267" s="2873">
        <v>0.80759999999999998</v>
      </c>
      <c r="I267" s="2873">
        <v>0.63129999999999997</v>
      </c>
      <c r="J267" s="2873">
        <v>0.63129999999999997</v>
      </c>
      <c r="K267" s="2873">
        <v>0.63129999999999997</v>
      </c>
      <c r="L267" s="2873">
        <v>0.63129999999999997</v>
      </c>
      <c r="M267" s="2874">
        <v>0.63129999999999997</v>
      </c>
    </row>
    <row r="268" spans="1:13">
      <c r="A268" s="2875">
        <v>9.1</v>
      </c>
      <c r="B268" s="2873">
        <v>0.84099999999999997</v>
      </c>
      <c r="C268" s="2873">
        <v>0.84099999999999997</v>
      </c>
      <c r="D268" s="2873">
        <v>0.80600000000000005</v>
      </c>
      <c r="E268" s="2873">
        <v>0.80600000000000005</v>
      </c>
      <c r="F268" s="2873">
        <v>0.80600000000000005</v>
      </c>
      <c r="G268" s="2873">
        <v>0.80600000000000005</v>
      </c>
      <c r="H268" s="2873">
        <v>0.80600000000000005</v>
      </c>
      <c r="I268" s="2873">
        <v>0.62919999999999998</v>
      </c>
      <c r="J268" s="2873">
        <v>0.62919999999999998</v>
      </c>
      <c r="K268" s="2873">
        <v>0.62919999999999998</v>
      </c>
      <c r="L268" s="2873">
        <v>0.62919999999999998</v>
      </c>
      <c r="M268" s="2874">
        <v>0.62919999999999998</v>
      </c>
    </row>
    <row r="269" spans="1:13">
      <c r="A269" s="2875">
        <v>9.1999999999999993</v>
      </c>
      <c r="B269" s="2873">
        <v>0.8397</v>
      </c>
      <c r="C269" s="2873">
        <v>0.8397</v>
      </c>
      <c r="D269" s="2873">
        <v>0.8044</v>
      </c>
      <c r="E269" s="2873">
        <v>0.8044</v>
      </c>
      <c r="F269" s="2873">
        <v>0.8044</v>
      </c>
      <c r="G269" s="2873">
        <v>0.8044</v>
      </c>
      <c r="H269" s="2873">
        <v>0.8044</v>
      </c>
      <c r="I269" s="2873">
        <v>0.62709999999999999</v>
      </c>
      <c r="J269" s="2873">
        <v>0.62709999999999999</v>
      </c>
      <c r="K269" s="2873">
        <v>0.62709999999999999</v>
      </c>
      <c r="L269" s="2873">
        <v>0.62709999999999999</v>
      </c>
      <c r="M269" s="2874">
        <v>0.62709999999999999</v>
      </c>
    </row>
    <row r="270" spans="1:13">
      <c r="A270" s="2875">
        <v>9.3000000000000007</v>
      </c>
      <c r="B270" s="2873">
        <v>0.83840000000000003</v>
      </c>
      <c r="C270" s="2873">
        <v>0.83840000000000003</v>
      </c>
      <c r="D270" s="2873">
        <v>0.80279999999999996</v>
      </c>
      <c r="E270" s="2873">
        <v>0.80279999999999996</v>
      </c>
      <c r="F270" s="2873">
        <v>0.80279999999999996</v>
      </c>
      <c r="G270" s="2873">
        <v>0.80279999999999996</v>
      </c>
      <c r="H270" s="2873">
        <v>0.80279999999999996</v>
      </c>
      <c r="I270" s="2873">
        <v>0.62509999999999999</v>
      </c>
      <c r="J270" s="2873">
        <v>0.62509999999999999</v>
      </c>
      <c r="K270" s="2873">
        <v>0.62509999999999999</v>
      </c>
      <c r="L270" s="2873">
        <v>0.62509999999999999</v>
      </c>
      <c r="M270" s="2874">
        <v>0.62509999999999999</v>
      </c>
    </row>
    <row r="271" spans="1:13">
      <c r="A271" s="2875">
        <v>9.4</v>
      </c>
      <c r="B271" s="2873">
        <v>0.83709999999999996</v>
      </c>
      <c r="C271" s="2873">
        <v>0.83709999999999996</v>
      </c>
      <c r="D271" s="2873">
        <v>0.80120000000000002</v>
      </c>
      <c r="E271" s="2873">
        <v>0.80120000000000002</v>
      </c>
      <c r="F271" s="2873">
        <v>0.80120000000000002</v>
      </c>
      <c r="G271" s="2873">
        <v>0.80120000000000002</v>
      </c>
      <c r="H271" s="2873">
        <v>0.80120000000000002</v>
      </c>
      <c r="I271" s="2873">
        <v>0.62309999999999999</v>
      </c>
      <c r="J271" s="2873">
        <v>0.62309999999999999</v>
      </c>
      <c r="K271" s="2873">
        <v>0.62309999999999999</v>
      </c>
      <c r="L271" s="2873">
        <v>0.62309999999999999</v>
      </c>
      <c r="M271" s="2874">
        <v>0.62309999999999999</v>
      </c>
    </row>
    <row r="272" spans="1:13">
      <c r="A272" s="2875">
        <v>9.5</v>
      </c>
      <c r="B272" s="2873">
        <v>0.83579999999999999</v>
      </c>
      <c r="C272" s="2873">
        <v>0.83579999999999999</v>
      </c>
      <c r="D272" s="2873">
        <v>0.79959999999999998</v>
      </c>
      <c r="E272" s="2873">
        <v>0.79959999999999998</v>
      </c>
      <c r="F272" s="2873">
        <v>0.79959999999999998</v>
      </c>
      <c r="G272" s="2873">
        <v>0.79959999999999998</v>
      </c>
      <c r="H272" s="2873">
        <v>0.79959999999999998</v>
      </c>
      <c r="I272" s="2873">
        <v>0.62109999999999999</v>
      </c>
      <c r="J272" s="2873">
        <v>0.62109999999999999</v>
      </c>
      <c r="K272" s="2873">
        <v>0.62109999999999999</v>
      </c>
      <c r="L272" s="2873">
        <v>0.62109999999999999</v>
      </c>
      <c r="M272" s="2874">
        <v>0.62109999999999999</v>
      </c>
    </row>
    <row r="273" spans="1:21">
      <c r="A273" s="2875">
        <v>9.6</v>
      </c>
      <c r="B273" s="2873">
        <v>0.83460000000000001</v>
      </c>
      <c r="C273" s="2873">
        <v>0.83460000000000001</v>
      </c>
      <c r="D273" s="2873">
        <v>0.79800000000000004</v>
      </c>
      <c r="E273" s="2873">
        <v>0.79800000000000004</v>
      </c>
      <c r="F273" s="2873">
        <v>0.79800000000000004</v>
      </c>
      <c r="G273" s="2873">
        <v>0.79800000000000004</v>
      </c>
      <c r="H273" s="2873">
        <v>0.79800000000000004</v>
      </c>
      <c r="I273" s="2873">
        <v>0.61909999999999998</v>
      </c>
      <c r="J273" s="2873">
        <v>0.61909999999999998</v>
      </c>
      <c r="K273" s="2873">
        <v>0.61909999999999998</v>
      </c>
      <c r="L273" s="2873">
        <v>0.61909999999999998</v>
      </c>
      <c r="M273" s="2874">
        <v>0.61909999999999998</v>
      </c>
    </row>
    <row r="274" spans="1:21">
      <c r="A274" s="2875">
        <v>9.6999999999999993</v>
      </c>
      <c r="B274" s="2873">
        <v>0.83340000000000003</v>
      </c>
      <c r="C274" s="2873">
        <v>0.83340000000000003</v>
      </c>
      <c r="D274" s="2873">
        <v>0.79649999999999999</v>
      </c>
      <c r="E274" s="2873">
        <v>0.79649999999999999</v>
      </c>
      <c r="F274" s="2873">
        <v>0.79649999999999999</v>
      </c>
      <c r="G274" s="2873">
        <v>0.79649999999999999</v>
      </c>
      <c r="H274" s="2873">
        <v>0.79649999999999999</v>
      </c>
      <c r="I274" s="2873">
        <v>0.61719999999999997</v>
      </c>
      <c r="J274" s="2873">
        <v>0.61719999999999997</v>
      </c>
      <c r="K274" s="2873">
        <v>0.61719999999999997</v>
      </c>
      <c r="L274" s="2873">
        <v>0.61719999999999997</v>
      </c>
      <c r="M274" s="2874">
        <v>0.61719999999999997</v>
      </c>
    </row>
    <row r="275" spans="1:21">
      <c r="A275" s="2875">
        <v>9.8000000000000007</v>
      </c>
      <c r="B275" s="2873">
        <v>0.83220000000000005</v>
      </c>
      <c r="C275" s="2873">
        <v>0.83220000000000005</v>
      </c>
      <c r="D275" s="2873">
        <v>0.79500000000000004</v>
      </c>
      <c r="E275" s="2873">
        <v>0.79500000000000004</v>
      </c>
      <c r="F275" s="2873">
        <v>0.79500000000000004</v>
      </c>
      <c r="G275" s="2873">
        <v>0.79500000000000004</v>
      </c>
      <c r="H275" s="2873">
        <v>0.79500000000000004</v>
      </c>
      <c r="I275" s="2873">
        <v>0.61529999999999996</v>
      </c>
      <c r="J275" s="2873">
        <v>0.61529999999999996</v>
      </c>
      <c r="K275" s="2873">
        <v>0.61529999999999996</v>
      </c>
      <c r="L275" s="2873">
        <v>0.61529999999999996</v>
      </c>
      <c r="M275" s="2874">
        <v>0.61529999999999996</v>
      </c>
    </row>
    <row r="276" spans="1:21" ht="14.25" thickBot="1">
      <c r="A276" s="2876">
        <v>9.9</v>
      </c>
      <c r="B276" s="2877">
        <v>0.83099999999999996</v>
      </c>
      <c r="C276" s="2877">
        <v>0.83099999999999996</v>
      </c>
      <c r="D276" s="2877">
        <v>0.79349999999999998</v>
      </c>
      <c r="E276" s="2877">
        <v>0.79349999999999998</v>
      </c>
      <c r="F276" s="2877">
        <v>0.79349999999999998</v>
      </c>
      <c r="G276" s="2877">
        <v>0.79349999999999998</v>
      </c>
      <c r="H276" s="2877">
        <v>0.79349999999999998</v>
      </c>
      <c r="I276" s="2877">
        <v>0.61339999999999995</v>
      </c>
      <c r="J276" s="2877">
        <v>0.61339999999999995</v>
      </c>
      <c r="K276" s="2877">
        <v>0.61339999999999995</v>
      </c>
      <c r="L276" s="2877">
        <v>0.61339999999999995</v>
      </c>
      <c r="M276" s="2878">
        <v>0.61339999999999995</v>
      </c>
    </row>
    <row r="277" spans="1:21" ht="15" thickBot="1">
      <c r="A277" s="2866" t="s">
        <v>2800</v>
      </c>
      <c r="B277" s="2866"/>
      <c r="C277" s="2866"/>
      <c r="D277" s="2866"/>
      <c r="E277" s="2866"/>
      <c r="F277" s="2866"/>
      <c r="G277" s="2866"/>
      <c r="H277" s="2866"/>
      <c r="I277" s="2866"/>
      <c r="J277" s="2866"/>
      <c r="K277" s="2866"/>
      <c r="L277" s="2866"/>
      <c r="M277" s="2866"/>
    </row>
    <row r="278" spans="1:21">
      <c r="A278" s="2867" t="s">
        <v>2797</v>
      </c>
      <c r="B278" s="2868" t="s">
        <v>2593</v>
      </c>
      <c r="C278" s="2868" t="s">
        <v>2594</v>
      </c>
      <c r="D278" s="2868" t="s">
        <v>2595</v>
      </c>
      <c r="E278" s="2868" t="s">
        <v>2596</v>
      </c>
      <c r="F278" s="2868" t="s">
        <v>2597</v>
      </c>
      <c r="G278" s="2868" t="s">
        <v>2598</v>
      </c>
      <c r="H278" s="2869" t="s">
        <v>2599</v>
      </c>
      <c r="I278" s="2869" t="s">
        <v>2600</v>
      </c>
      <c r="J278" s="2870" t="s">
        <v>2601</v>
      </c>
      <c r="K278" s="2870" t="s">
        <v>2602</v>
      </c>
      <c r="L278" s="2870" t="s">
        <v>2603</v>
      </c>
      <c r="M278" s="2871" t="s">
        <v>2604</v>
      </c>
      <c r="Q278" s="2881" t="s">
        <v>2802</v>
      </c>
      <c r="R278" s="2881" t="s">
        <v>2803</v>
      </c>
      <c r="S278" s="2881" t="s">
        <v>2806</v>
      </c>
      <c r="T278" s="2881" t="s">
        <v>2807</v>
      </c>
      <c r="U278" s="2881" t="s">
        <v>2805</v>
      </c>
    </row>
    <row r="279" spans="1:21">
      <c r="A279" s="2872">
        <v>1</v>
      </c>
      <c r="B279" s="2873">
        <v>1.1055999999999999</v>
      </c>
      <c r="C279" s="2873">
        <v>1.1055999999999999</v>
      </c>
      <c r="D279" s="2873">
        <v>1.1220000000000001</v>
      </c>
      <c r="E279" s="2873">
        <v>1.1220000000000001</v>
      </c>
      <c r="F279" s="2873">
        <v>1.1220000000000001</v>
      </c>
      <c r="G279" s="2873">
        <v>1.0583</v>
      </c>
      <c r="H279" s="2873">
        <v>1.0583</v>
      </c>
      <c r="I279" s="2873">
        <v>1</v>
      </c>
      <c r="J279" s="2873">
        <v>1</v>
      </c>
      <c r="K279" s="2873">
        <v>1</v>
      </c>
      <c r="L279" s="2873">
        <v>1</v>
      </c>
      <c r="M279" s="2874">
        <v>1</v>
      </c>
      <c r="Q279" s="2881">
        <v>10</v>
      </c>
      <c r="R279" s="2881">
        <f>ROUND(0.7836-0.012*Q279,4)</f>
        <v>0.66359999999999997</v>
      </c>
      <c r="S279" s="2881">
        <f>ROUND(0.753-0.015*Q279,4)</f>
        <v>0.60299999999999998</v>
      </c>
      <c r="T279" s="2881">
        <f>ROUND(0.6612-0.018*Q279,4)</f>
        <v>0.48120000000000002</v>
      </c>
      <c r="U279" s="2881">
        <f>ROUND(0.5905-0.019*R279,4)</f>
        <v>0.57789999999999997</v>
      </c>
    </row>
    <row r="280" spans="1:21">
      <c r="A280" s="2872">
        <v>1.1000000000000001</v>
      </c>
      <c r="B280" s="2873">
        <v>1.0820000000000001</v>
      </c>
      <c r="C280" s="2873">
        <v>1.0820000000000001</v>
      </c>
      <c r="D280" s="2873">
        <v>1.0948</v>
      </c>
      <c r="E280" s="2873">
        <v>1.0948</v>
      </c>
      <c r="F280" s="2873">
        <v>1.0948</v>
      </c>
      <c r="G280" s="2873">
        <v>1.0284</v>
      </c>
      <c r="H280" s="2873">
        <v>1.0284</v>
      </c>
      <c r="I280" s="2873">
        <v>0.96860000000000002</v>
      </c>
      <c r="J280" s="2873">
        <v>0.96860000000000002</v>
      </c>
      <c r="K280" s="2873">
        <v>0.96860000000000002</v>
      </c>
      <c r="L280" s="2873">
        <v>0.96860000000000002</v>
      </c>
      <c r="M280" s="2874">
        <v>0.96860000000000002</v>
      </c>
    </row>
    <row r="281" spans="1:21">
      <c r="A281" s="2872">
        <v>1.2</v>
      </c>
      <c r="B281" s="2873">
        <v>1.0598000000000001</v>
      </c>
      <c r="C281" s="2873">
        <v>1.0598000000000001</v>
      </c>
      <c r="D281" s="2873">
        <v>1.0690999999999999</v>
      </c>
      <c r="E281" s="2873">
        <v>1.0690999999999999</v>
      </c>
      <c r="F281" s="2873">
        <v>1.0690999999999999</v>
      </c>
      <c r="G281" s="2873">
        <v>1</v>
      </c>
      <c r="H281" s="2873">
        <v>1</v>
      </c>
      <c r="I281" s="2873">
        <v>0.93879999999999997</v>
      </c>
      <c r="J281" s="2873">
        <v>0.93879999999999997</v>
      </c>
      <c r="K281" s="2873">
        <v>0.93879999999999997</v>
      </c>
      <c r="L281" s="2873">
        <v>0.93879999999999997</v>
      </c>
      <c r="M281" s="2874">
        <v>0.93879999999999997</v>
      </c>
    </row>
    <row r="282" spans="1:21">
      <c r="A282" s="2872">
        <v>1.3</v>
      </c>
      <c r="B282" s="2873">
        <v>1.0387</v>
      </c>
      <c r="C282" s="2873">
        <v>1.0387</v>
      </c>
      <c r="D282" s="2873">
        <v>1.0447</v>
      </c>
      <c r="E282" s="2873">
        <v>1.0447</v>
      </c>
      <c r="F282" s="2873">
        <v>1.0447</v>
      </c>
      <c r="G282" s="2873">
        <v>0.97319999999999995</v>
      </c>
      <c r="H282" s="2873">
        <v>0.97319999999999995</v>
      </c>
      <c r="I282" s="2873">
        <v>0.91069999999999995</v>
      </c>
      <c r="J282" s="2873">
        <v>0.91069999999999995</v>
      </c>
      <c r="K282" s="2873">
        <v>0.91069999999999995</v>
      </c>
      <c r="L282" s="2873">
        <v>0.91069999999999995</v>
      </c>
      <c r="M282" s="2874">
        <v>0.91069999999999995</v>
      </c>
    </row>
    <row r="283" spans="1:21">
      <c r="A283" s="2872">
        <v>1.4</v>
      </c>
      <c r="B283" s="2873">
        <v>1.0187999999999999</v>
      </c>
      <c r="C283" s="2873">
        <v>1.0187999999999999</v>
      </c>
      <c r="D283" s="2873">
        <v>1.0217000000000001</v>
      </c>
      <c r="E283" s="2873">
        <v>1.0217000000000001</v>
      </c>
      <c r="F283" s="2873">
        <v>1.0217000000000001</v>
      </c>
      <c r="G283" s="2873">
        <v>0.94779999999999998</v>
      </c>
      <c r="H283" s="2873">
        <v>0.94779999999999998</v>
      </c>
      <c r="I283" s="2873">
        <v>0.8841</v>
      </c>
      <c r="J283" s="2873">
        <v>0.8841</v>
      </c>
      <c r="K283" s="2873">
        <v>0.8841</v>
      </c>
      <c r="L283" s="2873">
        <v>0.8841</v>
      </c>
      <c r="M283" s="2874">
        <v>0.8841</v>
      </c>
    </row>
    <row r="284" spans="1:21">
      <c r="A284" s="2872">
        <v>1.5</v>
      </c>
      <c r="B284" s="2873">
        <v>1</v>
      </c>
      <c r="C284" s="2873">
        <v>1</v>
      </c>
      <c r="D284" s="2873">
        <v>1</v>
      </c>
      <c r="E284" s="2873">
        <v>1</v>
      </c>
      <c r="F284" s="2873">
        <v>1</v>
      </c>
      <c r="G284" s="2873">
        <v>0.92379999999999995</v>
      </c>
      <c r="H284" s="2873">
        <v>0.92379999999999995</v>
      </c>
      <c r="I284" s="2873">
        <v>0.8589</v>
      </c>
      <c r="J284" s="2873">
        <v>0.8589</v>
      </c>
      <c r="K284" s="2873">
        <v>0.8589</v>
      </c>
      <c r="L284" s="2873">
        <v>0.8589</v>
      </c>
      <c r="M284" s="2874">
        <v>0.8589</v>
      </c>
    </row>
    <row r="285" spans="1:21">
      <c r="A285" s="2872">
        <v>1.6</v>
      </c>
      <c r="B285" s="2873">
        <v>0.98229999999999995</v>
      </c>
      <c r="C285" s="2873">
        <v>0.98229999999999995</v>
      </c>
      <c r="D285" s="2873">
        <v>0.97950000000000004</v>
      </c>
      <c r="E285" s="2873">
        <v>0.97950000000000004</v>
      </c>
      <c r="F285" s="2873">
        <v>0.97950000000000004</v>
      </c>
      <c r="G285" s="2873">
        <v>0.9012</v>
      </c>
      <c r="H285" s="2873">
        <v>0.9012</v>
      </c>
      <c r="I285" s="2873">
        <v>0.83509999999999995</v>
      </c>
      <c r="J285" s="2873">
        <v>0.83509999999999995</v>
      </c>
      <c r="K285" s="2873">
        <v>0.83509999999999995</v>
      </c>
      <c r="L285" s="2873">
        <v>0.83509999999999995</v>
      </c>
      <c r="M285" s="2874">
        <v>0.83509999999999995</v>
      </c>
    </row>
    <row r="286" spans="1:21">
      <c r="A286" s="2872">
        <v>1.7</v>
      </c>
      <c r="B286" s="2873">
        <v>0.96550000000000002</v>
      </c>
      <c r="C286" s="2873">
        <v>0.96550000000000002</v>
      </c>
      <c r="D286" s="2873">
        <v>0.96009999999999995</v>
      </c>
      <c r="E286" s="2873">
        <v>0.96009999999999995</v>
      </c>
      <c r="F286" s="2873">
        <v>0.96009999999999995</v>
      </c>
      <c r="G286" s="2873">
        <v>0.87980000000000003</v>
      </c>
      <c r="H286" s="2873">
        <v>0.87980000000000003</v>
      </c>
      <c r="I286" s="2873">
        <v>0.81269999999999998</v>
      </c>
      <c r="J286" s="2873">
        <v>0.81269999999999998</v>
      </c>
      <c r="K286" s="2873">
        <v>0.81269999999999998</v>
      </c>
      <c r="L286" s="2873">
        <v>0.81269999999999998</v>
      </c>
      <c r="M286" s="2874">
        <v>0.81269999999999998</v>
      </c>
    </row>
    <row r="287" spans="1:21">
      <c r="A287" s="2872">
        <v>1.8</v>
      </c>
      <c r="B287" s="2873">
        <v>0.94969999999999999</v>
      </c>
      <c r="C287" s="2873">
        <v>0.94969999999999999</v>
      </c>
      <c r="D287" s="2873">
        <v>0.94189999999999996</v>
      </c>
      <c r="E287" s="2873">
        <v>0.94189999999999996</v>
      </c>
      <c r="F287" s="2873">
        <v>0.94189999999999996</v>
      </c>
      <c r="G287" s="2873">
        <v>0.85960000000000003</v>
      </c>
      <c r="H287" s="2873">
        <v>0.85960000000000003</v>
      </c>
      <c r="I287" s="2873">
        <v>0.79149999999999998</v>
      </c>
      <c r="J287" s="2873">
        <v>0.79149999999999998</v>
      </c>
      <c r="K287" s="2873">
        <v>0.79149999999999998</v>
      </c>
      <c r="L287" s="2873">
        <v>0.79149999999999998</v>
      </c>
      <c r="M287" s="2874">
        <v>0.79149999999999998</v>
      </c>
    </row>
    <row r="288" spans="1:21">
      <c r="A288" s="2872">
        <v>1.9</v>
      </c>
      <c r="B288" s="2873">
        <v>0.93479999999999996</v>
      </c>
      <c r="C288" s="2873">
        <v>0.93479999999999996</v>
      </c>
      <c r="D288" s="2873">
        <v>0.92459999999999998</v>
      </c>
      <c r="E288" s="2873">
        <v>0.92459999999999998</v>
      </c>
      <c r="F288" s="2873">
        <v>0.92459999999999998</v>
      </c>
      <c r="G288" s="2873">
        <v>0.84060000000000001</v>
      </c>
      <c r="H288" s="2873">
        <v>0.84060000000000001</v>
      </c>
      <c r="I288" s="2873">
        <v>0.77149999999999996</v>
      </c>
      <c r="J288" s="2873">
        <v>0.77149999999999996</v>
      </c>
      <c r="K288" s="2873">
        <v>0.77149999999999996</v>
      </c>
      <c r="L288" s="2873">
        <v>0.77149999999999996</v>
      </c>
      <c r="M288" s="2874">
        <v>0.77149999999999996</v>
      </c>
    </row>
    <row r="289" spans="1:13">
      <c r="A289" s="2872">
        <v>2</v>
      </c>
      <c r="B289" s="2873">
        <v>0.92079999999999995</v>
      </c>
      <c r="C289" s="2873">
        <v>0.92079999999999995</v>
      </c>
      <c r="D289" s="2873">
        <v>0.90839999999999999</v>
      </c>
      <c r="E289" s="2873">
        <v>0.90839999999999999</v>
      </c>
      <c r="F289" s="2873">
        <v>0.90839999999999999</v>
      </c>
      <c r="G289" s="2873">
        <v>0.82269999999999999</v>
      </c>
      <c r="H289" s="2873">
        <v>0.82269999999999999</v>
      </c>
      <c r="I289" s="2873">
        <v>0.75270000000000004</v>
      </c>
      <c r="J289" s="2873">
        <v>0.75270000000000004</v>
      </c>
      <c r="K289" s="2873">
        <v>0.75270000000000004</v>
      </c>
      <c r="L289" s="2873">
        <v>0.75270000000000004</v>
      </c>
      <c r="M289" s="2874">
        <v>0.75270000000000004</v>
      </c>
    </row>
    <row r="290" spans="1:13">
      <c r="A290" s="2875">
        <v>2.1</v>
      </c>
      <c r="B290" s="2873">
        <v>0.90759999999999996</v>
      </c>
      <c r="C290" s="2873">
        <v>0.90759999999999996</v>
      </c>
      <c r="D290" s="2873">
        <v>0.89319999999999999</v>
      </c>
      <c r="E290" s="2873">
        <v>0.89319999999999999</v>
      </c>
      <c r="F290" s="2873">
        <v>0.89319999999999999</v>
      </c>
      <c r="G290" s="2873">
        <v>0.80589999999999995</v>
      </c>
      <c r="H290" s="2873">
        <v>0.80589999999999995</v>
      </c>
      <c r="I290" s="2873">
        <v>0.73499999999999999</v>
      </c>
      <c r="J290" s="2873">
        <v>0.73499999999999999</v>
      </c>
      <c r="K290" s="2873">
        <v>0.73499999999999999</v>
      </c>
      <c r="L290" s="2873">
        <v>0.73499999999999999</v>
      </c>
      <c r="M290" s="2874">
        <v>0.73499999999999999</v>
      </c>
    </row>
    <row r="291" spans="1:13">
      <c r="A291" s="2875">
        <v>2.2000000000000002</v>
      </c>
      <c r="B291" s="2873">
        <v>0.8952</v>
      </c>
      <c r="C291" s="2873">
        <v>0.8952</v>
      </c>
      <c r="D291" s="2873">
        <v>0.87880000000000003</v>
      </c>
      <c r="E291" s="2873">
        <v>0.87880000000000003</v>
      </c>
      <c r="F291" s="2873">
        <v>0.87880000000000003</v>
      </c>
      <c r="G291" s="2873">
        <v>0.79</v>
      </c>
      <c r="H291" s="2873">
        <v>0.79</v>
      </c>
      <c r="I291" s="2873">
        <v>0.71840000000000004</v>
      </c>
      <c r="J291" s="2873">
        <v>0.71840000000000004</v>
      </c>
      <c r="K291" s="2873">
        <v>0.71840000000000004</v>
      </c>
      <c r="L291" s="2873">
        <v>0.71840000000000004</v>
      </c>
      <c r="M291" s="2874">
        <v>0.71840000000000004</v>
      </c>
    </row>
    <row r="292" spans="1:13">
      <c r="A292" s="2875">
        <v>2.2999999999999998</v>
      </c>
      <c r="B292" s="2873">
        <v>0.88360000000000005</v>
      </c>
      <c r="C292" s="2873">
        <v>0.88360000000000005</v>
      </c>
      <c r="D292" s="2873">
        <v>0.86529999999999996</v>
      </c>
      <c r="E292" s="2873">
        <v>0.86529999999999996</v>
      </c>
      <c r="F292" s="2873">
        <v>0.86529999999999996</v>
      </c>
      <c r="G292" s="2873">
        <v>0.77510000000000001</v>
      </c>
      <c r="H292" s="2873">
        <v>0.77510000000000001</v>
      </c>
      <c r="I292" s="2873">
        <v>0.70269999999999999</v>
      </c>
      <c r="J292" s="2873">
        <v>0.70269999999999999</v>
      </c>
      <c r="K292" s="2873">
        <v>0.70269999999999999</v>
      </c>
      <c r="L292" s="2873">
        <v>0.70269999999999999</v>
      </c>
      <c r="M292" s="2874">
        <v>0.70269999999999999</v>
      </c>
    </row>
    <row r="293" spans="1:13">
      <c r="A293" s="2875">
        <v>2.4</v>
      </c>
      <c r="B293" s="2873">
        <v>0.87260000000000004</v>
      </c>
      <c r="C293" s="2873">
        <v>0.87260000000000004</v>
      </c>
      <c r="D293" s="2873">
        <v>0.85260000000000002</v>
      </c>
      <c r="E293" s="2873">
        <v>0.85260000000000002</v>
      </c>
      <c r="F293" s="2873">
        <v>0.85260000000000002</v>
      </c>
      <c r="G293" s="2873">
        <v>0.76100000000000001</v>
      </c>
      <c r="H293" s="2873">
        <v>0.76100000000000001</v>
      </c>
      <c r="I293" s="2873">
        <v>0.68799999999999994</v>
      </c>
      <c r="J293" s="2873">
        <v>0.68799999999999994</v>
      </c>
      <c r="K293" s="2873">
        <v>0.68799999999999994</v>
      </c>
      <c r="L293" s="2873">
        <v>0.68799999999999994</v>
      </c>
      <c r="M293" s="2874">
        <v>0.68799999999999994</v>
      </c>
    </row>
    <row r="294" spans="1:13">
      <c r="A294" s="2875">
        <v>2.5</v>
      </c>
      <c r="B294" s="2873">
        <v>0.86229999999999996</v>
      </c>
      <c r="C294" s="2873">
        <v>0.86229999999999996</v>
      </c>
      <c r="D294" s="2873">
        <v>0.8407</v>
      </c>
      <c r="E294" s="2873">
        <v>0.8407</v>
      </c>
      <c r="F294" s="2873">
        <v>0.8407</v>
      </c>
      <c r="G294" s="2873">
        <v>0.74780000000000002</v>
      </c>
      <c r="H294" s="2873">
        <v>0.74780000000000002</v>
      </c>
      <c r="I294" s="2873">
        <v>0.67410000000000003</v>
      </c>
      <c r="J294" s="2873">
        <v>0.67410000000000003</v>
      </c>
      <c r="K294" s="2873">
        <v>0.67410000000000003</v>
      </c>
      <c r="L294" s="2873">
        <v>0.67410000000000003</v>
      </c>
      <c r="M294" s="2874">
        <v>0.67410000000000003</v>
      </c>
    </row>
    <row r="295" spans="1:13">
      <c r="A295" s="2875">
        <v>2.6</v>
      </c>
      <c r="B295" s="2873">
        <v>0.85270000000000001</v>
      </c>
      <c r="C295" s="2873">
        <v>0.85270000000000001</v>
      </c>
      <c r="D295" s="2873">
        <v>0.82950000000000002</v>
      </c>
      <c r="E295" s="2873">
        <v>0.82950000000000002</v>
      </c>
      <c r="F295" s="2873">
        <v>0.82950000000000002</v>
      </c>
      <c r="G295" s="2873">
        <v>0.73540000000000005</v>
      </c>
      <c r="H295" s="2873">
        <v>0.73540000000000005</v>
      </c>
      <c r="I295" s="2873">
        <v>0.66110000000000002</v>
      </c>
      <c r="J295" s="2873">
        <v>0.66110000000000002</v>
      </c>
      <c r="K295" s="2873">
        <v>0.66110000000000002</v>
      </c>
      <c r="L295" s="2873">
        <v>0.66110000000000002</v>
      </c>
      <c r="M295" s="2874">
        <v>0.66110000000000002</v>
      </c>
    </row>
    <row r="296" spans="1:13">
      <c r="A296" s="2875">
        <v>2.7</v>
      </c>
      <c r="B296" s="2873">
        <v>0.84360000000000002</v>
      </c>
      <c r="C296" s="2873">
        <v>0.84360000000000002</v>
      </c>
      <c r="D296" s="2873">
        <v>0.81899999999999995</v>
      </c>
      <c r="E296" s="2873">
        <v>0.81899999999999995</v>
      </c>
      <c r="F296" s="2873">
        <v>0.81899999999999995</v>
      </c>
      <c r="G296" s="2873">
        <v>0.7238</v>
      </c>
      <c r="H296" s="2873">
        <v>0.7238</v>
      </c>
      <c r="I296" s="2873">
        <v>0.64880000000000004</v>
      </c>
      <c r="J296" s="2873">
        <v>0.64880000000000004</v>
      </c>
      <c r="K296" s="2873">
        <v>0.64880000000000004</v>
      </c>
      <c r="L296" s="2873">
        <v>0.64880000000000004</v>
      </c>
      <c r="M296" s="2874">
        <v>0.64880000000000004</v>
      </c>
    </row>
    <row r="297" spans="1:13">
      <c r="A297" s="2875">
        <v>2.8</v>
      </c>
      <c r="B297" s="2873">
        <v>0.83509999999999995</v>
      </c>
      <c r="C297" s="2873">
        <v>0.83509999999999995</v>
      </c>
      <c r="D297" s="2873">
        <v>0.80910000000000004</v>
      </c>
      <c r="E297" s="2873">
        <v>0.80910000000000004</v>
      </c>
      <c r="F297" s="2873">
        <v>0.80910000000000004</v>
      </c>
      <c r="G297" s="2873">
        <v>0.71289999999999998</v>
      </c>
      <c r="H297" s="2873">
        <v>0.71289999999999998</v>
      </c>
      <c r="I297" s="2873">
        <v>0.63739999999999997</v>
      </c>
      <c r="J297" s="2873">
        <v>0.63739999999999997</v>
      </c>
      <c r="K297" s="2873">
        <v>0.63739999999999997</v>
      </c>
      <c r="L297" s="2873">
        <v>0.63739999999999997</v>
      </c>
      <c r="M297" s="2874">
        <v>0.63739999999999997</v>
      </c>
    </row>
    <row r="298" spans="1:13">
      <c r="A298" s="2875">
        <v>2.9</v>
      </c>
      <c r="B298" s="2873">
        <v>0.82720000000000005</v>
      </c>
      <c r="C298" s="2873">
        <v>0.82720000000000005</v>
      </c>
      <c r="D298" s="2873">
        <v>0.79990000000000006</v>
      </c>
      <c r="E298" s="2873">
        <v>0.79990000000000006</v>
      </c>
      <c r="F298" s="2873">
        <v>0.79990000000000006</v>
      </c>
      <c r="G298" s="2873">
        <v>0.7026</v>
      </c>
      <c r="H298" s="2873">
        <v>0.7026</v>
      </c>
      <c r="I298" s="2873">
        <v>0.62660000000000005</v>
      </c>
      <c r="J298" s="2873">
        <v>0.62660000000000005</v>
      </c>
      <c r="K298" s="2873">
        <v>0.62660000000000005</v>
      </c>
      <c r="L298" s="2873">
        <v>0.62660000000000005</v>
      </c>
      <c r="M298" s="2874">
        <v>0.62660000000000005</v>
      </c>
    </row>
    <row r="299" spans="1:13">
      <c r="A299" s="2875">
        <v>3</v>
      </c>
      <c r="B299" s="2873">
        <v>0.81969999999999998</v>
      </c>
      <c r="C299" s="2873">
        <v>0.81969999999999998</v>
      </c>
      <c r="D299" s="2873">
        <v>0.79120000000000001</v>
      </c>
      <c r="E299" s="2873">
        <v>0.79120000000000001</v>
      </c>
      <c r="F299" s="2873">
        <v>0.79120000000000001</v>
      </c>
      <c r="G299" s="2873">
        <v>0.69299999999999995</v>
      </c>
      <c r="H299" s="2873">
        <v>0.69299999999999995</v>
      </c>
      <c r="I299" s="2873">
        <v>0.61650000000000005</v>
      </c>
      <c r="J299" s="2873">
        <v>0.61650000000000005</v>
      </c>
      <c r="K299" s="2873">
        <v>0.61650000000000005</v>
      </c>
      <c r="L299" s="2873">
        <v>0.61650000000000005</v>
      </c>
      <c r="M299" s="2874">
        <v>0.61650000000000005</v>
      </c>
    </row>
    <row r="300" spans="1:13">
      <c r="A300" s="2875">
        <v>3.1</v>
      </c>
      <c r="B300" s="2873">
        <v>0.81279999999999997</v>
      </c>
      <c r="C300" s="2873">
        <v>0.81279999999999997</v>
      </c>
      <c r="D300" s="2873">
        <v>0.78310000000000002</v>
      </c>
      <c r="E300" s="2873">
        <v>0.78310000000000002</v>
      </c>
      <c r="F300" s="2873">
        <v>0.78310000000000002</v>
      </c>
      <c r="G300" s="2873">
        <v>0.68400000000000005</v>
      </c>
      <c r="H300" s="2873">
        <v>0.68400000000000005</v>
      </c>
      <c r="I300" s="2873">
        <v>0.60709999999999997</v>
      </c>
      <c r="J300" s="2873">
        <v>0.60709999999999997</v>
      </c>
      <c r="K300" s="2873">
        <v>0.60709999999999997</v>
      </c>
      <c r="L300" s="2873">
        <v>0.60709999999999997</v>
      </c>
      <c r="M300" s="2874">
        <v>0.60709999999999997</v>
      </c>
    </row>
    <row r="301" spans="1:13">
      <c r="A301" s="2875">
        <v>3.2</v>
      </c>
      <c r="B301" s="2873">
        <v>0.80620000000000003</v>
      </c>
      <c r="C301" s="2873">
        <v>0.80620000000000003</v>
      </c>
      <c r="D301" s="2873">
        <v>0.77549999999999997</v>
      </c>
      <c r="E301" s="2873">
        <v>0.77549999999999997</v>
      </c>
      <c r="F301" s="2873">
        <v>0.77549999999999997</v>
      </c>
      <c r="G301" s="2873">
        <v>0.67559999999999998</v>
      </c>
      <c r="H301" s="2873">
        <v>0.67559999999999998</v>
      </c>
      <c r="I301" s="2873">
        <v>0.59809999999999997</v>
      </c>
      <c r="J301" s="2873">
        <v>0.59809999999999997</v>
      </c>
      <c r="K301" s="2873">
        <v>0.59809999999999997</v>
      </c>
      <c r="L301" s="2873">
        <v>0.59809999999999997</v>
      </c>
      <c r="M301" s="2874">
        <v>0.59809999999999997</v>
      </c>
    </row>
    <row r="302" spans="1:13">
      <c r="A302" s="2875">
        <v>3.3</v>
      </c>
      <c r="B302" s="2873">
        <v>0.80010000000000003</v>
      </c>
      <c r="C302" s="2873">
        <v>0.80010000000000003</v>
      </c>
      <c r="D302" s="2873">
        <v>0.76839999999999997</v>
      </c>
      <c r="E302" s="2873">
        <v>0.76839999999999997</v>
      </c>
      <c r="F302" s="2873">
        <v>0.76839999999999997</v>
      </c>
      <c r="G302" s="2873">
        <v>0.66769999999999996</v>
      </c>
      <c r="H302" s="2873">
        <v>0.66769999999999996</v>
      </c>
      <c r="I302" s="2873">
        <v>0.58979999999999999</v>
      </c>
      <c r="J302" s="2873">
        <v>0.58979999999999999</v>
      </c>
      <c r="K302" s="2873">
        <v>0.58979999999999999</v>
      </c>
      <c r="L302" s="2873">
        <v>0.58979999999999999</v>
      </c>
      <c r="M302" s="2874">
        <v>0.58979999999999999</v>
      </c>
    </row>
    <row r="303" spans="1:13">
      <c r="A303" s="2875">
        <v>3.4</v>
      </c>
      <c r="B303" s="2873">
        <v>0.7944</v>
      </c>
      <c r="C303" s="2873">
        <v>0.7944</v>
      </c>
      <c r="D303" s="2873">
        <v>0.76170000000000004</v>
      </c>
      <c r="E303" s="2873">
        <v>0.76170000000000004</v>
      </c>
      <c r="F303" s="2873">
        <v>0.76170000000000004</v>
      </c>
      <c r="G303" s="2873">
        <v>0.66020000000000001</v>
      </c>
      <c r="H303" s="2873">
        <v>0.66020000000000001</v>
      </c>
      <c r="I303" s="2873">
        <v>0.58209999999999995</v>
      </c>
      <c r="J303" s="2873">
        <v>0.58209999999999995</v>
      </c>
      <c r="K303" s="2873">
        <v>0.58209999999999995</v>
      </c>
      <c r="L303" s="2873">
        <v>0.58209999999999995</v>
      </c>
      <c r="M303" s="2874">
        <v>0.58209999999999995</v>
      </c>
    </row>
    <row r="304" spans="1:13">
      <c r="A304" s="2875">
        <v>3.5</v>
      </c>
      <c r="B304" s="2873">
        <v>0.78910000000000002</v>
      </c>
      <c r="C304" s="2873">
        <v>0.78910000000000002</v>
      </c>
      <c r="D304" s="2873">
        <v>0.75549999999999995</v>
      </c>
      <c r="E304" s="2873">
        <v>0.75549999999999995</v>
      </c>
      <c r="F304" s="2873">
        <v>0.75549999999999995</v>
      </c>
      <c r="G304" s="2873">
        <v>0.65329999999999999</v>
      </c>
      <c r="H304" s="2873">
        <v>0.65329999999999999</v>
      </c>
      <c r="I304" s="2873">
        <v>0.57479999999999998</v>
      </c>
      <c r="J304" s="2873">
        <v>0.57479999999999998</v>
      </c>
      <c r="K304" s="2873">
        <v>0.57479999999999998</v>
      </c>
      <c r="L304" s="2873">
        <v>0.57479999999999998</v>
      </c>
      <c r="M304" s="2874">
        <v>0.57479999999999998</v>
      </c>
    </row>
    <row r="305" spans="1:13">
      <c r="A305" s="2875">
        <v>3.6</v>
      </c>
      <c r="B305" s="2873">
        <v>0.78410000000000002</v>
      </c>
      <c r="C305" s="2873">
        <v>0.78410000000000002</v>
      </c>
      <c r="D305" s="2873">
        <v>0.74960000000000004</v>
      </c>
      <c r="E305" s="2873">
        <v>0.74960000000000004</v>
      </c>
      <c r="F305" s="2873">
        <v>0.74960000000000004</v>
      </c>
      <c r="G305" s="2873">
        <v>0.64680000000000004</v>
      </c>
      <c r="H305" s="2873">
        <v>0.64680000000000004</v>
      </c>
      <c r="I305" s="2873">
        <v>0.56789999999999996</v>
      </c>
      <c r="J305" s="2873">
        <v>0.56789999999999996</v>
      </c>
      <c r="K305" s="2873">
        <v>0.56789999999999996</v>
      </c>
      <c r="L305" s="2873">
        <v>0.56789999999999996</v>
      </c>
      <c r="M305" s="2874">
        <v>0.56789999999999996</v>
      </c>
    </row>
    <row r="306" spans="1:13">
      <c r="A306" s="2875">
        <v>3.7</v>
      </c>
      <c r="B306" s="2873">
        <v>0.77939999999999998</v>
      </c>
      <c r="C306" s="2873">
        <v>0.77939999999999998</v>
      </c>
      <c r="D306" s="2873">
        <v>0.74409999999999998</v>
      </c>
      <c r="E306" s="2873">
        <v>0.74409999999999998</v>
      </c>
      <c r="F306" s="2873">
        <v>0.74409999999999998</v>
      </c>
      <c r="G306" s="2873">
        <v>0.64070000000000005</v>
      </c>
      <c r="H306" s="2873">
        <v>0.64070000000000005</v>
      </c>
      <c r="I306" s="2873">
        <v>0.5615</v>
      </c>
      <c r="J306" s="2873">
        <v>0.5615</v>
      </c>
      <c r="K306" s="2873">
        <v>0.5615</v>
      </c>
      <c r="L306" s="2873">
        <v>0.5615</v>
      </c>
      <c r="M306" s="2874">
        <v>0.5615</v>
      </c>
    </row>
    <row r="307" spans="1:13">
      <c r="A307" s="2875">
        <v>3.8</v>
      </c>
      <c r="B307" s="2873">
        <v>0.77500000000000002</v>
      </c>
      <c r="C307" s="2873">
        <v>0.77500000000000002</v>
      </c>
      <c r="D307" s="2873">
        <v>0.73899999999999999</v>
      </c>
      <c r="E307" s="2873">
        <v>0.73899999999999999</v>
      </c>
      <c r="F307" s="2873">
        <v>0.73899999999999999</v>
      </c>
      <c r="G307" s="2873">
        <v>0.63490000000000002</v>
      </c>
      <c r="H307" s="2873">
        <v>0.63490000000000002</v>
      </c>
      <c r="I307" s="2873">
        <v>0.55549999999999999</v>
      </c>
      <c r="J307" s="2873">
        <v>0.55549999999999999</v>
      </c>
      <c r="K307" s="2873">
        <v>0.55549999999999999</v>
      </c>
      <c r="L307" s="2873">
        <v>0.55549999999999999</v>
      </c>
      <c r="M307" s="2874">
        <v>0.55549999999999999</v>
      </c>
    </row>
    <row r="308" spans="1:13">
      <c r="A308" s="2875">
        <v>3.9</v>
      </c>
      <c r="B308" s="2873">
        <v>0.77090000000000003</v>
      </c>
      <c r="C308" s="2873">
        <v>0.77090000000000003</v>
      </c>
      <c r="D308" s="2873">
        <v>0.73419999999999996</v>
      </c>
      <c r="E308" s="2873">
        <v>0.73419999999999996</v>
      </c>
      <c r="F308" s="2873">
        <v>0.73419999999999996</v>
      </c>
      <c r="G308" s="2873">
        <v>0.62949999999999995</v>
      </c>
      <c r="H308" s="2873">
        <v>0.62949999999999995</v>
      </c>
      <c r="I308" s="2873">
        <v>0.54990000000000006</v>
      </c>
      <c r="J308" s="2873">
        <v>0.54990000000000006</v>
      </c>
      <c r="K308" s="2873">
        <v>0.54990000000000006</v>
      </c>
      <c r="L308" s="2873">
        <v>0.54990000000000006</v>
      </c>
      <c r="M308" s="2874">
        <v>0.54990000000000006</v>
      </c>
    </row>
    <row r="309" spans="1:13">
      <c r="A309" s="2875">
        <v>4</v>
      </c>
      <c r="B309" s="2873">
        <v>0.7671</v>
      </c>
      <c r="C309" s="2873">
        <v>0.7671</v>
      </c>
      <c r="D309" s="2873">
        <v>0.72970000000000002</v>
      </c>
      <c r="E309" s="2873">
        <v>0.72970000000000002</v>
      </c>
      <c r="F309" s="2873">
        <v>0.72970000000000002</v>
      </c>
      <c r="G309" s="2873">
        <v>0.62450000000000006</v>
      </c>
      <c r="H309" s="2873">
        <v>0.62450000000000006</v>
      </c>
      <c r="I309" s="2873">
        <v>0.54449999999999998</v>
      </c>
      <c r="J309" s="2873">
        <v>0.54449999999999998</v>
      </c>
      <c r="K309" s="2873">
        <v>0.54449999999999998</v>
      </c>
      <c r="L309" s="2873">
        <v>0.54449999999999998</v>
      </c>
      <c r="M309" s="2874">
        <v>0.54449999999999998</v>
      </c>
    </row>
    <row r="310" spans="1:13">
      <c r="A310" s="2875">
        <v>4.0999999999999996</v>
      </c>
      <c r="B310" s="2873">
        <v>0.76349999999999996</v>
      </c>
      <c r="C310" s="2873">
        <v>0.76349999999999996</v>
      </c>
      <c r="D310" s="2873">
        <v>0.72540000000000004</v>
      </c>
      <c r="E310" s="2873">
        <v>0.72540000000000004</v>
      </c>
      <c r="F310" s="2873">
        <v>0.72540000000000004</v>
      </c>
      <c r="G310" s="2873">
        <v>0.61970000000000003</v>
      </c>
      <c r="H310" s="2873">
        <v>0.61970000000000003</v>
      </c>
      <c r="I310" s="2873">
        <v>0.53959999999999997</v>
      </c>
      <c r="J310" s="2873">
        <v>0.53959999999999997</v>
      </c>
      <c r="K310" s="2873">
        <v>0.53959999999999997</v>
      </c>
      <c r="L310" s="2873">
        <v>0.53959999999999997</v>
      </c>
      <c r="M310" s="2874">
        <v>0.53959999999999997</v>
      </c>
    </row>
    <row r="311" spans="1:13">
      <c r="A311" s="2875">
        <v>4.2</v>
      </c>
      <c r="B311" s="2873">
        <v>0.7601</v>
      </c>
      <c r="C311" s="2873">
        <v>0.7601</v>
      </c>
      <c r="D311" s="2873">
        <v>0.72140000000000004</v>
      </c>
      <c r="E311" s="2873">
        <v>0.72140000000000004</v>
      </c>
      <c r="F311" s="2873">
        <v>0.72140000000000004</v>
      </c>
      <c r="G311" s="2873">
        <v>0.61529999999999996</v>
      </c>
      <c r="H311" s="2873">
        <v>0.61529999999999996</v>
      </c>
      <c r="I311" s="2873">
        <v>0.53490000000000004</v>
      </c>
      <c r="J311" s="2873">
        <v>0.53490000000000004</v>
      </c>
      <c r="K311" s="2873">
        <v>0.53490000000000004</v>
      </c>
      <c r="L311" s="2873">
        <v>0.53490000000000004</v>
      </c>
      <c r="M311" s="2874">
        <v>0.53490000000000004</v>
      </c>
    </row>
    <row r="312" spans="1:13">
      <c r="A312" s="2875">
        <v>4.3</v>
      </c>
      <c r="B312" s="2873">
        <v>0.75700000000000001</v>
      </c>
      <c r="C312" s="2873">
        <v>0.75700000000000001</v>
      </c>
      <c r="D312" s="2873">
        <v>0.7177</v>
      </c>
      <c r="E312" s="2873">
        <v>0.7177</v>
      </c>
      <c r="F312" s="2873">
        <v>0.7177</v>
      </c>
      <c r="G312" s="2873">
        <v>0.61109999999999998</v>
      </c>
      <c r="H312" s="2873">
        <v>0.61109999999999998</v>
      </c>
      <c r="I312" s="2873">
        <v>0.53049999999999997</v>
      </c>
      <c r="J312" s="2873">
        <v>0.53049999999999997</v>
      </c>
      <c r="K312" s="2873">
        <v>0.53049999999999997</v>
      </c>
      <c r="L312" s="2873">
        <v>0.53049999999999997</v>
      </c>
      <c r="M312" s="2874">
        <v>0.53049999999999997</v>
      </c>
    </row>
    <row r="313" spans="1:13">
      <c r="A313" s="2875">
        <v>4.4000000000000004</v>
      </c>
      <c r="B313" s="2873">
        <v>0.754</v>
      </c>
      <c r="C313" s="2873">
        <v>0.754</v>
      </c>
      <c r="D313" s="2873">
        <v>0.71409999999999996</v>
      </c>
      <c r="E313" s="2873">
        <v>0.71409999999999996</v>
      </c>
      <c r="F313" s="2873">
        <v>0.71409999999999996</v>
      </c>
      <c r="G313" s="2873">
        <v>0.60709999999999997</v>
      </c>
      <c r="H313" s="2873">
        <v>0.60709999999999997</v>
      </c>
      <c r="I313" s="2873">
        <v>0.52639999999999998</v>
      </c>
      <c r="J313" s="2873">
        <v>0.52639999999999998</v>
      </c>
      <c r="K313" s="2873">
        <v>0.52639999999999998</v>
      </c>
      <c r="L313" s="2873">
        <v>0.52639999999999998</v>
      </c>
      <c r="M313" s="2874">
        <v>0.52639999999999998</v>
      </c>
    </row>
    <row r="314" spans="1:13">
      <c r="A314" s="2875">
        <v>4.5</v>
      </c>
      <c r="B314" s="2873">
        <v>0.75119999999999998</v>
      </c>
      <c r="C314" s="2873">
        <v>0.75119999999999998</v>
      </c>
      <c r="D314" s="2873">
        <v>0.71079999999999999</v>
      </c>
      <c r="E314" s="2873">
        <v>0.71079999999999999</v>
      </c>
      <c r="F314" s="2873">
        <v>0.71079999999999999</v>
      </c>
      <c r="G314" s="2873">
        <v>0.60329999999999995</v>
      </c>
      <c r="H314" s="2873">
        <v>0.60329999999999995</v>
      </c>
      <c r="I314" s="2873">
        <v>0.52249999999999996</v>
      </c>
      <c r="J314" s="2873">
        <v>0.52249999999999996</v>
      </c>
      <c r="K314" s="2873">
        <v>0.52249999999999996</v>
      </c>
      <c r="L314" s="2873">
        <v>0.52249999999999996</v>
      </c>
      <c r="M314" s="2874">
        <v>0.52249999999999996</v>
      </c>
    </row>
    <row r="315" spans="1:13">
      <c r="A315" s="2875">
        <v>4.5999999999999996</v>
      </c>
      <c r="B315" s="2873">
        <v>0.74860000000000004</v>
      </c>
      <c r="C315" s="2873">
        <v>0.74860000000000004</v>
      </c>
      <c r="D315" s="2873">
        <v>0.70760000000000001</v>
      </c>
      <c r="E315" s="2873">
        <v>0.70760000000000001</v>
      </c>
      <c r="F315" s="2873">
        <v>0.70760000000000001</v>
      </c>
      <c r="G315" s="2873">
        <v>0.59970000000000001</v>
      </c>
      <c r="H315" s="2873">
        <v>0.59970000000000001</v>
      </c>
      <c r="I315" s="2873">
        <v>0.51890000000000003</v>
      </c>
      <c r="J315" s="2873">
        <v>0.51890000000000003</v>
      </c>
      <c r="K315" s="2873">
        <v>0.51890000000000003</v>
      </c>
      <c r="L315" s="2873">
        <v>0.51890000000000003</v>
      </c>
      <c r="M315" s="2874">
        <v>0.51890000000000003</v>
      </c>
    </row>
    <row r="316" spans="1:13">
      <c r="A316" s="2875">
        <v>4.7</v>
      </c>
      <c r="B316" s="2873">
        <v>0.74609999999999999</v>
      </c>
      <c r="C316" s="2873">
        <v>0.74609999999999999</v>
      </c>
      <c r="D316" s="2873">
        <v>0.7046</v>
      </c>
      <c r="E316" s="2873">
        <v>0.7046</v>
      </c>
      <c r="F316" s="2873">
        <v>0.7046</v>
      </c>
      <c r="G316" s="2873">
        <v>0.59630000000000005</v>
      </c>
      <c r="H316" s="2873">
        <v>0.59630000000000005</v>
      </c>
      <c r="I316" s="2873">
        <v>0.51529999999999998</v>
      </c>
      <c r="J316" s="2873">
        <v>0.51529999999999998</v>
      </c>
      <c r="K316" s="2873">
        <v>0.51529999999999998</v>
      </c>
      <c r="L316" s="2873">
        <v>0.51529999999999998</v>
      </c>
      <c r="M316" s="2874">
        <v>0.51529999999999998</v>
      </c>
    </row>
    <row r="317" spans="1:13">
      <c r="A317" s="2875">
        <v>4.8</v>
      </c>
      <c r="B317" s="2873">
        <v>0.74380000000000002</v>
      </c>
      <c r="C317" s="2873">
        <v>0.74380000000000002</v>
      </c>
      <c r="D317" s="2873">
        <v>0.70169999999999999</v>
      </c>
      <c r="E317" s="2873">
        <v>0.70169999999999999</v>
      </c>
      <c r="F317" s="2873">
        <v>0.70169999999999999</v>
      </c>
      <c r="G317" s="2873">
        <v>0.59309999999999996</v>
      </c>
      <c r="H317" s="2873">
        <v>0.59309999999999996</v>
      </c>
      <c r="I317" s="2873">
        <v>0.5121</v>
      </c>
      <c r="J317" s="2873">
        <v>0.5121</v>
      </c>
      <c r="K317" s="2873">
        <v>0.5121</v>
      </c>
      <c r="L317" s="2873">
        <v>0.5121</v>
      </c>
      <c r="M317" s="2874">
        <v>0.5121</v>
      </c>
    </row>
    <row r="318" spans="1:13">
      <c r="A318" s="2875">
        <v>4.9000000000000004</v>
      </c>
      <c r="B318" s="2873">
        <v>0.74160000000000004</v>
      </c>
      <c r="C318" s="2873">
        <v>0.74160000000000004</v>
      </c>
      <c r="D318" s="2873">
        <v>0.69889999999999997</v>
      </c>
      <c r="E318" s="2873">
        <v>0.69889999999999997</v>
      </c>
      <c r="F318" s="2873">
        <v>0.69889999999999997</v>
      </c>
      <c r="G318" s="2873">
        <v>0.59009999999999996</v>
      </c>
      <c r="H318" s="2873">
        <v>0.59009999999999996</v>
      </c>
      <c r="I318" s="2873">
        <v>0.50900000000000001</v>
      </c>
      <c r="J318" s="2873">
        <v>0.50900000000000001</v>
      </c>
      <c r="K318" s="2873">
        <v>0.50900000000000001</v>
      </c>
      <c r="L318" s="2873">
        <v>0.50900000000000001</v>
      </c>
      <c r="M318" s="2874">
        <v>0.50900000000000001</v>
      </c>
    </row>
    <row r="319" spans="1:13">
      <c r="A319" s="2875">
        <v>5</v>
      </c>
      <c r="B319" s="2873">
        <v>0.73950000000000005</v>
      </c>
      <c r="C319" s="2873">
        <v>0.73950000000000005</v>
      </c>
      <c r="D319" s="2873">
        <v>0.69620000000000004</v>
      </c>
      <c r="E319" s="2873">
        <v>0.69620000000000004</v>
      </c>
      <c r="F319" s="2873">
        <v>0.69620000000000004</v>
      </c>
      <c r="G319" s="2873">
        <v>0.58720000000000006</v>
      </c>
      <c r="H319" s="2873">
        <v>0.58720000000000006</v>
      </c>
      <c r="I319" s="2873">
        <v>0.50609999999999999</v>
      </c>
      <c r="J319" s="2873">
        <v>0.50609999999999999</v>
      </c>
      <c r="K319" s="2873">
        <v>0.50609999999999999</v>
      </c>
      <c r="L319" s="2873">
        <v>0.50609999999999999</v>
      </c>
      <c r="M319" s="2874">
        <v>0.50609999999999999</v>
      </c>
    </row>
    <row r="320" spans="1:13">
      <c r="A320" s="2872">
        <v>5.0999999999999996</v>
      </c>
      <c r="B320" s="2873">
        <v>0.73750000000000004</v>
      </c>
      <c r="C320" s="2873">
        <v>0.73750000000000004</v>
      </c>
      <c r="D320" s="2873">
        <v>0.69359999999999999</v>
      </c>
      <c r="E320" s="2873">
        <v>0.69359999999999999</v>
      </c>
      <c r="F320" s="2873">
        <v>0.69359999999999999</v>
      </c>
      <c r="G320" s="2873">
        <v>0.58440000000000003</v>
      </c>
      <c r="H320" s="2873">
        <v>0.58440000000000003</v>
      </c>
      <c r="I320" s="2873">
        <v>0.50329999999999997</v>
      </c>
      <c r="J320" s="2873">
        <v>0.50329999999999997</v>
      </c>
      <c r="K320" s="2873">
        <v>0.50329999999999997</v>
      </c>
      <c r="L320" s="2873">
        <v>0.50329999999999997</v>
      </c>
      <c r="M320" s="2874">
        <v>0.50329999999999997</v>
      </c>
    </row>
    <row r="321" spans="1:13">
      <c r="A321" s="2872">
        <v>5.2</v>
      </c>
      <c r="B321" s="2873">
        <v>0.73560000000000003</v>
      </c>
      <c r="C321" s="2873">
        <v>0.73560000000000003</v>
      </c>
      <c r="D321" s="2873">
        <v>0.69110000000000005</v>
      </c>
      <c r="E321" s="2873">
        <v>0.69110000000000005</v>
      </c>
      <c r="F321" s="2873">
        <v>0.69110000000000005</v>
      </c>
      <c r="G321" s="2873">
        <v>0.58169999999999999</v>
      </c>
      <c r="H321" s="2873">
        <v>0.58169999999999999</v>
      </c>
      <c r="I321" s="2873">
        <v>0.50060000000000004</v>
      </c>
      <c r="J321" s="2873">
        <v>0.50060000000000004</v>
      </c>
      <c r="K321" s="2873">
        <v>0.50060000000000004</v>
      </c>
      <c r="L321" s="2873">
        <v>0.50060000000000004</v>
      </c>
      <c r="M321" s="2874">
        <v>0.50060000000000004</v>
      </c>
    </row>
    <row r="322" spans="1:13">
      <c r="A322" s="2872">
        <v>5.3</v>
      </c>
      <c r="B322" s="2873">
        <v>0.73380000000000001</v>
      </c>
      <c r="C322" s="2873">
        <v>0.73380000000000001</v>
      </c>
      <c r="D322" s="2873">
        <v>0.68869999999999998</v>
      </c>
      <c r="E322" s="2873">
        <v>0.68869999999999998</v>
      </c>
      <c r="F322" s="2873">
        <v>0.68869999999999998</v>
      </c>
      <c r="G322" s="2873">
        <v>0.57909999999999995</v>
      </c>
      <c r="H322" s="2873">
        <v>0.57909999999999995</v>
      </c>
      <c r="I322" s="2873">
        <v>0.49809999999999999</v>
      </c>
      <c r="J322" s="2873">
        <v>0.49809999999999999</v>
      </c>
      <c r="K322" s="2873">
        <v>0.49809999999999999</v>
      </c>
      <c r="L322" s="2873">
        <v>0.49809999999999999</v>
      </c>
      <c r="M322" s="2874">
        <v>0.49809999999999999</v>
      </c>
    </row>
    <row r="323" spans="1:13">
      <c r="A323" s="2872">
        <v>5.4</v>
      </c>
      <c r="B323" s="2873">
        <v>0.73199999999999998</v>
      </c>
      <c r="C323" s="2873">
        <v>0.73199999999999998</v>
      </c>
      <c r="D323" s="2873">
        <v>0.68640000000000001</v>
      </c>
      <c r="E323" s="2873">
        <v>0.68640000000000001</v>
      </c>
      <c r="F323" s="2873">
        <v>0.68640000000000001</v>
      </c>
      <c r="G323" s="2873">
        <v>0.57650000000000001</v>
      </c>
      <c r="H323" s="2873">
        <v>0.57650000000000001</v>
      </c>
      <c r="I323" s="2873">
        <v>0.49559999999999998</v>
      </c>
      <c r="J323" s="2873">
        <v>0.49559999999999998</v>
      </c>
      <c r="K323" s="2873">
        <v>0.49559999999999998</v>
      </c>
      <c r="L323" s="2873">
        <v>0.49559999999999998</v>
      </c>
      <c r="M323" s="2874">
        <v>0.49559999999999998</v>
      </c>
    </row>
    <row r="324" spans="1:13">
      <c r="A324" s="2872">
        <v>5.5</v>
      </c>
      <c r="B324" s="2873">
        <v>0.73009999999999997</v>
      </c>
      <c r="C324" s="2873">
        <v>0.73009999999999997</v>
      </c>
      <c r="D324" s="2873">
        <v>0.68420000000000003</v>
      </c>
      <c r="E324" s="2873">
        <v>0.68420000000000003</v>
      </c>
      <c r="F324" s="2873">
        <v>0.68420000000000003</v>
      </c>
      <c r="G324" s="2873">
        <v>0.57399999999999995</v>
      </c>
      <c r="H324" s="2873">
        <v>0.57399999999999995</v>
      </c>
      <c r="I324" s="2873">
        <v>0.49320000000000003</v>
      </c>
      <c r="J324" s="2873">
        <v>0.49320000000000003</v>
      </c>
      <c r="K324" s="2873">
        <v>0.49320000000000003</v>
      </c>
      <c r="L324" s="2873">
        <v>0.49320000000000003</v>
      </c>
      <c r="M324" s="2874">
        <v>0.49320000000000003</v>
      </c>
    </row>
    <row r="325" spans="1:13">
      <c r="A325" s="2872">
        <v>5.6</v>
      </c>
      <c r="B325" s="2873">
        <v>0.72819999999999996</v>
      </c>
      <c r="C325" s="2873">
        <v>0.72819999999999996</v>
      </c>
      <c r="D325" s="2873">
        <v>0.68200000000000005</v>
      </c>
      <c r="E325" s="2873">
        <v>0.68200000000000005</v>
      </c>
      <c r="F325" s="2873">
        <v>0.68200000000000005</v>
      </c>
      <c r="G325" s="2873">
        <v>0.57150000000000001</v>
      </c>
      <c r="H325" s="2873">
        <v>0.57150000000000001</v>
      </c>
      <c r="I325" s="2873">
        <v>0.49080000000000001</v>
      </c>
      <c r="J325" s="2873">
        <v>0.49080000000000001</v>
      </c>
      <c r="K325" s="2873">
        <v>0.49080000000000001</v>
      </c>
      <c r="L325" s="2873">
        <v>0.49080000000000001</v>
      </c>
      <c r="M325" s="2874">
        <v>0.49080000000000001</v>
      </c>
    </row>
    <row r="326" spans="1:13">
      <c r="A326" s="2875">
        <v>5.7</v>
      </c>
      <c r="B326" s="2873">
        <v>0.72640000000000005</v>
      </c>
      <c r="C326" s="2873">
        <v>0.72640000000000005</v>
      </c>
      <c r="D326" s="2873">
        <v>0.67989999999999995</v>
      </c>
      <c r="E326" s="2873">
        <v>0.67989999999999995</v>
      </c>
      <c r="F326" s="2873">
        <v>0.67989999999999995</v>
      </c>
      <c r="G326" s="2873">
        <v>0.56899999999999995</v>
      </c>
      <c r="H326" s="2873">
        <v>0.56899999999999995</v>
      </c>
      <c r="I326" s="2873">
        <v>0.4884</v>
      </c>
      <c r="J326" s="2873">
        <v>0.4884</v>
      </c>
      <c r="K326" s="2873">
        <v>0.4884</v>
      </c>
      <c r="L326" s="2873">
        <v>0.4884</v>
      </c>
      <c r="M326" s="2874">
        <v>0.4884</v>
      </c>
    </row>
    <row r="327" spans="1:13">
      <c r="A327" s="2872">
        <v>5.8</v>
      </c>
      <c r="B327" s="2873">
        <v>0.72460000000000002</v>
      </c>
      <c r="C327" s="2873">
        <v>0.72460000000000002</v>
      </c>
      <c r="D327" s="2873">
        <v>0.67779999999999996</v>
      </c>
      <c r="E327" s="2873">
        <v>0.67779999999999996</v>
      </c>
      <c r="F327" s="2873">
        <v>0.67779999999999996</v>
      </c>
      <c r="G327" s="2873">
        <v>0.56659999999999999</v>
      </c>
      <c r="H327" s="2873">
        <v>0.56659999999999999</v>
      </c>
      <c r="I327" s="2873">
        <v>0.48609999999999998</v>
      </c>
      <c r="J327" s="2873">
        <v>0.48609999999999998</v>
      </c>
      <c r="K327" s="2873">
        <v>0.48609999999999998</v>
      </c>
      <c r="L327" s="2873">
        <v>0.48609999999999998</v>
      </c>
      <c r="M327" s="2874">
        <v>0.48609999999999998</v>
      </c>
    </row>
    <row r="328" spans="1:13">
      <c r="A328" s="2872">
        <v>5.9</v>
      </c>
      <c r="B328" s="2873">
        <v>0.7228</v>
      </c>
      <c r="C328" s="2873">
        <v>0.7228</v>
      </c>
      <c r="D328" s="2873">
        <v>0.67569999999999997</v>
      </c>
      <c r="E328" s="2873">
        <v>0.67569999999999997</v>
      </c>
      <c r="F328" s="2873">
        <v>0.67569999999999997</v>
      </c>
      <c r="G328" s="2873">
        <v>0.56420000000000003</v>
      </c>
      <c r="H328" s="2873">
        <v>0.56420000000000003</v>
      </c>
      <c r="I328" s="2873">
        <v>0.48380000000000001</v>
      </c>
      <c r="J328" s="2873">
        <v>0.48380000000000001</v>
      </c>
      <c r="K328" s="2873">
        <v>0.48380000000000001</v>
      </c>
      <c r="L328" s="2873">
        <v>0.48380000000000001</v>
      </c>
      <c r="M328" s="2874">
        <v>0.48380000000000001</v>
      </c>
    </row>
    <row r="329" spans="1:13">
      <c r="A329" s="2872">
        <v>6</v>
      </c>
      <c r="B329" s="2873">
        <v>0.72099999999999997</v>
      </c>
      <c r="C329" s="2873">
        <v>0.72099999999999997</v>
      </c>
      <c r="D329" s="2873">
        <v>0.67359999999999998</v>
      </c>
      <c r="E329" s="2873">
        <v>0.67359999999999998</v>
      </c>
      <c r="F329" s="2873">
        <v>0.67359999999999998</v>
      </c>
      <c r="G329" s="2873">
        <v>0.56179999999999997</v>
      </c>
      <c r="H329" s="2873">
        <v>0.56179999999999997</v>
      </c>
      <c r="I329" s="2873">
        <v>0.48159999999999997</v>
      </c>
      <c r="J329" s="2873">
        <v>0.48159999999999997</v>
      </c>
      <c r="K329" s="2873">
        <v>0.48159999999999997</v>
      </c>
      <c r="L329" s="2873">
        <v>0.48159999999999997</v>
      </c>
      <c r="M329" s="2874">
        <v>0.48159999999999997</v>
      </c>
    </row>
    <row r="330" spans="1:13">
      <c r="A330" s="2872">
        <v>6.1</v>
      </c>
      <c r="B330" s="2873">
        <v>0.71930000000000005</v>
      </c>
      <c r="C330" s="2873">
        <v>0.71930000000000005</v>
      </c>
      <c r="D330" s="2873">
        <v>0.67159999999999997</v>
      </c>
      <c r="E330" s="2873">
        <v>0.67159999999999997</v>
      </c>
      <c r="F330" s="2873">
        <v>0.67159999999999997</v>
      </c>
      <c r="G330" s="2873">
        <v>0.55940000000000001</v>
      </c>
      <c r="H330" s="2873">
        <v>0.55940000000000001</v>
      </c>
      <c r="I330" s="2873">
        <v>0.4793</v>
      </c>
      <c r="J330" s="2873">
        <v>0.4793</v>
      </c>
      <c r="K330" s="2873">
        <v>0.4793</v>
      </c>
      <c r="L330" s="2873">
        <v>0.4793</v>
      </c>
      <c r="M330" s="2874">
        <v>0.4793</v>
      </c>
    </row>
    <row r="331" spans="1:13">
      <c r="A331" s="2872">
        <v>6.2</v>
      </c>
      <c r="B331" s="2873">
        <v>0.71760000000000002</v>
      </c>
      <c r="C331" s="2873">
        <v>0.71760000000000002</v>
      </c>
      <c r="D331" s="2873">
        <v>0.66959999999999997</v>
      </c>
      <c r="E331" s="2873">
        <v>0.66959999999999997</v>
      </c>
      <c r="F331" s="2873">
        <v>0.66959999999999997</v>
      </c>
      <c r="G331" s="2873">
        <v>0.55710000000000004</v>
      </c>
      <c r="H331" s="2873">
        <v>0.55710000000000004</v>
      </c>
      <c r="I331" s="2873">
        <v>0.47710000000000002</v>
      </c>
      <c r="J331" s="2873">
        <v>0.47710000000000002</v>
      </c>
      <c r="K331" s="2873">
        <v>0.47710000000000002</v>
      </c>
      <c r="L331" s="2873">
        <v>0.47710000000000002</v>
      </c>
      <c r="M331" s="2874">
        <v>0.47710000000000002</v>
      </c>
    </row>
    <row r="332" spans="1:13">
      <c r="A332" s="2872">
        <v>6.3</v>
      </c>
      <c r="B332" s="2873">
        <v>0.71589999999999998</v>
      </c>
      <c r="C332" s="2873">
        <v>0.71589999999999998</v>
      </c>
      <c r="D332" s="2873">
        <v>0.66759999999999997</v>
      </c>
      <c r="E332" s="2873">
        <v>0.66759999999999997</v>
      </c>
      <c r="F332" s="2873">
        <v>0.66759999999999997</v>
      </c>
      <c r="G332" s="2873">
        <v>0.55479999999999996</v>
      </c>
      <c r="H332" s="2873">
        <v>0.55479999999999996</v>
      </c>
      <c r="I332" s="2873">
        <v>0.47489999999999999</v>
      </c>
      <c r="J332" s="2873">
        <v>0.47489999999999999</v>
      </c>
      <c r="K332" s="2873">
        <v>0.47489999999999999</v>
      </c>
      <c r="L332" s="2873">
        <v>0.47489999999999999</v>
      </c>
      <c r="M332" s="2874">
        <v>0.47489999999999999</v>
      </c>
    </row>
    <row r="333" spans="1:13">
      <c r="A333" s="2872">
        <v>6.4</v>
      </c>
      <c r="B333" s="2873">
        <v>0.71419999999999995</v>
      </c>
      <c r="C333" s="2873">
        <v>0.71419999999999995</v>
      </c>
      <c r="D333" s="2873">
        <v>0.66559999999999997</v>
      </c>
      <c r="E333" s="2873">
        <v>0.66559999999999997</v>
      </c>
      <c r="F333" s="2873">
        <v>0.66559999999999997</v>
      </c>
      <c r="G333" s="2873">
        <v>0.55249999999999999</v>
      </c>
      <c r="H333" s="2873">
        <v>0.55249999999999999</v>
      </c>
      <c r="I333" s="2873">
        <v>0.47270000000000001</v>
      </c>
      <c r="J333" s="2873">
        <v>0.47270000000000001</v>
      </c>
      <c r="K333" s="2873">
        <v>0.47270000000000001</v>
      </c>
      <c r="L333" s="2873">
        <v>0.47270000000000001</v>
      </c>
      <c r="M333" s="2874">
        <v>0.47270000000000001</v>
      </c>
    </row>
    <row r="334" spans="1:13">
      <c r="A334" s="2872">
        <v>6.5</v>
      </c>
      <c r="B334" s="2873">
        <v>0.71250000000000002</v>
      </c>
      <c r="C334" s="2873">
        <v>0.71250000000000002</v>
      </c>
      <c r="D334" s="2873">
        <v>0.66359999999999997</v>
      </c>
      <c r="E334" s="2873">
        <v>0.66359999999999997</v>
      </c>
      <c r="F334" s="2873">
        <v>0.66359999999999997</v>
      </c>
      <c r="G334" s="2873">
        <v>0.55020000000000002</v>
      </c>
      <c r="H334" s="2873">
        <v>0.55020000000000002</v>
      </c>
      <c r="I334" s="2873">
        <v>0.47060000000000002</v>
      </c>
      <c r="J334" s="2873">
        <v>0.47060000000000002</v>
      </c>
      <c r="K334" s="2873">
        <v>0.47060000000000002</v>
      </c>
      <c r="L334" s="2873">
        <v>0.47060000000000002</v>
      </c>
      <c r="M334" s="2874">
        <v>0.47060000000000002</v>
      </c>
    </row>
    <row r="335" spans="1:13">
      <c r="A335" s="2872">
        <v>6.6</v>
      </c>
      <c r="B335" s="2873">
        <v>0.71089999999999998</v>
      </c>
      <c r="C335" s="2873">
        <v>0.71089999999999998</v>
      </c>
      <c r="D335" s="2873">
        <v>0.66159999999999997</v>
      </c>
      <c r="E335" s="2873">
        <v>0.66159999999999997</v>
      </c>
      <c r="F335" s="2873">
        <v>0.66159999999999997</v>
      </c>
      <c r="G335" s="2873">
        <v>0.54800000000000004</v>
      </c>
      <c r="H335" s="2873">
        <v>0.54800000000000004</v>
      </c>
      <c r="I335" s="2873">
        <v>0.46839999999999998</v>
      </c>
      <c r="J335" s="2873">
        <v>0.46839999999999998</v>
      </c>
      <c r="K335" s="2873">
        <v>0.46839999999999998</v>
      </c>
      <c r="L335" s="2873">
        <v>0.46839999999999998</v>
      </c>
      <c r="M335" s="2874">
        <v>0.46839999999999998</v>
      </c>
    </row>
    <row r="336" spans="1:13">
      <c r="A336" s="2872">
        <v>6.7</v>
      </c>
      <c r="B336" s="2873">
        <v>0.70930000000000004</v>
      </c>
      <c r="C336" s="2873">
        <v>0.70930000000000004</v>
      </c>
      <c r="D336" s="2873">
        <v>0.65969999999999995</v>
      </c>
      <c r="E336" s="2873">
        <v>0.65969999999999995</v>
      </c>
      <c r="F336" s="2873">
        <v>0.65969999999999995</v>
      </c>
      <c r="G336" s="2873">
        <v>0.54579999999999995</v>
      </c>
      <c r="H336" s="2873">
        <v>0.54579999999999995</v>
      </c>
      <c r="I336" s="2873">
        <v>0.46629999999999999</v>
      </c>
      <c r="J336" s="2873">
        <v>0.46629999999999999</v>
      </c>
      <c r="K336" s="2873">
        <v>0.46629999999999999</v>
      </c>
      <c r="L336" s="2873">
        <v>0.46629999999999999</v>
      </c>
      <c r="M336" s="2874">
        <v>0.46629999999999999</v>
      </c>
    </row>
    <row r="337" spans="1:13">
      <c r="A337" s="2872">
        <v>6.8</v>
      </c>
      <c r="B337" s="2873">
        <v>0.7077</v>
      </c>
      <c r="C337" s="2873">
        <v>0.7077</v>
      </c>
      <c r="D337" s="2873">
        <v>0.65780000000000005</v>
      </c>
      <c r="E337" s="2873">
        <v>0.65780000000000005</v>
      </c>
      <c r="F337" s="2873">
        <v>0.65780000000000005</v>
      </c>
      <c r="G337" s="2873">
        <v>0.54359999999999997</v>
      </c>
      <c r="H337" s="2873">
        <v>0.54359999999999997</v>
      </c>
      <c r="I337" s="2873">
        <v>0.46410000000000001</v>
      </c>
      <c r="J337" s="2873">
        <v>0.46410000000000001</v>
      </c>
      <c r="K337" s="2873">
        <v>0.46410000000000001</v>
      </c>
      <c r="L337" s="2873">
        <v>0.46410000000000001</v>
      </c>
      <c r="M337" s="2874">
        <v>0.46410000000000001</v>
      </c>
    </row>
    <row r="338" spans="1:13">
      <c r="A338" s="2872">
        <v>6.9</v>
      </c>
      <c r="B338" s="2873">
        <v>0.70609999999999995</v>
      </c>
      <c r="C338" s="2873">
        <v>0.70609999999999995</v>
      </c>
      <c r="D338" s="2873">
        <v>0.65590000000000004</v>
      </c>
      <c r="E338" s="2873">
        <v>0.65590000000000004</v>
      </c>
      <c r="F338" s="2873">
        <v>0.65590000000000004</v>
      </c>
      <c r="G338" s="2873">
        <v>0.54139999999999999</v>
      </c>
      <c r="H338" s="2873">
        <v>0.54139999999999999</v>
      </c>
      <c r="I338" s="2873">
        <v>0.46200000000000002</v>
      </c>
      <c r="J338" s="2873">
        <v>0.46200000000000002</v>
      </c>
      <c r="K338" s="2873">
        <v>0.46200000000000002</v>
      </c>
      <c r="L338" s="2873">
        <v>0.46200000000000002</v>
      </c>
      <c r="M338" s="2874">
        <v>0.46200000000000002</v>
      </c>
    </row>
    <row r="339" spans="1:13">
      <c r="A339" s="2872">
        <v>7</v>
      </c>
      <c r="B339" s="2873">
        <v>0.70450000000000002</v>
      </c>
      <c r="C339" s="2873">
        <v>0.70450000000000002</v>
      </c>
      <c r="D339" s="2873">
        <v>0.65400000000000003</v>
      </c>
      <c r="E339" s="2873">
        <v>0.65400000000000003</v>
      </c>
      <c r="F339" s="2873">
        <v>0.65400000000000003</v>
      </c>
      <c r="G339" s="2873">
        <v>0.53920000000000001</v>
      </c>
      <c r="H339" s="2873">
        <v>0.53920000000000001</v>
      </c>
      <c r="I339" s="2873">
        <v>0.45979999999999999</v>
      </c>
      <c r="J339" s="2873">
        <v>0.45979999999999999</v>
      </c>
      <c r="K339" s="2873">
        <v>0.45979999999999999</v>
      </c>
      <c r="L339" s="2873">
        <v>0.45979999999999999</v>
      </c>
      <c r="M339" s="2874">
        <v>0.45979999999999999</v>
      </c>
    </row>
    <row r="340" spans="1:13">
      <c r="A340" s="2872">
        <v>7.1</v>
      </c>
      <c r="B340" s="2873">
        <v>0.70289999999999997</v>
      </c>
      <c r="C340" s="2873">
        <v>0.70289999999999997</v>
      </c>
      <c r="D340" s="2873">
        <v>0.65210000000000001</v>
      </c>
      <c r="E340" s="2873">
        <v>0.65210000000000001</v>
      </c>
      <c r="F340" s="2873">
        <v>0.65210000000000001</v>
      </c>
      <c r="G340" s="2873">
        <v>0.53710000000000002</v>
      </c>
      <c r="H340" s="2873">
        <v>0.53710000000000002</v>
      </c>
      <c r="I340" s="2873">
        <v>0.45779999999999998</v>
      </c>
      <c r="J340" s="2873">
        <v>0.45779999999999998</v>
      </c>
      <c r="K340" s="2873">
        <v>0.45779999999999998</v>
      </c>
      <c r="L340" s="2873">
        <v>0.45779999999999998</v>
      </c>
      <c r="M340" s="2874">
        <v>0.45779999999999998</v>
      </c>
    </row>
    <row r="341" spans="1:13">
      <c r="A341" s="2872">
        <v>7.2</v>
      </c>
      <c r="B341" s="2873">
        <v>0.70140000000000002</v>
      </c>
      <c r="C341" s="2873">
        <v>0.70140000000000002</v>
      </c>
      <c r="D341" s="2873">
        <v>0.6502</v>
      </c>
      <c r="E341" s="2873">
        <v>0.6502</v>
      </c>
      <c r="F341" s="2873">
        <v>0.6502</v>
      </c>
      <c r="G341" s="2873">
        <v>0.53500000000000003</v>
      </c>
      <c r="H341" s="2873">
        <v>0.53500000000000003</v>
      </c>
      <c r="I341" s="2873">
        <v>0.45569999999999999</v>
      </c>
      <c r="J341" s="2873">
        <v>0.45569999999999999</v>
      </c>
      <c r="K341" s="2873">
        <v>0.45569999999999999</v>
      </c>
      <c r="L341" s="2873">
        <v>0.45569999999999999</v>
      </c>
      <c r="M341" s="2874">
        <v>0.45569999999999999</v>
      </c>
    </row>
    <row r="342" spans="1:13">
      <c r="A342" s="2872">
        <v>7.3</v>
      </c>
      <c r="B342" s="2873">
        <v>0.69989999999999997</v>
      </c>
      <c r="C342" s="2873">
        <v>0.69989999999999997</v>
      </c>
      <c r="D342" s="2873">
        <v>0.64829999999999999</v>
      </c>
      <c r="E342" s="2873">
        <v>0.64829999999999999</v>
      </c>
      <c r="F342" s="2873">
        <v>0.64829999999999999</v>
      </c>
      <c r="G342" s="2873">
        <v>0.53290000000000004</v>
      </c>
      <c r="H342" s="2873">
        <v>0.53290000000000004</v>
      </c>
      <c r="I342" s="2873">
        <v>0.45369999999999999</v>
      </c>
      <c r="J342" s="2873">
        <v>0.45369999999999999</v>
      </c>
      <c r="K342" s="2873">
        <v>0.45369999999999999</v>
      </c>
      <c r="L342" s="2873">
        <v>0.45369999999999999</v>
      </c>
      <c r="M342" s="2874">
        <v>0.45369999999999999</v>
      </c>
    </row>
    <row r="343" spans="1:13">
      <c r="A343" s="2872">
        <v>7.4</v>
      </c>
      <c r="B343" s="2873">
        <v>0.69840000000000002</v>
      </c>
      <c r="C343" s="2873">
        <v>0.69840000000000002</v>
      </c>
      <c r="D343" s="2873">
        <v>0.64649999999999996</v>
      </c>
      <c r="E343" s="2873">
        <v>0.64649999999999996</v>
      </c>
      <c r="F343" s="2873">
        <v>0.64649999999999996</v>
      </c>
      <c r="G343" s="2873">
        <v>0.53080000000000005</v>
      </c>
      <c r="H343" s="2873">
        <v>0.53080000000000005</v>
      </c>
      <c r="I343" s="2873">
        <v>0.4516</v>
      </c>
      <c r="J343" s="2873">
        <v>0.4516</v>
      </c>
      <c r="K343" s="2873">
        <v>0.4516</v>
      </c>
      <c r="L343" s="2873">
        <v>0.4516</v>
      </c>
      <c r="M343" s="2874">
        <v>0.4516</v>
      </c>
    </row>
    <row r="344" spans="1:13">
      <c r="A344" s="2872">
        <v>7.5</v>
      </c>
      <c r="B344" s="2873">
        <v>0.69689999999999996</v>
      </c>
      <c r="C344" s="2873">
        <v>0.69689999999999996</v>
      </c>
      <c r="D344" s="2873">
        <v>0.64470000000000005</v>
      </c>
      <c r="E344" s="2873">
        <v>0.64470000000000005</v>
      </c>
      <c r="F344" s="2873">
        <v>0.64470000000000005</v>
      </c>
      <c r="G344" s="2873">
        <v>0.52869999999999995</v>
      </c>
      <c r="H344" s="2873">
        <v>0.52869999999999995</v>
      </c>
      <c r="I344" s="2873">
        <v>0.44950000000000001</v>
      </c>
      <c r="J344" s="2873">
        <v>0.44950000000000001</v>
      </c>
      <c r="K344" s="2873">
        <v>0.44950000000000001</v>
      </c>
      <c r="L344" s="2873">
        <v>0.44950000000000001</v>
      </c>
      <c r="M344" s="2874">
        <v>0.44950000000000001</v>
      </c>
    </row>
    <row r="345" spans="1:13">
      <c r="A345" s="2872">
        <v>7.6</v>
      </c>
      <c r="B345" s="2873">
        <v>0.69540000000000002</v>
      </c>
      <c r="C345" s="2873">
        <v>0.69540000000000002</v>
      </c>
      <c r="D345" s="2873">
        <v>0.64290000000000003</v>
      </c>
      <c r="E345" s="2873">
        <v>0.64290000000000003</v>
      </c>
      <c r="F345" s="2873">
        <v>0.64290000000000003</v>
      </c>
      <c r="G345" s="2873">
        <v>0.52659999999999996</v>
      </c>
      <c r="H345" s="2873">
        <v>0.52659999999999996</v>
      </c>
      <c r="I345" s="2873">
        <v>0.44750000000000001</v>
      </c>
      <c r="J345" s="2873">
        <v>0.44750000000000001</v>
      </c>
      <c r="K345" s="2873">
        <v>0.44750000000000001</v>
      </c>
      <c r="L345" s="2873">
        <v>0.44750000000000001</v>
      </c>
      <c r="M345" s="2874">
        <v>0.44750000000000001</v>
      </c>
    </row>
    <row r="346" spans="1:13">
      <c r="A346" s="2872">
        <v>7.7</v>
      </c>
      <c r="B346" s="2873">
        <v>0.69389999999999996</v>
      </c>
      <c r="C346" s="2873">
        <v>0.69389999999999996</v>
      </c>
      <c r="D346" s="2873">
        <v>0.6411</v>
      </c>
      <c r="E346" s="2873">
        <v>0.6411</v>
      </c>
      <c r="F346" s="2873">
        <v>0.6411</v>
      </c>
      <c r="G346" s="2873">
        <v>0.52459999999999996</v>
      </c>
      <c r="H346" s="2873">
        <v>0.52459999999999996</v>
      </c>
      <c r="I346" s="2873">
        <v>0.44540000000000002</v>
      </c>
      <c r="J346" s="2873">
        <v>0.44540000000000002</v>
      </c>
      <c r="K346" s="2873">
        <v>0.44540000000000002</v>
      </c>
      <c r="L346" s="2873">
        <v>0.44540000000000002</v>
      </c>
      <c r="M346" s="2874">
        <v>0.44540000000000002</v>
      </c>
    </row>
    <row r="347" spans="1:13">
      <c r="A347" s="2872">
        <v>7.8</v>
      </c>
      <c r="B347" s="2873">
        <v>0.69240000000000002</v>
      </c>
      <c r="C347" s="2873">
        <v>0.69240000000000002</v>
      </c>
      <c r="D347" s="2873">
        <v>0.63929999999999998</v>
      </c>
      <c r="E347" s="2873">
        <v>0.63929999999999998</v>
      </c>
      <c r="F347" s="2873">
        <v>0.63929999999999998</v>
      </c>
      <c r="G347" s="2873">
        <v>0.52259999999999995</v>
      </c>
      <c r="H347" s="2873">
        <v>0.52259999999999995</v>
      </c>
      <c r="I347" s="2873">
        <v>0.44340000000000002</v>
      </c>
      <c r="J347" s="2873">
        <v>0.44340000000000002</v>
      </c>
      <c r="K347" s="2873">
        <v>0.44340000000000002</v>
      </c>
      <c r="L347" s="2873">
        <v>0.44340000000000002</v>
      </c>
      <c r="M347" s="2874">
        <v>0.44340000000000002</v>
      </c>
    </row>
    <row r="348" spans="1:13">
      <c r="A348" s="2872">
        <v>7.9</v>
      </c>
      <c r="B348" s="2873">
        <v>0.69099999999999995</v>
      </c>
      <c r="C348" s="2873">
        <v>0.69099999999999995</v>
      </c>
      <c r="D348" s="2873">
        <v>0.63749999999999996</v>
      </c>
      <c r="E348" s="2873">
        <v>0.63749999999999996</v>
      </c>
      <c r="F348" s="2873">
        <v>0.63749999999999996</v>
      </c>
      <c r="G348" s="2873">
        <v>0.52059999999999995</v>
      </c>
      <c r="H348" s="2873">
        <v>0.52059999999999995</v>
      </c>
      <c r="I348" s="2873">
        <v>0.44130000000000003</v>
      </c>
      <c r="J348" s="2873">
        <v>0.44130000000000003</v>
      </c>
      <c r="K348" s="2873">
        <v>0.44130000000000003</v>
      </c>
      <c r="L348" s="2873">
        <v>0.44130000000000003</v>
      </c>
      <c r="M348" s="2874">
        <v>0.44130000000000003</v>
      </c>
    </row>
    <row r="349" spans="1:13">
      <c r="A349" s="2872">
        <v>8</v>
      </c>
      <c r="B349" s="2873">
        <v>0.68959999999999999</v>
      </c>
      <c r="C349" s="2873">
        <v>0.68959999999999999</v>
      </c>
      <c r="D349" s="2873">
        <v>0.63570000000000004</v>
      </c>
      <c r="E349" s="2873">
        <v>0.63570000000000004</v>
      </c>
      <c r="F349" s="2873">
        <v>0.63570000000000004</v>
      </c>
      <c r="G349" s="2873">
        <v>0.51859999999999995</v>
      </c>
      <c r="H349" s="2873">
        <v>0.51859999999999995</v>
      </c>
      <c r="I349" s="2873">
        <v>0.43919999999999998</v>
      </c>
      <c r="J349" s="2873">
        <v>0.43919999999999998</v>
      </c>
      <c r="K349" s="2873">
        <v>0.43919999999999998</v>
      </c>
      <c r="L349" s="2873">
        <v>0.43919999999999998</v>
      </c>
      <c r="M349" s="2874">
        <v>0.43919999999999998</v>
      </c>
    </row>
    <row r="350" spans="1:13">
      <c r="A350" s="2872">
        <v>8.1</v>
      </c>
      <c r="B350" s="2873">
        <v>0.68820000000000003</v>
      </c>
      <c r="C350" s="2873">
        <v>0.68820000000000003</v>
      </c>
      <c r="D350" s="2873">
        <v>0.63390000000000002</v>
      </c>
      <c r="E350" s="2873">
        <v>0.63390000000000002</v>
      </c>
      <c r="F350" s="2873">
        <v>0.63390000000000002</v>
      </c>
      <c r="G350" s="2873">
        <v>0.51659999999999995</v>
      </c>
      <c r="H350" s="2873">
        <v>0.51659999999999995</v>
      </c>
      <c r="I350" s="2873">
        <v>0.43730000000000002</v>
      </c>
      <c r="J350" s="2873">
        <v>0.43730000000000002</v>
      </c>
      <c r="K350" s="2873">
        <v>0.43730000000000002</v>
      </c>
      <c r="L350" s="2873">
        <v>0.43730000000000002</v>
      </c>
      <c r="M350" s="2874">
        <v>0.43730000000000002</v>
      </c>
    </row>
    <row r="351" spans="1:13">
      <c r="A351" s="2872">
        <v>8.1999999999999993</v>
      </c>
      <c r="B351" s="2873">
        <v>0.68679999999999997</v>
      </c>
      <c r="C351" s="2873">
        <v>0.68679999999999997</v>
      </c>
      <c r="D351" s="2873">
        <v>0.63219999999999998</v>
      </c>
      <c r="E351" s="2873">
        <v>0.63219999999999998</v>
      </c>
      <c r="F351" s="2873">
        <v>0.63219999999999998</v>
      </c>
      <c r="G351" s="2873">
        <v>0.51459999999999995</v>
      </c>
      <c r="H351" s="2873">
        <v>0.51459999999999995</v>
      </c>
      <c r="I351" s="2873">
        <v>0.43530000000000002</v>
      </c>
      <c r="J351" s="2873">
        <v>0.43530000000000002</v>
      </c>
      <c r="K351" s="2873">
        <v>0.43530000000000002</v>
      </c>
      <c r="L351" s="2873">
        <v>0.43530000000000002</v>
      </c>
      <c r="M351" s="2874">
        <v>0.43530000000000002</v>
      </c>
    </row>
    <row r="352" spans="1:13">
      <c r="A352" s="2872">
        <v>8.3000000000000007</v>
      </c>
      <c r="B352" s="2873">
        <v>0.68540000000000001</v>
      </c>
      <c r="C352" s="2873">
        <v>0.68540000000000001</v>
      </c>
      <c r="D352" s="2873">
        <v>0.63049999999999995</v>
      </c>
      <c r="E352" s="2873">
        <v>0.63049999999999995</v>
      </c>
      <c r="F352" s="2873">
        <v>0.63049999999999995</v>
      </c>
      <c r="G352" s="2873">
        <v>0.51259999999999994</v>
      </c>
      <c r="H352" s="2873">
        <v>0.51259999999999994</v>
      </c>
      <c r="I352" s="2873">
        <v>0.43330000000000002</v>
      </c>
      <c r="J352" s="2873">
        <v>0.43330000000000002</v>
      </c>
      <c r="K352" s="2873">
        <v>0.43330000000000002</v>
      </c>
      <c r="L352" s="2873">
        <v>0.43330000000000002</v>
      </c>
      <c r="M352" s="2874">
        <v>0.43330000000000002</v>
      </c>
    </row>
    <row r="353" spans="1:13">
      <c r="A353" s="2872">
        <v>8.4</v>
      </c>
      <c r="B353" s="2873">
        <v>0.68400000000000005</v>
      </c>
      <c r="C353" s="2873">
        <v>0.68400000000000005</v>
      </c>
      <c r="D353" s="2873">
        <v>0.62880000000000003</v>
      </c>
      <c r="E353" s="2873">
        <v>0.62880000000000003</v>
      </c>
      <c r="F353" s="2873">
        <v>0.62880000000000003</v>
      </c>
      <c r="G353" s="2873">
        <v>0.51070000000000004</v>
      </c>
      <c r="H353" s="2873">
        <v>0.51070000000000004</v>
      </c>
      <c r="I353" s="2873">
        <v>0.43130000000000002</v>
      </c>
      <c r="J353" s="2873">
        <v>0.43130000000000002</v>
      </c>
      <c r="K353" s="2873">
        <v>0.43130000000000002</v>
      </c>
      <c r="L353" s="2873">
        <v>0.43130000000000002</v>
      </c>
      <c r="M353" s="2874">
        <v>0.43130000000000002</v>
      </c>
    </row>
    <row r="354" spans="1:13">
      <c r="A354" s="2872">
        <v>8.5</v>
      </c>
      <c r="B354" s="2873">
        <v>0.68259999999999998</v>
      </c>
      <c r="C354" s="2873">
        <v>0.68259999999999998</v>
      </c>
      <c r="D354" s="2873">
        <v>0.62709999999999999</v>
      </c>
      <c r="E354" s="2873">
        <v>0.62709999999999999</v>
      </c>
      <c r="F354" s="2873">
        <v>0.62709999999999999</v>
      </c>
      <c r="G354" s="2873">
        <v>0.50880000000000003</v>
      </c>
      <c r="H354" s="2873">
        <v>0.50880000000000003</v>
      </c>
      <c r="I354" s="2873">
        <v>0.4294</v>
      </c>
      <c r="J354" s="2873">
        <v>0.4294</v>
      </c>
      <c r="K354" s="2873">
        <v>0.4294</v>
      </c>
      <c r="L354" s="2873">
        <v>0.4294</v>
      </c>
      <c r="M354" s="2874">
        <v>0.4294</v>
      </c>
    </row>
    <row r="355" spans="1:13">
      <c r="A355" s="2872">
        <v>8.6</v>
      </c>
      <c r="B355" s="2873">
        <v>0.68120000000000003</v>
      </c>
      <c r="C355" s="2873">
        <v>0.68120000000000003</v>
      </c>
      <c r="D355" s="2873">
        <v>0.62539999999999996</v>
      </c>
      <c r="E355" s="2873">
        <v>0.62539999999999996</v>
      </c>
      <c r="F355" s="2873">
        <v>0.62539999999999996</v>
      </c>
      <c r="G355" s="2873">
        <v>0.50690000000000002</v>
      </c>
      <c r="H355" s="2873">
        <v>0.50690000000000002</v>
      </c>
      <c r="I355" s="2873">
        <v>0.4274</v>
      </c>
      <c r="J355" s="2873">
        <v>0.4274</v>
      </c>
      <c r="K355" s="2873">
        <v>0.4274</v>
      </c>
      <c r="L355" s="2873">
        <v>0.4274</v>
      </c>
      <c r="M355" s="2874">
        <v>0.4274</v>
      </c>
    </row>
    <row r="356" spans="1:13">
      <c r="A356" s="2872">
        <v>8.6999999999999993</v>
      </c>
      <c r="B356" s="2873">
        <v>0.67989999999999995</v>
      </c>
      <c r="C356" s="2873">
        <v>0.67989999999999995</v>
      </c>
      <c r="D356" s="2873">
        <v>0.62370000000000003</v>
      </c>
      <c r="E356" s="2873">
        <v>0.62370000000000003</v>
      </c>
      <c r="F356" s="2873">
        <v>0.62370000000000003</v>
      </c>
      <c r="G356" s="2873">
        <v>0.505</v>
      </c>
      <c r="H356" s="2873">
        <v>0.505</v>
      </c>
      <c r="I356" s="2873">
        <v>0.4254</v>
      </c>
      <c r="J356" s="2873">
        <v>0.4254</v>
      </c>
      <c r="K356" s="2873">
        <v>0.4254</v>
      </c>
      <c r="L356" s="2873">
        <v>0.4254</v>
      </c>
      <c r="M356" s="2874">
        <v>0.4254</v>
      </c>
    </row>
    <row r="357" spans="1:13">
      <c r="A357" s="2872">
        <v>8.8000000000000007</v>
      </c>
      <c r="B357" s="2873">
        <v>0.67859999999999998</v>
      </c>
      <c r="C357" s="2873">
        <v>0.67859999999999998</v>
      </c>
      <c r="D357" s="2873">
        <v>0.622</v>
      </c>
      <c r="E357" s="2873">
        <v>0.622</v>
      </c>
      <c r="F357" s="2873">
        <v>0.622</v>
      </c>
      <c r="G357" s="2873">
        <v>0.50309999999999999</v>
      </c>
      <c r="H357" s="2873">
        <v>0.50309999999999999</v>
      </c>
      <c r="I357" s="2873">
        <v>0.4234</v>
      </c>
      <c r="J357" s="2873">
        <v>0.4234</v>
      </c>
      <c r="K357" s="2873">
        <v>0.4234</v>
      </c>
      <c r="L357" s="2873">
        <v>0.4234</v>
      </c>
      <c r="M357" s="2874">
        <v>0.4234</v>
      </c>
    </row>
    <row r="358" spans="1:13">
      <c r="A358" s="2872">
        <v>8.9</v>
      </c>
      <c r="B358" s="2873">
        <v>0.67730000000000001</v>
      </c>
      <c r="C358" s="2873">
        <v>0.67730000000000001</v>
      </c>
      <c r="D358" s="2873">
        <v>0.62029999999999996</v>
      </c>
      <c r="E358" s="2873">
        <v>0.62029999999999996</v>
      </c>
      <c r="F358" s="2873">
        <v>0.62029999999999996</v>
      </c>
      <c r="G358" s="2873">
        <v>0.50119999999999998</v>
      </c>
      <c r="H358" s="2873">
        <v>0.50119999999999998</v>
      </c>
      <c r="I358" s="2873">
        <v>0.42149999999999999</v>
      </c>
      <c r="J358" s="2873">
        <v>0.42149999999999999</v>
      </c>
      <c r="K358" s="2873">
        <v>0.42149999999999999</v>
      </c>
      <c r="L358" s="2873">
        <v>0.42149999999999999</v>
      </c>
      <c r="M358" s="2874">
        <v>0.42149999999999999</v>
      </c>
    </row>
    <row r="359" spans="1:13">
      <c r="A359" s="2875">
        <v>9</v>
      </c>
      <c r="B359" s="2873">
        <v>0.67600000000000005</v>
      </c>
      <c r="C359" s="2873">
        <v>0.67600000000000005</v>
      </c>
      <c r="D359" s="2873">
        <v>0.61870000000000003</v>
      </c>
      <c r="E359" s="2873">
        <v>0.61870000000000003</v>
      </c>
      <c r="F359" s="2873">
        <v>0.61870000000000003</v>
      </c>
      <c r="G359" s="2873">
        <v>0.49930000000000002</v>
      </c>
      <c r="H359" s="2873">
        <v>0.49930000000000002</v>
      </c>
      <c r="I359" s="2873">
        <v>0.41949999999999998</v>
      </c>
      <c r="J359" s="2873">
        <v>0.41949999999999998</v>
      </c>
      <c r="K359" s="2873">
        <v>0.41949999999999998</v>
      </c>
      <c r="L359" s="2873">
        <v>0.41949999999999998</v>
      </c>
      <c r="M359" s="2874">
        <v>0.41949999999999998</v>
      </c>
    </row>
    <row r="360" spans="1:13">
      <c r="A360" s="2875">
        <v>9.1</v>
      </c>
      <c r="B360" s="2873">
        <v>0.67469999999999997</v>
      </c>
      <c r="C360" s="2873">
        <v>0.67469999999999997</v>
      </c>
      <c r="D360" s="2873">
        <v>0.61709999999999998</v>
      </c>
      <c r="E360" s="2873">
        <v>0.61709999999999998</v>
      </c>
      <c r="F360" s="2873">
        <v>0.61709999999999998</v>
      </c>
      <c r="G360" s="2873">
        <v>0.49740000000000001</v>
      </c>
      <c r="H360" s="2873">
        <v>0.49740000000000001</v>
      </c>
      <c r="I360" s="2873">
        <v>0.41760000000000003</v>
      </c>
      <c r="J360" s="2873">
        <v>0.41760000000000003</v>
      </c>
      <c r="K360" s="2873">
        <v>0.41760000000000003</v>
      </c>
      <c r="L360" s="2873">
        <v>0.41760000000000003</v>
      </c>
      <c r="M360" s="2874">
        <v>0.41760000000000003</v>
      </c>
    </row>
    <row r="361" spans="1:13">
      <c r="A361" s="2875">
        <v>9.1999999999999993</v>
      </c>
      <c r="B361" s="2873">
        <v>0.6734</v>
      </c>
      <c r="C361" s="2873">
        <v>0.6734</v>
      </c>
      <c r="D361" s="2873">
        <v>0.61550000000000005</v>
      </c>
      <c r="E361" s="2873">
        <v>0.61550000000000005</v>
      </c>
      <c r="F361" s="2873">
        <v>0.61550000000000005</v>
      </c>
      <c r="G361" s="2873">
        <v>0.49559999999999998</v>
      </c>
      <c r="H361" s="2873">
        <v>0.49559999999999998</v>
      </c>
      <c r="I361" s="2873">
        <v>0.41570000000000001</v>
      </c>
      <c r="J361" s="2873">
        <v>0.41570000000000001</v>
      </c>
      <c r="K361" s="2873">
        <v>0.41570000000000001</v>
      </c>
      <c r="L361" s="2873">
        <v>0.41570000000000001</v>
      </c>
      <c r="M361" s="2874">
        <v>0.41570000000000001</v>
      </c>
    </row>
    <row r="362" spans="1:13">
      <c r="A362" s="2875">
        <v>9.3000000000000007</v>
      </c>
      <c r="B362" s="2873">
        <v>0.67210000000000003</v>
      </c>
      <c r="C362" s="2873">
        <v>0.67210000000000003</v>
      </c>
      <c r="D362" s="2873">
        <v>0.6139</v>
      </c>
      <c r="E362" s="2873">
        <v>0.6139</v>
      </c>
      <c r="F362" s="2873">
        <v>0.6139</v>
      </c>
      <c r="G362" s="2873">
        <v>0.49380000000000002</v>
      </c>
      <c r="H362" s="2873">
        <v>0.49380000000000002</v>
      </c>
      <c r="I362" s="2873">
        <v>0.4138</v>
      </c>
      <c r="J362" s="2873">
        <v>0.4138</v>
      </c>
      <c r="K362" s="2873">
        <v>0.4138</v>
      </c>
      <c r="L362" s="2873">
        <v>0.4138</v>
      </c>
      <c r="M362" s="2874">
        <v>0.4138</v>
      </c>
    </row>
    <row r="363" spans="1:13">
      <c r="A363" s="2875">
        <v>9.4</v>
      </c>
      <c r="B363" s="2873">
        <v>0.67079999999999995</v>
      </c>
      <c r="C363" s="2873">
        <v>0.67079999999999995</v>
      </c>
      <c r="D363" s="2873">
        <v>0.61229999999999996</v>
      </c>
      <c r="E363" s="2873">
        <v>0.61229999999999996</v>
      </c>
      <c r="F363" s="2873">
        <v>0.61229999999999996</v>
      </c>
      <c r="G363" s="2873">
        <v>0.49199999999999999</v>
      </c>
      <c r="H363" s="2873">
        <v>0.49199999999999999</v>
      </c>
      <c r="I363" s="2873">
        <v>0.41189999999999999</v>
      </c>
      <c r="J363" s="2873">
        <v>0.41189999999999999</v>
      </c>
      <c r="K363" s="2873">
        <v>0.41189999999999999</v>
      </c>
      <c r="L363" s="2873">
        <v>0.41189999999999999</v>
      </c>
      <c r="M363" s="2874">
        <v>0.41189999999999999</v>
      </c>
    </row>
    <row r="364" spans="1:13">
      <c r="A364" s="2875">
        <v>9.5</v>
      </c>
      <c r="B364" s="2873">
        <v>0.66959999999999997</v>
      </c>
      <c r="C364" s="2873">
        <v>0.66959999999999997</v>
      </c>
      <c r="D364" s="2873">
        <v>0.61070000000000002</v>
      </c>
      <c r="E364" s="2873">
        <v>0.61070000000000002</v>
      </c>
      <c r="F364" s="2873">
        <v>0.61070000000000002</v>
      </c>
      <c r="G364" s="2873">
        <v>0.49020000000000002</v>
      </c>
      <c r="H364" s="2873">
        <v>0.49020000000000002</v>
      </c>
      <c r="I364" s="2873">
        <v>0.41</v>
      </c>
      <c r="J364" s="2873">
        <v>0.41</v>
      </c>
      <c r="K364" s="2873">
        <v>0.41</v>
      </c>
      <c r="L364" s="2873">
        <v>0.41</v>
      </c>
      <c r="M364" s="2874">
        <v>0.41</v>
      </c>
    </row>
    <row r="365" spans="1:13">
      <c r="A365" s="2875">
        <v>9.6</v>
      </c>
      <c r="B365" s="2873">
        <v>0.66839999999999999</v>
      </c>
      <c r="C365" s="2873">
        <v>0.66839999999999999</v>
      </c>
      <c r="D365" s="2873">
        <v>0.60909999999999997</v>
      </c>
      <c r="E365" s="2873">
        <v>0.60909999999999997</v>
      </c>
      <c r="F365" s="2873">
        <v>0.60909999999999997</v>
      </c>
      <c r="G365" s="2873">
        <v>0.4884</v>
      </c>
      <c r="H365" s="2873">
        <v>0.4884</v>
      </c>
      <c r="I365" s="2873">
        <v>0.40810000000000002</v>
      </c>
      <c r="J365" s="2873">
        <v>0.40810000000000002</v>
      </c>
      <c r="K365" s="2873">
        <v>0.40810000000000002</v>
      </c>
      <c r="L365" s="2873">
        <v>0.40810000000000002</v>
      </c>
      <c r="M365" s="2874">
        <v>0.40810000000000002</v>
      </c>
    </row>
    <row r="366" spans="1:13">
      <c r="A366" s="2875">
        <v>9.6999999999999993</v>
      </c>
      <c r="B366" s="2873">
        <v>0.66720000000000002</v>
      </c>
      <c r="C366" s="2873">
        <v>0.66720000000000002</v>
      </c>
      <c r="D366" s="2873">
        <v>0.60750000000000004</v>
      </c>
      <c r="E366" s="2873">
        <v>0.60750000000000004</v>
      </c>
      <c r="F366" s="2873">
        <v>0.60750000000000004</v>
      </c>
      <c r="G366" s="2873">
        <v>0.48659999999999998</v>
      </c>
      <c r="H366" s="2873">
        <v>0.48659999999999998</v>
      </c>
      <c r="I366" s="2873">
        <v>0.40620000000000001</v>
      </c>
      <c r="J366" s="2873">
        <v>0.40620000000000001</v>
      </c>
      <c r="K366" s="2873">
        <v>0.40620000000000001</v>
      </c>
      <c r="L366" s="2873">
        <v>0.40620000000000001</v>
      </c>
      <c r="M366" s="2874">
        <v>0.40620000000000001</v>
      </c>
    </row>
    <row r="367" spans="1:13">
      <c r="A367" s="2875">
        <v>9.8000000000000007</v>
      </c>
      <c r="B367" s="2873">
        <v>0.66600000000000004</v>
      </c>
      <c r="C367" s="2873">
        <v>0.66600000000000004</v>
      </c>
      <c r="D367" s="2873">
        <v>0.60599999999999998</v>
      </c>
      <c r="E367" s="2873">
        <v>0.60599999999999998</v>
      </c>
      <c r="F367" s="2873">
        <v>0.60599999999999998</v>
      </c>
      <c r="G367" s="2873">
        <v>0.48480000000000001</v>
      </c>
      <c r="H367" s="2873">
        <v>0.48480000000000001</v>
      </c>
      <c r="I367" s="2873">
        <v>0.40429999999999999</v>
      </c>
      <c r="J367" s="2873">
        <v>0.40429999999999999</v>
      </c>
      <c r="K367" s="2873">
        <v>0.40429999999999999</v>
      </c>
      <c r="L367" s="2873">
        <v>0.40429999999999999</v>
      </c>
      <c r="M367" s="2874">
        <v>0.40429999999999999</v>
      </c>
    </row>
    <row r="368" spans="1:13" ht="14.25" thickBot="1">
      <c r="A368" s="2876">
        <v>9.9</v>
      </c>
      <c r="B368" s="2877">
        <v>0.66479999999999995</v>
      </c>
      <c r="C368" s="2877">
        <v>0.66479999999999995</v>
      </c>
      <c r="D368" s="2877">
        <v>0.60450000000000004</v>
      </c>
      <c r="E368" s="2877">
        <v>0.60450000000000004</v>
      </c>
      <c r="F368" s="2877">
        <v>0.60450000000000004</v>
      </c>
      <c r="G368" s="2877">
        <v>0.48299999999999998</v>
      </c>
      <c r="H368" s="2877">
        <v>0.48299999999999998</v>
      </c>
      <c r="I368" s="2877">
        <v>0.40239999999999998</v>
      </c>
      <c r="J368" s="2877">
        <v>0.40239999999999998</v>
      </c>
      <c r="K368" s="2877">
        <v>0.40239999999999998</v>
      </c>
      <c r="L368" s="2877">
        <v>0.40239999999999998</v>
      </c>
      <c r="M368" s="2878">
        <v>0.40239999999999998</v>
      </c>
    </row>
    <row r="369" spans="1:20" ht="15" thickBot="1">
      <c r="A369" s="2866" t="s">
        <v>2801</v>
      </c>
      <c r="B369" s="2879"/>
      <c r="C369" s="2879"/>
      <c r="D369" s="2879"/>
      <c r="E369" s="2879"/>
      <c r="F369" s="2879"/>
      <c r="G369" s="2879"/>
      <c r="H369" s="2879"/>
      <c r="I369" s="2879"/>
      <c r="J369" s="2879"/>
      <c r="K369" s="2879"/>
      <c r="L369" s="2879"/>
      <c r="M369" s="2879"/>
    </row>
    <row r="370" spans="1:20">
      <c r="A370" s="2867" t="s">
        <v>2797</v>
      </c>
      <c r="B370" s="2868" t="s">
        <v>2593</v>
      </c>
      <c r="C370" s="2868" t="s">
        <v>2594</v>
      </c>
      <c r="D370" s="2868" t="s">
        <v>2595</v>
      </c>
      <c r="E370" s="2868" t="s">
        <v>2596</v>
      </c>
      <c r="F370" s="2868" t="s">
        <v>2597</v>
      </c>
      <c r="G370" s="2868" t="s">
        <v>2598</v>
      </c>
      <c r="H370" s="2869" t="s">
        <v>2599</v>
      </c>
      <c r="I370" s="2869" t="s">
        <v>2600</v>
      </c>
      <c r="J370" s="2870" t="s">
        <v>2601</v>
      </c>
      <c r="K370" s="2870" t="s">
        <v>2602</v>
      </c>
      <c r="L370" s="2870" t="s">
        <v>2603</v>
      </c>
      <c r="M370" s="2871" t="s">
        <v>2604</v>
      </c>
      <c r="N370">
        <f>SUMPRODUCT((A371:A460=ROUNDDOWN(基准地价修正!G3,1))*(B370:M370=基准地价修正!G2)*(B371:M460))</f>
        <v>0</v>
      </c>
      <c r="Q370" s="2881" t="s">
        <v>2802</v>
      </c>
      <c r="R370" s="2881" t="s">
        <v>2803</v>
      </c>
      <c r="S370" s="2881" t="s">
        <v>2804</v>
      </c>
      <c r="T370" s="2881" t="s">
        <v>2805</v>
      </c>
    </row>
    <row r="371" spans="1:20">
      <c r="A371" s="2872">
        <v>1</v>
      </c>
      <c r="B371" s="2873">
        <v>1.1839999999999999</v>
      </c>
      <c r="C371" s="2873">
        <v>1.1839999999999999</v>
      </c>
      <c r="D371" s="2873">
        <v>1.1565000000000001</v>
      </c>
      <c r="E371" s="2873">
        <v>1.1565000000000001</v>
      </c>
      <c r="F371" s="2873">
        <v>1.1565000000000001</v>
      </c>
      <c r="G371" s="2873">
        <v>1.1565000000000001</v>
      </c>
      <c r="H371" s="2873">
        <v>1.1565000000000001</v>
      </c>
      <c r="I371" s="2873">
        <v>1.1198999999999999</v>
      </c>
      <c r="J371" s="2873">
        <v>1.1198999999999999</v>
      </c>
      <c r="K371" s="2873">
        <v>1.1198999999999999</v>
      </c>
      <c r="L371" s="2873">
        <v>1.1198999999999999</v>
      </c>
      <c r="M371" s="2874">
        <v>1.1198999999999999</v>
      </c>
      <c r="Q371" s="2881">
        <v>10</v>
      </c>
      <c r="R371" s="2881">
        <f>ROUND(0.9404-0.0106*Q371,4)</f>
        <v>0.83440000000000003</v>
      </c>
      <c r="S371" s="2881">
        <f>ROUND(0.8955-0.0135*Q371,4)</f>
        <v>0.76049999999999995</v>
      </c>
      <c r="T371" s="2881">
        <f>ROUND(0.7632-0.0166*Q371,4)</f>
        <v>0.59719999999999995</v>
      </c>
    </row>
    <row r="372" spans="1:20">
      <c r="A372" s="2872">
        <v>1.1000000000000001</v>
      </c>
      <c r="B372" s="2873">
        <v>1.1658999999999999</v>
      </c>
      <c r="C372" s="2873">
        <v>1.1658999999999999</v>
      </c>
      <c r="D372" s="2873">
        <v>1.1364000000000001</v>
      </c>
      <c r="E372" s="2873">
        <v>1.1364000000000001</v>
      </c>
      <c r="F372" s="2873">
        <v>1.1364000000000001</v>
      </c>
      <c r="G372" s="2873">
        <v>1.1364000000000001</v>
      </c>
      <c r="H372" s="2873">
        <v>1.1364000000000001</v>
      </c>
      <c r="I372" s="2873">
        <v>1.0931</v>
      </c>
      <c r="J372" s="2873">
        <v>1.0931</v>
      </c>
      <c r="K372" s="2873">
        <v>1.0931</v>
      </c>
      <c r="L372" s="2873">
        <v>1.0931</v>
      </c>
      <c r="M372" s="2874">
        <v>1.0931</v>
      </c>
    </row>
    <row r="373" spans="1:20">
      <c r="A373" s="2872">
        <v>1.2</v>
      </c>
      <c r="B373" s="2873">
        <v>1.1489</v>
      </c>
      <c r="C373" s="2873">
        <v>1.1489</v>
      </c>
      <c r="D373" s="2873">
        <v>1.1174999999999999</v>
      </c>
      <c r="E373" s="2873">
        <v>1.1174999999999999</v>
      </c>
      <c r="F373" s="2873">
        <v>1.1174999999999999</v>
      </c>
      <c r="G373" s="2873">
        <v>1.1174999999999999</v>
      </c>
      <c r="H373" s="2873">
        <v>1.1174999999999999</v>
      </c>
      <c r="I373" s="2873">
        <v>1.0678000000000001</v>
      </c>
      <c r="J373" s="2873">
        <v>1.0678000000000001</v>
      </c>
      <c r="K373" s="2873">
        <v>1.0678000000000001</v>
      </c>
      <c r="L373" s="2873">
        <v>1.0678000000000001</v>
      </c>
      <c r="M373" s="2874">
        <v>1.0678000000000001</v>
      </c>
    </row>
    <row r="374" spans="1:20">
      <c r="A374" s="2872">
        <v>1.3</v>
      </c>
      <c r="B374" s="2873">
        <v>1.1328</v>
      </c>
      <c r="C374" s="2873">
        <v>1.1328</v>
      </c>
      <c r="D374" s="2873">
        <v>1.0995999999999999</v>
      </c>
      <c r="E374" s="2873">
        <v>1.0995999999999999</v>
      </c>
      <c r="F374" s="2873">
        <v>1.0995999999999999</v>
      </c>
      <c r="G374" s="2873">
        <v>1.0995999999999999</v>
      </c>
      <c r="H374" s="2873">
        <v>1.0995999999999999</v>
      </c>
      <c r="I374" s="2873">
        <v>1.044</v>
      </c>
      <c r="J374" s="2873">
        <v>1.044</v>
      </c>
      <c r="K374" s="2873">
        <v>1.044</v>
      </c>
      <c r="L374" s="2873">
        <v>1.044</v>
      </c>
      <c r="M374" s="2874">
        <v>1.044</v>
      </c>
    </row>
    <row r="375" spans="1:20">
      <c r="A375" s="2872">
        <v>1.4</v>
      </c>
      <c r="B375" s="2873">
        <v>1.1175999999999999</v>
      </c>
      <c r="C375" s="2873">
        <v>1.1175999999999999</v>
      </c>
      <c r="D375" s="2873">
        <v>1.0827</v>
      </c>
      <c r="E375" s="2873">
        <v>1.0827</v>
      </c>
      <c r="F375" s="2873">
        <v>1.0827</v>
      </c>
      <c r="G375" s="2873">
        <v>1.0827</v>
      </c>
      <c r="H375" s="2873">
        <v>1.0827</v>
      </c>
      <c r="I375" s="2873">
        <v>1.0214000000000001</v>
      </c>
      <c r="J375" s="2873">
        <v>1.0214000000000001</v>
      </c>
      <c r="K375" s="2873">
        <v>1.0214000000000001</v>
      </c>
      <c r="L375" s="2873">
        <v>1.0214000000000001</v>
      </c>
      <c r="M375" s="2874">
        <v>1.0214000000000001</v>
      </c>
    </row>
    <row r="376" spans="1:20">
      <c r="A376" s="2872">
        <v>1.5</v>
      </c>
      <c r="B376" s="2873">
        <v>1.1032999999999999</v>
      </c>
      <c r="C376" s="2873">
        <v>1.1032999999999999</v>
      </c>
      <c r="D376" s="2873">
        <v>1.0668</v>
      </c>
      <c r="E376" s="2873">
        <v>1.0668</v>
      </c>
      <c r="F376" s="2873">
        <v>1.0668</v>
      </c>
      <c r="G376" s="2873">
        <v>1.0668</v>
      </c>
      <c r="H376" s="2873">
        <v>1.0668</v>
      </c>
      <c r="I376" s="2873">
        <v>1</v>
      </c>
      <c r="J376" s="2873">
        <v>1</v>
      </c>
      <c r="K376" s="2873">
        <v>1</v>
      </c>
      <c r="L376" s="2873">
        <v>1</v>
      </c>
      <c r="M376" s="2874">
        <v>1</v>
      </c>
    </row>
    <row r="377" spans="1:20">
      <c r="A377" s="2872">
        <v>1.6</v>
      </c>
      <c r="B377" s="2873">
        <v>1.0899000000000001</v>
      </c>
      <c r="C377" s="2873">
        <v>1.0899000000000001</v>
      </c>
      <c r="D377" s="2873">
        <v>1.0517000000000001</v>
      </c>
      <c r="E377" s="2873">
        <v>1.0517000000000001</v>
      </c>
      <c r="F377" s="2873">
        <v>1.0517000000000001</v>
      </c>
      <c r="G377" s="2873">
        <v>1.0517000000000001</v>
      </c>
      <c r="H377" s="2873">
        <v>1.0517000000000001</v>
      </c>
      <c r="I377" s="2873">
        <v>0.97989999999999999</v>
      </c>
      <c r="J377" s="2873">
        <v>0.97989999999999999</v>
      </c>
      <c r="K377" s="2873">
        <v>0.97989999999999999</v>
      </c>
      <c r="L377" s="2873">
        <v>0.97989999999999999</v>
      </c>
      <c r="M377" s="2874">
        <v>0.97989999999999999</v>
      </c>
    </row>
    <row r="378" spans="1:20">
      <c r="A378" s="2872">
        <v>1.7</v>
      </c>
      <c r="B378" s="2873">
        <v>1.0771999999999999</v>
      </c>
      <c r="C378" s="2873">
        <v>1.0771999999999999</v>
      </c>
      <c r="D378" s="2873">
        <v>1.0376000000000001</v>
      </c>
      <c r="E378" s="2873">
        <v>1.0376000000000001</v>
      </c>
      <c r="F378" s="2873">
        <v>1.0376000000000001</v>
      </c>
      <c r="G378" s="2873">
        <v>1.0376000000000001</v>
      </c>
      <c r="H378" s="2873">
        <v>1.0376000000000001</v>
      </c>
      <c r="I378" s="2873">
        <v>0.96089999999999998</v>
      </c>
      <c r="J378" s="2873">
        <v>0.96089999999999998</v>
      </c>
      <c r="K378" s="2873">
        <v>0.96089999999999998</v>
      </c>
      <c r="L378" s="2873">
        <v>0.96089999999999998</v>
      </c>
      <c r="M378" s="2874">
        <v>0.96089999999999998</v>
      </c>
    </row>
    <row r="379" spans="1:20">
      <c r="A379" s="2872">
        <v>1.8</v>
      </c>
      <c r="B379" s="2873">
        <v>1.0652999999999999</v>
      </c>
      <c r="C379" s="2873">
        <v>1.0652999999999999</v>
      </c>
      <c r="D379" s="2873">
        <v>1.0243</v>
      </c>
      <c r="E379" s="2873">
        <v>1.0243</v>
      </c>
      <c r="F379" s="2873">
        <v>1.0243</v>
      </c>
      <c r="G379" s="2873">
        <v>1.0243</v>
      </c>
      <c r="H379" s="2873">
        <v>1.0243</v>
      </c>
      <c r="I379" s="2873">
        <v>0.94299999999999995</v>
      </c>
      <c r="J379" s="2873">
        <v>0.94299999999999995</v>
      </c>
      <c r="K379" s="2873">
        <v>0.94299999999999995</v>
      </c>
      <c r="L379" s="2873">
        <v>0.94299999999999995</v>
      </c>
      <c r="M379" s="2874">
        <v>0.94299999999999995</v>
      </c>
    </row>
    <row r="380" spans="1:20">
      <c r="A380" s="2872">
        <v>1.9</v>
      </c>
      <c r="B380" s="2873">
        <v>1.054</v>
      </c>
      <c r="C380" s="2873">
        <v>1.054</v>
      </c>
      <c r="D380" s="2873">
        <v>1.0118</v>
      </c>
      <c r="E380" s="2873">
        <v>1.0118</v>
      </c>
      <c r="F380" s="2873">
        <v>1.0118</v>
      </c>
      <c r="G380" s="2873">
        <v>1.0118</v>
      </c>
      <c r="H380" s="2873">
        <v>1.0118</v>
      </c>
      <c r="I380" s="2873">
        <v>0.92620000000000002</v>
      </c>
      <c r="J380" s="2873">
        <v>0.92620000000000002</v>
      </c>
      <c r="K380" s="2873">
        <v>0.92620000000000002</v>
      </c>
      <c r="L380" s="2873">
        <v>0.92620000000000002</v>
      </c>
      <c r="M380" s="2874">
        <v>0.92620000000000002</v>
      </c>
    </row>
    <row r="381" spans="1:20">
      <c r="A381" s="2872">
        <v>2</v>
      </c>
      <c r="B381" s="2873">
        <v>1.0435000000000001</v>
      </c>
      <c r="C381" s="2873">
        <v>1.0435000000000001</v>
      </c>
      <c r="D381" s="2873">
        <v>1</v>
      </c>
      <c r="E381" s="2873">
        <v>1</v>
      </c>
      <c r="F381" s="2873">
        <v>1</v>
      </c>
      <c r="G381" s="2873">
        <v>1</v>
      </c>
      <c r="H381" s="2873">
        <v>1</v>
      </c>
      <c r="I381" s="2873">
        <v>0.9103</v>
      </c>
      <c r="J381" s="2873">
        <v>0.9103</v>
      </c>
      <c r="K381" s="2873">
        <v>0.9103</v>
      </c>
      <c r="L381" s="2873">
        <v>0.9103</v>
      </c>
      <c r="M381" s="2874">
        <v>0.9103</v>
      </c>
    </row>
    <row r="382" spans="1:20">
      <c r="A382" s="2875">
        <v>2.1</v>
      </c>
      <c r="B382" s="2873">
        <v>1.0336000000000001</v>
      </c>
      <c r="C382" s="2873">
        <v>1.0336000000000001</v>
      </c>
      <c r="D382" s="2873">
        <v>0.98899999999999999</v>
      </c>
      <c r="E382" s="2873">
        <v>0.98899999999999999</v>
      </c>
      <c r="F382" s="2873">
        <v>0.98899999999999999</v>
      </c>
      <c r="G382" s="2873">
        <v>0.98899999999999999</v>
      </c>
      <c r="H382" s="2873">
        <v>0.98899999999999999</v>
      </c>
      <c r="I382" s="2873">
        <v>0.89539999999999997</v>
      </c>
      <c r="J382" s="2873">
        <v>0.89539999999999997</v>
      </c>
      <c r="K382" s="2873">
        <v>0.89539999999999997</v>
      </c>
      <c r="L382" s="2873">
        <v>0.89539999999999997</v>
      </c>
      <c r="M382" s="2874">
        <v>0.89539999999999997</v>
      </c>
    </row>
    <row r="383" spans="1:20">
      <c r="A383" s="2875">
        <v>2.2000000000000002</v>
      </c>
      <c r="B383" s="2873">
        <v>1.0243</v>
      </c>
      <c r="C383" s="2873">
        <v>1.0243</v>
      </c>
      <c r="D383" s="2873">
        <v>0.97860000000000003</v>
      </c>
      <c r="E383" s="2873">
        <v>0.97860000000000003</v>
      </c>
      <c r="F383" s="2873">
        <v>0.97860000000000003</v>
      </c>
      <c r="G383" s="2873">
        <v>0.97860000000000003</v>
      </c>
      <c r="H383" s="2873">
        <v>0.97860000000000003</v>
      </c>
      <c r="I383" s="2873">
        <v>0.88139999999999996</v>
      </c>
      <c r="J383" s="2873">
        <v>0.88139999999999996</v>
      </c>
      <c r="K383" s="2873">
        <v>0.88139999999999996</v>
      </c>
      <c r="L383" s="2873">
        <v>0.88139999999999996</v>
      </c>
      <c r="M383" s="2874">
        <v>0.88139999999999996</v>
      </c>
    </row>
    <row r="384" spans="1:20">
      <c r="A384" s="2875">
        <v>2.2999999999999998</v>
      </c>
      <c r="B384" s="2873">
        <v>1.0157</v>
      </c>
      <c r="C384" s="2873">
        <v>1.0157</v>
      </c>
      <c r="D384" s="2873">
        <v>0.96889999999999998</v>
      </c>
      <c r="E384" s="2873">
        <v>0.96889999999999998</v>
      </c>
      <c r="F384" s="2873">
        <v>0.96889999999999998</v>
      </c>
      <c r="G384" s="2873">
        <v>0.96889999999999998</v>
      </c>
      <c r="H384" s="2873">
        <v>0.96889999999999998</v>
      </c>
      <c r="I384" s="2873">
        <v>0.86819999999999997</v>
      </c>
      <c r="J384" s="2873">
        <v>0.86819999999999997</v>
      </c>
      <c r="K384" s="2873">
        <v>0.86819999999999997</v>
      </c>
      <c r="L384" s="2873">
        <v>0.86819999999999997</v>
      </c>
      <c r="M384" s="2874">
        <v>0.86819999999999997</v>
      </c>
    </row>
    <row r="385" spans="1:13">
      <c r="A385" s="2875">
        <v>2.4</v>
      </c>
      <c r="B385" s="2873">
        <v>1.0076000000000001</v>
      </c>
      <c r="C385" s="2873">
        <v>1.0076000000000001</v>
      </c>
      <c r="D385" s="2873">
        <v>0.95979999999999999</v>
      </c>
      <c r="E385" s="2873">
        <v>0.95979999999999999</v>
      </c>
      <c r="F385" s="2873">
        <v>0.95979999999999999</v>
      </c>
      <c r="G385" s="2873">
        <v>0.95979999999999999</v>
      </c>
      <c r="H385" s="2873">
        <v>0.95979999999999999</v>
      </c>
      <c r="I385" s="2873">
        <v>0.85580000000000001</v>
      </c>
      <c r="J385" s="2873">
        <v>0.85580000000000001</v>
      </c>
      <c r="K385" s="2873">
        <v>0.85580000000000001</v>
      </c>
      <c r="L385" s="2873">
        <v>0.85580000000000001</v>
      </c>
      <c r="M385" s="2874">
        <v>0.85580000000000001</v>
      </c>
    </row>
    <row r="386" spans="1:13">
      <c r="A386" s="2875">
        <v>2.5</v>
      </c>
      <c r="B386" s="2873">
        <v>1</v>
      </c>
      <c r="C386" s="2873">
        <v>1</v>
      </c>
      <c r="D386" s="2873">
        <v>0.95120000000000005</v>
      </c>
      <c r="E386" s="2873">
        <v>0.95120000000000005</v>
      </c>
      <c r="F386" s="2873">
        <v>0.95120000000000005</v>
      </c>
      <c r="G386" s="2873">
        <v>0.95120000000000005</v>
      </c>
      <c r="H386" s="2873">
        <v>0.95120000000000005</v>
      </c>
      <c r="I386" s="2873">
        <v>0.84419999999999995</v>
      </c>
      <c r="J386" s="2873">
        <v>0.84419999999999995</v>
      </c>
      <c r="K386" s="2873">
        <v>0.84419999999999995</v>
      </c>
      <c r="L386" s="2873">
        <v>0.84419999999999995</v>
      </c>
      <c r="M386" s="2874">
        <v>0.84419999999999995</v>
      </c>
    </row>
    <row r="387" spans="1:13">
      <c r="A387" s="2875">
        <v>2.6</v>
      </c>
      <c r="B387" s="2873">
        <v>0.9929</v>
      </c>
      <c r="C387" s="2873">
        <v>0.9929</v>
      </c>
      <c r="D387" s="2873">
        <v>0.94320000000000004</v>
      </c>
      <c r="E387" s="2873">
        <v>0.94320000000000004</v>
      </c>
      <c r="F387" s="2873">
        <v>0.94320000000000004</v>
      </c>
      <c r="G387" s="2873">
        <v>0.94320000000000004</v>
      </c>
      <c r="H387" s="2873">
        <v>0.94320000000000004</v>
      </c>
      <c r="I387" s="2873">
        <v>0.83330000000000004</v>
      </c>
      <c r="J387" s="2873">
        <v>0.83330000000000004</v>
      </c>
      <c r="K387" s="2873">
        <v>0.83330000000000004</v>
      </c>
      <c r="L387" s="2873">
        <v>0.83330000000000004</v>
      </c>
      <c r="M387" s="2874">
        <v>0.83330000000000004</v>
      </c>
    </row>
    <row r="388" spans="1:13">
      <c r="A388" s="2875">
        <v>2.7</v>
      </c>
      <c r="B388" s="2873">
        <v>0.98629999999999995</v>
      </c>
      <c r="C388" s="2873">
        <v>0.98629999999999995</v>
      </c>
      <c r="D388" s="2873">
        <v>0.93569999999999998</v>
      </c>
      <c r="E388" s="2873">
        <v>0.93569999999999998</v>
      </c>
      <c r="F388" s="2873">
        <v>0.93569999999999998</v>
      </c>
      <c r="G388" s="2873">
        <v>0.93569999999999998</v>
      </c>
      <c r="H388" s="2873">
        <v>0.93569999999999998</v>
      </c>
      <c r="I388" s="2873">
        <v>0.82320000000000004</v>
      </c>
      <c r="J388" s="2873">
        <v>0.82320000000000004</v>
      </c>
      <c r="K388" s="2873">
        <v>0.82320000000000004</v>
      </c>
      <c r="L388" s="2873">
        <v>0.82320000000000004</v>
      </c>
      <c r="M388" s="2874">
        <v>0.82320000000000004</v>
      </c>
    </row>
    <row r="389" spans="1:13">
      <c r="A389" s="2875">
        <v>2.8</v>
      </c>
      <c r="B389" s="2873">
        <v>0.98009999999999997</v>
      </c>
      <c r="C389" s="2873">
        <v>0.98009999999999997</v>
      </c>
      <c r="D389" s="2873">
        <v>0.92879999999999996</v>
      </c>
      <c r="E389" s="2873">
        <v>0.92879999999999996</v>
      </c>
      <c r="F389" s="2873">
        <v>0.92879999999999996</v>
      </c>
      <c r="G389" s="2873">
        <v>0.92879999999999996</v>
      </c>
      <c r="H389" s="2873">
        <v>0.92879999999999996</v>
      </c>
      <c r="I389" s="2873">
        <v>0.81359999999999999</v>
      </c>
      <c r="J389" s="2873">
        <v>0.81359999999999999</v>
      </c>
      <c r="K389" s="2873">
        <v>0.81359999999999999</v>
      </c>
      <c r="L389" s="2873">
        <v>0.81359999999999999</v>
      </c>
      <c r="M389" s="2874">
        <v>0.81359999999999999</v>
      </c>
    </row>
    <row r="390" spans="1:13">
      <c r="A390" s="2875">
        <v>2.9</v>
      </c>
      <c r="B390" s="2873">
        <v>0.97430000000000005</v>
      </c>
      <c r="C390" s="2873">
        <v>0.97430000000000005</v>
      </c>
      <c r="D390" s="2873">
        <v>0.92220000000000002</v>
      </c>
      <c r="E390" s="2873">
        <v>0.92220000000000002</v>
      </c>
      <c r="F390" s="2873">
        <v>0.92220000000000002</v>
      </c>
      <c r="G390" s="2873">
        <v>0.92220000000000002</v>
      </c>
      <c r="H390" s="2873">
        <v>0.92220000000000002</v>
      </c>
      <c r="I390" s="2873">
        <v>0.80459999999999998</v>
      </c>
      <c r="J390" s="2873">
        <v>0.80459999999999998</v>
      </c>
      <c r="K390" s="2873">
        <v>0.80459999999999998</v>
      </c>
      <c r="L390" s="2873">
        <v>0.80459999999999998</v>
      </c>
      <c r="M390" s="2874">
        <v>0.80459999999999998</v>
      </c>
    </row>
    <row r="391" spans="1:13">
      <c r="A391" s="2875">
        <v>3</v>
      </c>
      <c r="B391" s="2873">
        <v>0.96889999999999998</v>
      </c>
      <c r="C391" s="2873">
        <v>0.96889999999999998</v>
      </c>
      <c r="D391" s="2873">
        <v>0.91610000000000003</v>
      </c>
      <c r="E391" s="2873">
        <v>0.91610000000000003</v>
      </c>
      <c r="F391" s="2873">
        <v>0.91610000000000003</v>
      </c>
      <c r="G391" s="2873">
        <v>0.91610000000000003</v>
      </c>
      <c r="H391" s="2873">
        <v>0.91610000000000003</v>
      </c>
      <c r="I391" s="2873">
        <v>0.79620000000000002</v>
      </c>
      <c r="J391" s="2873">
        <v>0.79620000000000002</v>
      </c>
      <c r="K391" s="2873">
        <v>0.79620000000000002</v>
      </c>
      <c r="L391" s="2873">
        <v>0.79620000000000002</v>
      </c>
      <c r="M391" s="2874">
        <v>0.79620000000000002</v>
      </c>
    </row>
    <row r="392" spans="1:13">
      <c r="A392" s="2875">
        <v>3.1</v>
      </c>
      <c r="B392" s="2873">
        <v>0.96389999999999998</v>
      </c>
      <c r="C392" s="2873">
        <v>0.96389999999999998</v>
      </c>
      <c r="D392" s="2873">
        <v>0.91039999999999999</v>
      </c>
      <c r="E392" s="2873">
        <v>0.91039999999999999</v>
      </c>
      <c r="F392" s="2873">
        <v>0.91039999999999999</v>
      </c>
      <c r="G392" s="2873">
        <v>0.91039999999999999</v>
      </c>
      <c r="H392" s="2873">
        <v>0.91039999999999999</v>
      </c>
      <c r="I392" s="2873">
        <v>0.7883</v>
      </c>
      <c r="J392" s="2873">
        <v>0.7883</v>
      </c>
      <c r="K392" s="2873">
        <v>0.7883</v>
      </c>
      <c r="L392" s="2873">
        <v>0.7883</v>
      </c>
      <c r="M392" s="2874">
        <v>0.7883</v>
      </c>
    </row>
    <row r="393" spans="1:13">
      <c r="A393" s="2875">
        <v>3.2</v>
      </c>
      <c r="B393" s="2873">
        <v>0.95930000000000004</v>
      </c>
      <c r="C393" s="2873">
        <v>0.95930000000000004</v>
      </c>
      <c r="D393" s="2873">
        <v>0.9052</v>
      </c>
      <c r="E393" s="2873">
        <v>0.9052</v>
      </c>
      <c r="F393" s="2873">
        <v>0.9052</v>
      </c>
      <c r="G393" s="2873">
        <v>0.9052</v>
      </c>
      <c r="H393" s="2873">
        <v>0.9052</v>
      </c>
      <c r="I393" s="2873">
        <v>0.78090000000000004</v>
      </c>
      <c r="J393" s="2873">
        <v>0.78090000000000004</v>
      </c>
      <c r="K393" s="2873">
        <v>0.78090000000000004</v>
      </c>
      <c r="L393" s="2873">
        <v>0.78090000000000004</v>
      </c>
      <c r="M393" s="2874">
        <v>0.78090000000000004</v>
      </c>
    </row>
    <row r="394" spans="1:13">
      <c r="A394" s="2875">
        <v>3.3</v>
      </c>
      <c r="B394" s="2873">
        <v>0.95489999999999997</v>
      </c>
      <c r="C394" s="2873">
        <v>0.95489999999999997</v>
      </c>
      <c r="D394" s="2873">
        <v>0.9002</v>
      </c>
      <c r="E394" s="2873">
        <v>0.9002</v>
      </c>
      <c r="F394" s="2873">
        <v>0.9002</v>
      </c>
      <c r="G394" s="2873">
        <v>0.9002</v>
      </c>
      <c r="H394" s="2873">
        <v>0.9002</v>
      </c>
      <c r="I394" s="2873">
        <v>0.77410000000000001</v>
      </c>
      <c r="J394" s="2873">
        <v>0.77410000000000001</v>
      </c>
      <c r="K394" s="2873">
        <v>0.77410000000000001</v>
      </c>
      <c r="L394" s="2873">
        <v>0.77410000000000001</v>
      </c>
      <c r="M394" s="2874">
        <v>0.77410000000000001</v>
      </c>
    </row>
    <row r="395" spans="1:13">
      <c r="A395" s="2875">
        <v>3.4</v>
      </c>
      <c r="B395" s="2873">
        <v>0.95089999999999997</v>
      </c>
      <c r="C395" s="2873">
        <v>0.95089999999999997</v>
      </c>
      <c r="D395" s="2873">
        <v>0.89559999999999995</v>
      </c>
      <c r="E395" s="2873">
        <v>0.89559999999999995</v>
      </c>
      <c r="F395" s="2873">
        <v>0.89559999999999995</v>
      </c>
      <c r="G395" s="2873">
        <v>0.89559999999999995</v>
      </c>
      <c r="H395" s="2873">
        <v>0.89559999999999995</v>
      </c>
      <c r="I395" s="2873">
        <v>0.76759999999999995</v>
      </c>
      <c r="J395" s="2873">
        <v>0.76759999999999995</v>
      </c>
      <c r="K395" s="2873">
        <v>0.76759999999999995</v>
      </c>
      <c r="L395" s="2873">
        <v>0.76759999999999995</v>
      </c>
      <c r="M395" s="2874">
        <v>0.76759999999999995</v>
      </c>
    </row>
    <row r="396" spans="1:13">
      <c r="A396" s="2875">
        <v>3.5</v>
      </c>
      <c r="B396" s="2873">
        <v>0.94710000000000005</v>
      </c>
      <c r="C396" s="2873">
        <v>0.94710000000000005</v>
      </c>
      <c r="D396" s="2873">
        <v>0.89129999999999998</v>
      </c>
      <c r="E396" s="2873">
        <v>0.89129999999999998</v>
      </c>
      <c r="F396" s="2873">
        <v>0.89129999999999998</v>
      </c>
      <c r="G396" s="2873">
        <v>0.89129999999999998</v>
      </c>
      <c r="H396" s="2873">
        <v>0.89129999999999998</v>
      </c>
      <c r="I396" s="2873">
        <v>0.76160000000000005</v>
      </c>
      <c r="J396" s="2873">
        <v>0.76160000000000005</v>
      </c>
      <c r="K396" s="2873">
        <v>0.76160000000000005</v>
      </c>
      <c r="L396" s="2873">
        <v>0.76160000000000005</v>
      </c>
      <c r="M396" s="2874">
        <v>0.76160000000000005</v>
      </c>
    </row>
    <row r="397" spans="1:13">
      <c r="A397" s="2875">
        <v>3.6</v>
      </c>
      <c r="B397" s="2873">
        <v>0.94359999999999999</v>
      </c>
      <c r="C397" s="2873">
        <v>0.94359999999999999</v>
      </c>
      <c r="D397" s="2873">
        <v>0.88729999999999998</v>
      </c>
      <c r="E397" s="2873">
        <v>0.88729999999999998</v>
      </c>
      <c r="F397" s="2873">
        <v>0.88729999999999998</v>
      </c>
      <c r="G397" s="2873">
        <v>0.88729999999999998</v>
      </c>
      <c r="H397" s="2873">
        <v>0.88729999999999998</v>
      </c>
      <c r="I397" s="2873">
        <v>0.75590000000000002</v>
      </c>
      <c r="J397" s="2873">
        <v>0.75590000000000002</v>
      </c>
      <c r="K397" s="2873">
        <v>0.75590000000000002</v>
      </c>
      <c r="L397" s="2873">
        <v>0.75590000000000002</v>
      </c>
      <c r="M397" s="2874">
        <v>0.75590000000000002</v>
      </c>
    </row>
    <row r="398" spans="1:13">
      <c r="A398" s="2875">
        <v>3.7</v>
      </c>
      <c r="B398" s="2873">
        <v>0.94040000000000001</v>
      </c>
      <c r="C398" s="2873">
        <v>0.94040000000000001</v>
      </c>
      <c r="D398" s="2873">
        <v>0.88349999999999995</v>
      </c>
      <c r="E398" s="2873">
        <v>0.88349999999999995</v>
      </c>
      <c r="F398" s="2873">
        <v>0.88349999999999995</v>
      </c>
      <c r="G398" s="2873">
        <v>0.88349999999999995</v>
      </c>
      <c r="H398" s="2873">
        <v>0.88349999999999995</v>
      </c>
      <c r="I398" s="2873">
        <v>0.75070000000000003</v>
      </c>
      <c r="J398" s="2873">
        <v>0.75070000000000003</v>
      </c>
      <c r="K398" s="2873">
        <v>0.75070000000000003</v>
      </c>
      <c r="L398" s="2873">
        <v>0.75070000000000003</v>
      </c>
      <c r="M398" s="2874">
        <v>0.75070000000000003</v>
      </c>
    </row>
    <row r="399" spans="1:13">
      <c r="A399" s="2875">
        <v>3.8</v>
      </c>
      <c r="B399" s="2873">
        <v>0.93740000000000001</v>
      </c>
      <c r="C399" s="2873">
        <v>0.93740000000000001</v>
      </c>
      <c r="D399" s="2873">
        <v>0.88009999999999999</v>
      </c>
      <c r="E399" s="2873">
        <v>0.88009999999999999</v>
      </c>
      <c r="F399" s="2873">
        <v>0.88009999999999999</v>
      </c>
      <c r="G399" s="2873">
        <v>0.88009999999999999</v>
      </c>
      <c r="H399" s="2873">
        <v>0.88009999999999999</v>
      </c>
      <c r="I399" s="2873">
        <v>0.74570000000000003</v>
      </c>
      <c r="J399" s="2873">
        <v>0.74570000000000003</v>
      </c>
      <c r="K399" s="2873">
        <v>0.74570000000000003</v>
      </c>
      <c r="L399" s="2873">
        <v>0.74570000000000003</v>
      </c>
      <c r="M399" s="2874">
        <v>0.74570000000000003</v>
      </c>
    </row>
    <row r="400" spans="1:13">
      <c r="A400" s="2875">
        <v>3.9</v>
      </c>
      <c r="B400" s="2873">
        <v>0.93459999999999999</v>
      </c>
      <c r="C400" s="2873">
        <v>0.93459999999999999</v>
      </c>
      <c r="D400" s="2873">
        <v>0.87680000000000002</v>
      </c>
      <c r="E400" s="2873">
        <v>0.87680000000000002</v>
      </c>
      <c r="F400" s="2873">
        <v>0.87680000000000002</v>
      </c>
      <c r="G400" s="2873">
        <v>0.87680000000000002</v>
      </c>
      <c r="H400" s="2873">
        <v>0.87680000000000002</v>
      </c>
      <c r="I400" s="2873">
        <v>0.74109999999999998</v>
      </c>
      <c r="J400" s="2873">
        <v>0.74109999999999998</v>
      </c>
      <c r="K400" s="2873">
        <v>0.74109999999999998</v>
      </c>
      <c r="L400" s="2873">
        <v>0.74109999999999998</v>
      </c>
      <c r="M400" s="2874">
        <v>0.74109999999999998</v>
      </c>
    </row>
    <row r="401" spans="1:13">
      <c r="A401" s="2875">
        <v>4</v>
      </c>
      <c r="B401" s="2873">
        <v>0.93179999999999996</v>
      </c>
      <c r="C401" s="2873">
        <v>0.93179999999999996</v>
      </c>
      <c r="D401" s="2873">
        <v>0.87380000000000002</v>
      </c>
      <c r="E401" s="2873">
        <v>0.87380000000000002</v>
      </c>
      <c r="F401" s="2873">
        <v>0.87380000000000002</v>
      </c>
      <c r="G401" s="2873">
        <v>0.87380000000000002</v>
      </c>
      <c r="H401" s="2873">
        <v>0.87380000000000002</v>
      </c>
      <c r="I401" s="2873">
        <v>0.73680000000000001</v>
      </c>
      <c r="J401" s="2873">
        <v>0.73680000000000001</v>
      </c>
      <c r="K401" s="2873">
        <v>0.73680000000000001</v>
      </c>
      <c r="L401" s="2873">
        <v>0.73680000000000001</v>
      </c>
      <c r="M401" s="2874">
        <v>0.73680000000000001</v>
      </c>
    </row>
    <row r="402" spans="1:13">
      <c r="A402" s="2875">
        <v>4.0999999999999996</v>
      </c>
      <c r="B402" s="2873">
        <v>0.92920000000000003</v>
      </c>
      <c r="C402" s="2873">
        <v>0.92920000000000003</v>
      </c>
      <c r="D402" s="2873">
        <v>0.87090000000000001</v>
      </c>
      <c r="E402" s="2873">
        <v>0.87090000000000001</v>
      </c>
      <c r="F402" s="2873">
        <v>0.87090000000000001</v>
      </c>
      <c r="G402" s="2873">
        <v>0.87090000000000001</v>
      </c>
      <c r="H402" s="2873">
        <v>0.87090000000000001</v>
      </c>
      <c r="I402" s="2873">
        <v>0.73270000000000002</v>
      </c>
      <c r="J402" s="2873">
        <v>0.73270000000000002</v>
      </c>
      <c r="K402" s="2873">
        <v>0.73270000000000002</v>
      </c>
      <c r="L402" s="2873">
        <v>0.73270000000000002</v>
      </c>
      <c r="M402" s="2874">
        <v>0.73270000000000002</v>
      </c>
    </row>
    <row r="403" spans="1:13">
      <c r="A403" s="2875">
        <v>4.2</v>
      </c>
      <c r="B403" s="2873">
        <v>0.92659999999999998</v>
      </c>
      <c r="C403" s="2873">
        <v>0.92659999999999998</v>
      </c>
      <c r="D403" s="2873">
        <v>0.86819999999999997</v>
      </c>
      <c r="E403" s="2873">
        <v>0.86819999999999997</v>
      </c>
      <c r="F403" s="2873">
        <v>0.86819999999999997</v>
      </c>
      <c r="G403" s="2873">
        <v>0.86819999999999997</v>
      </c>
      <c r="H403" s="2873">
        <v>0.86819999999999997</v>
      </c>
      <c r="I403" s="2873">
        <v>0.7288</v>
      </c>
      <c r="J403" s="2873">
        <v>0.7288</v>
      </c>
      <c r="K403" s="2873">
        <v>0.7288</v>
      </c>
      <c r="L403" s="2873">
        <v>0.7288</v>
      </c>
      <c r="M403" s="2874">
        <v>0.7288</v>
      </c>
    </row>
    <row r="404" spans="1:13">
      <c r="A404" s="2875">
        <v>4.3</v>
      </c>
      <c r="B404" s="2873">
        <v>0.92410000000000003</v>
      </c>
      <c r="C404" s="2873">
        <v>0.92410000000000003</v>
      </c>
      <c r="D404" s="2873">
        <v>0.86550000000000005</v>
      </c>
      <c r="E404" s="2873">
        <v>0.86550000000000005</v>
      </c>
      <c r="F404" s="2873">
        <v>0.86550000000000005</v>
      </c>
      <c r="G404" s="2873">
        <v>0.86550000000000005</v>
      </c>
      <c r="H404" s="2873">
        <v>0.86550000000000005</v>
      </c>
      <c r="I404" s="2873">
        <v>0.72509999999999997</v>
      </c>
      <c r="J404" s="2873">
        <v>0.72509999999999997</v>
      </c>
      <c r="K404" s="2873">
        <v>0.72509999999999997</v>
      </c>
      <c r="L404" s="2873">
        <v>0.72509999999999997</v>
      </c>
      <c r="M404" s="2874">
        <v>0.72509999999999997</v>
      </c>
    </row>
    <row r="405" spans="1:13">
      <c r="A405" s="2875">
        <v>4.4000000000000004</v>
      </c>
      <c r="B405" s="2873">
        <v>0.92179999999999995</v>
      </c>
      <c r="C405" s="2873">
        <v>0.92179999999999995</v>
      </c>
      <c r="D405" s="2873">
        <v>0.8629</v>
      </c>
      <c r="E405" s="2873">
        <v>0.8629</v>
      </c>
      <c r="F405" s="2873">
        <v>0.8629</v>
      </c>
      <c r="G405" s="2873">
        <v>0.8629</v>
      </c>
      <c r="H405" s="2873">
        <v>0.8629</v>
      </c>
      <c r="I405" s="2873">
        <v>0.72150000000000003</v>
      </c>
      <c r="J405" s="2873">
        <v>0.72150000000000003</v>
      </c>
      <c r="K405" s="2873">
        <v>0.72150000000000003</v>
      </c>
      <c r="L405" s="2873">
        <v>0.72150000000000003</v>
      </c>
      <c r="M405" s="2874">
        <v>0.72150000000000003</v>
      </c>
    </row>
    <row r="406" spans="1:13">
      <c r="A406" s="2875">
        <v>4.5</v>
      </c>
      <c r="B406" s="2873">
        <v>0.91949999999999998</v>
      </c>
      <c r="C406" s="2873">
        <v>0.91949999999999998</v>
      </c>
      <c r="D406" s="2873">
        <v>0.86050000000000004</v>
      </c>
      <c r="E406" s="2873">
        <v>0.86050000000000004</v>
      </c>
      <c r="F406" s="2873">
        <v>0.86050000000000004</v>
      </c>
      <c r="G406" s="2873">
        <v>0.86050000000000004</v>
      </c>
      <c r="H406" s="2873">
        <v>0.86050000000000004</v>
      </c>
      <c r="I406" s="2873">
        <v>0.71819999999999995</v>
      </c>
      <c r="J406" s="2873">
        <v>0.71819999999999995</v>
      </c>
      <c r="K406" s="2873">
        <v>0.71819999999999995</v>
      </c>
      <c r="L406" s="2873">
        <v>0.71819999999999995</v>
      </c>
      <c r="M406" s="2874">
        <v>0.71819999999999995</v>
      </c>
    </row>
    <row r="407" spans="1:13">
      <c r="A407" s="2875">
        <v>4.5999999999999996</v>
      </c>
      <c r="B407" s="2873">
        <v>0.9173</v>
      </c>
      <c r="C407" s="2873">
        <v>0.9173</v>
      </c>
      <c r="D407" s="2873">
        <v>0.85809999999999997</v>
      </c>
      <c r="E407" s="2873">
        <v>0.85809999999999997</v>
      </c>
      <c r="F407" s="2873">
        <v>0.85809999999999997</v>
      </c>
      <c r="G407" s="2873">
        <v>0.85809999999999997</v>
      </c>
      <c r="H407" s="2873">
        <v>0.85809999999999997</v>
      </c>
      <c r="I407" s="2873">
        <v>0.71499999999999997</v>
      </c>
      <c r="J407" s="2873">
        <v>0.71499999999999997</v>
      </c>
      <c r="K407" s="2873">
        <v>0.71499999999999997</v>
      </c>
      <c r="L407" s="2873">
        <v>0.71499999999999997</v>
      </c>
      <c r="M407" s="2874">
        <v>0.71499999999999997</v>
      </c>
    </row>
    <row r="408" spans="1:13">
      <c r="A408" s="2875">
        <v>4.7</v>
      </c>
      <c r="B408" s="2873">
        <v>0.91520000000000001</v>
      </c>
      <c r="C408" s="2873">
        <v>0.91520000000000001</v>
      </c>
      <c r="D408" s="2873">
        <v>0.85570000000000002</v>
      </c>
      <c r="E408" s="2873">
        <v>0.85570000000000002</v>
      </c>
      <c r="F408" s="2873">
        <v>0.85570000000000002</v>
      </c>
      <c r="G408" s="2873">
        <v>0.85570000000000002</v>
      </c>
      <c r="H408" s="2873">
        <v>0.85570000000000002</v>
      </c>
      <c r="I408" s="2873">
        <v>0.71199999999999997</v>
      </c>
      <c r="J408" s="2873">
        <v>0.71199999999999997</v>
      </c>
      <c r="K408" s="2873">
        <v>0.71199999999999997</v>
      </c>
      <c r="L408" s="2873">
        <v>0.71199999999999997</v>
      </c>
      <c r="M408" s="2874">
        <v>0.71199999999999997</v>
      </c>
    </row>
    <row r="409" spans="1:13">
      <c r="A409" s="2875">
        <v>4.8</v>
      </c>
      <c r="B409" s="2873">
        <v>0.91310000000000002</v>
      </c>
      <c r="C409" s="2873">
        <v>0.91310000000000002</v>
      </c>
      <c r="D409" s="2873">
        <v>0.85340000000000005</v>
      </c>
      <c r="E409" s="2873">
        <v>0.85340000000000005</v>
      </c>
      <c r="F409" s="2873">
        <v>0.85340000000000005</v>
      </c>
      <c r="G409" s="2873">
        <v>0.85340000000000005</v>
      </c>
      <c r="H409" s="2873">
        <v>0.85340000000000005</v>
      </c>
      <c r="I409" s="2873">
        <v>0.70909999999999995</v>
      </c>
      <c r="J409" s="2873">
        <v>0.70909999999999995</v>
      </c>
      <c r="K409" s="2873">
        <v>0.70909999999999995</v>
      </c>
      <c r="L409" s="2873">
        <v>0.70909999999999995</v>
      </c>
      <c r="M409" s="2874">
        <v>0.70909999999999995</v>
      </c>
    </row>
    <row r="410" spans="1:13">
      <c r="A410" s="2875">
        <v>4.9000000000000004</v>
      </c>
      <c r="B410" s="2873">
        <v>0.91120000000000001</v>
      </c>
      <c r="C410" s="2873">
        <v>0.91120000000000001</v>
      </c>
      <c r="D410" s="2873">
        <v>0.85109999999999997</v>
      </c>
      <c r="E410" s="2873">
        <v>0.85109999999999997</v>
      </c>
      <c r="F410" s="2873">
        <v>0.85109999999999997</v>
      </c>
      <c r="G410" s="2873">
        <v>0.85109999999999997</v>
      </c>
      <c r="H410" s="2873">
        <v>0.85109999999999997</v>
      </c>
      <c r="I410" s="2873">
        <v>0.70620000000000005</v>
      </c>
      <c r="J410" s="2873">
        <v>0.70620000000000005</v>
      </c>
      <c r="K410" s="2873">
        <v>0.70620000000000005</v>
      </c>
      <c r="L410" s="2873">
        <v>0.70620000000000005</v>
      </c>
      <c r="M410" s="2874">
        <v>0.70620000000000005</v>
      </c>
    </row>
    <row r="411" spans="1:13">
      <c r="A411" s="2875">
        <v>5</v>
      </c>
      <c r="B411" s="2873">
        <v>0.90920000000000001</v>
      </c>
      <c r="C411" s="2873">
        <v>0.90920000000000001</v>
      </c>
      <c r="D411" s="2873">
        <v>0.84889999999999999</v>
      </c>
      <c r="E411" s="2873">
        <v>0.84889999999999999</v>
      </c>
      <c r="F411" s="2873">
        <v>0.84889999999999999</v>
      </c>
      <c r="G411" s="2873">
        <v>0.84889999999999999</v>
      </c>
      <c r="H411" s="2873">
        <v>0.84889999999999999</v>
      </c>
      <c r="I411" s="2873">
        <v>0.70350000000000001</v>
      </c>
      <c r="J411" s="2873">
        <v>0.70350000000000001</v>
      </c>
      <c r="K411" s="2873">
        <v>0.70350000000000001</v>
      </c>
      <c r="L411" s="2873">
        <v>0.70350000000000001</v>
      </c>
      <c r="M411" s="2874">
        <v>0.70350000000000001</v>
      </c>
    </row>
    <row r="412" spans="1:13">
      <c r="A412" s="2872">
        <v>5.0999999999999996</v>
      </c>
      <c r="B412" s="2873">
        <v>0.90720000000000001</v>
      </c>
      <c r="C412" s="2873">
        <v>0.90720000000000001</v>
      </c>
      <c r="D412" s="2873">
        <v>0.84670000000000001</v>
      </c>
      <c r="E412" s="2873">
        <v>0.84670000000000001</v>
      </c>
      <c r="F412" s="2873">
        <v>0.84670000000000001</v>
      </c>
      <c r="G412" s="2873">
        <v>0.84670000000000001</v>
      </c>
      <c r="H412" s="2873">
        <v>0.84670000000000001</v>
      </c>
      <c r="I412" s="2873">
        <v>0.70089999999999997</v>
      </c>
      <c r="J412" s="2873">
        <v>0.70089999999999997</v>
      </c>
      <c r="K412" s="2873">
        <v>0.70089999999999997</v>
      </c>
      <c r="L412" s="2873">
        <v>0.70089999999999997</v>
      </c>
      <c r="M412" s="2874">
        <v>0.70089999999999997</v>
      </c>
    </row>
    <row r="413" spans="1:13">
      <c r="A413" s="2872">
        <v>5.2</v>
      </c>
      <c r="B413" s="2873">
        <v>0.90529999999999999</v>
      </c>
      <c r="C413" s="2873">
        <v>0.90529999999999999</v>
      </c>
      <c r="D413" s="2873">
        <v>0.84450000000000003</v>
      </c>
      <c r="E413" s="2873">
        <v>0.84450000000000003</v>
      </c>
      <c r="F413" s="2873">
        <v>0.84450000000000003</v>
      </c>
      <c r="G413" s="2873">
        <v>0.84450000000000003</v>
      </c>
      <c r="H413" s="2873">
        <v>0.84450000000000003</v>
      </c>
      <c r="I413" s="2873">
        <v>0.69820000000000004</v>
      </c>
      <c r="J413" s="2873">
        <v>0.69820000000000004</v>
      </c>
      <c r="K413" s="2873">
        <v>0.69820000000000004</v>
      </c>
      <c r="L413" s="2873">
        <v>0.69820000000000004</v>
      </c>
      <c r="M413" s="2874">
        <v>0.69820000000000004</v>
      </c>
    </row>
    <row r="414" spans="1:13">
      <c r="A414" s="2872">
        <v>5.3</v>
      </c>
      <c r="B414" s="2873">
        <v>0.90339999999999998</v>
      </c>
      <c r="C414" s="2873">
        <v>0.90339999999999998</v>
      </c>
      <c r="D414" s="2873">
        <v>0.84230000000000005</v>
      </c>
      <c r="E414" s="2873">
        <v>0.84230000000000005</v>
      </c>
      <c r="F414" s="2873">
        <v>0.84230000000000005</v>
      </c>
      <c r="G414" s="2873">
        <v>0.84230000000000005</v>
      </c>
      <c r="H414" s="2873">
        <v>0.84230000000000005</v>
      </c>
      <c r="I414" s="2873">
        <v>0.69569999999999999</v>
      </c>
      <c r="J414" s="2873">
        <v>0.69569999999999999</v>
      </c>
      <c r="K414" s="2873">
        <v>0.69569999999999999</v>
      </c>
      <c r="L414" s="2873">
        <v>0.69569999999999999</v>
      </c>
      <c r="M414" s="2874">
        <v>0.69569999999999999</v>
      </c>
    </row>
    <row r="415" spans="1:13">
      <c r="A415" s="2872">
        <v>5.4</v>
      </c>
      <c r="B415" s="2873">
        <v>0.90149999999999997</v>
      </c>
      <c r="C415" s="2873">
        <v>0.90149999999999997</v>
      </c>
      <c r="D415" s="2873">
        <v>0.84019999999999995</v>
      </c>
      <c r="E415" s="2873">
        <v>0.84019999999999995</v>
      </c>
      <c r="F415" s="2873">
        <v>0.84019999999999995</v>
      </c>
      <c r="G415" s="2873">
        <v>0.84019999999999995</v>
      </c>
      <c r="H415" s="2873">
        <v>0.84019999999999995</v>
      </c>
      <c r="I415" s="2873">
        <v>0.69310000000000005</v>
      </c>
      <c r="J415" s="2873">
        <v>0.69310000000000005</v>
      </c>
      <c r="K415" s="2873">
        <v>0.69310000000000005</v>
      </c>
      <c r="L415" s="2873">
        <v>0.69310000000000005</v>
      </c>
      <c r="M415" s="2874">
        <v>0.69310000000000005</v>
      </c>
    </row>
    <row r="416" spans="1:13">
      <c r="A416" s="2872">
        <v>5.5</v>
      </c>
      <c r="B416" s="2873">
        <v>0.89959999999999996</v>
      </c>
      <c r="C416" s="2873">
        <v>0.89959999999999996</v>
      </c>
      <c r="D416" s="2873">
        <v>0.83809999999999996</v>
      </c>
      <c r="E416" s="2873">
        <v>0.83809999999999996</v>
      </c>
      <c r="F416" s="2873">
        <v>0.83809999999999996</v>
      </c>
      <c r="G416" s="2873">
        <v>0.83809999999999996</v>
      </c>
      <c r="H416" s="2873">
        <v>0.83809999999999996</v>
      </c>
      <c r="I416" s="2873">
        <v>0.69059999999999999</v>
      </c>
      <c r="J416" s="2873">
        <v>0.69059999999999999</v>
      </c>
      <c r="K416" s="2873">
        <v>0.69059999999999999</v>
      </c>
      <c r="L416" s="2873">
        <v>0.69059999999999999</v>
      </c>
      <c r="M416" s="2874">
        <v>0.69059999999999999</v>
      </c>
    </row>
    <row r="417" spans="1:13">
      <c r="A417" s="2872">
        <v>5.6</v>
      </c>
      <c r="B417" s="2873">
        <v>0.89780000000000004</v>
      </c>
      <c r="C417" s="2873">
        <v>0.89780000000000004</v>
      </c>
      <c r="D417" s="2873">
        <v>0.83599999999999997</v>
      </c>
      <c r="E417" s="2873">
        <v>0.83599999999999997</v>
      </c>
      <c r="F417" s="2873">
        <v>0.83599999999999997</v>
      </c>
      <c r="G417" s="2873">
        <v>0.83599999999999997</v>
      </c>
      <c r="H417" s="2873">
        <v>0.83599999999999997</v>
      </c>
      <c r="I417" s="2873">
        <v>0.68810000000000004</v>
      </c>
      <c r="J417" s="2873">
        <v>0.68810000000000004</v>
      </c>
      <c r="K417" s="2873">
        <v>0.68810000000000004</v>
      </c>
      <c r="L417" s="2873">
        <v>0.68810000000000004</v>
      </c>
      <c r="M417" s="2874">
        <v>0.68810000000000004</v>
      </c>
    </row>
    <row r="418" spans="1:13">
      <c r="A418" s="2875">
        <v>5.7</v>
      </c>
      <c r="B418" s="2873">
        <v>0.89600000000000002</v>
      </c>
      <c r="C418" s="2873">
        <v>0.89600000000000002</v>
      </c>
      <c r="D418" s="2873">
        <v>0.83389999999999997</v>
      </c>
      <c r="E418" s="2873">
        <v>0.83389999999999997</v>
      </c>
      <c r="F418" s="2873">
        <v>0.83389999999999997</v>
      </c>
      <c r="G418" s="2873">
        <v>0.83389999999999997</v>
      </c>
      <c r="H418" s="2873">
        <v>0.83389999999999997</v>
      </c>
      <c r="I418" s="2873">
        <v>0.68569999999999998</v>
      </c>
      <c r="J418" s="2873">
        <v>0.68569999999999998</v>
      </c>
      <c r="K418" s="2873">
        <v>0.68569999999999998</v>
      </c>
      <c r="L418" s="2873">
        <v>0.68569999999999998</v>
      </c>
      <c r="M418" s="2874">
        <v>0.68569999999999998</v>
      </c>
    </row>
    <row r="419" spans="1:13">
      <c r="A419" s="2872">
        <v>5.8</v>
      </c>
      <c r="B419" s="2873">
        <v>0.89419999999999999</v>
      </c>
      <c r="C419" s="2873">
        <v>0.89419999999999999</v>
      </c>
      <c r="D419" s="2873">
        <v>0.83189999999999997</v>
      </c>
      <c r="E419" s="2873">
        <v>0.83189999999999997</v>
      </c>
      <c r="F419" s="2873">
        <v>0.83189999999999997</v>
      </c>
      <c r="G419" s="2873">
        <v>0.83189999999999997</v>
      </c>
      <c r="H419" s="2873">
        <v>0.83189999999999997</v>
      </c>
      <c r="I419" s="2873">
        <v>0.68320000000000003</v>
      </c>
      <c r="J419" s="2873">
        <v>0.68320000000000003</v>
      </c>
      <c r="K419" s="2873">
        <v>0.68320000000000003</v>
      </c>
      <c r="L419" s="2873">
        <v>0.68320000000000003</v>
      </c>
      <c r="M419" s="2874">
        <v>0.68320000000000003</v>
      </c>
    </row>
    <row r="420" spans="1:13">
      <c r="A420" s="2872">
        <v>5.9</v>
      </c>
      <c r="B420" s="2873">
        <v>0.89239999999999997</v>
      </c>
      <c r="C420" s="2873">
        <v>0.89239999999999997</v>
      </c>
      <c r="D420" s="2873">
        <v>0.82989999999999997</v>
      </c>
      <c r="E420" s="2873">
        <v>0.82989999999999997</v>
      </c>
      <c r="F420" s="2873">
        <v>0.82989999999999997</v>
      </c>
      <c r="G420" s="2873">
        <v>0.82989999999999997</v>
      </c>
      <c r="H420" s="2873">
        <v>0.82989999999999997</v>
      </c>
      <c r="I420" s="2873">
        <v>0.68069999999999997</v>
      </c>
      <c r="J420" s="2873">
        <v>0.68069999999999997</v>
      </c>
      <c r="K420" s="2873">
        <v>0.68069999999999997</v>
      </c>
      <c r="L420" s="2873">
        <v>0.68069999999999997</v>
      </c>
      <c r="M420" s="2874">
        <v>0.68069999999999997</v>
      </c>
    </row>
    <row r="421" spans="1:13">
      <c r="A421" s="2872">
        <v>6</v>
      </c>
      <c r="B421" s="2873">
        <v>0.89070000000000005</v>
      </c>
      <c r="C421" s="2873">
        <v>0.89070000000000005</v>
      </c>
      <c r="D421" s="2873">
        <v>0.82789999999999997</v>
      </c>
      <c r="E421" s="2873">
        <v>0.82789999999999997</v>
      </c>
      <c r="F421" s="2873">
        <v>0.82789999999999997</v>
      </c>
      <c r="G421" s="2873">
        <v>0.82789999999999997</v>
      </c>
      <c r="H421" s="2873">
        <v>0.82789999999999997</v>
      </c>
      <c r="I421" s="2873">
        <v>0.6784</v>
      </c>
      <c r="J421" s="2873">
        <v>0.6784</v>
      </c>
      <c r="K421" s="2873">
        <v>0.6784</v>
      </c>
      <c r="L421" s="2873">
        <v>0.6784</v>
      </c>
      <c r="M421" s="2874">
        <v>0.6784</v>
      </c>
    </row>
    <row r="422" spans="1:13">
      <c r="A422" s="2872">
        <v>6.1</v>
      </c>
      <c r="B422" s="2873">
        <v>0.88900000000000001</v>
      </c>
      <c r="C422" s="2873">
        <v>0.88900000000000001</v>
      </c>
      <c r="D422" s="2873">
        <v>0.82589999999999997</v>
      </c>
      <c r="E422" s="2873">
        <v>0.82589999999999997</v>
      </c>
      <c r="F422" s="2873">
        <v>0.82589999999999997</v>
      </c>
      <c r="G422" s="2873">
        <v>0.82589999999999997</v>
      </c>
      <c r="H422" s="2873">
        <v>0.82589999999999997</v>
      </c>
      <c r="I422" s="2873">
        <v>0.67600000000000005</v>
      </c>
      <c r="J422" s="2873">
        <v>0.67600000000000005</v>
      </c>
      <c r="K422" s="2873">
        <v>0.67600000000000005</v>
      </c>
      <c r="L422" s="2873">
        <v>0.67600000000000005</v>
      </c>
      <c r="M422" s="2874">
        <v>0.67600000000000005</v>
      </c>
    </row>
    <row r="423" spans="1:13">
      <c r="A423" s="2872">
        <v>6.2</v>
      </c>
      <c r="B423" s="2873">
        <v>0.88729999999999998</v>
      </c>
      <c r="C423" s="2873">
        <v>0.88729999999999998</v>
      </c>
      <c r="D423" s="2873">
        <v>0.82389999999999997</v>
      </c>
      <c r="E423" s="2873">
        <v>0.82389999999999997</v>
      </c>
      <c r="F423" s="2873">
        <v>0.82389999999999997</v>
      </c>
      <c r="G423" s="2873">
        <v>0.82389999999999997</v>
      </c>
      <c r="H423" s="2873">
        <v>0.82389999999999997</v>
      </c>
      <c r="I423" s="2873">
        <v>0.67359999999999998</v>
      </c>
      <c r="J423" s="2873">
        <v>0.67359999999999998</v>
      </c>
      <c r="K423" s="2873">
        <v>0.67359999999999998</v>
      </c>
      <c r="L423" s="2873">
        <v>0.67359999999999998</v>
      </c>
      <c r="M423" s="2874">
        <v>0.67359999999999998</v>
      </c>
    </row>
    <row r="424" spans="1:13">
      <c r="A424" s="2872">
        <v>6.3</v>
      </c>
      <c r="B424" s="2873">
        <v>0.88560000000000005</v>
      </c>
      <c r="C424" s="2873">
        <v>0.88560000000000005</v>
      </c>
      <c r="D424" s="2873">
        <v>0.82189999999999996</v>
      </c>
      <c r="E424" s="2873">
        <v>0.82189999999999996</v>
      </c>
      <c r="F424" s="2873">
        <v>0.82189999999999996</v>
      </c>
      <c r="G424" s="2873">
        <v>0.82189999999999996</v>
      </c>
      <c r="H424" s="2873">
        <v>0.82189999999999996</v>
      </c>
      <c r="I424" s="2873">
        <v>0.67130000000000001</v>
      </c>
      <c r="J424" s="2873">
        <v>0.67130000000000001</v>
      </c>
      <c r="K424" s="2873">
        <v>0.67130000000000001</v>
      </c>
      <c r="L424" s="2873">
        <v>0.67130000000000001</v>
      </c>
      <c r="M424" s="2874">
        <v>0.67130000000000001</v>
      </c>
    </row>
    <row r="425" spans="1:13">
      <c r="A425" s="2872">
        <v>6.4</v>
      </c>
      <c r="B425" s="2873">
        <v>0.88390000000000002</v>
      </c>
      <c r="C425" s="2873">
        <v>0.88390000000000002</v>
      </c>
      <c r="D425" s="2873">
        <v>0.82</v>
      </c>
      <c r="E425" s="2873">
        <v>0.82</v>
      </c>
      <c r="F425" s="2873">
        <v>0.82</v>
      </c>
      <c r="G425" s="2873">
        <v>0.82</v>
      </c>
      <c r="H425" s="2873">
        <v>0.82</v>
      </c>
      <c r="I425" s="2873">
        <v>0.66890000000000005</v>
      </c>
      <c r="J425" s="2873">
        <v>0.66890000000000005</v>
      </c>
      <c r="K425" s="2873">
        <v>0.66890000000000005</v>
      </c>
      <c r="L425" s="2873">
        <v>0.66890000000000005</v>
      </c>
      <c r="M425" s="2874">
        <v>0.66890000000000005</v>
      </c>
    </row>
    <row r="426" spans="1:13">
      <c r="A426" s="2872">
        <v>6.5</v>
      </c>
      <c r="B426" s="2873">
        <v>0.88229999999999997</v>
      </c>
      <c r="C426" s="2873">
        <v>0.88229999999999997</v>
      </c>
      <c r="D426" s="2873">
        <v>0.81810000000000005</v>
      </c>
      <c r="E426" s="2873">
        <v>0.81810000000000005</v>
      </c>
      <c r="F426" s="2873">
        <v>0.81810000000000005</v>
      </c>
      <c r="G426" s="2873">
        <v>0.81810000000000005</v>
      </c>
      <c r="H426" s="2873">
        <v>0.81810000000000005</v>
      </c>
      <c r="I426" s="2873">
        <v>0.66659999999999997</v>
      </c>
      <c r="J426" s="2873">
        <v>0.66659999999999997</v>
      </c>
      <c r="K426" s="2873">
        <v>0.66659999999999997</v>
      </c>
      <c r="L426" s="2873">
        <v>0.66659999999999997</v>
      </c>
      <c r="M426" s="2874">
        <v>0.66659999999999997</v>
      </c>
    </row>
    <row r="427" spans="1:13">
      <c r="A427" s="2872">
        <v>6.6</v>
      </c>
      <c r="B427" s="2873">
        <v>0.88070000000000004</v>
      </c>
      <c r="C427" s="2873">
        <v>0.88070000000000004</v>
      </c>
      <c r="D427" s="2873">
        <v>0.81620000000000004</v>
      </c>
      <c r="E427" s="2873">
        <v>0.81620000000000004</v>
      </c>
      <c r="F427" s="2873">
        <v>0.81620000000000004</v>
      </c>
      <c r="G427" s="2873">
        <v>0.81620000000000004</v>
      </c>
      <c r="H427" s="2873">
        <v>0.81620000000000004</v>
      </c>
      <c r="I427" s="2873">
        <v>0.66439999999999999</v>
      </c>
      <c r="J427" s="2873">
        <v>0.66439999999999999</v>
      </c>
      <c r="K427" s="2873">
        <v>0.66439999999999999</v>
      </c>
      <c r="L427" s="2873">
        <v>0.66439999999999999</v>
      </c>
      <c r="M427" s="2874">
        <v>0.66439999999999999</v>
      </c>
    </row>
    <row r="428" spans="1:13">
      <c r="A428" s="2872">
        <v>6.7</v>
      </c>
      <c r="B428" s="2873">
        <v>0.879</v>
      </c>
      <c r="C428" s="2873">
        <v>0.879</v>
      </c>
      <c r="D428" s="2873">
        <v>0.81430000000000002</v>
      </c>
      <c r="E428" s="2873">
        <v>0.81430000000000002</v>
      </c>
      <c r="F428" s="2873">
        <v>0.81430000000000002</v>
      </c>
      <c r="G428" s="2873">
        <v>0.81430000000000002</v>
      </c>
      <c r="H428" s="2873">
        <v>0.81430000000000002</v>
      </c>
      <c r="I428" s="2873">
        <v>0.66210000000000002</v>
      </c>
      <c r="J428" s="2873">
        <v>0.66210000000000002</v>
      </c>
      <c r="K428" s="2873">
        <v>0.66210000000000002</v>
      </c>
      <c r="L428" s="2873">
        <v>0.66210000000000002</v>
      </c>
      <c r="M428" s="2874">
        <v>0.66210000000000002</v>
      </c>
    </row>
    <row r="429" spans="1:13">
      <c r="A429" s="2872">
        <v>6.8</v>
      </c>
      <c r="B429" s="2873">
        <v>0.87739999999999996</v>
      </c>
      <c r="C429" s="2873">
        <v>0.87739999999999996</v>
      </c>
      <c r="D429" s="2873">
        <v>0.81240000000000001</v>
      </c>
      <c r="E429" s="2873">
        <v>0.81240000000000001</v>
      </c>
      <c r="F429" s="2873">
        <v>0.81240000000000001</v>
      </c>
      <c r="G429" s="2873">
        <v>0.81240000000000001</v>
      </c>
      <c r="H429" s="2873">
        <v>0.81240000000000001</v>
      </c>
      <c r="I429" s="2873">
        <v>0.65980000000000005</v>
      </c>
      <c r="J429" s="2873">
        <v>0.65980000000000005</v>
      </c>
      <c r="K429" s="2873">
        <v>0.65980000000000005</v>
      </c>
      <c r="L429" s="2873">
        <v>0.65980000000000005</v>
      </c>
      <c r="M429" s="2874">
        <v>0.65980000000000005</v>
      </c>
    </row>
    <row r="430" spans="1:13">
      <c r="A430" s="2872">
        <v>6.9</v>
      </c>
      <c r="B430" s="2873">
        <v>0.87580000000000002</v>
      </c>
      <c r="C430" s="2873">
        <v>0.87580000000000002</v>
      </c>
      <c r="D430" s="2873">
        <v>0.8105</v>
      </c>
      <c r="E430" s="2873">
        <v>0.8105</v>
      </c>
      <c r="F430" s="2873">
        <v>0.8105</v>
      </c>
      <c r="G430" s="2873">
        <v>0.8105</v>
      </c>
      <c r="H430" s="2873">
        <v>0.8105</v>
      </c>
      <c r="I430" s="2873">
        <v>0.65749999999999997</v>
      </c>
      <c r="J430" s="2873">
        <v>0.65749999999999997</v>
      </c>
      <c r="K430" s="2873">
        <v>0.65749999999999997</v>
      </c>
      <c r="L430" s="2873">
        <v>0.65749999999999997</v>
      </c>
      <c r="M430" s="2874">
        <v>0.65749999999999997</v>
      </c>
    </row>
    <row r="431" spans="1:13">
      <c r="A431" s="2872">
        <v>7</v>
      </c>
      <c r="B431" s="2873">
        <v>0.87419999999999998</v>
      </c>
      <c r="C431" s="2873">
        <v>0.87419999999999998</v>
      </c>
      <c r="D431" s="2873">
        <v>0.80869999999999997</v>
      </c>
      <c r="E431" s="2873">
        <v>0.80869999999999997</v>
      </c>
      <c r="F431" s="2873">
        <v>0.80869999999999997</v>
      </c>
      <c r="G431" s="2873">
        <v>0.80869999999999997</v>
      </c>
      <c r="H431" s="2873">
        <v>0.80869999999999997</v>
      </c>
      <c r="I431" s="2873">
        <v>0.65529999999999999</v>
      </c>
      <c r="J431" s="2873">
        <v>0.65529999999999999</v>
      </c>
      <c r="K431" s="2873">
        <v>0.65529999999999999</v>
      </c>
      <c r="L431" s="2873">
        <v>0.65529999999999999</v>
      </c>
      <c r="M431" s="2874">
        <v>0.65529999999999999</v>
      </c>
    </row>
    <row r="432" spans="1:13">
      <c r="A432" s="2872">
        <v>7.1</v>
      </c>
      <c r="B432" s="2873">
        <v>0.87270000000000003</v>
      </c>
      <c r="C432" s="2873">
        <v>0.87270000000000003</v>
      </c>
      <c r="D432" s="2873">
        <v>0.80689999999999995</v>
      </c>
      <c r="E432" s="2873">
        <v>0.80689999999999995</v>
      </c>
      <c r="F432" s="2873">
        <v>0.80689999999999995</v>
      </c>
      <c r="G432" s="2873">
        <v>0.80689999999999995</v>
      </c>
      <c r="H432" s="2873">
        <v>0.80689999999999995</v>
      </c>
      <c r="I432" s="2873">
        <v>0.6532</v>
      </c>
      <c r="J432" s="2873">
        <v>0.6532</v>
      </c>
      <c r="K432" s="2873">
        <v>0.6532</v>
      </c>
      <c r="L432" s="2873">
        <v>0.6532</v>
      </c>
      <c r="M432" s="2874">
        <v>0.6532</v>
      </c>
    </row>
    <row r="433" spans="1:13">
      <c r="A433" s="2872">
        <v>7.2</v>
      </c>
      <c r="B433" s="2873">
        <v>0.87119999999999997</v>
      </c>
      <c r="C433" s="2873">
        <v>0.87119999999999997</v>
      </c>
      <c r="D433" s="2873">
        <v>0.80510000000000004</v>
      </c>
      <c r="E433" s="2873">
        <v>0.80510000000000004</v>
      </c>
      <c r="F433" s="2873">
        <v>0.80510000000000004</v>
      </c>
      <c r="G433" s="2873">
        <v>0.80510000000000004</v>
      </c>
      <c r="H433" s="2873">
        <v>0.80510000000000004</v>
      </c>
      <c r="I433" s="2873">
        <v>0.65100000000000002</v>
      </c>
      <c r="J433" s="2873">
        <v>0.65100000000000002</v>
      </c>
      <c r="K433" s="2873">
        <v>0.65100000000000002</v>
      </c>
      <c r="L433" s="2873">
        <v>0.65100000000000002</v>
      </c>
      <c r="M433" s="2874">
        <v>0.65100000000000002</v>
      </c>
    </row>
    <row r="434" spans="1:13">
      <c r="A434" s="2872">
        <v>7.3</v>
      </c>
      <c r="B434" s="2873">
        <v>0.86970000000000003</v>
      </c>
      <c r="C434" s="2873">
        <v>0.86970000000000003</v>
      </c>
      <c r="D434" s="2873">
        <v>0.80330000000000001</v>
      </c>
      <c r="E434" s="2873">
        <v>0.80330000000000001</v>
      </c>
      <c r="F434" s="2873">
        <v>0.80330000000000001</v>
      </c>
      <c r="G434" s="2873">
        <v>0.80330000000000001</v>
      </c>
      <c r="H434" s="2873">
        <v>0.80330000000000001</v>
      </c>
      <c r="I434" s="2873">
        <v>0.64880000000000004</v>
      </c>
      <c r="J434" s="2873">
        <v>0.64880000000000004</v>
      </c>
      <c r="K434" s="2873">
        <v>0.64880000000000004</v>
      </c>
      <c r="L434" s="2873">
        <v>0.64880000000000004</v>
      </c>
      <c r="M434" s="2874">
        <v>0.64880000000000004</v>
      </c>
    </row>
    <row r="435" spans="1:13">
      <c r="A435" s="2872">
        <v>7.4</v>
      </c>
      <c r="B435" s="2873">
        <v>0.86819999999999997</v>
      </c>
      <c r="C435" s="2873">
        <v>0.86819999999999997</v>
      </c>
      <c r="D435" s="2873">
        <v>0.80149999999999999</v>
      </c>
      <c r="E435" s="2873">
        <v>0.80149999999999999</v>
      </c>
      <c r="F435" s="2873">
        <v>0.80149999999999999</v>
      </c>
      <c r="G435" s="2873">
        <v>0.80149999999999999</v>
      </c>
      <c r="H435" s="2873">
        <v>0.80149999999999999</v>
      </c>
      <c r="I435" s="2873">
        <v>0.64659999999999995</v>
      </c>
      <c r="J435" s="2873">
        <v>0.64659999999999995</v>
      </c>
      <c r="K435" s="2873">
        <v>0.64659999999999995</v>
      </c>
      <c r="L435" s="2873">
        <v>0.64659999999999995</v>
      </c>
      <c r="M435" s="2874">
        <v>0.64659999999999995</v>
      </c>
    </row>
    <row r="436" spans="1:13">
      <c r="A436" s="2872">
        <v>7.5</v>
      </c>
      <c r="B436" s="2873">
        <v>0.86660000000000004</v>
      </c>
      <c r="C436" s="2873">
        <v>0.86660000000000004</v>
      </c>
      <c r="D436" s="2873">
        <v>0.79969999999999997</v>
      </c>
      <c r="E436" s="2873">
        <v>0.79969999999999997</v>
      </c>
      <c r="F436" s="2873">
        <v>0.79969999999999997</v>
      </c>
      <c r="G436" s="2873">
        <v>0.79969999999999997</v>
      </c>
      <c r="H436" s="2873">
        <v>0.79969999999999997</v>
      </c>
      <c r="I436" s="2873">
        <v>0.64449999999999996</v>
      </c>
      <c r="J436" s="2873">
        <v>0.64449999999999996</v>
      </c>
      <c r="K436" s="2873">
        <v>0.64449999999999996</v>
      </c>
      <c r="L436" s="2873">
        <v>0.64449999999999996</v>
      </c>
      <c r="M436" s="2874">
        <v>0.64449999999999996</v>
      </c>
    </row>
    <row r="437" spans="1:13">
      <c r="A437" s="2872">
        <v>7.6</v>
      </c>
      <c r="B437" s="2873">
        <v>0.86509999999999998</v>
      </c>
      <c r="C437" s="2873">
        <v>0.86509999999999998</v>
      </c>
      <c r="D437" s="2873">
        <v>0.79800000000000004</v>
      </c>
      <c r="E437" s="2873">
        <v>0.79800000000000004</v>
      </c>
      <c r="F437" s="2873">
        <v>0.79800000000000004</v>
      </c>
      <c r="G437" s="2873">
        <v>0.79800000000000004</v>
      </c>
      <c r="H437" s="2873">
        <v>0.79800000000000004</v>
      </c>
      <c r="I437" s="2873">
        <v>0.64239999999999997</v>
      </c>
      <c r="J437" s="2873">
        <v>0.64239999999999997</v>
      </c>
      <c r="K437" s="2873">
        <v>0.64239999999999997</v>
      </c>
      <c r="L437" s="2873">
        <v>0.64239999999999997</v>
      </c>
      <c r="M437" s="2874">
        <v>0.64239999999999997</v>
      </c>
    </row>
    <row r="438" spans="1:13">
      <c r="A438" s="2872">
        <v>7.7</v>
      </c>
      <c r="B438" s="2873">
        <v>0.86370000000000002</v>
      </c>
      <c r="C438" s="2873">
        <v>0.86370000000000002</v>
      </c>
      <c r="D438" s="2873">
        <v>0.79630000000000001</v>
      </c>
      <c r="E438" s="2873">
        <v>0.79630000000000001</v>
      </c>
      <c r="F438" s="2873">
        <v>0.79630000000000001</v>
      </c>
      <c r="G438" s="2873">
        <v>0.79630000000000001</v>
      </c>
      <c r="H438" s="2873">
        <v>0.79630000000000001</v>
      </c>
      <c r="I438" s="2873">
        <v>0.64029999999999998</v>
      </c>
      <c r="J438" s="2873">
        <v>0.64029999999999998</v>
      </c>
      <c r="K438" s="2873">
        <v>0.64029999999999998</v>
      </c>
      <c r="L438" s="2873">
        <v>0.64029999999999998</v>
      </c>
      <c r="M438" s="2874">
        <v>0.64029999999999998</v>
      </c>
    </row>
    <row r="439" spans="1:13">
      <c r="A439" s="2872">
        <v>7.8</v>
      </c>
      <c r="B439" s="2873">
        <v>0.86229999999999996</v>
      </c>
      <c r="C439" s="2873">
        <v>0.86229999999999996</v>
      </c>
      <c r="D439" s="2873">
        <v>0.79449999999999998</v>
      </c>
      <c r="E439" s="2873">
        <v>0.79449999999999998</v>
      </c>
      <c r="F439" s="2873">
        <v>0.79449999999999998</v>
      </c>
      <c r="G439" s="2873">
        <v>0.79449999999999998</v>
      </c>
      <c r="H439" s="2873">
        <v>0.79449999999999998</v>
      </c>
      <c r="I439" s="2873">
        <v>0.63819999999999999</v>
      </c>
      <c r="J439" s="2873">
        <v>0.63819999999999999</v>
      </c>
      <c r="K439" s="2873">
        <v>0.63819999999999999</v>
      </c>
      <c r="L439" s="2873">
        <v>0.63819999999999999</v>
      </c>
      <c r="M439" s="2874">
        <v>0.63819999999999999</v>
      </c>
    </row>
    <row r="440" spans="1:13">
      <c r="A440" s="2872">
        <v>7.9</v>
      </c>
      <c r="B440" s="2873">
        <v>0.8609</v>
      </c>
      <c r="C440" s="2873">
        <v>0.8609</v>
      </c>
      <c r="D440" s="2873">
        <v>0.79279999999999995</v>
      </c>
      <c r="E440" s="2873">
        <v>0.79279999999999995</v>
      </c>
      <c r="F440" s="2873">
        <v>0.79279999999999995</v>
      </c>
      <c r="G440" s="2873">
        <v>0.79279999999999995</v>
      </c>
      <c r="H440" s="2873">
        <v>0.79279999999999995</v>
      </c>
      <c r="I440" s="2873">
        <v>0.6361</v>
      </c>
      <c r="J440" s="2873">
        <v>0.6361</v>
      </c>
      <c r="K440" s="2873">
        <v>0.6361</v>
      </c>
      <c r="L440" s="2873">
        <v>0.6361</v>
      </c>
      <c r="M440" s="2874">
        <v>0.6361</v>
      </c>
    </row>
    <row r="441" spans="1:13">
      <c r="A441" s="2872">
        <v>8</v>
      </c>
      <c r="B441" s="2873">
        <v>0.85940000000000005</v>
      </c>
      <c r="C441" s="2873">
        <v>0.85940000000000005</v>
      </c>
      <c r="D441" s="2873">
        <v>0.79110000000000003</v>
      </c>
      <c r="E441" s="2873">
        <v>0.79110000000000003</v>
      </c>
      <c r="F441" s="2873">
        <v>0.79110000000000003</v>
      </c>
      <c r="G441" s="2873">
        <v>0.79110000000000003</v>
      </c>
      <c r="H441" s="2873">
        <v>0.79110000000000003</v>
      </c>
      <c r="I441" s="2873">
        <v>0.6341</v>
      </c>
      <c r="J441" s="2873">
        <v>0.6341</v>
      </c>
      <c r="K441" s="2873">
        <v>0.6341</v>
      </c>
      <c r="L441" s="2873">
        <v>0.6341</v>
      </c>
      <c r="M441" s="2874">
        <v>0.6341</v>
      </c>
    </row>
    <row r="442" spans="1:13">
      <c r="A442" s="2872">
        <v>8.1</v>
      </c>
      <c r="B442" s="2873">
        <v>0.85799999999999998</v>
      </c>
      <c r="C442" s="2873">
        <v>0.85799999999999998</v>
      </c>
      <c r="D442" s="2873">
        <v>0.78939999999999999</v>
      </c>
      <c r="E442" s="2873">
        <v>0.78939999999999999</v>
      </c>
      <c r="F442" s="2873">
        <v>0.78939999999999999</v>
      </c>
      <c r="G442" s="2873">
        <v>0.78939999999999999</v>
      </c>
      <c r="H442" s="2873">
        <v>0.78939999999999999</v>
      </c>
      <c r="I442" s="2873">
        <v>0.6321</v>
      </c>
      <c r="J442" s="2873">
        <v>0.6321</v>
      </c>
      <c r="K442" s="2873">
        <v>0.6321</v>
      </c>
      <c r="L442" s="2873">
        <v>0.6321</v>
      </c>
      <c r="M442" s="2874">
        <v>0.6321</v>
      </c>
    </row>
    <row r="443" spans="1:13">
      <c r="A443" s="2872">
        <v>8.1999999999999993</v>
      </c>
      <c r="B443" s="2873">
        <v>0.85660000000000003</v>
      </c>
      <c r="C443" s="2873">
        <v>0.85660000000000003</v>
      </c>
      <c r="D443" s="2873">
        <v>0.78779999999999994</v>
      </c>
      <c r="E443" s="2873">
        <v>0.78779999999999994</v>
      </c>
      <c r="F443" s="2873">
        <v>0.78779999999999994</v>
      </c>
      <c r="G443" s="2873">
        <v>0.78779999999999994</v>
      </c>
      <c r="H443" s="2873">
        <v>0.78779999999999994</v>
      </c>
      <c r="I443" s="2873">
        <v>0.63009999999999999</v>
      </c>
      <c r="J443" s="2873">
        <v>0.63009999999999999</v>
      </c>
      <c r="K443" s="2873">
        <v>0.63009999999999999</v>
      </c>
      <c r="L443" s="2873">
        <v>0.63009999999999999</v>
      </c>
      <c r="M443" s="2874">
        <v>0.63009999999999999</v>
      </c>
    </row>
    <row r="444" spans="1:13">
      <c r="A444" s="2872">
        <v>8.3000000000000007</v>
      </c>
      <c r="B444" s="2873">
        <v>0.85529999999999995</v>
      </c>
      <c r="C444" s="2873">
        <v>0.85529999999999995</v>
      </c>
      <c r="D444" s="2873">
        <v>0.78620000000000001</v>
      </c>
      <c r="E444" s="2873">
        <v>0.78620000000000001</v>
      </c>
      <c r="F444" s="2873">
        <v>0.78620000000000001</v>
      </c>
      <c r="G444" s="2873">
        <v>0.78620000000000001</v>
      </c>
      <c r="H444" s="2873">
        <v>0.78620000000000001</v>
      </c>
      <c r="I444" s="2873">
        <v>0.62809999999999999</v>
      </c>
      <c r="J444" s="2873">
        <v>0.62809999999999999</v>
      </c>
      <c r="K444" s="2873">
        <v>0.62809999999999999</v>
      </c>
      <c r="L444" s="2873">
        <v>0.62809999999999999</v>
      </c>
      <c r="M444" s="2874">
        <v>0.62809999999999999</v>
      </c>
    </row>
    <row r="445" spans="1:13">
      <c r="A445" s="2872">
        <v>8.4</v>
      </c>
      <c r="B445" s="2873">
        <v>0.85389999999999999</v>
      </c>
      <c r="C445" s="2873">
        <v>0.85389999999999999</v>
      </c>
      <c r="D445" s="2873">
        <v>0.78459999999999996</v>
      </c>
      <c r="E445" s="2873">
        <v>0.78459999999999996</v>
      </c>
      <c r="F445" s="2873">
        <v>0.78459999999999996</v>
      </c>
      <c r="G445" s="2873">
        <v>0.78459999999999996</v>
      </c>
      <c r="H445" s="2873">
        <v>0.78459999999999996</v>
      </c>
      <c r="I445" s="2873">
        <v>0.62609999999999999</v>
      </c>
      <c r="J445" s="2873">
        <v>0.62609999999999999</v>
      </c>
      <c r="K445" s="2873">
        <v>0.62609999999999999</v>
      </c>
      <c r="L445" s="2873">
        <v>0.62609999999999999</v>
      </c>
      <c r="M445" s="2874">
        <v>0.62609999999999999</v>
      </c>
    </row>
    <row r="446" spans="1:13">
      <c r="A446" s="2872">
        <v>8.5</v>
      </c>
      <c r="B446" s="2873">
        <v>0.85260000000000002</v>
      </c>
      <c r="C446" s="2873">
        <v>0.85260000000000002</v>
      </c>
      <c r="D446" s="2873">
        <v>0.78290000000000004</v>
      </c>
      <c r="E446" s="2873">
        <v>0.78290000000000004</v>
      </c>
      <c r="F446" s="2873">
        <v>0.78290000000000004</v>
      </c>
      <c r="G446" s="2873">
        <v>0.78290000000000004</v>
      </c>
      <c r="H446" s="2873">
        <v>0.78290000000000004</v>
      </c>
      <c r="I446" s="2873">
        <v>0.62419999999999998</v>
      </c>
      <c r="J446" s="2873">
        <v>0.62419999999999998</v>
      </c>
      <c r="K446" s="2873">
        <v>0.62419999999999998</v>
      </c>
      <c r="L446" s="2873">
        <v>0.62419999999999998</v>
      </c>
      <c r="M446" s="2874">
        <v>0.62419999999999998</v>
      </c>
    </row>
    <row r="447" spans="1:13">
      <c r="A447" s="2872">
        <v>8.6</v>
      </c>
      <c r="B447" s="2873">
        <v>0.85129999999999995</v>
      </c>
      <c r="C447" s="2873">
        <v>0.85129999999999995</v>
      </c>
      <c r="D447" s="2873">
        <v>0.78129999999999999</v>
      </c>
      <c r="E447" s="2873">
        <v>0.78129999999999999</v>
      </c>
      <c r="F447" s="2873">
        <v>0.78129999999999999</v>
      </c>
      <c r="G447" s="2873">
        <v>0.78129999999999999</v>
      </c>
      <c r="H447" s="2873">
        <v>0.78129999999999999</v>
      </c>
      <c r="I447" s="2873">
        <v>0.62229999999999996</v>
      </c>
      <c r="J447" s="2873">
        <v>0.62229999999999996</v>
      </c>
      <c r="K447" s="2873">
        <v>0.62229999999999996</v>
      </c>
      <c r="L447" s="2873">
        <v>0.62229999999999996</v>
      </c>
      <c r="M447" s="2874">
        <v>0.62229999999999996</v>
      </c>
    </row>
    <row r="448" spans="1:13">
      <c r="A448" s="2872">
        <v>8.6999999999999993</v>
      </c>
      <c r="B448" s="2873">
        <v>0.85</v>
      </c>
      <c r="C448" s="2873">
        <v>0.85</v>
      </c>
      <c r="D448" s="2873">
        <v>0.77969999999999995</v>
      </c>
      <c r="E448" s="2873">
        <v>0.77969999999999995</v>
      </c>
      <c r="F448" s="2873">
        <v>0.77969999999999995</v>
      </c>
      <c r="G448" s="2873">
        <v>0.77969999999999995</v>
      </c>
      <c r="H448" s="2873">
        <v>0.77969999999999995</v>
      </c>
      <c r="I448" s="2873">
        <v>0.62039999999999995</v>
      </c>
      <c r="J448" s="2873">
        <v>0.62039999999999995</v>
      </c>
      <c r="K448" s="2873">
        <v>0.62039999999999995</v>
      </c>
      <c r="L448" s="2873">
        <v>0.62039999999999995</v>
      </c>
      <c r="M448" s="2874">
        <v>0.62039999999999995</v>
      </c>
    </row>
    <row r="449" spans="1:13">
      <c r="A449" s="2872">
        <v>8.8000000000000007</v>
      </c>
      <c r="B449" s="2873">
        <v>0.84860000000000002</v>
      </c>
      <c r="C449" s="2873">
        <v>0.84860000000000002</v>
      </c>
      <c r="D449" s="2873">
        <v>0.7782</v>
      </c>
      <c r="E449" s="2873">
        <v>0.7782</v>
      </c>
      <c r="F449" s="2873">
        <v>0.7782</v>
      </c>
      <c r="G449" s="2873">
        <v>0.7782</v>
      </c>
      <c r="H449" s="2873">
        <v>0.7782</v>
      </c>
      <c r="I449" s="2873">
        <v>0.61850000000000005</v>
      </c>
      <c r="J449" s="2873">
        <v>0.61850000000000005</v>
      </c>
      <c r="K449" s="2873">
        <v>0.61850000000000005</v>
      </c>
      <c r="L449" s="2873">
        <v>0.61850000000000005</v>
      </c>
      <c r="M449" s="2874">
        <v>0.61850000000000005</v>
      </c>
    </row>
    <row r="450" spans="1:13">
      <c r="A450" s="2872">
        <v>8.9</v>
      </c>
      <c r="B450" s="2873">
        <v>0.84740000000000004</v>
      </c>
      <c r="C450" s="2873">
        <v>0.84740000000000004</v>
      </c>
      <c r="D450" s="2873">
        <v>0.77669999999999995</v>
      </c>
      <c r="E450" s="2873">
        <v>0.77669999999999995</v>
      </c>
      <c r="F450" s="2873">
        <v>0.77669999999999995</v>
      </c>
      <c r="G450" s="2873">
        <v>0.77669999999999995</v>
      </c>
      <c r="H450" s="2873">
        <v>0.77669999999999995</v>
      </c>
      <c r="I450" s="2873">
        <v>0.61670000000000003</v>
      </c>
      <c r="J450" s="2873">
        <v>0.61670000000000003</v>
      </c>
      <c r="K450" s="2873">
        <v>0.61670000000000003</v>
      </c>
      <c r="L450" s="2873">
        <v>0.61670000000000003</v>
      </c>
      <c r="M450" s="2874">
        <v>0.61670000000000003</v>
      </c>
    </row>
    <row r="451" spans="1:13">
      <c r="A451" s="2875">
        <v>9</v>
      </c>
      <c r="B451" s="2873">
        <v>0.84619999999999995</v>
      </c>
      <c r="C451" s="2873">
        <v>0.84619999999999995</v>
      </c>
      <c r="D451" s="2873">
        <v>0.77510000000000001</v>
      </c>
      <c r="E451" s="2873">
        <v>0.77510000000000001</v>
      </c>
      <c r="F451" s="2873">
        <v>0.77510000000000001</v>
      </c>
      <c r="G451" s="2873">
        <v>0.77510000000000001</v>
      </c>
      <c r="H451" s="2873">
        <v>0.77510000000000001</v>
      </c>
      <c r="I451" s="2873">
        <v>0.61480000000000001</v>
      </c>
      <c r="J451" s="2873">
        <v>0.61480000000000001</v>
      </c>
      <c r="K451" s="2873">
        <v>0.61480000000000001</v>
      </c>
      <c r="L451" s="2873">
        <v>0.61480000000000001</v>
      </c>
      <c r="M451" s="2874">
        <v>0.61480000000000001</v>
      </c>
    </row>
    <row r="452" spans="1:13">
      <c r="A452" s="2875">
        <v>9.1</v>
      </c>
      <c r="B452" s="2873">
        <v>0.84499999999999997</v>
      </c>
      <c r="C452" s="2873">
        <v>0.84499999999999997</v>
      </c>
      <c r="D452" s="2873">
        <v>0.77359999999999995</v>
      </c>
      <c r="E452" s="2873">
        <v>0.77359999999999995</v>
      </c>
      <c r="F452" s="2873">
        <v>0.77359999999999995</v>
      </c>
      <c r="G452" s="2873">
        <v>0.77359999999999995</v>
      </c>
      <c r="H452" s="2873">
        <v>0.77359999999999995</v>
      </c>
      <c r="I452" s="2873">
        <v>0.61299999999999999</v>
      </c>
      <c r="J452" s="2873">
        <v>0.61299999999999999</v>
      </c>
      <c r="K452" s="2873">
        <v>0.61299999999999999</v>
      </c>
      <c r="L452" s="2873">
        <v>0.61299999999999999</v>
      </c>
      <c r="M452" s="2874">
        <v>0.61299999999999999</v>
      </c>
    </row>
    <row r="453" spans="1:13">
      <c r="A453" s="2875">
        <v>9.1999999999999993</v>
      </c>
      <c r="B453" s="2873">
        <v>0.84370000000000001</v>
      </c>
      <c r="C453" s="2873">
        <v>0.84370000000000001</v>
      </c>
      <c r="D453" s="2873">
        <v>0.77210000000000001</v>
      </c>
      <c r="E453" s="2873">
        <v>0.77210000000000001</v>
      </c>
      <c r="F453" s="2873">
        <v>0.77210000000000001</v>
      </c>
      <c r="G453" s="2873">
        <v>0.77210000000000001</v>
      </c>
      <c r="H453" s="2873">
        <v>0.77210000000000001</v>
      </c>
      <c r="I453" s="2873">
        <v>0.61119999999999997</v>
      </c>
      <c r="J453" s="2873">
        <v>0.61119999999999997</v>
      </c>
      <c r="K453" s="2873">
        <v>0.61119999999999997</v>
      </c>
      <c r="L453" s="2873">
        <v>0.61119999999999997</v>
      </c>
      <c r="M453" s="2874">
        <v>0.61119999999999997</v>
      </c>
    </row>
    <row r="454" spans="1:13">
      <c r="A454" s="2875">
        <v>9.3000000000000007</v>
      </c>
      <c r="B454" s="2873">
        <v>0.84250000000000003</v>
      </c>
      <c r="C454" s="2873">
        <v>0.84250000000000003</v>
      </c>
      <c r="D454" s="2873">
        <v>0.77059999999999995</v>
      </c>
      <c r="E454" s="2873">
        <v>0.77059999999999995</v>
      </c>
      <c r="F454" s="2873">
        <v>0.77059999999999995</v>
      </c>
      <c r="G454" s="2873">
        <v>0.77059999999999995</v>
      </c>
      <c r="H454" s="2873">
        <v>0.77059999999999995</v>
      </c>
      <c r="I454" s="2873">
        <v>0.60940000000000005</v>
      </c>
      <c r="J454" s="2873">
        <v>0.60940000000000005</v>
      </c>
      <c r="K454" s="2873">
        <v>0.60940000000000005</v>
      </c>
      <c r="L454" s="2873">
        <v>0.60940000000000005</v>
      </c>
      <c r="M454" s="2874">
        <v>0.60940000000000005</v>
      </c>
    </row>
    <row r="455" spans="1:13">
      <c r="A455" s="2875">
        <v>9.4</v>
      </c>
      <c r="B455" s="2873">
        <v>0.84130000000000005</v>
      </c>
      <c r="C455" s="2873">
        <v>0.84130000000000005</v>
      </c>
      <c r="D455" s="2873">
        <v>0.76900000000000002</v>
      </c>
      <c r="E455" s="2873">
        <v>0.76900000000000002</v>
      </c>
      <c r="F455" s="2873">
        <v>0.76900000000000002</v>
      </c>
      <c r="G455" s="2873">
        <v>0.76900000000000002</v>
      </c>
      <c r="H455" s="2873">
        <v>0.76900000000000002</v>
      </c>
      <c r="I455" s="2873">
        <v>0.60760000000000003</v>
      </c>
      <c r="J455" s="2873">
        <v>0.60760000000000003</v>
      </c>
      <c r="K455" s="2873">
        <v>0.60760000000000003</v>
      </c>
      <c r="L455" s="2873">
        <v>0.60760000000000003</v>
      </c>
      <c r="M455" s="2874">
        <v>0.60760000000000003</v>
      </c>
    </row>
    <row r="456" spans="1:13">
      <c r="A456" s="2875">
        <v>9.5</v>
      </c>
      <c r="B456" s="2873">
        <v>0.84009999999999996</v>
      </c>
      <c r="C456" s="2873">
        <v>0.84009999999999996</v>
      </c>
      <c r="D456" s="2873">
        <v>0.76759999999999995</v>
      </c>
      <c r="E456" s="2873">
        <v>0.76759999999999995</v>
      </c>
      <c r="F456" s="2873">
        <v>0.76759999999999995</v>
      </c>
      <c r="G456" s="2873">
        <v>0.76759999999999995</v>
      </c>
      <c r="H456" s="2873">
        <v>0.76759999999999995</v>
      </c>
      <c r="I456" s="2873">
        <v>0.60580000000000001</v>
      </c>
      <c r="J456" s="2873">
        <v>0.60580000000000001</v>
      </c>
      <c r="K456" s="2873">
        <v>0.60580000000000001</v>
      </c>
      <c r="L456" s="2873">
        <v>0.60580000000000001</v>
      </c>
      <c r="M456" s="2874">
        <v>0.60580000000000001</v>
      </c>
    </row>
    <row r="457" spans="1:13">
      <c r="A457" s="2875">
        <v>9.6</v>
      </c>
      <c r="B457" s="2873">
        <v>0.83899999999999997</v>
      </c>
      <c r="C457" s="2873">
        <v>0.83899999999999997</v>
      </c>
      <c r="D457" s="2873">
        <v>0.76619999999999999</v>
      </c>
      <c r="E457" s="2873">
        <v>0.76619999999999999</v>
      </c>
      <c r="F457" s="2873">
        <v>0.76619999999999999</v>
      </c>
      <c r="G457" s="2873">
        <v>0.76619999999999999</v>
      </c>
      <c r="H457" s="2873">
        <v>0.76619999999999999</v>
      </c>
      <c r="I457" s="2873">
        <v>0.60409999999999997</v>
      </c>
      <c r="J457" s="2873">
        <v>0.60409999999999997</v>
      </c>
      <c r="K457" s="2873">
        <v>0.60409999999999997</v>
      </c>
      <c r="L457" s="2873">
        <v>0.60409999999999997</v>
      </c>
      <c r="M457" s="2874">
        <v>0.60409999999999997</v>
      </c>
    </row>
    <row r="458" spans="1:13">
      <c r="A458" s="2875">
        <v>9.6999999999999993</v>
      </c>
      <c r="B458" s="2873">
        <v>0.83779999999999999</v>
      </c>
      <c r="C458" s="2873">
        <v>0.83779999999999999</v>
      </c>
      <c r="D458" s="2873">
        <v>0.76480000000000004</v>
      </c>
      <c r="E458" s="2873">
        <v>0.76480000000000004</v>
      </c>
      <c r="F458" s="2873">
        <v>0.76480000000000004</v>
      </c>
      <c r="G458" s="2873">
        <v>0.76480000000000004</v>
      </c>
      <c r="H458" s="2873">
        <v>0.76480000000000004</v>
      </c>
      <c r="I458" s="2873">
        <v>0.60240000000000005</v>
      </c>
      <c r="J458" s="2873">
        <v>0.60240000000000005</v>
      </c>
      <c r="K458" s="2873">
        <v>0.60240000000000005</v>
      </c>
      <c r="L458" s="2873">
        <v>0.60240000000000005</v>
      </c>
      <c r="M458" s="2874">
        <v>0.60240000000000005</v>
      </c>
    </row>
    <row r="459" spans="1:13">
      <c r="A459" s="2875">
        <v>9.8000000000000007</v>
      </c>
      <c r="B459" s="2873">
        <v>0.8367</v>
      </c>
      <c r="C459" s="2873">
        <v>0.8367</v>
      </c>
      <c r="D459" s="2873">
        <v>0.76329999999999998</v>
      </c>
      <c r="E459" s="2873">
        <v>0.76329999999999998</v>
      </c>
      <c r="F459" s="2873">
        <v>0.76329999999999998</v>
      </c>
      <c r="G459" s="2873">
        <v>0.76329999999999998</v>
      </c>
      <c r="H459" s="2873">
        <v>0.76329999999999998</v>
      </c>
      <c r="I459" s="2873">
        <v>0.60060000000000002</v>
      </c>
      <c r="J459" s="2873">
        <v>0.60060000000000002</v>
      </c>
      <c r="K459" s="2873">
        <v>0.60060000000000002</v>
      </c>
      <c r="L459" s="2873">
        <v>0.60060000000000002</v>
      </c>
      <c r="M459" s="2874">
        <v>0.60060000000000002</v>
      </c>
    </row>
    <row r="460" spans="1:13" ht="14.25" thickBot="1">
      <c r="A460" s="2876">
        <v>9.9</v>
      </c>
      <c r="B460" s="2877">
        <v>0.83560000000000001</v>
      </c>
      <c r="C460" s="2877">
        <v>0.83560000000000001</v>
      </c>
      <c r="D460" s="2877">
        <v>0.76190000000000002</v>
      </c>
      <c r="E460" s="2877">
        <v>0.76190000000000002</v>
      </c>
      <c r="F460" s="2877">
        <v>0.76190000000000002</v>
      </c>
      <c r="G460" s="2877">
        <v>0.76190000000000002</v>
      </c>
      <c r="H460" s="2877">
        <v>0.76190000000000002</v>
      </c>
      <c r="I460" s="2877">
        <v>0.59889999999999999</v>
      </c>
      <c r="J460" s="2877">
        <v>0.59889999999999999</v>
      </c>
      <c r="K460" s="2877">
        <v>0.59889999999999999</v>
      </c>
      <c r="L460" s="2877">
        <v>0.59889999999999999</v>
      </c>
      <c r="M460" s="2878">
        <v>0.59889999999999999</v>
      </c>
    </row>
  </sheetData>
  <sheetProtection password="CEE9" sheet="1" objects="1" scenarios="1" formatCells="0" formatColumns="0" formatRows="0"/>
  <phoneticPr fontId="78"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28992</v>
      </c>
      <c r="C2" s="2" t="s">
        <v>106</v>
      </c>
      <c r="D2" s="191"/>
      <c r="E2" s="191"/>
      <c r="F2" s="191"/>
      <c r="G2" s="191"/>
    </row>
    <row r="3" spans="1:7" s="192" customFormat="1" ht="18" customHeight="1" thickBot="1">
      <c r="A3" s="195" t="s">
        <v>58</v>
      </c>
      <c r="B3" s="196">
        <f ca="1">ROUND(B2*10000/'数据-汇总表'!E3,0)</f>
        <v>645443</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6</v>
      </c>
      <c r="D9" s="795">
        <f>'数据-汇总表'!E5</f>
        <v>449.18</v>
      </c>
      <c r="E9" s="217">
        <f>'数据-取费表'!B27</f>
        <v>143</v>
      </c>
      <c r="F9" s="213"/>
      <c r="G9" s="218"/>
    </row>
    <row r="10" spans="1:7" s="206" customFormat="1" ht="13.5" customHeight="1">
      <c r="A10" s="733" t="s">
        <v>356</v>
      </c>
      <c r="B10" s="216" t="s">
        <v>67</v>
      </c>
      <c r="C10" s="217">
        <f>ROUND(D10*E10/10000,0)</f>
        <v>0</v>
      </c>
      <c r="D10" s="795">
        <f>'数据-汇总表'!E6</f>
        <v>0</v>
      </c>
      <c r="E10" s="217">
        <f>'数据-取费表'!B28</f>
        <v>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13</v>
      </c>
      <c r="D19" s="204">
        <f>'数据-汇总表'!E3</f>
        <v>449.18</v>
      </c>
      <c r="E19" s="203">
        <f>'数据-取费表'!B31</f>
        <v>280</v>
      </c>
      <c r="F19" s="223"/>
      <c r="G19" s="1" t="s">
        <v>436</v>
      </c>
    </row>
    <row r="20" spans="1:7" s="206" customFormat="1" ht="13.5" customHeight="1">
      <c r="A20" s="731" t="s">
        <v>419</v>
      </c>
      <c r="B20" s="202" t="s">
        <v>77</v>
      </c>
      <c r="C20" s="224">
        <f>ROUND((C5+C19)*F20,0)</f>
        <v>206</v>
      </c>
      <c r="D20" s="224"/>
      <c r="E20" s="224"/>
      <c r="F20" s="225">
        <f>'数据-取费表'!B37</f>
        <v>0.01</v>
      </c>
      <c r="G20" s="1004" t="s">
        <v>430</v>
      </c>
    </row>
    <row r="21" spans="1:7" s="206" customFormat="1" ht="13.5" customHeight="1">
      <c r="A21" s="731" t="s">
        <v>421</v>
      </c>
      <c r="B21" s="202" t="s">
        <v>78</v>
      </c>
      <c r="C21" s="227">
        <f>F21</f>
        <v>2.8000000000000001E-2</v>
      </c>
      <c r="D21" s="228" t="s">
        <v>99</v>
      </c>
      <c r="E21" s="224"/>
      <c r="F21" s="225">
        <f>'数据-取费表'!B38</f>
        <v>2.8000000000000001E-2</v>
      </c>
      <c r="G21" s="226" t="s">
        <v>79</v>
      </c>
    </row>
    <row r="22" spans="1:7" s="206" customFormat="1" ht="13.5" customHeight="1">
      <c r="A22" s="731" t="s">
        <v>341</v>
      </c>
      <c r="B22" s="202" t="s">
        <v>80</v>
      </c>
      <c r="C22" s="1041">
        <f ca="1">ROUND(SUM(C23:C25),0)</f>
        <v>621</v>
      </c>
      <c r="D22" s="227">
        <f ca="1">C26</f>
        <v>4.0000000000000002E-4</v>
      </c>
      <c r="E22" s="228" t="s">
        <v>99</v>
      </c>
      <c r="F22" s="229">
        <f ca="1">'数据-取费表'!B40</f>
        <v>0.03</v>
      </c>
      <c r="G22" s="1004" t="str">
        <f>IF('数据-取费表'!B22&lt;=1,"单利计息","复利计息")</f>
        <v>单利计息</v>
      </c>
    </row>
    <row r="23" spans="1:7" s="206" customFormat="1" ht="13.5" customHeight="1">
      <c r="A23" s="734" t="s">
        <v>349</v>
      </c>
      <c r="B23" s="207" t="s">
        <v>423</v>
      </c>
      <c r="C23" s="1042">
        <f ca="1">ROUND(IF('数据-取费表'!B22&lt;=1,C5*F22*'数据-取费表'!B23,C5*(POWER((1+F22),'数据-取费表'!B23)-1)),0)</f>
        <v>618</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0</v>
      </c>
      <c r="D24" s="230"/>
      <c r="E24" s="230"/>
      <c r="F24" s="231"/>
      <c r="G24" s="232" t="s">
        <v>82</v>
      </c>
    </row>
    <row r="25" spans="1:7" s="206" customFormat="1" ht="24">
      <c r="A25" s="734" t="s">
        <v>348</v>
      </c>
      <c r="B25" s="207" t="s">
        <v>420</v>
      </c>
      <c r="C25" s="1042">
        <f ca="1">ROUND(IF('数据-取费表'!B22&lt;=1,C20*F22*'数据-取费表'!B23/2,C20*(POWER((1+F22),'数据-取费表'!B23/2)-1)),0)</f>
        <v>3</v>
      </c>
      <c r="D25" s="230"/>
      <c r="E25" s="233"/>
      <c r="F25" s="231"/>
      <c r="G25" s="234" t="s">
        <v>83</v>
      </c>
    </row>
    <row r="26" spans="1:7" s="206" customFormat="1">
      <c r="A26" s="734" t="s">
        <v>350</v>
      </c>
      <c r="B26" s="207" t="s">
        <v>422</v>
      </c>
      <c r="C26" s="230">
        <f ca="1">ROUND(IF('数据-取费表'!B22&lt;=1,F21*F22*'数据-取费表'!B23/2,F21*(POWER((1+F22),'数据-取费表'!B23/2)-1)),4)</f>
        <v>4.0000000000000002E-4</v>
      </c>
      <c r="D26" s="230"/>
      <c r="E26" s="233"/>
      <c r="F26" s="231"/>
      <c r="G26" s="235"/>
    </row>
    <row r="27" spans="1:7" s="206" customFormat="1" ht="24.75">
      <c r="A27" s="731" t="s">
        <v>342</v>
      </c>
      <c r="B27" s="236" t="s">
        <v>85</v>
      </c>
      <c r="C27" s="237">
        <f>C28</f>
        <v>4791</v>
      </c>
      <c r="D27" s="227">
        <f>C29</f>
        <v>6.4000000000000003E-3</v>
      </c>
      <c r="E27" s="228" t="s">
        <v>99</v>
      </c>
      <c r="F27" s="238">
        <f>'数据-取费表'!Q16</f>
        <v>0.23</v>
      </c>
      <c r="G27" s="239" t="s">
        <v>431</v>
      </c>
    </row>
    <row r="28" spans="1:7" s="206" customFormat="1" ht="13.5" customHeight="1">
      <c r="A28" s="734" t="s">
        <v>349</v>
      </c>
      <c r="B28" s="240" t="s">
        <v>424</v>
      </c>
      <c r="C28" s="241">
        <f>ROUND((C5+C19+C20)*F27*'数据-取费表'!B21/'数据-取费表'!B20,0)</f>
        <v>4791</v>
      </c>
      <c r="D28" s="227"/>
      <c r="E28" s="228"/>
      <c r="F28" s="238"/>
      <c r="G28" s="239"/>
    </row>
    <row r="29" spans="1:7" s="206" customFormat="1" ht="13.5" customHeight="1">
      <c r="A29" s="734" t="s">
        <v>347</v>
      </c>
      <c r="B29" s="240" t="s">
        <v>425</v>
      </c>
      <c r="C29" s="230">
        <f>ROUND(C21*F27*'数据-取费表'!B21/'数据-取费表'!B20,4)</f>
        <v>6.4000000000000003E-3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28777</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156</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130</v>
      </c>
      <c r="D34" s="209"/>
      <c r="E34" s="212"/>
      <c r="F34" s="249">
        <f>IF('数据-取费表'!B24=0,1,'数据-取费表'!N16)</f>
        <v>1</v>
      </c>
      <c r="G34" s="211" t="s">
        <v>89</v>
      </c>
    </row>
    <row r="35" spans="1:7" ht="13.5" customHeight="1">
      <c r="A35" s="734" t="s">
        <v>351</v>
      </c>
      <c r="B35" s="207" t="s">
        <v>33</v>
      </c>
      <c r="C35" s="212">
        <f>ROUND(C34*F35,0)</f>
        <v>7</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7</v>
      </c>
      <c r="D36" s="212"/>
      <c r="E36" s="212"/>
      <c r="F36" s="251">
        <f>'数据-取费表'!B34</f>
        <v>0.05</v>
      </c>
      <c r="G36" s="252" t="s">
        <v>35</v>
      </c>
    </row>
    <row r="37" spans="1:7" s="250" customFormat="1" ht="13.5" customHeight="1">
      <c r="A37" s="734" t="s">
        <v>353</v>
      </c>
      <c r="B37" s="207" t="s">
        <v>91</v>
      </c>
      <c r="C37" s="241">
        <f>ROUND(E37*D37*F34/10000,0)</f>
        <v>9</v>
      </c>
      <c r="D37" s="209">
        <f>'数据-汇总表'!E3</f>
        <v>449.18</v>
      </c>
      <c r="E37" s="241">
        <f>'数据-取费表'!B35</f>
        <v>200</v>
      </c>
      <c r="F37" s="251"/>
      <c r="G37" s="253" t="s">
        <v>92</v>
      </c>
    </row>
    <row r="38" spans="1:7" ht="13.5" customHeight="1">
      <c r="A38" s="734" t="s">
        <v>354</v>
      </c>
      <c r="B38" s="207" t="s">
        <v>36</v>
      </c>
      <c r="C38" s="212">
        <f>ROUND(C34*F38,0)</f>
        <v>3</v>
      </c>
      <c r="D38" s="212"/>
      <c r="E38" s="212"/>
      <c r="F38" s="251">
        <f>'数据-取费表'!B36</f>
        <v>0.02</v>
      </c>
      <c r="G38" s="211" t="s">
        <v>90</v>
      </c>
    </row>
    <row r="39" spans="1:7" s="206" customFormat="1" ht="13.5" customHeight="1">
      <c r="A39" s="731" t="s">
        <v>338</v>
      </c>
      <c r="B39" s="202" t="s">
        <v>77</v>
      </c>
      <c r="C39" s="224">
        <f>ROUND(C33*F20,0)</f>
        <v>2</v>
      </c>
      <c r="D39" s="224"/>
      <c r="E39" s="224"/>
      <c r="F39" s="225"/>
      <c r="G39" s="1004" t="s">
        <v>433</v>
      </c>
    </row>
    <row r="40" spans="1:7" s="206" customFormat="1" ht="13.5" customHeight="1">
      <c r="A40" s="731" t="s">
        <v>339</v>
      </c>
      <c r="B40" s="202" t="s">
        <v>78</v>
      </c>
      <c r="C40" s="254">
        <f>F21</f>
        <v>2.8000000000000001E-2</v>
      </c>
      <c r="D40" s="228" t="s">
        <v>102</v>
      </c>
      <c r="E40" s="224"/>
      <c r="F40" s="225"/>
      <c r="G40" s="226" t="s">
        <v>93</v>
      </c>
    </row>
    <row r="41" spans="1:7" s="206" customFormat="1" ht="13.5" customHeight="1">
      <c r="A41" s="731" t="s">
        <v>340</v>
      </c>
      <c r="B41" s="202" t="s">
        <v>80</v>
      </c>
      <c r="C41" s="224">
        <f ca="1">ROUND(SUM(C42:C43),0)</f>
        <v>2</v>
      </c>
      <c r="D41" s="227">
        <f ca="1">C44</f>
        <v>4.0000000000000002E-4</v>
      </c>
      <c r="E41" s="228" t="s">
        <v>102</v>
      </c>
      <c r="F41" s="229"/>
      <c r="G41" s="1004" t="str">
        <f>IF('数据-取费表'!B22&lt;=1,"单利计息","复利计息")</f>
        <v>单利计息</v>
      </c>
    </row>
    <row r="42" spans="1:7" ht="13.5" customHeight="1">
      <c r="A42" s="734" t="s">
        <v>349</v>
      </c>
      <c r="B42" s="207" t="s">
        <v>423</v>
      </c>
      <c r="C42" s="230">
        <f ca="1">ROUND(IF('数据-取费表'!B22&lt;=1,C33*F22*'数据-取费表'!B21/2,C33*(POWER((1+F22),'数据-取费表'!B21/2)-1)),0)</f>
        <v>2</v>
      </c>
      <c r="D42" s="230"/>
      <c r="E42" s="230"/>
      <c r="F42" s="231"/>
      <c r="G42" s="3567" t="s">
        <v>94</v>
      </c>
    </row>
    <row r="43" spans="1:7" ht="13.5" customHeight="1">
      <c r="A43" s="734" t="s">
        <v>347</v>
      </c>
      <c r="B43" s="207" t="s">
        <v>426</v>
      </c>
      <c r="C43" s="230">
        <f ca="1">ROUND(IF('数据-取费表'!B22&lt;=1,C39*F22*'数据-取费表'!B21/2,C39*(POWER((1+F22),'数据-取费表'!B21/2)-1)),0)</f>
        <v>0</v>
      </c>
      <c r="D43" s="230"/>
      <c r="E43" s="230"/>
      <c r="F43" s="231"/>
      <c r="G43" s="3568"/>
    </row>
    <row r="44" spans="1:7" ht="13.5" customHeight="1">
      <c r="A44" s="734" t="s">
        <v>348</v>
      </c>
      <c r="B44" s="207" t="s">
        <v>428</v>
      </c>
      <c r="C44" s="230">
        <f ca="1">ROUND(IF('数据-取费表'!B22&lt;=1,C40*F22*'数据-取费表'!B21/2,C40*(POWER((1+F22),'数据-取费表'!B21/2)-1)),4)</f>
        <v>4.0000000000000002E-4</v>
      </c>
      <c r="D44" s="230"/>
      <c r="E44" s="230"/>
      <c r="F44" s="231"/>
      <c r="G44" s="3569"/>
    </row>
    <row r="45" spans="1:7" s="206" customFormat="1" ht="13.5" customHeight="1">
      <c r="A45" s="731" t="s">
        <v>341</v>
      </c>
      <c r="B45" s="236" t="s">
        <v>85</v>
      </c>
      <c r="C45" s="237">
        <f>C46</f>
        <v>36</v>
      </c>
      <c r="D45" s="227">
        <f>C47</f>
        <v>6.4000000000000003E-3</v>
      </c>
      <c r="E45" s="228" t="s">
        <v>102</v>
      </c>
      <c r="F45" s="238"/>
      <c r="G45" s="239" t="s">
        <v>434</v>
      </c>
    </row>
    <row r="46" spans="1:7" s="206" customFormat="1" ht="13.5" customHeight="1">
      <c r="A46" s="734" t="s">
        <v>349</v>
      </c>
      <c r="B46" s="240" t="s">
        <v>427</v>
      </c>
      <c r="C46" s="241">
        <f>ROUND((C33+C39)*F27,0)</f>
        <v>36</v>
      </c>
      <c r="D46" s="255"/>
      <c r="E46" s="228"/>
      <c r="F46" s="238"/>
      <c r="G46" s="239"/>
    </row>
    <row r="47" spans="1:7" s="206" customFormat="1" ht="13.5" customHeight="1">
      <c r="A47" s="734" t="s">
        <v>347</v>
      </c>
      <c r="B47" s="240" t="s">
        <v>429</v>
      </c>
      <c r="C47" s="230">
        <f>ROUND(C40*F27,4)</f>
        <v>6.4000000000000003E-3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215</v>
      </c>
      <c r="D49" s="224"/>
      <c r="E49" s="224"/>
      <c r="F49" s="256"/>
      <c r="G49" s="226" t="s">
        <v>435</v>
      </c>
    </row>
    <row r="50" spans="1:7" s="250" customFormat="1" ht="24">
      <c r="A50" s="731" t="s">
        <v>344</v>
      </c>
      <c r="B50" s="202" t="s">
        <v>97</v>
      </c>
      <c r="C50" s="224"/>
      <c r="D50" s="224"/>
      <c r="E50" s="224"/>
      <c r="F50" s="256">
        <f>IF('数据-取费表'!B24=0,'数据-取费表'!N16,1)</f>
        <v>1</v>
      </c>
      <c r="G50" s="239" t="s">
        <v>98</v>
      </c>
    </row>
    <row r="51" spans="1:7" ht="16.5" customHeight="1">
      <c r="A51" s="731" t="s">
        <v>345</v>
      </c>
      <c r="B51" s="202" t="s">
        <v>105</v>
      </c>
      <c r="C51" s="224">
        <f ca="1">ROUND(C49*F50,0)</f>
        <v>215</v>
      </c>
      <c r="D51" s="224"/>
      <c r="E51" s="224"/>
      <c r="F51" s="256"/>
      <c r="G51" s="226" t="s">
        <v>37</v>
      </c>
    </row>
    <row r="52" spans="1:7" s="200" customFormat="1" ht="16.5" thickBot="1">
      <c r="A52" s="257" t="s">
        <v>38</v>
      </c>
      <c r="B52" s="258"/>
      <c r="C52" s="259">
        <f ca="1">C31+C51</f>
        <v>28992</v>
      </c>
      <c r="D52" s="258"/>
      <c r="E52" s="258"/>
      <c r="F52" s="258"/>
      <c r="G52" s="260"/>
    </row>
    <row r="55" spans="1:7" ht="15">
      <c r="B55" s="262" t="s">
        <v>39</v>
      </c>
      <c r="C55" s="263"/>
    </row>
    <row r="56" spans="1:7">
      <c r="B56" s="265" t="s">
        <v>40</v>
      </c>
      <c r="C56" s="266">
        <f ca="1">ROUND(C51/C52,3)</f>
        <v>7.0000000000000001E-3</v>
      </c>
    </row>
    <row r="57" spans="1:7">
      <c r="B57" s="265" t="s">
        <v>41</v>
      </c>
      <c r="C57" s="267">
        <f ca="1">1-C56</f>
        <v>0.99299999999999999</v>
      </c>
    </row>
  </sheetData>
  <mergeCells count="1">
    <mergeCell ref="G42:G44"/>
  </mergeCells>
  <phoneticPr fontId="20" type="noConversion"/>
  <dataValidations count="2">
    <dataValidation type="list" allowBlank="1" showInputMessage="1" showErrorMessage="1" sqref="G19" xr:uid="{00000000-0002-0000-2B00-000000000000}">
      <formula1>"已包含在土地取得成本中,未包含在土地取得成本中"</formula1>
    </dataValidation>
    <dataValidation type="list" allowBlank="1" showInputMessage="1" showErrorMessage="1" sqref="G8" xr:uid="{00000000-0002-0000-2B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G384"/>
  <sheetViews>
    <sheetView workbookViewId="0">
      <selection sqref="A1:XFD1048576"/>
    </sheetView>
  </sheetViews>
  <sheetFormatPr defaultColWidth="8.875" defaultRowHeight="13.5"/>
  <cols>
    <col min="1" max="1" width="12.625" style="2968" customWidth="1"/>
    <col min="2" max="2" width="20" style="2968" customWidth="1"/>
    <col min="3" max="7" width="8.875" style="2968"/>
    <col min="8" max="16384" width="8.875" style="2814"/>
  </cols>
  <sheetData>
    <row r="1" spans="1:7">
      <c r="A1" s="3703" t="s">
        <v>3179</v>
      </c>
      <c r="B1" s="3703"/>
    </row>
    <row r="2" spans="1:7" ht="14.25" thickBot="1">
      <c r="A2" s="2969"/>
      <c r="B2" s="2969"/>
    </row>
    <row r="3" spans="1:7" ht="14.25" thickBot="1">
      <c r="A3" s="2969"/>
      <c r="B3" s="2969"/>
      <c r="C3" s="2970" t="s">
        <v>2809</v>
      </c>
      <c r="D3" s="2970" t="s">
        <v>2865</v>
      </c>
      <c r="E3" s="2970" t="s">
        <v>2811</v>
      </c>
      <c r="F3" s="2970" t="s">
        <v>2866</v>
      </c>
      <c r="G3" s="2970" t="s">
        <v>2629</v>
      </c>
    </row>
    <row r="4" spans="1:7" ht="14.25" thickBot="1">
      <c r="A4" s="2971" t="s">
        <v>2864</v>
      </c>
      <c r="B4" s="2972" t="s">
        <v>2870</v>
      </c>
      <c r="C4" s="2970"/>
      <c r="D4" s="2970"/>
      <c r="E4" s="2970"/>
      <c r="F4" s="2970"/>
      <c r="G4" s="2970"/>
    </row>
    <row r="5" spans="1:7">
      <c r="A5" s="2973" t="s">
        <v>2838</v>
      </c>
      <c r="B5" s="2974" t="s">
        <v>2852</v>
      </c>
      <c r="C5" s="2975">
        <v>9.8000000000000004E-2</v>
      </c>
      <c r="D5" s="2975">
        <v>8.6999999999999994E-2</v>
      </c>
      <c r="E5" s="2975">
        <v>8.6999999999999994E-2</v>
      </c>
      <c r="F5" s="2975">
        <v>9.8000000000000004E-2</v>
      </c>
      <c r="G5" s="2976">
        <v>9.5000000000000001E-2</v>
      </c>
    </row>
    <row r="6" spans="1:7">
      <c r="A6" s="2977" t="s">
        <v>144</v>
      </c>
      <c r="B6" s="2978" t="s">
        <v>2867</v>
      </c>
      <c r="C6" s="2979">
        <v>9.8000000000000004E-2</v>
      </c>
      <c r="D6" s="2979">
        <v>9.8000000000000004E-2</v>
      </c>
      <c r="E6" s="2979">
        <v>9.8000000000000004E-2</v>
      </c>
      <c r="F6" s="2979">
        <v>0.1</v>
      </c>
      <c r="G6" s="2980">
        <v>9.9000000000000005E-2</v>
      </c>
    </row>
    <row r="7" spans="1:7">
      <c r="A7" s="2977" t="s">
        <v>144</v>
      </c>
      <c r="B7" s="2978" t="s">
        <v>137</v>
      </c>
      <c r="C7" s="2979">
        <v>9.7000000000000003E-2</v>
      </c>
      <c r="D7" s="2979">
        <v>9.7000000000000003E-2</v>
      </c>
      <c r="E7" s="2979">
        <v>9.6000000000000002E-2</v>
      </c>
      <c r="F7" s="2979">
        <v>0.1</v>
      </c>
      <c r="G7" s="2980">
        <v>9.8000000000000004E-2</v>
      </c>
    </row>
    <row r="8" spans="1:7">
      <c r="A8" s="2977" t="s">
        <v>144</v>
      </c>
      <c r="B8" s="2978" t="s">
        <v>145</v>
      </c>
      <c r="C8" s="2979">
        <v>8.1000000000000003E-2</v>
      </c>
      <c r="D8" s="2979">
        <v>8.2000000000000003E-2</v>
      </c>
      <c r="E8" s="2979">
        <v>7.0000000000000007E-2</v>
      </c>
      <c r="F8" s="2979">
        <v>9.6000000000000002E-2</v>
      </c>
      <c r="G8" s="2980">
        <v>8.8999999999999996E-2</v>
      </c>
    </row>
    <row r="9" spans="1:7" ht="14.25" thickBot="1">
      <c r="A9" s="2981" t="s">
        <v>144</v>
      </c>
      <c r="B9" s="2982" t="s">
        <v>154</v>
      </c>
      <c r="C9" s="2983">
        <v>0.1</v>
      </c>
      <c r="D9" s="2983">
        <v>0.1</v>
      </c>
      <c r="E9" s="2983">
        <v>0.1</v>
      </c>
      <c r="F9" s="2984"/>
      <c r="G9" s="2985">
        <v>0.1</v>
      </c>
    </row>
    <row r="10" spans="1:7">
      <c r="A10" s="2973" t="s">
        <v>184</v>
      </c>
      <c r="B10" s="2974" t="s">
        <v>2853</v>
      </c>
      <c r="C10" s="2975">
        <v>6.7000000000000004E-2</v>
      </c>
      <c r="D10" s="2975">
        <v>7.9000000000000001E-2</v>
      </c>
      <c r="E10" s="2975">
        <v>7.9000000000000001E-2</v>
      </c>
      <c r="F10" s="2975">
        <v>0.1</v>
      </c>
      <c r="G10" s="2976">
        <v>9.0999999999999998E-2</v>
      </c>
    </row>
    <row r="11" spans="1:7">
      <c r="A11" s="2977" t="s">
        <v>184</v>
      </c>
      <c r="B11" s="2978" t="s">
        <v>128</v>
      </c>
      <c r="C11" s="2979">
        <v>0.05</v>
      </c>
      <c r="D11" s="2979">
        <v>5.2999999999999999E-2</v>
      </c>
      <c r="E11" s="2979">
        <v>6.3E-2</v>
      </c>
      <c r="F11" s="2979">
        <v>0.1</v>
      </c>
      <c r="G11" s="2980">
        <v>7.1999999999999995E-2</v>
      </c>
    </row>
    <row r="12" spans="1:7">
      <c r="A12" s="2977" t="s">
        <v>184</v>
      </c>
      <c r="B12" s="2978" t="s">
        <v>111</v>
      </c>
      <c r="C12" s="2979">
        <v>5.2999999999999999E-2</v>
      </c>
      <c r="D12" s="2979">
        <v>0.09</v>
      </c>
      <c r="E12" s="2979">
        <v>7.1999999999999995E-2</v>
      </c>
      <c r="F12" s="2979">
        <v>0.1</v>
      </c>
      <c r="G12" s="2980">
        <v>9.7000000000000003E-2</v>
      </c>
    </row>
    <row r="13" spans="1:7">
      <c r="A13" s="2977" t="s">
        <v>184</v>
      </c>
      <c r="B13" s="2978" t="s">
        <v>146</v>
      </c>
      <c r="C13" s="2979">
        <v>9.7000000000000003E-2</v>
      </c>
      <c r="D13" s="2979">
        <v>9.1999999999999998E-2</v>
      </c>
      <c r="E13" s="2979">
        <v>9.5000000000000001E-2</v>
      </c>
      <c r="F13" s="2979">
        <v>0.1</v>
      </c>
      <c r="G13" s="2980">
        <v>9.7000000000000003E-2</v>
      </c>
    </row>
    <row r="14" spans="1:7">
      <c r="A14" s="2977" t="s">
        <v>184</v>
      </c>
      <c r="B14" s="2978" t="s">
        <v>155</v>
      </c>
      <c r="C14" s="2979">
        <v>9.7000000000000003E-2</v>
      </c>
      <c r="D14" s="2979">
        <v>9.7000000000000003E-2</v>
      </c>
      <c r="E14" s="2979">
        <v>9.7000000000000003E-2</v>
      </c>
      <c r="F14" s="2979">
        <v>0.1</v>
      </c>
      <c r="G14" s="2980">
        <v>9.8000000000000004E-2</v>
      </c>
    </row>
    <row r="15" spans="1:7">
      <c r="A15" s="2977" t="s">
        <v>184</v>
      </c>
      <c r="B15" s="2978" t="s">
        <v>162</v>
      </c>
      <c r="C15" s="2979">
        <v>9.8000000000000004E-2</v>
      </c>
      <c r="D15" s="2979">
        <v>9.0999999999999998E-2</v>
      </c>
      <c r="E15" s="2979">
        <v>0.06</v>
      </c>
      <c r="F15" s="2979">
        <v>0.1</v>
      </c>
      <c r="G15" s="2980">
        <v>9.7000000000000003E-2</v>
      </c>
    </row>
    <row r="16" spans="1:7">
      <c r="A16" s="2977" t="s">
        <v>184</v>
      </c>
      <c r="B16" s="2978" t="s">
        <v>168</v>
      </c>
      <c r="C16" s="2979">
        <v>9.8000000000000004E-2</v>
      </c>
      <c r="D16" s="2979">
        <v>9.7000000000000003E-2</v>
      </c>
      <c r="E16" s="2979">
        <v>9.5000000000000001E-2</v>
      </c>
      <c r="F16" s="2979">
        <v>0.1</v>
      </c>
      <c r="G16" s="2980">
        <v>9.9000000000000005E-2</v>
      </c>
    </row>
    <row r="17" spans="1:7">
      <c r="A17" s="2977" t="s">
        <v>184</v>
      </c>
      <c r="B17" s="2978" t="s">
        <v>175</v>
      </c>
      <c r="C17" s="2979">
        <v>8.8999999999999996E-2</v>
      </c>
      <c r="D17" s="2979">
        <v>9.1999999999999998E-2</v>
      </c>
      <c r="E17" s="2979">
        <v>6.0999999999999999E-2</v>
      </c>
      <c r="F17" s="2979">
        <v>0.1</v>
      </c>
      <c r="G17" s="2980">
        <v>9.7000000000000003E-2</v>
      </c>
    </row>
    <row r="18" spans="1:7">
      <c r="A18" s="2977" t="s">
        <v>184</v>
      </c>
      <c r="B18" s="2978" t="s">
        <v>185</v>
      </c>
      <c r="C18" s="2979">
        <v>9.8000000000000004E-2</v>
      </c>
      <c r="D18" s="2979">
        <v>9.8000000000000004E-2</v>
      </c>
      <c r="E18" s="2979">
        <v>9.8000000000000004E-2</v>
      </c>
      <c r="F18" s="2986"/>
      <c r="G18" s="2980">
        <v>9.9000000000000005E-2</v>
      </c>
    </row>
    <row r="19" spans="1:7">
      <c r="A19" s="2977" t="s">
        <v>184</v>
      </c>
      <c r="B19" s="2978" t="s">
        <v>194</v>
      </c>
      <c r="C19" s="2979">
        <v>9.9000000000000005E-2</v>
      </c>
      <c r="D19" s="2979">
        <v>7.3999999999999996E-2</v>
      </c>
      <c r="E19" s="2979">
        <v>8.1000000000000003E-2</v>
      </c>
      <c r="F19" s="2986"/>
      <c r="G19" s="2980">
        <v>9.2999999999999999E-2</v>
      </c>
    </row>
    <row r="20" spans="1:7">
      <c r="A20" s="2977" t="s">
        <v>184</v>
      </c>
      <c r="B20" s="2978" t="s">
        <v>201</v>
      </c>
      <c r="C20" s="2979">
        <v>0.1</v>
      </c>
      <c r="D20" s="2979">
        <v>8.8999999999999996E-2</v>
      </c>
      <c r="E20" s="2979">
        <v>8.8999999999999996E-2</v>
      </c>
      <c r="F20" s="2986"/>
      <c r="G20" s="2980">
        <v>9.5000000000000001E-2</v>
      </c>
    </row>
    <row r="21" spans="1:7">
      <c r="A21" s="2977" t="s">
        <v>184</v>
      </c>
      <c r="B21" s="2978" t="s">
        <v>208</v>
      </c>
      <c r="C21" s="2979">
        <v>0.1</v>
      </c>
      <c r="D21" s="2979">
        <v>9.0999999999999998E-2</v>
      </c>
      <c r="E21" s="2979">
        <v>8.2000000000000003E-2</v>
      </c>
      <c r="F21" s="2986"/>
      <c r="G21" s="2980">
        <v>9.7000000000000003E-2</v>
      </c>
    </row>
    <row r="22" spans="1:7">
      <c r="A22" s="2977" t="s">
        <v>184</v>
      </c>
      <c r="B22" s="2978" t="s">
        <v>2903</v>
      </c>
      <c r="C22" s="2979">
        <v>9.5000000000000001E-2</v>
      </c>
      <c r="D22" s="2979">
        <v>9.9000000000000005E-2</v>
      </c>
      <c r="E22" s="2979">
        <v>9.8000000000000004E-2</v>
      </c>
      <c r="F22" s="2986"/>
      <c r="G22" s="2980">
        <v>0.1</v>
      </c>
    </row>
    <row r="23" spans="1:7">
      <c r="A23" s="2977" t="s">
        <v>184</v>
      </c>
      <c r="B23" s="2978" t="s">
        <v>222</v>
      </c>
      <c r="C23" s="2979">
        <v>9.9000000000000005E-2</v>
      </c>
      <c r="D23" s="2979">
        <v>0.1</v>
      </c>
      <c r="E23" s="2979">
        <v>0.1</v>
      </c>
      <c r="F23" s="2986"/>
      <c r="G23" s="2980">
        <v>0.1</v>
      </c>
    </row>
    <row r="24" spans="1:7">
      <c r="A24" s="2977" t="s">
        <v>184</v>
      </c>
      <c r="B24" s="2978" t="s">
        <v>230</v>
      </c>
      <c r="C24" s="2979">
        <v>9.5000000000000001E-2</v>
      </c>
      <c r="D24" s="2979">
        <v>0.1</v>
      </c>
      <c r="E24" s="2979">
        <v>9.8000000000000004E-2</v>
      </c>
      <c r="F24" s="2986"/>
      <c r="G24" s="2980">
        <v>0.1</v>
      </c>
    </row>
    <row r="25" spans="1:7">
      <c r="A25" s="2977" t="s">
        <v>184</v>
      </c>
      <c r="B25" s="2978" t="s">
        <v>235</v>
      </c>
      <c r="C25" s="2979">
        <v>0.05</v>
      </c>
      <c r="D25" s="2979">
        <v>9.6000000000000002E-2</v>
      </c>
      <c r="E25" s="2979">
        <v>9.6000000000000002E-2</v>
      </c>
      <c r="F25" s="2986"/>
      <c r="G25" s="2980">
        <v>9.6000000000000002E-2</v>
      </c>
    </row>
    <row r="26" spans="1:7">
      <c r="A26" s="2977" t="s">
        <v>184</v>
      </c>
      <c r="B26" s="2978" t="s">
        <v>244</v>
      </c>
      <c r="C26" s="2979">
        <v>6.3E-2</v>
      </c>
      <c r="D26" s="2979">
        <v>9.9000000000000005E-2</v>
      </c>
      <c r="E26" s="2979">
        <v>9.8000000000000004E-2</v>
      </c>
      <c r="F26" s="2986"/>
      <c r="G26" s="2980">
        <v>0.1</v>
      </c>
    </row>
    <row r="27" spans="1:7">
      <c r="A27" s="2977" t="s">
        <v>184</v>
      </c>
      <c r="B27" s="2978" t="s">
        <v>251</v>
      </c>
      <c r="C27" s="2979">
        <v>5.1999999999999998E-2</v>
      </c>
      <c r="D27" s="2979">
        <v>9.5000000000000001E-2</v>
      </c>
      <c r="E27" s="2979">
        <v>6.4000000000000001E-2</v>
      </c>
      <c r="F27" s="2986"/>
      <c r="G27" s="2980">
        <v>9.7000000000000003E-2</v>
      </c>
    </row>
    <row r="28" spans="1:7">
      <c r="A28" s="2977" t="s">
        <v>184</v>
      </c>
      <c r="B28" s="2978" t="s">
        <v>259</v>
      </c>
      <c r="C28" s="2986"/>
      <c r="D28" s="2979">
        <v>6.3E-2</v>
      </c>
      <c r="E28" s="2979">
        <v>5.1999999999999998E-2</v>
      </c>
      <c r="F28" s="2986"/>
      <c r="G28" s="2980">
        <v>6.3E-2</v>
      </c>
    </row>
    <row r="29" spans="1:7" ht="14.25" thickBot="1">
      <c r="A29" s="2981" t="s">
        <v>184</v>
      </c>
      <c r="B29" s="2982" t="s">
        <v>2921</v>
      </c>
      <c r="C29" s="2987"/>
      <c r="D29" s="2983">
        <v>5.1999999999999998E-2</v>
      </c>
      <c r="E29" s="2983">
        <v>7.0000000000000007E-2</v>
      </c>
      <c r="F29" s="2987"/>
      <c r="G29" s="2985">
        <v>7.0999999999999994E-2</v>
      </c>
    </row>
    <row r="30" spans="1:7">
      <c r="A30" s="2988" t="s">
        <v>296</v>
      </c>
      <c r="B30" s="2974" t="s">
        <v>2854</v>
      </c>
      <c r="C30" s="2975">
        <v>6.6000000000000003E-2</v>
      </c>
      <c r="D30" s="2975">
        <v>6.6000000000000003E-2</v>
      </c>
      <c r="E30" s="2975">
        <v>5.7000000000000002E-2</v>
      </c>
      <c r="F30" s="2975">
        <v>0.1</v>
      </c>
      <c r="G30" s="2976">
        <v>6.8000000000000005E-2</v>
      </c>
    </row>
    <row r="31" spans="1:7">
      <c r="A31" s="2989" t="s">
        <v>296</v>
      </c>
      <c r="B31" s="2978" t="s">
        <v>129</v>
      </c>
      <c r="C31" s="2979">
        <v>5.5E-2</v>
      </c>
      <c r="D31" s="2979">
        <v>8.2000000000000003E-2</v>
      </c>
      <c r="E31" s="2979">
        <v>6.4000000000000001E-2</v>
      </c>
      <c r="F31" s="2979">
        <v>0.1</v>
      </c>
      <c r="G31" s="2980">
        <v>9.5000000000000001E-2</v>
      </c>
    </row>
    <row r="32" spans="1:7">
      <c r="A32" s="2989" t="s">
        <v>296</v>
      </c>
      <c r="B32" s="2978" t="s">
        <v>138</v>
      </c>
      <c r="C32" s="2979">
        <v>8.2000000000000003E-2</v>
      </c>
      <c r="D32" s="2979">
        <v>8.6999999999999994E-2</v>
      </c>
      <c r="E32" s="2979">
        <v>9.5000000000000001E-2</v>
      </c>
      <c r="F32" s="2979">
        <v>0.1</v>
      </c>
      <c r="G32" s="2980">
        <v>9.6000000000000002E-2</v>
      </c>
    </row>
    <row r="33" spans="1:7">
      <c r="A33" s="2989" t="s">
        <v>296</v>
      </c>
      <c r="B33" s="2978" t="s">
        <v>147</v>
      </c>
      <c r="C33" s="2979">
        <v>9.9000000000000005E-2</v>
      </c>
      <c r="D33" s="2979">
        <v>9.1999999999999998E-2</v>
      </c>
      <c r="E33" s="2979">
        <v>8.6999999999999994E-2</v>
      </c>
      <c r="F33" s="2979">
        <v>0.1</v>
      </c>
      <c r="G33" s="2980">
        <v>9.7000000000000003E-2</v>
      </c>
    </row>
    <row r="34" spans="1:7">
      <c r="A34" s="2989" t="s">
        <v>296</v>
      </c>
      <c r="B34" s="2978" t="s">
        <v>156</v>
      </c>
      <c r="C34" s="2979">
        <v>8.4000000000000005E-2</v>
      </c>
      <c r="D34" s="2979">
        <v>9.7000000000000003E-2</v>
      </c>
      <c r="E34" s="2979">
        <v>7.0999999999999994E-2</v>
      </c>
      <c r="F34" s="2979">
        <v>0.1</v>
      </c>
      <c r="G34" s="2980">
        <v>9.8000000000000004E-2</v>
      </c>
    </row>
    <row r="35" spans="1:7">
      <c r="A35" s="2989" t="s">
        <v>296</v>
      </c>
      <c r="B35" s="2978" t="s">
        <v>163</v>
      </c>
      <c r="C35" s="2979">
        <v>8.3000000000000004E-2</v>
      </c>
      <c r="D35" s="2979">
        <v>9.7000000000000003E-2</v>
      </c>
      <c r="E35" s="2979">
        <v>6.0999999999999999E-2</v>
      </c>
      <c r="F35" s="2979">
        <v>0.1</v>
      </c>
      <c r="G35" s="2980">
        <v>9.9000000000000005E-2</v>
      </c>
    </row>
    <row r="36" spans="1:7">
      <c r="A36" s="2989" t="s">
        <v>296</v>
      </c>
      <c r="B36" s="2978" t="s">
        <v>169</v>
      </c>
      <c r="C36" s="2979">
        <v>9.7000000000000003E-2</v>
      </c>
      <c r="D36" s="2979">
        <v>9.7000000000000003E-2</v>
      </c>
      <c r="E36" s="2979">
        <v>7.8E-2</v>
      </c>
      <c r="F36" s="2979">
        <v>0.1</v>
      </c>
      <c r="G36" s="2980">
        <v>9.9000000000000005E-2</v>
      </c>
    </row>
    <row r="37" spans="1:7">
      <c r="A37" s="2989" t="s">
        <v>296</v>
      </c>
      <c r="B37" s="2978" t="s">
        <v>176</v>
      </c>
      <c r="C37" s="2979">
        <v>9.7000000000000003E-2</v>
      </c>
      <c r="D37" s="2979">
        <v>9.5000000000000001E-2</v>
      </c>
      <c r="E37" s="2979">
        <v>7.8E-2</v>
      </c>
      <c r="F37" s="2979">
        <v>0.1</v>
      </c>
      <c r="G37" s="2980">
        <v>9.7000000000000003E-2</v>
      </c>
    </row>
    <row r="38" spans="1:7">
      <c r="A38" s="2989" t="s">
        <v>296</v>
      </c>
      <c r="B38" s="2978" t="s">
        <v>186</v>
      </c>
      <c r="C38" s="2979">
        <v>9.7000000000000003E-2</v>
      </c>
      <c r="D38" s="2979">
        <v>7.6999999999999999E-2</v>
      </c>
      <c r="E38" s="2979">
        <v>7.0000000000000007E-2</v>
      </c>
      <c r="F38" s="2979">
        <v>0.1</v>
      </c>
      <c r="G38" s="2980">
        <v>7.6999999999999999E-2</v>
      </c>
    </row>
    <row r="39" spans="1:7">
      <c r="A39" s="2989" t="s">
        <v>296</v>
      </c>
      <c r="B39" s="2978" t="s">
        <v>195</v>
      </c>
      <c r="C39" s="2979">
        <v>9.5000000000000001E-2</v>
      </c>
      <c r="D39" s="2979">
        <v>7.6999999999999999E-2</v>
      </c>
      <c r="E39" s="2979">
        <v>6.6000000000000003E-2</v>
      </c>
      <c r="F39" s="2979">
        <v>0.1</v>
      </c>
      <c r="G39" s="2980">
        <v>8.5999999999999993E-2</v>
      </c>
    </row>
    <row r="40" spans="1:7">
      <c r="A40" s="2989" t="s">
        <v>296</v>
      </c>
      <c r="B40" s="2978" t="s">
        <v>202</v>
      </c>
      <c r="C40" s="2979">
        <v>7.6999999999999999E-2</v>
      </c>
      <c r="D40" s="2979">
        <v>7.8E-2</v>
      </c>
      <c r="E40" s="2979">
        <v>8.2000000000000003E-2</v>
      </c>
      <c r="F40" s="2990"/>
      <c r="G40" s="2980">
        <v>7.8E-2</v>
      </c>
    </row>
    <row r="41" spans="1:7">
      <c r="A41" s="2989" t="s">
        <v>296</v>
      </c>
      <c r="B41" s="2978" t="s">
        <v>209</v>
      </c>
      <c r="C41" s="2979">
        <v>7.8E-2</v>
      </c>
      <c r="D41" s="2979">
        <v>7.8E-2</v>
      </c>
      <c r="E41" s="2979">
        <v>8.2000000000000003E-2</v>
      </c>
      <c r="F41" s="2990"/>
      <c r="G41" s="2980">
        <v>8.5999999999999993E-2</v>
      </c>
    </row>
    <row r="42" spans="1:7">
      <c r="A42" s="2989" t="s">
        <v>296</v>
      </c>
      <c r="B42" s="2978" t="s">
        <v>215</v>
      </c>
      <c r="C42" s="2979">
        <v>7.8E-2</v>
      </c>
      <c r="D42" s="2979">
        <v>9.6000000000000002E-2</v>
      </c>
      <c r="E42" s="2979">
        <v>7.1999999999999995E-2</v>
      </c>
      <c r="F42" s="2990"/>
      <c r="G42" s="2980">
        <v>9.8000000000000004E-2</v>
      </c>
    </row>
    <row r="43" spans="1:7">
      <c r="A43" s="2989" t="s">
        <v>2840</v>
      </c>
      <c r="B43" s="2978" t="s">
        <v>223</v>
      </c>
      <c r="C43" s="2979">
        <v>7.8E-2</v>
      </c>
      <c r="D43" s="2979">
        <v>9.9000000000000005E-2</v>
      </c>
      <c r="E43" s="2979">
        <v>9.6000000000000002E-2</v>
      </c>
      <c r="F43" s="2990"/>
      <c r="G43" s="2980">
        <v>0.1</v>
      </c>
    </row>
    <row r="44" spans="1:7">
      <c r="A44" s="2989" t="s">
        <v>296</v>
      </c>
      <c r="B44" s="2978" t="s">
        <v>231</v>
      </c>
      <c r="C44" s="2979">
        <v>9.6000000000000002E-2</v>
      </c>
      <c r="D44" s="2979">
        <v>0.1</v>
      </c>
      <c r="E44" s="2979">
        <v>9.8000000000000004E-2</v>
      </c>
      <c r="F44" s="2990"/>
      <c r="G44" s="2980">
        <v>0.1</v>
      </c>
    </row>
    <row r="45" spans="1:7">
      <c r="A45" s="2989" t="s">
        <v>296</v>
      </c>
      <c r="B45" s="2978" t="s">
        <v>236</v>
      </c>
      <c r="C45" s="2979">
        <v>9.9000000000000005E-2</v>
      </c>
      <c r="D45" s="2979">
        <v>9.8000000000000004E-2</v>
      </c>
      <c r="E45" s="2979">
        <v>9.5000000000000001E-2</v>
      </c>
      <c r="F45" s="2990"/>
      <c r="G45" s="2980">
        <v>9.8000000000000004E-2</v>
      </c>
    </row>
    <row r="46" spans="1:7">
      <c r="A46" s="2989" t="s">
        <v>296</v>
      </c>
      <c r="B46" s="2978" t="s">
        <v>245</v>
      </c>
      <c r="C46" s="2979">
        <v>0.1</v>
      </c>
      <c r="D46" s="2979">
        <v>9.9000000000000005E-2</v>
      </c>
      <c r="E46" s="2979">
        <v>9.6000000000000002E-2</v>
      </c>
      <c r="F46" s="2990"/>
      <c r="G46" s="2980">
        <v>0.1</v>
      </c>
    </row>
    <row r="47" spans="1:7">
      <c r="A47" s="2989" t="s">
        <v>296</v>
      </c>
      <c r="B47" s="2978" t="s">
        <v>252</v>
      </c>
      <c r="C47" s="2979">
        <v>9.8000000000000004E-2</v>
      </c>
      <c r="D47" s="2979">
        <v>8.6999999999999994E-2</v>
      </c>
      <c r="E47" s="2979">
        <v>5.8999999999999997E-2</v>
      </c>
      <c r="F47" s="2990"/>
      <c r="G47" s="2980">
        <v>9.6000000000000002E-2</v>
      </c>
    </row>
    <row r="48" spans="1:7">
      <c r="A48" s="2989" t="s">
        <v>296</v>
      </c>
      <c r="B48" s="2978" t="s">
        <v>260</v>
      </c>
      <c r="C48" s="2979">
        <v>9.9000000000000005E-2</v>
      </c>
      <c r="D48" s="2979">
        <v>9.8000000000000004E-2</v>
      </c>
      <c r="E48" s="2979">
        <v>9.5000000000000001E-2</v>
      </c>
      <c r="F48" s="2990"/>
      <c r="G48" s="2980">
        <v>9.8000000000000004E-2</v>
      </c>
    </row>
    <row r="49" spans="1:7">
      <c r="A49" s="2989" t="s">
        <v>296</v>
      </c>
      <c r="B49" s="2978" t="s">
        <v>267</v>
      </c>
      <c r="C49" s="2979">
        <v>8.7999999999999995E-2</v>
      </c>
      <c r="D49" s="2979">
        <v>9.9000000000000005E-2</v>
      </c>
      <c r="E49" s="2979">
        <v>7.0000000000000007E-2</v>
      </c>
      <c r="F49" s="2990"/>
      <c r="G49" s="2980">
        <v>0.1</v>
      </c>
    </row>
    <row r="50" spans="1:7">
      <c r="A50" s="2989" t="s">
        <v>296</v>
      </c>
      <c r="B50" s="2978" t="s">
        <v>2924</v>
      </c>
      <c r="C50" s="2979">
        <v>9.8000000000000004E-2</v>
      </c>
      <c r="D50" s="2979">
        <v>7.2999999999999995E-2</v>
      </c>
      <c r="E50" s="2979">
        <v>7.0999999999999994E-2</v>
      </c>
      <c r="F50" s="2990"/>
      <c r="G50" s="2980">
        <v>7.2999999999999995E-2</v>
      </c>
    </row>
    <row r="51" spans="1:7">
      <c r="A51" s="2989" t="s">
        <v>296</v>
      </c>
      <c r="B51" s="2978" t="s">
        <v>2926</v>
      </c>
      <c r="C51" s="2979">
        <v>9.9000000000000005E-2</v>
      </c>
      <c r="D51" s="2979">
        <v>8.5000000000000006E-2</v>
      </c>
      <c r="E51" s="2979">
        <v>6.3E-2</v>
      </c>
      <c r="F51" s="2990"/>
      <c r="G51" s="2980">
        <v>9.6000000000000002E-2</v>
      </c>
    </row>
    <row r="52" spans="1:7">
      <c r="A52" s="2989" t="s">
        <v>296</v>
      </c>
      <c r="B52" s="2978" t="s">
        <v>2930</v>
      </c>
      <c r="C52" s="2979">
        <v>7.3999999999999996E-2</v>
      </c>
      <c r="D52" s="2979">
        <v>9.6000000000000002E-2</v>
      </c>
      <c r="E52" s="2979">
        <v>0.05</v>
      </c>
      <c r="F52" s="2990"/>
      <c r="G52" s="2980">
        <v>9.8000000000000004E-2</v>
      </c>
    </row>
    <row r="53" spans="1:7">
      <c r="A53" s="2989" t="s">
        <v>296</v>
      </c>
      <c r="B53" s="2978" t="s">
        <v>2935</v>
      </c>
      <c r="C53" s="2979">
        <v>8.5999999999999993E-2</v>
      </c>
      <c r="D53" s="2990"/>
      <c r="E53" s="2979">
        <v>9.1999999999999998E-2</v>
      </c>
      <c r="F53" s="2990"/>
      <c r="G53" s="2991"/>
    </row>
    <row r="54" spans="1:7" ht="14.25" thickBot="1">
      <c r="A54" s="2992" t="s">
        <v>296</v>
      </c>
      <c r="B54" s="2982" t="s">
        <v>2938</v>
      </c>
      <c r="C54" s="2983">
        <v>9.6000000000000002E-2</v>
      </c>
      <c r="D54" s="2984"/>
      <c r="E54" s="2993"/>
      <c r="F54" s="2984"/>
      <c r="G54" s="2994"/>
    </row>
    <row r="55" spans="1:7">
      <c r="A55" s="2988" t="s">
        <v>110</v>
      </c>
      <c r="B55" s="2974" t="s">
        <v>2855</v>
      </c>
      <c r="C55" s="2975">
        <v>9.6000000000000002E-2</v>
      </c>
      <c r="D55" s="2975">
        <v>8.4000000000000005E-2</v>
      </c>
      <c r="E55" s="2975">
        <v>9.1999999999999998E-2</v>
      </c>
      <c r="F55" s="2975">
        <v>0.1</v>
      </c>
      <c r="G55" s="2976">
        <v>9.5000000000000001E-2</v>
      </c>
    </row>
    <row r="56" spans="1:7">
      <c r="A56" s="2989" t="s">
        <v>110</v>
      </c>
      <c r="B56" s="2978" t="s">
        <v>130</v>
      </c>
      <c r="C56" s="2979">
        <v>8.4000000000000005E-2</v>
      </c>
      <c r="D56" s="2979">
        <v>9.1999999999999998E-2</v>
      </c>
      <c r="E56" s="2979">
        <v>9.5000000000000001E-2</v>
      </c>
      <c r="F56" s="2979">
        <v>9.1999999999999998E-2</v>
      </c>
      <c r="G56" s="2980">
        <v>9.6000000000000002E-2</v>
      </c>
    </row>
    <row r="57" spans="1:7">
      <c r="A57" s="2989" t="s">
        <v>110</v>
      </c>
      <c r="B57" s="2978" t="s">
        <v>139</v>
      </c>
      <c r="C57" s="2979">
        <v>9.9000000000000005E-2</v>
      </c>
      <c r="D57" s="2979">
        <v>9.6000000000000002E-2</v>
      </c>
      <c r="E57" s="2979">
        <v>9.1999999999999998E-2</v>
      </c>
      <c r="F57" s="2979">
        <v>0.1</v>
      </c>
      <c r="G57" s="2980">
        <v>9.8000000000000004E-2</v>
      </c>
    </row>
    <row r="58" spans="1:7">
      <c r="A58" s="2989" t="s">
        <v>110</v>
      </c>
      <c r="B58" s="2978" t="s">
        <v>148</v>
      </c>
      <c r="C58" s="2979">
        <v>9.8000000000000004E-2</v>
      </c>
      <c r="D58" s="2979">
        <v>9.5000000000000001E-2</v>
      </c>
      <c r="E58" s="2979">
        <v>5.7000000000000002E-2</v>
      </c>
      <c r="F58" s="2979">
        <v>0.1</v>
      </c>
      <c r="G58" s="2980">
        <v>9.6000000000000002E-2</v>
      </c>
    </row>
    <row r="59" spans="1:7">
      <c r="A59" s="2989" t="s">
        <v>110</v>
      </c>
      <c r="B59" s="2978" t="s">
        <v>157</v>
      </c>
      <c r="C59" s="2979">
        <v>9.5000000000000001E-2</v>
      </c>
      <c r="D59" s="2979">
        <v>0.1</v>
      </c>
      <c r="E59" s="2979">
        <v>7.4999999999999997E-2</v>
      </c>
      <c r="F59" s="2979">
        <v>0.1</v>
      </c>
      <c r="G59" s="2980">
        <v>0.1</v>
      </c>
    </row>
    <row r="60" spans="1:7">
      <c r="A60" s="2989" t="s">
        <v>110</v>
      </c>
      <c r="B60" s="2978" t="s">
        <v>164</v>
      </c>
      <c r="C60" s="2979">
        <v>0.1</v>
      </c>
      <c r="D60" s="2979">
        <v>9.7000000000000003E-2</v>
      </c>
      <c r="E60" s="2979">
        <v>0.1</v>
      </c>
      <c r="F60" s="2979">
        <v>0.1</v>
      </c>
      <c r="G60" s="2980">
        <v>9.7000000000000003E-2</v>
      </c>
    </row>
    <row r="61" spans="1:7">
      <c r="A61" s="2989" t="s">
        <v>110</v>
      </c>
      <c r="B61" s="2978" t="s">
        <v>170</v>
      </c>
      <c r="C61" s="2979">
        <v>9.7000000000000003E-2</v>
      </c>
      <c r="D61" s="2979">
        <v>0.1</v>
      </c>
      <c r="E61" s="2979">
        <v>9.2999999999999999E-2</v>
      </c>
      <c r="F61" s="2979">
        <v>0.1</v>
      </c>
      <c r="G61" s="2980">
        <v>0.1</v>
      </c>
    </row>
    <row r="62" spans="1:7">
      <c r="A62" s="2989" t="s">
        <v>110</v>
      </c>
      <c r="B62" s="2978" t="s">
        <v>177</v>
      </c>
      <c r="C62" s="2979">
        <v>0.1</v>
      </c>
      <c r="D62" s="2979">
        <v>9.7000000000000003E-2</v>
      </c>
      <c r="E62" s="2979">
        <v>8.8999999999999996E-2</v>
      </c>
      <c r="F62" s="2979">
        <v>0.1</v>
      </c>
      <c r="G62" s="2980">
        <v>9.8000000000000004E-2</v>
      </c>
    </row>
    <row r="63" spans="1:7">
      <c r="A63" s="2989" t="s">
        <v>110</v>
      </c>
      <c r="B63" s="2978" t="s">
        <v>187</v>
      </c>
      <c r="C63" s="2979">
        <v>9.7000000000000003E-2</v>
      </c>
      <c r="D63" s="2979">
        <v>9.7000000000000003E-2</v>
      </c>
      <c r="E63" s="2979">
        <v>9.9000000000000005E-2</v>
      </c>
      <c r="F63" s="2979">
        <v>0.1</v>
      </c>
      <c r="G63" s="2980">
        <v>9.7000000000000003E-2</v>
      </c>
    </row>
    <row r="64" spans="1:7">
      <c r="A64" s="2989" t="s">
        <v>110</v>
      </c>
      <c r="B64" s="2978" t="s">
        <v>196</v>
      </c>
      <c r="C64" s="2979">
        <v>9.7000000000000003E-2</v>
      </c>
      <c r="D64" s="2979">
        <v>7.3999999999999996E-2</v>
      </c>
      <c r="E64" s="2979">
        <v>7.8E-2</v>
      </c>
      <c r="F64" s="2979">
        <v>0.1</v>
      </c>
      <c r="G64" s="2980">
        <v>8.8999999999999996E-2</v>
      </c>
    </row>
    <row r="65" spans="1:7">
      <c r="A65" s="2989" t="s">
        <v>110</v>
      </c>
      <c r="B65" s="2978" t="s">
        <v>203</v>
      </c>
      <c r="C65" s="2979">
        <v>7.2999999999999995E-2</v>
      </c>
      <c r="D65" s="2979">
        <v>9.8000000000000004E-2</v>
      </c>
      <c r="E65" s="2979">
        <v>9.5000000000000001E-2</v>
      </c>
      <c r="F65" s="2979">
        <v>0.1</v>
      </c>
      <c r="G65" s="2980">
        <v>9.9000000000000005E-2</v>
      </c>
    </row>
    <row r="66" spans="1:7">
      <c r="A66" s="2989" t="s">
        <v>110</v>
      </c>
      <c r="B66" s="2978" t="s">
        <v>210</v>
      </c>
      <c r="C66" s="2979">
        <v>9.8000000000000004E-2</v>
      </c>
      <c r="D66" s="2979">
        <v>9.5000000000000001E-2</v>
      </c>
      <c r="E66" s="2979">
        <v>0.05</v>
      </c>
      <c r="F66" s="2979">
        <v>0.1</v>
      </c>
      <c r="G66" s="2980">
        <v>9.7000000000000003E-2</v>
      </c>
    </row>
    <row r="67" spans="1:7">
      <c r="A67" s="2989" t="s">
        <v>110</v>
      </c>
      <c r="B67" s="2978" t="s">
        <v>216</v>
      </c>
      <c r="C67" s="2979">
        <v>9.5000000000000001E-2</v>
      </c>
      <c r="D67" s="2979">
        <v>9.7000000000000003E-2</v>
      </c>
      <c r="E67" s="2979">
        <v>9.7000000000000003E-2</v>
      </c>
      <c r="F67" s="2979">
        <v>0.1</v>
      </c>
      <c r="G67" s="2980">
        <v>9.9000000000000005E-2</v>
      </c>
    </row>
    <row r="68" spans="1:7">
      <c r="A68" s="2989" t="s">
        <v>110</v>
      </c>
      <c r="B68" s="2978" t="s">
        <v>224</v>
      </c>
      <c r="C68" s="2979">
        <v>9.7000000000000003E-2</v>
      </c>
      <c r="D68" s="2979">
        <v>6.8000000000000005E-2</v>
      </c>
      <c r="E68" s="2979">
        <v>6.6000000000000003E-2</v>
      </c>
      <c r="F68" s="2979">
        <v>0.1</v>
      </c>
      <c r="G68" s="2980">
        <v>8.4000000000000005E-2</v>
      </c>
    </row>
    <row r="69" spans="1:7">
      <c r="A69" s="2989" t="s">
        <v>110</v>
      </c>
      <c r="B69" s="2978" t="s">
        <v>232</v>
      </c>
      <c r="C69" s="2979">
        <v>6.8000000000000005E-2</v>
      </c>
      <c r="D69" s="2979">
        <v>9.8000000000000004E-2</v>
      </c>
      <c r="E69" s="2979">
        <v>9.5000000000000001E-2</v>
      </c>
      <c r="F69" s="2979">
        <v>0.1</v>
      </c>
      <c r="G69" s="2980">
        <v>0.1</v>
      </c>
    </row>
    <row r="70" spans="1:7">
      <c r="A70" s="2989" t="s">
        <v>110</v>
      </c>
      <c r="B70" s="2978" t="s">
        <v>237</v>
      </c>
      <c r="C70" s="2979">
        <v>9.8000000000000004E-2</v>
      </c>
      <c r="D70" s="2979">
        <v>8.8999999999999996E-2</v>
      </c>
      <c r="E70" s="2979">
        <v>5.8999999999999997E-2</v>
      </c>
      <c r="F70" s="2979">
        <v>0.1</v>
      </c>
      <c r="G70" s="2980">
        <v>9.6000000000000002E-2</v>
      </c>
    </row>
    <row r="71" spans="1:7">
      <c r="A71" s="2989" t="s">
        <v>110</v>
      </c>
      <c r="B71" s="2978" t="s">
        <v>246</v>
      </c>
      <c r="C71" s="2979">
        <v>8.8999999999999996E-2</v>
      </c>
      <c r="D71" s="2979">
        <v>9.9000000000000005E-2</v>
      </c>
      <c r="E71" s="2979">
        <v>9.6000000000000002E-2</v>
      </c>
      <c r="F71" s="2979">
        <v>0.1</v>
      </c>
      <c r="G71" s="2980">
        <v>0.1</v>
      </c>
    </row>
    <row r="72" spans="1:7">
      <c r="A72" s="2989" t="s">
        <v>110</v>
      </c>
      <c r="B72" s="2978" t="s">
        <v>253</v>
      </c>
      <c r="C72" s="2979">
        <v>9.9000000000000005E-2</v>
      </c>
      <c r="D72" s="2979">
        <v>0.1</v>
      </c>
      <c r="E72" s="2979">
        <v>7.0000000000000007E-2</v>
      </c>
      <c r="F72" s="2990"/>
      <c r="G72" s="2980">
        <v>0.1</v>
      </c>
    </row>
    <row r="73" spans="1:7">
      <c r="A73" s="2989" t="s">
        <v>110</v>
      </c>
      <c r="B73" s="2978" t="s">
        <v>261</v>
      </c>
      <c r="C73" s="2979">
        <v>0.1</v>
      </c>
      <c r="D73" s="2979">
        <v>0.1</v>
      </c>
      <c r="E73" s="2979">
        <v>9.6000000000000002E-2</v>
      </c>
      <c r="F73" s="2990"/>
      <c r="G73" s="2980">
        <v>0.1</v>
      </c>
    </row>
    <row r="74" spans="1:7">
      <c r="A74" s="2989" t="s">
        <v>110</v>
      </c>
      <c r="B74" s="2978" t="s">
        <v>268</v>
      </c>
      <c r="C74" s="2979">
        <v>0.1</v>
      </c>
      <c r="D74" s="2979">
        <v>0.1</v>
      </c>
      <c r="E74" s="2979">
        <v>9.8000000000000004E-2</v>
      </c>
      <c r="F74" s="2990"/>
      <c r="G74" s="2980">
        <v>0.1</v>
      </c>
    </row>
    <row r="75" spans="1:7">
      <c r="A75" s="2989" t="s">
        <v>110</v>
      </c>
      <c r="B75" s="2978" t="s">
        <v>272</v>
      </c>
      <c r="C75" s="2979">
        <v>0.1</v>
      </c>
      <c r="D75" s="2979">
        <v>9.9000000000000005E-2</v>
      </c>
      <c r="E75" s="2979">
        <v>9.8000000000000004E-2</v>
      </c>
      <c r="F75" s="2990"/>
      <c r="G75" s="2980">
        <v>0.1</v>
      </c>
    </row>
    <row r="76" spans="1:7">
      <c r="A76" s="2989" t="s">
        <v>110</v>
      </c>
      <c r="B76" s="2978" t="s">
        <v>278</v>
      </c>
      <c r="C76" s="2979">
        <v>9.9000000000000005E-2</v>
      </c>
      <c r="D76" s="2979">
        <v>0.1</v>
      </c>
      <c r="E76" s="2979">
        <v>9.7000000000000003E-2</v>
      </c>
      <c r="F76" s="2990"/>
      <c r="G76" s="2980">
        <v>0.1</v>
      </c>
    </row>
    <row r="77" spans="1:7">
      <c r="A77" s="2989" t="s">
        <v>110</v>
      </c>
      <c r="B77" s="2978" t="s">
        <v>281</v>
      </c>
      <c r="C77" s="2979">
        <v>0.1</v>
      </c>
      <c r="D77" s="2979">
        <v>0.1</v>
      </c>
      <c r="E77" s="2979">
        <v>9.6000000000000002E-2</v>
      </c>
      <c r="F77" s="2990"/>
      <c r="G77" s="2980">
        <v>0.1</v>
      </c>
    </row>
    <row r="78" spans="1:7">
      <c r="A78" s="2989" t="s">
        <v>110</v>
      </c>
      <c r="B78" s="2978" t="s">
        <v>2936</v>
      </c>
      <c r="C78" s="2979">
        <v>0.1</v>
      </c>
      <c r="D78" s="2979">
        <v>8.5000000000000006E-2</v>
      </c>
      <c r="E78" s="2979">
        <v>9.6000000000000002E-2</v>
      </c>
      <c r="F78" s="2990"/>
      <c r="G78" s="2980">
        <v>9.6000000000000002E-2</v>
      </c>
    </row>
    <row r="79" spans="1:7">
      <c r="A79" s="2989" t="s">
        <v>110</v>
      </c>
      <c r="B79" s="2978" t="s">
        <v>2939</v>
      </c>
      <c r="C79" s="2979">
        <v>0.05</v>
      </c>
      <c r="D79" s="2979">
        <v>9.6000000000000002E-2</v>
      </c>
      <c r="E79" s="2979">
        <v>9.5000000000000001E-2</v>
      </c>
      <c r="F79" s="2990"/>
      <c r="G79" s="2980">
        <v>9.8000000000000004E-2</v>
      </c>
    </row>
    <row r="80" spans="1:7">
      <c r="A80" s="2989" t="s">
        <v>110</v>
      </c>
      <c r="B80" s="2978" t="s">
        <v>2943</v>
      </c>
      <c r="C80" s="2979">
        <v>8.5999999999999993E-2</v>
      </c>
      <c r="D80" s="2995"/>
      <c r="E80" s="2979">
        <v>0.1</v>
      </c>
      <c r="F80" s="2990"/>
      <c r="G80" s="2991"/>
    </row>
    <row r="81" spans="1:7">
      <c r="A81" s="2989" t="s">
        <v>110</v>
      </c>
      <c r="B81" s="2978" t="s">
        <v>2948</v>
      </c>
      <c r="C81" s="2979">
        <v>9.6000000000000002E-2</v>
      </c>
      <c r="D81" s="2990"/>
      <c r="E81" s="2979">
        <v>9.8000000000000004E-2</v>
      </c>
      <c r="F81" s="2990"/>
      <c r="G81" s="2991"/>
    </row>
    <row r="82" spans="1:7">
      <c r="A82" s="2989" t="s">
        <v>110</v>
      </c>
      <c r="B82" s="2978" t="s">
        <v>2955</v>
      </c>
      <c r="C82" s="2995"/>
      <c r="D82" s="2990"/>
      <c r="E82" s="2979">
        <v>7.6999999999999999E-2</v>
      </c>
      <c r="F82" s="2990"/>
      <c r="G82" s="2991"/>
    </row>
    <row r="83" spans="1:7">
      <c r="A83" s="2989" t="s">
        <v>110</v>
      </c>
      <c r="B83" s="2978" t="s">
        <v>2961</v>
      </c>
      <c r="C83" s="2990"/>
      <c r="D83" s="2990"/>
      <c r="E83" s="2990"/>
      <c r="F83" s="2979">
        <v>0.1</v>
      </c>
      <c r="G83" s="2996"/>
    </row>
    <row r="84" spans="1:7">
      <c r="A84" s="2989" t="s">
        <v>110</v>
      </c>
      <c r="B84" s="2978" t="s">
        <v>2968</v>
      </c>
      <c r="C84" s="2990"/>
      <c r="D84" s="2990"/>
      <c r="E84" s="2990"/>
      <c r="F84" s="2979">
        <v>0.1</v>
      </c>
      <c r="G84" s="2996"/>
    </row>
    <row r="85" spans="1:7">
      <c r="A85" s="2989" t="s">
        <v>110</v>
      </c>
      <c r="B85" s="2978" t="s">
        <v>2975</v>
      </c>
      <c r="C85" s="2990"/>
      <c r="D85" s="2990"/>
      <c r="E85" s="2990"/>
      <c r="F85" s="2979">
        <v>0.1</v>
      </c>
      <c r="G85" s="2996"/>
    </row>
    <row r="86" spans="1:7" ht="14.25" thickBot="1">
      <c r="A86" s="2992" t="s">
        <v>110</v>
      </c>
      <c r="B86" s="2982" t="s">
        <v>2980</v>
      </c>
      <c r="C86" s="2983">
        <v>9.8000000000000004E-2</v>
      </c>
      <c r="D86" s="2983">
        <v>9.8000000000000004E-2</v>
      </c>
      <c r="E86" s="2983">
        <v>9.6000000000000002E-2</v>
      </c>
      <c r="F86" s="2993"/>
      <c r="G86" s="2985">
        <v>0.1</v>
      </c>
    </row>
    <row r="87" spans="1:7">
      <c r="A87" s="2988" t="s">
        <v>303</v>
      </c>
      <c r="B87" s="2974" t="s">
        <v>2856</v>
      </c>
      <c r="C87" s="2975">
        <v>0.1</v>
      </c>
      <c r="D87" s="2975">
        <v>0.1</v>
      </c>
      <c r="E87" s="2975">
        <v>9.8000000000000004E-2</v>
      </c>
      <c r="F87" s="2975">
        <v>0.1</v>
      </c>
      <c r="G87" s="2976">
        <v>0.1</v>
      </c>
    </row>
    <row r="88" spans="1:7">
      <c r="A88" s="2989" t="s">
        <v>303</v>
      </c>
      <c r="B88" s="2978" t="s">
        <v>131</v>
      </c>
      <c r="C88" s="2979">
        <v>9.0999999999999998E-2</v>
      </c>
      <c r="D88" s="2979">
        <v>9.1999999999999998E-2</v>
      </c>
      <c r="E88" s="2979">
        <v>0.1</v>
      </c>
      <c r="F88" s="2979">
        <v>0.1</v>
      </c>
      <c r="G88" s="2980">
        <v>9.6000000000000002E-2</v>
      </c>
    </row>
    <row r="89" spans="1:7">
      <c r="A89" s="2989" t="s">
        <v>303</v>
      </c>
      <c r="B89" s="2978" t="s">
        <v>140</v>
      </c>
      <c r="C89" s="2979">
        <v>0.1</v>
      </c>
      <c r="D89" s="2979">
        <v>0.1</v>
      </c>
      <c r="E89" s="2979">
        <v>6.7000000000000004E-2</v>
      </c>
      <c r="F89" s="2979">
        <v>9.2999999999999999E-2</v>
      </c>
      <c r="G89" s="2980">
        <v>0.1</v>
      </c>
    </row>
    <row r="90" spans="1:7">
      <c r="A90" s="2989" t="s">
        <v>303</v>
      </c>
      <c r="B90" s="2978" t="s">
        <v>149</v>
      </c>
      <c r="C90" s="2979">
        <v>9.6000000000000002E-2</v>
      </c>
      <c r="D90" s="2979">
        <v>9.6000000000000002E-2</v>
      </c>
      <c r="E90" s="2979">
        <v>0.1</v>
      </c>
      <c r="F90" s="2979">
        <v>0.1</v>
      </c>
      <c r="G90" s="2980">
        <v>9.8000000000000004E-2</v>
      </c>
    </row>
    <row r="91" spans="1:7">
      <c r="A91" s="2989" t="s">
        <v>303</v>
      </c>
      <c r="B91" s="2978" t="s">
        <v>158</v>
      </c>
      <c r="C91" s="2979">
        <v>7.6999999999999999E-2</v>
      </c>
      <c r="D91" s="2979">
        <v>7.6999999999999999E-2</v>
      </c>
      <c r="E91" s="2979">
        <v>9.6000000000000002E-2</v>
      </c>
      <c r="F91" s="2979">
        <v>0.1</v>
      </c>
      <c r="G91" s="2980">
        <v>7.6999999999999999E-2</v>
      </c>
    </row>
    <row r="92" spans="1:7">
      <c r="A92" s="2989" t="s">
        <v>303</v>
      </c>
      <c r="B92" s="2978" t="s">
        <v>165</v>
      </c>
      <c r="C92" s="2979">
        <v>0.1</v>
      </c>
      <c r="D92" s="2979">
        <v>0.1</v>
      </c>
      <c r="E92" s="2979">
        <v>9.1999999999999998E-2</v>
      </c>
      <c r="F92" s="2979">
        <v>0.1</v>
      </c>
      <c r="G92" s="2980">
        <v>0.1</v>
      </c>
    </row>
    <row r="93" spans="1:7">
      <c r="A93" s="2989" t="s">
        <v>303</v>
      </c>
      <c r="B93" s="2978" t="s">
        <v>171</v>
      </c>
      <c r="C93" s="2979">
        <v>9.8000000000000004E-2</v>
      </c>
      <c r="D93" s="2979">
        <v>9.8000000000000004E-2</v>
      </c>
      <c r="E93" s="2979">
        <v>9.6000000000000002E-2</v>
      </c>
      <c r="F93" s="2979">
        <v>0.1</v>
      </c>
      <c r="G93" s="2980">
        <v>9.9000000000000005E-2</v>
      </c>
    </row>
    <row r="94" spans="1:7">
      <c r="A94" s="2989" t="s">
        <v>303</v>
      </c>
      <c r="B94" s="2978" t="s">
        <v>178</v>
      </c>
      <c r="C94" s="2979">
        <v>8.7999999999999995E-2</v>
      </c>
      <c r="D94" s="2979">
        <v>8.7999999999999995E-2</v>
      </c>
      <c r="E94" s="2979">
        <v>9.6000000000000002E-2</v>
      </c>
      <c r="F94" s="2979">
        <v>0.1</v>
      </c>
      <c r="G94" s="2980">
        <v>8.7999999999999995E-2</v>
      </c>
    </row>
    <row r="95" spans="1:7">
      <c r="A95" s="2989" t="s">
        <v>303</v>
      </c>
      <c r="B95" s="2978" t="s">
        <v>188</v>
      </c>
      <c r="C95" s="2979">
        <v>9.6000000000000002E-2</v>
      </c>
      <c r="D95" s="2979">
        <v>9.6000000000000002E-2</v>
      </c>
      <c r="E95" s="2979">
        <v>0.1</v>
      </c>
      <c r="F95" s="2979">
        <v>0.1</v>
      </c>
      <c r="G95" s="2980">
        <v>9.8000000000000004E-2</v>
      </c>
    </row>
    <row r="96" spans="1:7">
      <c r="A96" s="2989" t="s">
        <v>303</v>
      </c>
      <c r="B96" s="2978" t="s">
        <v>197</v>
      </c>
      <c r="C96" s="2979">
        <v>9.7000000000000003E-2</v>
      </c>
      <c r="D96" s="2979">
        <v>9.7000000000000003E-2</v>
      </c>
      <c r="E96" s="2979">
        <v>0.1</v>
      </c>
      <c r="F96" s="2979">
        <v>0.1</v>
      </c>
      <c r="G96" s="2980">
        <v>9.8000000000000004E-2</v>
      </c>
    </row>
    <row r="97" spans="1:7">
      <c r="A97" s="2989" t="s">
        <v>303</v>
      </c>
      <c r="B97" s="2978" t="s">
        <v>204</v>
      </c>
      <c r="C97" s="2979">
        <v>9.6000000000000002E-2</v>
      </c>
      <c r="D97" s="2979">
        <v>9.6000000000000002E-2</v>
      </c>
      <c r="E97" s="2979">
        <v>9.9000000000000005E-2</v>
      </c>
      <c r="F97" s="2979">
        <v>0.1</v>
      </c>
      <c r="G97" s="2980">
        <v>9.8000000000000004E-2</v>
      </c>
    </row>
    <row r="98" spans="1:7">
      <c r="A98" s="2989" t="s">
        <v>303</v>
      </c>
      <c r="B98" s="2978" t="s">
        <v>211</v>
      </c>
      <c r="C98" s="2979">
        <v>9.8000000000000004E-2</v>
      </c>
      <c r="D98" s="2979">
        <v>9.8000000000000004E-2</v>
      </c>
      <c r="E98" s="2979">
        <v>0.1</v>
      </c>
      <c r="F98" s="2979">
        <v>0.1</v>
      </c>
      <c r="G98" s="2980">
        <v>9.9000000000000005E-2</v>
      </c>
    </row>
    <row r="99" spans="1:7">
      <c r="A99" s="2989" t="s">
        <v>303</v>
      </c>
      <c r="B99" s="2978" t="s">
        <v>217</v>
      </c>
      <c r="C99" s="2979">
        <v>9.6000000000000002E-2</v>
      </c>
      <c r="D99" s="2979">
        <v>9.6000000000000002E-2</v>
      </c>
      <c r="E99" s="2979">
        <v>0.1</v>
      </c>
      <c r="F99" s="2979">
        <v>0.1</v>
      </c>
      <c r="G99" s="2980">
        <v>9.7000000000000003E-2</v>
      </c>
    </row>
    <row r="100" spans="1:7">
      <c r="A100" s="2989" t="s">
        <v>303</v>
      </c>
      <c r="B100" s="2978" t="s">
        <v>225</v>
      </c>
      <c r="C100" s="2979">
        <v>0.1</v>
      </c>
      <c r="D100" s="2979">
        <v>0.1</v>
      </c>
      <c r="E100" s="2979">
        <v>9.7000000000000003E-2</v>
      </c>
      <c r="F100" s="2979">
        <v>9.8000000000000004E-2</v>
      </c>
      <c r="G100" s="2980">
        <v>0.1</v>
      </c>
    </row>
    <row r="101" spans="1:7">
      <c r="A101" s="2989" t="s">
        <v>303</v>
      </c>
      <c r="B101" s="2978" t="s">
        <v>233</v>
      </c>
      <c r="C101" s="2979">
        <v>0.1</v>
      </c>
      <c r="D101" s="2979">
        <v>0.1</v>
      </c>
      <c r="E101" s="2979">
        <v>9.5000000000000001E-2</v>
      </c>
      <c r="F101" s="2979">
        <v>0.1</v>
      </c>
      <c r="G101" s="2980">
        <v>0.1</v>
      </c>
    </row>
    <row r="102" spans="1:7">
      <c r="A102" s="2989" t="s">
        <v>303</v>
      </c>
      <c r="B102" s="2978" t="s">
        <v>238</v>
      </c>
      <c r="C102" s="2979">
        <v>0.1</v>
      </c>
      <c r="D102" s="2979">
        <v>0.1</v>
      </c>
      <c r="E102" s="2979">
        <v>9.9000000000000005E-2</v>
      </c>
      <c r="F102" s="2979">
        <v>9.7000000000000003E-2</v>
      </c>
      <c r="G102" s="2980">
        <v>0.1</v>
      </c>
    </row>
    <row r="103" spans="1:7">
      <c r="A103" s="2989" t="s">
        <v>303</v>
      </c>
      <c r="B103" s="2978" t="s">
        <v>247</v>
      </c>
      <c r="C103" s="2979">
        <v>0.1</v>
      </c>
      <c r="D103" s="2979">
        <v>0.1</v>
      </c>
      <c r="E103" s="2979">
        <v>9.8000000000000004E-2</v>
      </c>
      <c r="F103" s="2979">
        <v>0.1</v>
      </c>
      <c r="G103" s="2980">
        <v>0.1</v>
      </c>
    </row>
    <row r="104" spans="1:7">
      <c r="A104" s="2989" t="s">
        <v>303</v>
      </c>
      <c r="B104" s="2978" t="s">
        <v>254</v>
      </c>
      <c r="C104" s="2979">
        <v>0.1</v>
      </c>
      <c r="D104" s="2979">
        <v>0.1</v>
      </c>
      <c r="E104" s="2979">
        <v>9.8000000000000004E-2</v>
      </c>
      <c r="F104" s="2979">
        <v>0.1</v>
      </c>
      <c r="G104" s="2980">
        <v>0.1</v>
      </c>
    </row>
    <row r="105" spans="1:7">
      <c r="A105" s="2989" t="s">
        <v>303</v>
      </c>
      <c r="B105" s="2978" t="s">
        <v>262</v>
      </c>
      <c r="C105" s="2979">
        <v>9.8000000000000004E-2</v>
      </c>
      <c r="D105" s="2979">
        <v>9.8000000000000004E-2</v>
      </c>
      <c r="E105" s="2979">
        <v>9.8000000000000004E-2</v>
      </c>
      <c r="F105" s="2979">
        <v>0.1</v>
      </c>
      <c r="G105" s="2980">
        <v>9.9000000000000005E-2</v>
      </c>
    </row>
    <row r="106" spans="1:7">
      <c r="A106" s="2989" t="s">
        <v>303</v>
      </c>
      <c r="B106" s="2978" t="s">
        <v>269</v>
      </c>
      <c r="C106" s="2979">
        <v>9.7000000000000003E-2</v>
      </c>
      <c r="D106" s="2979">
        <v>9.7000000000000003E-2</v>
      </c>
      <c r="E106" s="2979">
        <v>9.7000000000000003E-2</v>
      </c>
      <c r="F106" s="2979">
        <v>0.1</v>
      </c>
      <c r="G106" s="2980">
        <v>9.9000000000000005E-2</v>
      </c>
    </row>
    <row r="107" spans="1:7">
      <c r="A107" s="2989" t="s">
        <v>303</v>
      </c>
      <c r="B107" s="2978" t="s">
        <v>273</v>
      </c>
      <c r="C107" s="2979">
        <v>0.1</v>
      </c>
      <c r="D107" s="2979">
        <v>0.1</v>
      </c>
      <c r="E107" s="2979">
        <v>8.5999999999999993E-2</v>
      </c>
      <c r="F107" s="2979">
        <v>0.09</v>
      </c>
      <c r="G107" s="2980">
        <v>0.1</v>
      </c>
    </row>
    <row r="108" spans="1:7">
      <c r="A108" s="2989" t="s">
        <v>303</v>
      </c>
      <c r="B108" s="2978" t="s">
        <v>279</v>
      </c>
      <c r="C108" s="2979">
        <v>0.1</v>
      </c>
      <c r="D108" s="2979">
        <v>0.1</v>
      </c>
      <c r="E108" s="2979">
        <v>9.6000000000000002E-2</v>
      </c>
      <c r="F108" s="2990"/>
      <c r="G108" s="2980">
        <v>0.1</v>
      </c>
    </row>
    <row r="109" spans="1:7">
      <c r="A109" s="2989" t="s">
        <v>303</v>
      </c>
      <c r="B109" s="2978" t="s">
        <v>282</v>
      </c>
      <c r="C109" s="2979">
        <v>0.1</v>
      </c>
      <c r="D109" s="2979">
        <v>0.1</v>
      </c>
      <c r="E109" s="2979">
        <v>0.1</v>
      </c>
      <c r="F109" s="2990"/>
      <c r="G109" s="2980">
        <v>0.1</v>
      </c>
    </row>
    <row r="110" spans="1:7">
      <c r="A110" s="2989" t="s">
        <v>303</v>
      </c>
      <c r="B110" s="2978" t="s">
        <v>284</v>
      </c>
      <c r="C110" s="2979">
        <v>0.1</v>
      </c>
      <c r="D110" s="2979">
        <v>0.1</v>
      </c>
      <c r="E110" s="2979">
        <v>0.1</v>
      </c>
      <c r="F110" s="2990"/>
      <c r="G110" s="2980">
        <v>0.1</v>
      </c>
    </row>
    <row r="111" spans="1:7">
      <c r="A111" s="2989" t="s">
        <v>303</v>
      </c>
      <c r="B111" s="2978" t="s">
        <v>287</v>
      </c>
      <c r="C111" s="2979">
        <v>0.1</v>
      </c>
      <c r="D111" s="2979">
        <v>0.1</v>
      </c>
      <c r="E111" s="2979">
        <v>9.5000000000000001E-2</v>
      </c>
      <c r="F111" s="2990"/>
      <c r="G111" s="2980">
        <v>0.1</v>
      </c>
    </row>
    <row r="112" spans="1:7">
      <c r="A112" s="2989" t="s">
        <v>303</v>
      </c>
      <c r="B112" s="2978" t="s">
        <v>291</v>
      </c>
      <c r="C112" s="2979">
        <v>9.7000000000000003E-2</v>
      </c>
      <c r="D112" s="2979">
        <v>9.7000000000000003E-2</v>
      </c>
      <c r="E112" s="2979">
        <v>0.05</v>
      </c>
      <c r="F112" s="2990"/>
      <c r="G112" s="2980">
        <v>9.8000000000000004E-2</v>
      </c>
    </row>
    <row r="113" spans="1:7">
      <c r="A113" s="2989" t="s">
        <v>303</v>
      </c>
      <c r="B113" s="2978" t="s">
        <v>2949</v>
      </c>
      <c r="C113" s="2979">
        <v>0.1</v>
      </c>
      <c r="D113" s="2979">
        <v>0.1</v>
      </c>
      <c r="E113" s="2990"/>
      <c r="F113" s="2990"/>
      <c r="G113" s="2980">
        <v>0.1</v>
      </c>
    </row>
    <row r="114" spans="1:7">
      <c r="A114" s="2989" t="s">
        <v>303</v>
      </c>
      <c r="B114" s="2978" t="s">
        <v>2956</v>
      </c>
      <c r="C114" s="2979">
        <v>9.7000000000000003E-2</v>
      </c>
      <c r="D114" s="2979">
        <v>9.7000000000000003E-2</v>
      </c>
      <c r="E114" s="2990"/>
      <c r="F114" s="2990"/>
      <c r="G114" s="2980">
        <v>9.9000000000000005E-2</v>
      </c>
    </row>
    <row r="115" spans="1:7">
      <c r="A115" s="2989" t="s">
        <v>303</v>
      </c>
      <c r="B115" s="2978" t="s">
        <v>2962</v>
      </c>
      <c r="C115" s="2979">
        <v>0.1</v>
      </c>
      <c r="D115" s="2979">
        <v>0.1</v>
      </c>
      <c r="E115" s="2990"/>
      <c r="F115" s="2990"/>
      <c r="G115" s="2980">
        <v>0.1</v>
      </c>
    </row>
    <row r="116" spans="1:7">
      <c r="A116" s="2989" t="s">
        <v>303</v>
      </c>
      <c r="B116" s="2978" t="s">
        <v>2969</v>
      </c>
      <c r="C116" s="2979">
        <v>0.1</v>
      </c>
      <c r="D116" s="2979">
        <v>0.1</v>
      </c>
      <c r="E116" s="2990"/>
      <c r="F116" s="2990"/>
      <c r="G116" s="2980">
        <v>0.1</v>
      </c>
    </row>
    <row r="117" spans="1:7">
      <c r="A117" s="2989" t="s">
        <v>303</v>
      </c>
      <c r="B117" s="2978" t="s">
        <v>2976</v>
      </c>
      <c r="C117" s="2979">
        <v>9.7000000000000003E-2</v>
      </c>
      <c r="D117" s="2979">
        <v>9.7000000000000003E-2</v>
      </c>
      <c r="E117" s="2990"/>
      <c r="F117" s="2990"/>
      <c r="G117" s="2980">
        <v>9.7000000000000003E-2</v>
      </c>
    </row>
    <row r="118" spans="1:7">
      <c r="A118" s="2989" t="s">
        <v>303</v>
      </c>
      <c r="B118" s="2978" t="s">
        <v>2981</v>
      </c>
      <c r="C118" s="2979">
        <v>0.1</v>
      </c>
      <c r="D118" s="2979">
        <v>0.1</v>
      </c>
      <c r="E118" s="2990"/>
      <c r="F118" s="2990"/>
      <c r="G118" s="2980">
        <v>0.1</v>
      </c>
    </row>
    <row r="119" spans="1:7">
      <c r="A119" s="2989" t="s">
        <v>303</v>
      </c>
      <c r="B119" s="2978" t="s">
        <v>2985</v>
      </c>
      <c r="C119" s="2979">
        <v>5.0999999999999997E-2</v>
      </c>
      <c r="D119" s="2979">
        <v>5.1999999999999998E-2</v>
      </c>
      <c r="E119" s="2990"/>
      <c r="F119" s="2995"/>
      <c r="G119" s="2980">
        <v>0.06</v>
      </c>
    </row>
    <row r="120" spans="1:7">
      <c r="A120" s="2989" t="s">
        <v>303</v>
      </c>
      <c r="B120" s="2978" t="s">
        <v>2989</v>
      </c>
      <c r="C120" s="2990"/>
      <c r="D120" s="2990"/>
      <c r="E120" s="2990"/>
      <c r="F120" s="2979">
        <v>0.1</v>
      </c>
      <c r="G120" s="2996"/>
    </row>
    <row r="121" spans="1:7">
      <c r="A121" s="2989" t="s">
        <v>303</v>
      </c>
      <c r="B121" s="2978" t="s">
        <v>2994</v>
      </c>
      <c r="C121" s="2990"/>
      <c r="D121" s="2990"/>
      <c r="E121" s="2990"/>
      <c r="F121" s="2979">
        <v>0.1</v>
      </c>
      <c r="G121" s="2996"/>
    </row>
    <row r="122" spans="1:7">
      <c r="A122" s="2989" t="s">
        <v>303</v>
      </c>
      <c r="B122" s="2978" t="s">
        <v>2999</v>
      </c>
      <c r="C122" s="2979">
        <v>0.1</v>
      </c>
      <c r="D122" s="2979">
        <v>0.1</v>
      </c>
      <c r="E122" s="2979">
        <v>9.8000000000000004E-2</v>
      </c>
      <c r="F122" s="2979">
        <v>0.1</v>
      </c>
      <c r="G122" s="2980">
        <v>0.1</v>
      </c>
    </row>
    <row r="123" spans="1:7">
      <c r="A123" s="2989" t="s">
        <v>303</v>
      </c>
      <c r="B123" s="2978" t="s">
        <v>3004</v>
      </c>
      <c r="C123" s="2979">
        <v>0.1</v>
      </c>
      <c r="D123" s="2979">
        <v>0.1</v>
      </c>
      <c r="E123" s="2979">
        <v>9.8000000000000004E-2</v>
      </c>
      <c r="F123" s="2979">
        <v>0.1</v>
      </c>
      <c r="G123" s="2980">
        <v>0.1</v>
      </c>
    </row>
    <row r="124" spans="1:7">
      <c r="A124" s="2989" t="s">
        <v>303</v>
      </c>
      <c r="B124" s="2978" t="s">
        <v>3009</v>
      </c>
      <c r="C124" s="2979">
        <v>0.1</v>
      </c>
      <c r="D124" s="2979">
        <v>0.1</v>
      </c>
      <c r="E124" s="2979">
        <v>9.8000000000000004E-2</v>
      </c>
      <c r="F124" s="2995"/>
      <c r="G124" s="2980">
        <v>0.1</v>
      </c>
    </row>
    <row r="125" spans="1:7">
      <c r="A125" s="2989" t="s">
        <v>303</v>
      </c>
      <c r="B125" s="2978" t="s">
        <v>3014</v>
      </c>
      <c r="C125" s="2979">
        <v>9.8000000000000004E-2</v>
      </c>
      <c r="D125" s="2979">
        <v>9.8000000000000004E-2</v>
      </c>
      <c r="E125" s="2979">
        <v>9.6000000000000002E-2</v>
      </c>
      <c r="F125" s="2995"/>
      <c r="G125" s="2980">
        <v>0.1</v>
      </c>
    </row>
    <row r="126" spans="1:7" ht="14.25" thickBot="1">
      <c r="A126" s="2992" t="s">
        <v>303</v>
      </c>
      <c r="B126" s="2982" t="s">
        <v>3180</v>
      </c>
      <c r="C126" s="2983">
        <v>0.1</v>
      </c>
      <c r="D126" s="2983">
        <v>0.1</v>
      </c>
      <c r="E126" s="2983">
        <v>9.8000000000000004E-2</v>
      </c>
      <c r="F126" s="2983">
        <v>0.1</v>
      </c>
      <c r="G126" s="2985">
        <v>0.1</v>
      </c>
    </row>
    <row r="127" spans="1:7">
      <c r="A127" s="2988" t="s">
        <v>29</v>
      </c>
      <c r="B127" s="2974" t="s">
        <v>2857</v>
      </c>
      <c r="C127" s="2975">
        <v>0.121</v>
      </c>
      <c r="D127" s="2975">
        <v>0.121</v>
      </c>
      <c r="E127" s="2975">
        <v>0.107</v>
      </c>
      <c r="F127" s="2975">
        <v>0.13</v>
      </c>
      <c r="G127" s="2976">
        <v>0.122</v>
      </c>
    </row>
    <row r="128" spans="1:7">
      <c r="A128" s="2989" t="s">
        <v>29</v>
      </c>
      <c r="B128" s="2978" t="s">
        <v>132</v>
      </c>
      <c r="C128" s="2979">
        <v>0.11600000000000001</v>
      </c>
      <c r="D128" s="2979">
        <v>0.11700000000000001</v>
      </c>
      <c r="E128" s="2979">
        <v>0.104</v>
      </c>
      <c r="F128" s="2979">
        <v>0.13</v>
      </c>
      <c r="G128" s="2980">
        <v>0.11700000000000001</v>
      </c>
    </row>
    <row r="129" spans="1:7">
      <c r="A129" s="2989" t="s">
        <v>29</v>
      </c>
      <c r="B129" s="2978" t="s">
        <v>141</v>
      </c>
      <c r="C129" s="2979">
        <v>0.107</v>
      </c>
      <c r="D129" s="2979">
        <v>0.108</v>
      </c>
      <c r="E129" s="2979">
        <v>0.1</v>
      </c>
      <c r="F129" s="2979">
        <v>0.13</v>
      </c>
      <c r="G129" s="2980">
        <v>0.11700000000000001</v>
      </c>
    </row>
    <row r="130" spans="1:7">
      <c r="A130" s="2989" t="s">
        <v>29</v>
      </c>
      <c r="B130" s="2978" t="s">
        <v>150</v>
      </c>
      <c r="C130" s="2979">
        <v>0.13</v>
      </c>
      <c r="D130" s="2979">
        <v>0.13</v>
      </c>
      <c r="E130" s="2979">
        <v>0.126</v>
      </c>
      <c r="F130" s="2979">
        <v>0.13</v>
      </c>
      <c r="G130" s="2980">
        <v>0.13</v>
      </c>
    </row>
    <row r="131" spans="1:7">
      <c r="A131" s="2989" t="s">
        <v>29</v>
      </c>
      <c r="B131" s="2978" t="s">
        <v>159</v>
      </c>
      <c r="C131" s="2979">
        <v>0.13</v>
      </c>
      <c r="D131" s="2979">
        <v>0.13</v>
      </c>
      <c r="E131" s="2979">
        <v>0.13</v>
      </c>
      <c r="F131" s="2979">
        <v>0.13</v>
      </c>
      <c r="G131" s="2980">
        <v>0.13</v>
      </c>
    </row>
    <row r="132" spans="1:7">
      <c r="A132" s="2989" t="s">
        <v>29</v>
      </c>
      <c r="B132" s="2978" t="s">
        <v>166</v>
      </c>
      <c r="C132" s="2979">
        <v>0.13</v>
      </c>
      <c r="D132" s="2979">
        <v>0.13</v>
      </c>
      <c r="E132" s="2979">
        <v>0.126</v>
      </c>
      <c r="F132" s="2979">
        <v>0.13</v>
      </c>
      <c r="G132" s="2980">
        <v>0.13</v>
      </c>
    </row>
    <row r="133" spans="1:7">
      <c r="A133" s="2989" t="s">
        <v>29</v>
      </c>
      <c r="B133" s="2978" t="s">
        <v>172</v>
      </c>
      <c r="C133" s="2979">
        <v>0.111</v>
      </c>
      <c r="D133" s="2979">
        <v>0.111</v>
      </c>
      <c r="E133" s="2979">
        <v>0.10199999999999999</v>
      </c>
      <c r="F133" s="2979">
        <v>0.13</v>
      </c>
      <c r="G133" s="2980">
        <v>0.121</v>
      </c>
    </row>
    <row r="134" spans="1:7">
      <c r="A134" s="2989" t="s">
        <v>29</v>
      </c>
      <c r="B134" s="2978" t="s">
        <v>179</v>
      </c>
      <c r="C134" s="2979">
        <v>0.121</v>
      </c>
      <c r="D134" s="2979">
        <v>0.121</v>
      </c>
      <c r="E134" s="2979">
        <v>0.1</v>
      </c>
      <c r="F134" s="2979">
        <v>0.13</v>
      </c>
      <c r="G134" s="2980">
        <v>0.123</v>
      </c>
    </row>
    <row r="135" spans="1:7">
      <c r="A135" s="2989" t="s">
        <v>29</v>
      </c>
      <c r="B135" s="2978" t="s">
        <v>189</v>
      </c>
      <c r="C135" s="2979">
        <v>0.105</v>
      </c>
      <c r="D135" s="2979">
        <v>0.106</v>
      </c>
      <c r="E135" s="2979">
        <v>0.1</v>
      </c>
      <c r="F135" s="2979">
        <v>0.13</v>
      </c>
      <c r="G135" s="2980">
        <v>0.115</v>
      </c>
    </row>
    <row r="136" spans="1:7">
      <c r="A136" s="2989" t="s">
        <v>29</v>
      </c>
      <c r="B136" s="2978" t="s">
        <v>198</v>
      </c>
      <c r="C136" s="2979">
        <v>0.127</v>
      </c>
      <c r="D136" s="2979">
        <v>0.127</v>
      </c>
      <c r="E136" s="2979">
        <v>0.121</v>
      </c>
      <c r="F136" s="2979">
        <v>0.123</v>
      </c>
      <c r="G136" s="2980">
        <v>0.129</v>
      </c>
    </row>
    <row r="137" spans="1:7">
      <c r="A137" s="2989" t="s">
        <v>29</v>
      </c>
      <c r="B137" s="2978" t="s">
        <v>205</v>
      </c>
      <c r="C137" s="2979">
        <v>0.13</v>
      </c>
      <c r="D137" s="2979">
        <v>0.13</v>
      </c>
      <c r="E137" s="2979">
        <v>0.129</v>
      </c>
      <c r="F137" s="2979">
        <v>0.13</v>
      </c>
      <c r="G137" s="2980">
        <v>0.13</v>
      </c>
    </row>
    <row r="138" spans="1:7">
      <c r="A138" s="2989" t="s">
        <v>29</v>
      </c>
      <c r="B138" s="2978" t="s">
        <v>212</v>
      </c>
      <c r="C138" s="2979">
        <v>0.13</v>
      </c>
      <c r="D138" s="2979">
        <v>0.13</v>
      </c>
      <c r="E138" s="2979">
        <v>0.125</v>
      </c>
      <c r="F138" s="2979">
        <v>0.13</v>
      </c>
      <c r="G138" s="2980">
        <v>0.13</v>
      </c>
    </row>
    <row r="139" spans="1:7">
      <c r="A139" s="2989" t="s">
        <v>29</v>
      </c>
      <c r="B139" s="2978" t="s">
        <v>218</v>
      </c>
      <c r="C139" s="2979">
        <v>0.13</v>
      </c>
      <c r="D139" s="2979">
        <v>0.13</v>
      </c>
      <c r="E139" s="2979">
        <v>0.126</v>
      </c>
      <c r="F139" s="2979">
        <v>0.13</v>
      </c>
      <c r="G139" s="2980">
        <v>0.13</v>
      </c>
    </row>
    <row r="140" spans="1:7">
      <c r="A140" s="2989" t="s">
        <v>29</v>
      </c>
      <c r="B140" s="2978" t="s">
        <v>226</v>
      </c>
      <c r="C140" s="2979">
        <v>0.1</v>
      </c>
      <c r="D140" s="2979">
        <v>0.1</v>
      </c>
      <c r="E140" s="2979">
        <v>0.1</v>
      </c>
      <c r="F140" s="2979">
        <v>0.123</v>
      </c>
      <c r="G140" s="2980">
        <v>0.107</v>
      </c>
    </row>
    <row r="141" spans="1:7">
      <c r="A141" s="2989" t="s">
        <v>29</v>
      </c>
      <c r="B141" s="2978" t="s">
        <v>234</v>
      </c>
      <c r="C141" s="2979">
        <v>0.127</v>
      </c>
      <c r="D141" s="2979">
        <v>0.127</v>
      </c>
      <c r="E141" s="2979">
        <v>0.122</v>
      </c>
      <c r="F141" s="2979">
        <v>0.1</v>
      </c>
      <c r="G141" s="2980">
        <v>0.129</v>
      </c>
    </row>
    <row r="142" spans="1:7">
      <c r="A142" s="2989" t="s">
        <v>29</v>
      </c>
      <c r="B142" s="2978" t="s">
        <v>239</v>
      </c>
      <c r="C142" s="2979">
        <v>0.121</v>
      </c>
      <c r="D142" s="2979">
        <v>0.122</v>
      </c>
      <c r="E142" s="2979">
        <v>0.1</v>
      </c>
      <c r="F142" s="2979">
        <v>0.123</v>
      </c>
      <c r="G142" s="2980">
        <v>0.123</v>
      </c>
    </row>
    <row r="143" spans="1:7">
      <c r="A143" s="2989" t="s">
        <v>29</v>
      </c>
      <c r="B143" s="2978" t="s">
        <v>248</v>
      </c>
      <c r="C143" s="2979">
        <v>0.1</v>
      </c>
      <c r="D143" s="2979">
        <v>0.1</v>
      </c>
      <c r="E143" s="2979">
        <v>0.1</v>
      </c>
      <c r="F143" s="2979">
        <v>0.13</v>
      </c>
      <c r="G143" s="2980">
        <v>0.1</v>
      </c>
    </row>
    <row r="144" spans="1:7">
      <c r="A144" s="2989" t="s">
        <v>29</v>
      </c>
      <c r="B144" s="2978" t="s">
        <v>255</v>
      </c>
      <c r="C144" s="2979">
        <v>0.106</v>
      </c>
      <c r="D144" s="2979">
        <v>0.105</v>
      </c>
      <c r="E144" s="2979">
        <v>0.1</v>
      </c>
      <c r="F144" s="2979">
        <v>0.13</v>
      </c>
      <c r="G144" s="2980">
        <v>0.11799999999999999</v>
      </c>
    </row>
    <row r="145" spans="1:7">
      <c r="A145" s="2989" t="s">
        <v>29</v>
      </c>
      <c r="B145" s="2978" t="s">
        <v>263</v>
      </c>
      <c r="C145" s="2979">
        <v>0.123</v>
      </c>
      <c r="D145" s="2979">
        <v>0.123</v>
      </c>
      <c r="E145" s="2979">
        <v>0.11700000000000001</v>
      </c>
      <c r="F145" s="2979">
        <v>0.13</v>
      </c>
      <c r="G145" s="2980">
        <v>0.126</v>
      </c>
    </row>
    <row r="146" spans="1:7">
      <c r="A146" s="2989" t="s">
        <v>29</v>
      </c>
      <c r="B146" s="2978" t="s">
        <v>270</v>
      </c>
      <c r="C146" s="2979">
        <v>0.127</v>
      </c>
      <c r="D146" s="2979">
        <v>0.127</v>
      </c>
      <c r="E146" s="2979">
        <v>0.12</v>
      </c>
      <c r="F146" s="2990"/>
      <c r="G146" s="2980">
        <v>0.129</v>
      </c>
    </row>
    <row r="147" spans="1:7">
      <c r="A147" s="2989" t="s">
        <v>29</v>
      </c>
      <c r="B147" s="2978" t="s">
        <v>274</v>
      </c>
      <c r="C147" s="2979">
        <v>0.13</v>
      </c>
      <c r="D147" s="2979">
        <v>0.13</v>
      </c>
      <c r="E147" s="2979">
        <v>0.126</v>
      </c>
      <c r="F147" s="2990"/>
      <c r="G147" s="2980">
        <v>0.13</v>
      </c>
    </row>
    <row r="148" spans="1:7">
      <c r="A148" s="2989" t="s">
        <v>29</v>
      </c>
      <c r="B148" s="2978" t="s">
        <v>2927</v>
      </c>
      <c r="C148" s="2979">
        <v>0.13</v>
      </c>
      <c r="D148" s="2979">
        <v>0.13</v>
      </c>
      <c r="E148" s="2979">
        <v>0.13</v>
      </c>
      <c r="F148" s="2990"/>
      <c r="G148" s="2980">
        <v>0.13</v>
      </c>
    </row>
    <row r="149" spans="1:7">
      <c r="A149" s="2989" t="s">
        <v>29</v>
      </c>
      <c r="B149" s="2978" t="s">
        <v>2931</v>
      </c>
      <c r="C149" s="2979">
        <v>0.13</v>
      </c>
      <c r="D149" s="2979">
        <v>0.13</v>
      </c>
      <c r="E149" s="2979">
        <v>0.13</v>
      </c>
      <c r="F149" s="2979">
        <v>0.13</v>
      </c>
      <c r="G149" s="2980">
        <v>0.13</v>
      </c>
    </row>
    <row r="150" spans="1:7">
      <c r="A150" s="2989" t="s">
        <v>29</v>
      </c>
      <c r="B150" s="2978" t="s">
        <v>292</v>
      </c>
      <c r="C150" s="2979">
        <v>0.13</v>
      </c>
      <c r="D150" s="2979">
        <v>0.13</v>
      </c>
      <c r="E150" s="2979">
        <v>0.127</v>
      </c>
      <c r="F150" s="2979">
        <v>0.13</v>
      </c>
      <c r="G150" s="2980">
        <v>0.13</v>
      </c>
    </row>
    <row r="151" spans="1:7">
      <c r="A151" s="2989" t="s">
        <v>29</v>
      </c>
      <c r="B151" s="2978" t="s">
        <v>294</v>
      </c>
      <c r="C151" s="2979">
        <v>0.13</v>
      </c>
      <c r="D151" s="2979">
        <v>0.13</v>
      </c>
      <c r="E151" s="2979">
        <v>0.13</v>
      </c>
      <c r="F151" s="2979">
        <v>0.13</v>
      </c>
      <c r="G151" s="2980">
        <v>0.13</v>
      </c>
    </row>
    <row r="152" spans="1:7">
      <c r="A152" s="2989" t="s">
        <v>29</v>
      </c>
      <c r="B152" s="2978" t="s">
        <v>297</v>
      </c>
      <c r="C152" s="2979">
        <v>0.13</v>
      </c>
      <c r="D152" s="2979">
        <v>0.13</v>
      </c>
      <c r="E152" s="2979">
        <v>0.13</v>
      </c>
      <c r="F152" s="2979">
        <v>0.13</v>
      </c>
      <c r="G152" s="2980">
        <v>0.13</v>
      </c>
    </row>
    <row r="153" spans="1:7">
      <c r="A153" s="2989" t="s">
        <v>29</v>
      </c>
      <c r="B153" s="2978" t="s">
        <v>2950</v>
      </c>
      <c r="C153" s="2979">
        <v>0.13</v>
      </c>
      <c r="D153" s="2979">
        <v>0.13</v>
      </c>
      <c r="E153" s="2979">
        <v>0.13</v>
      </c>
      <c r="F153" s="2979">
        <v>0.13</v>
      </c>
      <c r="G153" s="2980">
        <v>0.13</v>
      </c>
    </row>
    <row r="154" spans="1:7">
      <c r="A154" s="2989" t="s">
        <v>29</v>
      </c>
      <c r="B154" s="2978" t="s">
        <v>2957</v>
      </c>
      <c r="C154" s="2979">
        <v>0.121</v>
      </c>
      <c r="D154" s="2979">
        <v>0.121</v>
      </c>
      <c r="E154" s="2979">
        <v>0.105</v>
      </c>
      <c r="F154" s="2979">
        <v>0.121</v>
      </c>
      <c r="G154" s="2980">
        <v>0.123</v>
      </c>
    </row>
    <row r="155" spans="1:7">
      <c r="A155" s="2989" t="s">
        <v>29</v>
      </c>
      <c r="B155" s="2978" t="s">
        <v>2963</v>
      </c>
      <c r="C155" s="2979">
        <v>0.1</v>
      </c>
      <c r="D155" s="2979">
        <v>0.1</v>
      </c>
      <c r="E155" s="2979">
        <v>0.1</v>
      </c>
      <c r="F155" s="2979">
        <v>0.1</v>
      </c>
      <c r="G155" s="2980">
        <v>0.1</v>
      </c>
    </row>
    <row r="156" spans="1:7">
      <c r="A156" s="2989" t="s">
        <v>29</v>
      </c>
      <c r="B156" s="2978" t="s">
        <v>2970</v>
      </c>
      <c r="C156" s="2979">
        <v>0.13</v>
      </c>
      <c r="D156" s="2979">
        <v>0.13</v>
      </c>
      <c r="E156" s="2979">
        <v>0.13</v>
      </c>
      <c r="F156" s="2979">
        <v>0.13</v>
      </c>
      <c r="G156" s="2980">
        <v>0.13</v>
      </c>
    </row>
    <row r="157" spans="1:7">
      <c r="A157" s="2989" t="s">
        <v>29</v>
      </c>
      <c r="B157" s="2978" t="s">
        <v>300</v>
      </c>
      <c r="C157" s="2979">
        <v>0.13</v>
      </c>
      <c r="D157" s="2979">
        <v>0.13</v>
      </c>
      <c r="E157" s="2979">
        <v>0.125</v>
      </c>
      <c r="F157" s="2979">
        <v>0.13</v>
      </c>
      <c r="G157" s="2980">
        <v>0.13</v>
      </c>
    </row>
    <row r="158" spans="1:7">
      <c r="A158" s="2989" t="s">
        <v>29</v>
      </c>
      <c r="B158" s="2978" t="s">
        <v>301</v>
      </c>
      <c r="C158" s="2979">
        <v>0.124</v>
      </c>
      <c r="D158" s="2979">
        <v>0.124</v>
      </c>
      <c r="E158" s="2979">
        <v>0.11700000000000001</v>
      </c>
      <c r="F158" s="2979">
        <v>0.121</v>
      </c>
      <c r="G158" s="2980">
        <v>0.124</v>
      </c>
    </row>
    <row r="159" spans="1:7">
      <c r="A159" s="2989" t="s">
        <v>29</v>
      </c>
      <c r="B159" s="2978" t="s">
        <v>302</v>
      </c>
      <c r="C159" s="2979">
        <v>0.127</v>
      </c>
      <c r="D159" s="2979">
        <v>0.127</v>
      </c>
      <c r="E159" s="2979">
        <v>0.122</v>
      </c>
      <c r="F159" s="2979">
        <v>0.13</v>
      </c>
      <c r="G159" s="2980">
        <v>0.129</v>
      </c>
    </row>
    <row r="160" spans="1:7">
      <c r="A160" s="2989" t="s">
        <v>29</v>
      </c>
      <c r="B160" s="2978" t="s">
        <v>2990</v>
      </c>
      <c r="C160" s="2979">
        <v>0.13</v>
      </c>
      <c r="D160" s="2979">
        <v>0.13</v>
      </c>
      <c r="E160" s="2979">
        <v>0.124</v>
      </c>
      <c r="F160" s="2979">
        <v>0.126</v>
      </c>
      <c r="G160" s="2980">
        <v>0.13</v>
      </c>
    </row>
    <row r="161" spans="1:7">
      <c r="A161" s="2989" t="s">
        <v>29</v>
      </c>
      <c r="B161" s="2978" t="s">
        <v>2995</v>
      </c>
      <c r="C161" s="2979">
        <v>0.13</v>
      </c>
      <c r="D161" s="2979">
        <v>0.13</v>
      </c>
      <c r="E161" s="2979">
        <v>0.124</v>
      </c>
      <c r="F161" s="2979">
        <v>0.127</v>
      </c>
      <c r="G161" s="2980">
        <v>0.13</v>
      </c>
    </row>
    <row r="162" spans="1:7">
      <c r="A162" s="2989" t="s">
        <v>29</v>
      </c>
      <c r="B162" s="2978" t="s">
        <v>3000</v>
      </c>
      <c r="C162" s="2979">
        <v>0.1</v>
      </c>
      <c r="D162" s="2979">
        <v>0.1</v>
      </c>
      <c r="E162" s="2979">
        <v>0.1</v>
      </c>
      <c r="F162" s="2979">
        <v>0.121</v>
      </c>
      <c r="G162" s="2980">
        <v>0.105</v>
      </c>
    </row>
    <row r="163" spans="1:7">
      <c r="A163" s="2989" t="s">
        <v>29</v>
      </c>
      <c r="B163" s="2978" t="s">
        <v>3005</v>
      </c>
      <c r="C163" s="2979">
        <v>0.1</v>
      </c>
      <c r="D163" s="2979">
        <v>0.1</v>
      </c>
      <c r="E163" s="2979">
        <v>0.1</v>
      </c>
      <c r="F163" s="2979">
        <v>0.1</v>
      </c>
      <c r="G163" s="2980">
        <v>0.1</v>
      </c>
    </row>
    <row r="164" spans="1:7">
      <c r="A164" s="2989" t="s">
        <v>29</v>
      </c>
      <c r="B164" s="2978" t="s">
        <v>3010</v>
      </c>
      <c r="C164" s="2995"/>
      <c r="D164" s="2995"/>
      <c r="E164" s="2995"/>
      <c r="F164" s="2979">
        <v>0.1</v>
      </c>
      <c r="G164" s="2991"/>
    </row>
    <row r="165" spans="1:7">
      <c r="A165" s="2989" t="s">
        <v>29</v>
      </c>
      <c r="B165" s="2978" t="s">
        <v>3181</v>
      </c>
      <c r="C165" s="2979">
        <v>0.126</v>
      </c>
      <c r="D165" s="2979">
        <v>0.126</v>
      </c>
      <c r="E165" s="2979">
        <v>0.11899999999999999</v>
      </c>
      <c r="F165" s="2979">
        <v>0.13</v>
      </c>
      <c r="G165" s="2980">
        <v>0.128</v>
      </c>
    </row>
    <row r="166" spans="1:7">
      <c r="A166" s="2989" t="s">
        <v>29</v>
      </c>
      <c r="B166" s="2978" t="s">
        <v>3020</v>
      </c>
      <c r="C166" s="2979">
        <v>0.129</v>
      </c>
      <c r="D166" s="2979">
        <v>0.129</v>
      </c>
      <c r="E166" s="2979">
        <v>0.123</v>
      </c>
      <c r="F166" s="2979">
        <v>0.128</v>
      </c>
      <c r="G166" s="2980">
        <v>0.13</v>
      </c>
    </row>
    <row r="167" spans="1:7">
      <c r="A167" s="2989" t="s">
        <v>29</v>
      </c>
      <c r="B167" s="2978" t="s">
        <v>3024</v>
      </c>
      <c r="C167" s="2979">
        <v>0.125</v>
      </c>
      <c r="D167" s="2979">
        <v>0.125</v>
      </c>
      <c r="E167" s="2979">
        <v>0.11700000000000001</v>
      </c>
      <c r="F167" s="2979">
        <v>0.13</v>
      </c>
      <c r="G167" s="2980">
        <v>0.126</v>
      </c>
    </row>
    <row r="168" spans="1:7">
      <c r="A168" s="2989" t="s">
        <v>29</v>
      </c>
      <c r="B168" s="2978" t="s">
        <v>3029</v>
      </c>
      <c r="C168" s="2979">
        <v>0.128</v>
      </c>
      <c r="D168" s="2979">
        <v>0.128</v>
      </c>
      <c r="E168" s="2979">
        <v>0.123</v>
      </c>
      <c r="F168" s="2990"/>
      <c r="G168" s="2980">
        <v>0.13</v>
      </c>
    </row>
    <row r="169" spans="1:7">
      <c r="A169" s="2989" t="s">
        <v>29</v>
      </c>
      <c r="B169" s="2978" t="s">
        <v>3182</v>
      </c>
      <c r="C169" s="2995"/>
      <c r="D169" s="2995"/>
      <c r="E169" s="2995"/>
      <c r="F169" s="2979">
        <v>0.05</v>
      </c>
      <c r="G169" s="2991"/>
    </row>
    <row r="170" spans="1:7">
      <c r="A170" s="2989" t="s">
        <v>29</v>
      </c>
      <c r="B170" s="2978" t="s">
        <v>3183</v>
      </c>
      <c r="C170" s="2995"/>
      <c r="D170" s="2995"/>
      <c r="E170" s="2995"/>
      <c r="F170" s="2979">
        <v>0.05</v>
      </c>
      <c r="G170" s="2991"/>
    </row>
    <row r="171" spans="1:7">
      <c r="A171" s="2989" t="s">
        <v>29</v>
      </c>
      <c r="B171" s="2978" t="s">
        <v>3184</v>
      </c>
      <c r="C171" s="2995"/>
      <c r="D171" s="2995"/>
      <c r="E171" s="2995"/>
      <c r="F171" s="2979">
        <v>0.05</v>
      </c>
      <c r="G171" s="2996"/>
    </row>
    <row r="172" spans="1:7">
      <c r="A172" s="2989" t="s">
        <v>29</v>
      </c>
      <c r="B172" s="2978" t="s">
        <v>3185</v>
      </c>
      <c r="C172" s="2995"/>
      <c r="D172" s="2995"/>
      <c r="E172" s="2995"/>
      <c r="F172" s="2979">
        <v>0.05</v>
      </c>
      <c r="G172" s="2996"/>
    </row>
    <row r="173" spans="1:7">
      <c r="A173" s="2989" t="s">
        <v>29</v>
      </c>
      <c r="B173" s="2978" t="s">
        <v>3186</v>
      </c>
      <c r="C173" s="2995"/>
      <c r="D173" s="2995"/>
      <c r="E173" s="2995"/>
      <c r="F173" s="2979">
        <v>0.05</v>
      </c>
      <c r="G173" s="2991"/>
    </row>
    <row r="174" spans="1:7">
      <c r="A174" s="2989" t="s">
        <v>29</v>
      </c>
      <c r="B174" s="2978" t="s">
        <v>3187</v>
      </c>
      <c r="C174" s="2995"/>
      <c r="D174" s="2995"/>
      <c r="E174" s="2995"/>
      <c r="F174" s="2979">
        <v>0.05</v>
      </c>
      <c r="G174" s="2991"/>
    </row>
    <row r="175" spans="1:7">
      <c r="A175" s="2989" t="s">
        <v>29</v>
      </c>
      <c r="B175" s="2978" t="s">
        <v>3188</v>
      </c>
      <c r="C175" s="2995"/>
      <c r="D175" s="2995"/>
      <c r="E175" s="2995"/>
      <c r="F175" s="2979">
        <v>0.05</v>
      </c>
      <c r="G175" s="2991"/>
    </row>
    <row r="176" spans="1:7">
      <c r="A176" s="2989" t="s">
        <v>29</v>
      </c>
      <c r="B176" s="2978" t="s">
        <v>3189</v>
      </c>
      <c r="C176" s="2995"/>
      <c r="D176" s="2995"/>
      <c r="E176" s="2995"/>
      <c r="F176" s="2979">
        <v>0.05</v>
      </c>
      <c r="G176" s="2991"/>
    </row>
    <row r="177" spans="1:7">
      <c r="A177" s="2989" t="s">
        <v>29</v>
      </c>
      <c r="B177" s="2978" t="s">
        <v>3190</v>
      </c>
      <c r="C177" s="2990"/>
      <c r="D177" s="2990"/>
      <c r="E177" s="2990"/>
      <c r="F177" s="2979">
        <v>0.05</v>
      </c>
      <c r="G177" s="2996"/>
    </row>
    <row r="178" spans="1:7">
      <c r="A178" s="2989" t="s">
        <v>29</v>
      </c>
      <c r="B178" s="2978" t="s">
        <v>3191</v>
      </c>
      <c r="C178" s="2990"/>
      <c r="D178" s="2990"/>
      <c r="E178" s="2990"/>
      <c r="F178" s="2979">
        <v>0.05</v>
      </c>
      <c r="G178" s="2996"/>
    </row>
    <row r="179" spans="1:7">
      <c r="A179" s="2989" t="s">
        <v>29</v>
      </c>
      <c r="B179" s="2978" t="s">
        <v>3192</v>
      </c>
      <c r="C179" s="2990"/>
      <c r="D179" s="2990"/>
      <c r="E179" s="2990"/>
      <c r="F179" s="2979">
        <v>0.05</v>
      </c>
      <c r="G179" s="2996"/>
    </row>
    <row r="180" spans="1:7">
      <c r="A180" s="2989" t="s">
        <v>29</v>
      </c>
      <c r="B180" s="2978" t="s">
        <v>3193</v>
      </c>
      <c r="C180" s="2990"/>
      <c r="D180" s="2990"/>
      <c r="E180" s="2990"/>
      <c r="F180" s="2979">
        <v>0.05</v>
      </c>
      <c r="G180" s="2996"/>
    </row>
    <row r="181" spans="1:7">
      <c r="A181" s="2989" t="s">
        <v>29</v>
      </c>
      <c r="B181" s="2978" t="s">
        <v>3194</v>
      </c>
      <c r="C181" s="2990"/>
      <c r="D181" s="2990"/>
      <c r="E181" s="2990"/>
      <c r="F181" s="2979">
        <v>0.05</v>
      </c>
      <c r="G181" s="2996"/>
    </row>
    <row r="182" spans="1:7">
      <c r="A182" s="2989" t="s">
        <v>29</v>
      </c>
      <c r="B182" s="2978" t="s">
        <v>3195</v>
      </c>
      <c r="C182" s="2990"/>
      <c r="D182" s="2990"/>
      <c r="E182" s="2990"/>
      <c r="F182" s="2979">
        <v>0.05</v>
      </c>
      <c r="G182" s="2996"/>
    </row>
    <row r="183" spans="1:7">
      <c r="A183" s="2989" t="s">
        <v>29</v>
      </c>
      <c r="B183" s="2978" t="s">
        <v>3196</v>
      </c>
      <c r="C183" s="2990"/>
      <c r="D183" s="2990"/>
      <c r="E183" s="2990"/>
      <c r="F183" s="2979">
        <v>0.05</v>
      </c>
      <c r="G183" s="2996"/>
    </row>
    <row r="184" spans="1:7">
      <c r="A184" s="2989" t="s">
        <v>29</v>
      </c>
      <c r="B184" s="2978" t="s">
        <v>3197</v>
      </c>
      <c r="C184" s="2990"/>
      <c r="D184" s="2990"/>
      <c r="E184" s="2990"/>
      <c r="F184" s="2979">
        <v>0.05</v>
      </c>
      <c r="G184" s="2996"/>
    </row>
    <row r="185" spans="1:7">
      <c r="A185" s="2989" t="s">
        <v>29</v>
      </c>
      <c r="B185" s="2978" t="s">
        <v>3198</v>
      </c>
      <c r="C185" s="2990"/>
      <c r="D185" s="2990"/>
      <c r="E185" s="2990"/>
      <c r="F185" s="2979">
        <v>0.05</v>
      </c>
      <c r="G185" s="2996"/>
    </row>
    <row r="186" spans="1:7">
      <c r="A186" s="2989" t="s">
        <v>29</v>
      </c>
      <c r="B186" s="2978" t="s">
        <v>3199</v>
      </c>
      <c r="C186" s="2990"/>
      <c r="D186" s="2990"/>
      <c r="E186" s="2990"/>
      <c r="F186" s="2979">
        <v>0.05</v>
      </c>
      <c r="G186" s="2996"/>
    </row>
    <row r="187" spans="1:7">
      <c r="A187" s="2989" t="s">
        <v>29</v>
      </c>
      <c r="B187" s="2978" t="s">
        <v>3200</v>
      </c>
      <c r="C187" s="2990"/>
      <c r="D187" s="2990"/>
      <c r="E187" s="2990"/>
      <c r="F187" s="2979">
        <v>0.05</v>
      </c>
      <c r="G187" s="2996"/>
    </row>
    <row r="188" spans="1:7">
      <c r="A188" s="2989" t="s">
        <v>29</v>
      </c>
      <c r="B188" s="2978" t="s">
        <v>3201</v>
      </c>
      <c r="C188" s="2990"/>
      <c r="D188" s="2990"/>
      <c r="E188" s="2990"/>
      <c r="F188" s="2979">
        <v>0.05</v>
      </c>
      <c r="G188" s="2996"/>
    </row>
    <row r="189" spans="1:7" ht="14.25" thickBot="1">
      <c r="A189" s="2992" t="s">
        <v>29</v>
      </c>
      <c r="B189" s="2982" t="s">
        <v>3202</v>
      </c>
      <c r="C189" s="2984"/>
      <c r="D189" s="2984"/>
      <c r="E189" s="2984"/>
      <c r="F189" s="2983">
        <v>0.05</v>
      </c>
      <c r="G189" s="2997"/>
    </row>
    <row r="190" spans="1:7">
      <c r="A190" s="2988" t="s">
        <v>304</v>
      </c>
      <c r="B190" s="2974" t="s">
        <v>2858</v>
      </c>
      <c r="C190" s="2975">
        <v>0.124</v>
      </c>
      <c r="D190" s="2975">
        <v>0.124</v>
      </c>
      <c r="E190" s="2975">
        <v>0.129</v>
      </c>
      <c r="F190" s="2975">
        <v>0.13</v>
      </c>
      <c r="G190" s="2976">
        <v>0.127</v>
      </c>
    </row>
    <row r="191" spans="1:7">
      <c r="A191" s="2989" t="s">
        <v>304</v>
      </c>
      <c r="B191" s="2978" t="s">
        <v>133</v>
      </c>
      <c r="C191" s="2979">
        <v>0.13</v>
      </c>
      <c r="D191" s="2979">
        <v>0.13</v>
      </c>
      <c r="E191" s="2979">
        <v>0.13</v>
      </c>
      <c r="F191" s="2979">
        <v>0.13</v>
      </c>
      <c r="G191" s="2980">
        <v>0.13</v>
      </c>
    </row>
    <row r="192" spans="1:7">
      <c r="A192" s="2989" t="s">
        <v>304</v>
      </c>
      <c r="B192" s="2978" t="s">
        <v>142</v>
      </c>
      <c r="C192" s="2979">
        <v>0.13</v>
      </c>
      <c r="D192" s="2979">
        <v>0.13</v>
      </c>
      <c r="E192" s="2979">
        <v>0.13</v>
      </c>
      <c r="F192" s="2979">
        <v>0.13</v>
      </c>
      <c r="G192" s="2980">
        <v>0.13</v>
      </c>
    </row>
    <row r="193" spans="1:7">
      <c r="A193" s="2989" t="s">
        <v>304</v>
      </c>
      <c r="B193" s="2978" t="s">
        <v>151</v>
      </c>
      <c r="C193" s="2979">
        <v>0.13</v>
      </c>
      <c r="D193" s="2979">
        <v>0.13</v>
      </c>
      <c r="E193" s="2979">
        <v>0.13</v>
      </c>
      <c r="F193" s="2979">
        <v>0.13</v>
      </c>
      <c r="G193" s="2980">
        <v>0.13</v>
      </c>
    </row>
    <row r="194" spans="1:7">
      <c r="A194" s="2989" t="s">
        <v>304</v>
      </c>
      <c r="B194" s="2978" t="s">
        <v>160</v>
      </c>
      <c r="C194" s="2979">
        <v>0.123</v>
      </c>
      <c r="D194" s="2979">
        <v>0.123</v>
      </c>
      <c r="E194" s="2979">
        <v>0.128</v>
      </c>
      <c r="F194" s="2979">
        <v>0.13</v>
      </c>
      <c r="G194" s="2980">
        <v>0.126</v>
      </c>
    </row>
    <row r="195" spans="1:7">
      <c r="A195" s="2989" t="s">
        <v>304</v>
      </c>
      <c r="B195" s="2978" t="s">
        <v>167</v>
      </c>
      <c r="C195" s="2979">
        <v>0.127</v>
      </c>
      <c r="D195" s="2979">
        <v>0.127</v>
      </c>
      <c r="E195" s="2979">
        <v>0.121</v>
      </c>
      <c r="F195" s="2979">
        <v>0.129</v>
      </c>
      <c r="G195" s="2980">
        <v>0.129</v>
      </c>
    </row>
    <row r="196" spans="1:7">
      <c r="A196" s="2989" t="s">
        <v>304</v>
      </c>
      <c r="B196" s="2978" t="s">
        <v>173</v>
      </c>
      <c r="C196" s="2979">
        <v>0.127</v>
      </c>
      <c r="D196" s="2979">
        <v>0.128</v>
      </c>
      <c r="E196" s="2979">
        <v>0.122</v>
      </c>
      <c r="F196" s="2979">
        <v>0.13</v>
      </c>
      <c r="G196" s="2980">
        <v>0.129</v>
      </c>
    </row>
    <row r="197" spans="1:7">
      <c r="A197" s="2989" t="s">
        <v>304</v>
      </c>
      <c r="B197" s="2978" t="s">
        <v>180</v>
      </c>
      <c r="C197" s="2979">
        <v>0.126</v>
      </c>
      <c r="D197" s="2979">
        <v>0.126</v>
      </c>
      <c r="E197" s="2979">
        <v>0.11899999999999999</v>
      </c>
      <c r="F197" s="2979">
        <v>0.13</v>
      </c>
      <c r="G197" s="2980">
        <v>0.128</v>
      </c>
    </row>
    <row r="198" spans="1:7">
      <c r="A198" s="2989" t="s">
        <v>304</v>
      </c>
      <c r="B198" s="2978" t="s">
        <v>190</v>
      </c>
      <c r="C198" s="2979">
        <v>0.13</v>
      </c>
      <c r="D198" s="2979">
        <v>0.13</v>
      </c>
      <c r="E198" s="2979">
        <v>0.126</v>
      </c>
      <c r="F198" s="2995"/>
      <c r="G198" s="2980">
        <v>0.13</v>
      </c>
    </row>
    <row r="199" spans="1:7">
      <c r="A199" s="2989" t="s">
        <v>304</v>
      </c>
      <c r="B199" s="2978" t="s">
        <v>2894</v>
      </c>
      <c r="C199" s="2979">
        <v>0.13</v>
      </c>
      <c r="D199" s="2979">
        <v>0.13</v>
      </c>
      <c r="E199" s="2979">
        <v>0.13</v>
      </c>
      <c r="F199" s="2979">
        <v>0.13</v>
      </c>
      <c r="G199" s="2980">
        <v>0.13</v>
      </c>
    </row>
    <row r="200" spans="1:7">
      <c r="A200" s="2989" t="s">
        <v>304</v>
      </c>
      <c r="B200" s="2978" t="s">
        <v>2897</v>
      </c>
      <c r="C200" s="2995"/>
      <c r="D200" s="2995"/>
      <c r="E200" s="2995"/>
      <c r="F200" s="2979">
        <v>0.13</v>
      </c>
      <c r="G200" s="2991"/>
    </row>
    <row r="201" spans="1:7">
      <c r="A201" s="2989" t="s">
        <v>304</v>
      </c>
      <c r="B201" s="2978" t="s">
        <v>2902</v>
      </c>
      <c r="C201" s="2979">
        <v>0.13</v>
      </c>
      <c r="D201" s="2979">
        <v>0.13</v>
      </c>
      <c r="E201" s="2979">
        <v>0.13</v>
      </c>
      <c r="F201" s="2979">
        <v>0.129</v>
      </c>
      <c r="G201" s="2980">
        <v>0.13</v>
      </c>
    </row>
    <row r="202" spans="1:7">
      <c r="A202" s="2989" t="s">
        <v>304</v>
      </c>
      <c r="B202" s="2978" t="s">
        <v>240</v>
      </c>
      <c r="C202" s="2979">
        <v>0.13</v>
      </c>
      <c r="D202" s="2979">
        <v>0.13</v>
      </c>
      <c r="E202" s="2979">
        <v>0.13</v>
      </c>
      <c r="F202" s="2979">
        <v>0.13</v>
      </c>
      <c r="G202" s="2980">
        <v>0.13</v>
      </c>
    </row>
    <row r="203" spans="1:7">
      <c r="A203" s="2989" t="s">
        <v>304</v>
      </c>
      <c r="B203" s="2978" t="s">
        <v>2905</v>
      </c>
      <c r="C203" s="2979">
        <v>0.129</v>
      </c>
      <c r="D203" s="2979">
        <v>0.129</v>
      </c>
      <c r="E203" s="2979">
        <v>0.13</v>
      </c>
      <c r="F203" s="2979">
        <v>0.13</v>
      </c>
      <c r="G203" s="2980">
        <v>0.13</v>
      </c>
    </row>
    <row r="204" spans="1:7">
      <c r="A204" s="2989" t="s">
        <v>304</v>
      </c>
      <c r="B204" s="2978" t="s">
        <v>2908</v>
      </c>
      <c r="C204" s="2979">
        <v>0.129</v>
      </c>
      <c r="D204" s="2979">
        <v>0.129</v>
      </c>
      <c r="E204" s="2979">
        <v>0.123</v>
      </c>
      <c r="F204" s="2979">
        <v>0.13</v>
      </c>
      <c r="G204" s="2980">
        <v>0.13</v>
      </c>
    </row>
    <row r="205" spans="1:7">
      <c r="A205" s="2989" t="s">
        <v>304</v>
      </c>
      <c r="B205" s="2978" t="s">
        <v>2910</v>
      </c>
      <c r="C205" s="2979">
        <v>0.13</v>
      </c>
      <c r="D205" s="2979">
        <v>0.13</v>
      </c>
      <c r="E205" s="2979">
        <v>0.13</v>
      </c>
      <c r="F205" s="2979">
        <v>0.13</v>
      </c>
      <c r="G205" s="2980">
        <v>0.13</v>
      </c>
    </row>
    <row r="206" spans="1:7">
      <c r="A206" s="2989" t="s">
        <v>304</v>
      </c>
      <c r="B206" s="2978" t="s">
        <v>2913</v>
      </c>
      <c r="C206" s="2979">
        <v>0.13</v>
      </c>
      <c r="D206" s="2979">
        <v>0.13</v>
      </c>
      <c r="E206" s="2979">
        <v>0.13</v>
      </c>
      <c r="F206" s="2979">
        <v>0.128</v>
      </c>
      <c r="G206" s="2980">
        <v>0.13</v>
      </c>
    </row>
    <row r="207" spans="1:7">
      <c r="A207" s="2989" t="s">
        <v>304</v>
      </c>
      <c r="B207" s="2978" t="s">
        <v>2915</v>
      </c>
      <c r="C207" s="2979">
        <v>0.13</v>
      </c>
      <c r="D207" s="2979">
        <v>0.13</v>
      </c>
      <c r="E207" s="2979">
        <v>0.13</v>
      </c>
      <c r="F207" s="2979">
        <v>0.13</v>
      </c>
      <c r="G207" s="2980">
        <v>0.13</v>
      </c>
    </row>
    <row r="208" spans="1:7">
      <c r="A208" s="2989" t="s">
        <v>304</v>
      </c>
      <c r="B208" s="2978" t="s">
        <v>2918</v>
      </c>
      <c r="C208" s="2979">
        <v>0.13</v>
      </c>
      <c r="D208" s="2979">
        <v>0.13</v>
      </c>
      <c r="E208" s="2979">
        <v>0.13</v>
      </c>
      <c r="F208" s="2979">
        <v>0.13</v>
      </c>
      <c r="G208" s="2980">
        <v>0.13</v>
      </c>
    </row>
    <row r="209" spans="1:7">
      <c r="A209" s="2989" t="s">
        <v>304</v>
      </c>
      <c r="B209" s="2978" t="s">
        <v>264</v>
      </c>
      <c r="C209" s="2979">
        <v>0.13</v>
      </c>
      <c r="D209" s="2979">
        <v>0.13</v>
      </c>
      <c r="E209" s="2979">
        <v>0.13</v>
      </c>
      <c r="F209" s="2979">
        <v>0.13</v>
      </c>
      <c r="G209" s="2980">
        <v>0.13</v>
      </c>
    </row>
    <row r="210" spans="1:7">
      <c r="A210" s="2989" t="s">
        <v>304</v>
      </c>
      <c r="B210" s="2978" t="s">
        <v>2925</v>
      </c>
      <c r="C210" s="2979">
        <v>0.121</v>
      </c>
      <c r="D210" s="2979">
        <v>0.121</v>
      </c>
      <c r="E210" s="2979">
        <v>0.125</v>
      </c>
      <c r="F210" s="2979">
        <v>0.13</v>
      </c>
      <c r="G210" s="2980">
        <v>0.123</v>
      </c>
    </row>
    <row r="211" spans="1:7">
      <c r="A211" s="2989" t="s">
        <v>304</v>
      </c>
      <c r="B211" s="2978" t="s">
        <v>2928</v>
      </c>
      <c r="C211" s="2979">
        <v>0.123</v>
      </c>
      <c r="D211" s="2979">
        <v>0.123</v>
      </c>
      <c r="E211" s="2979">
        <v>0.127</v>
      </c>
      <c r="F211" s="2979">
        <v>0.115</v>
      </c>
      <c r="G211" s="2980">
        <v>0.126</v>
      </c>
    </row>
    <row r="212" spans="1:7">
      <c r="A212" s="2989" t="s">
        <v>304</v>
      </c>
      <c r="B212" s="2978" t="s">
        <v>285</v>
      </c>
      <c r="C212" s="2979">
        <v>0.126</v>
      </c>
      <c r="D212" s="2979">
        <v>0.126</v>
      </c>
      <c r="E212" s="2979">
        <v>0.13</v>
      </c>
      <c r="F212" s="2979">
        <v>0.13</v>
      </c>
      <c r="G212" s="2980">
        <v>0.129</v>
      </c>
    </row>
    <row r="213" spans="1:7">
      <c r="A213" s="2989" t="s">
        <v>304</v>
      </c>
      <c r="B213" s="2978" t="s">
        <v>288</v>
      </c>
      <c r="C213" s="2979">
        <v>0.129</v>
      </c>
      <c r="D213" s="2979">
        <v>0.13</v>
      </c>
      <c r="E213" s="2979">
        <v>0.127</v>
      </c>
      <c r="F213" s="2979">
        <v>0.13</v>
      </c>
      <c r="G213" s="2980">
        <v>0.13</v>
      </c>
    </row>
    <row r="214" spans="1:7">
      <c r="A214" s="2989" t="s">
        <v>304</v>
      </c>
      <c r="B214" s="2978" t="s">
        <v>2940</v>
      </c>
      <c r="C214" s="2979">
        <v>0.128</v>
      </c>
      <c r="D214" s="2979">
        <v>0.128</v>
      </c>
      <c r="E214" s="2979">
        <v>0.13</v>
      </c>
      <c r="F214" s="2979">
        <v>0.13</v>
      </c>
      <c r="G214" s="2980">
        <v>0.13</v>
      </c>
    </row>
    <row r="215" spans="1:7">
      <c r="A215" s="2989" t="s">
        <v>304</v>
      </c>
      <c r="B215" s="2978" t="s">
        <v>2944</v>
      </c>
      <c r="C215" s="2979">
        <v>0.13</v>
      </c>
      <c r="D215" s="2979">
        <v>0.13</v>
      </c>
      <c r="E215" s="2979">
        <v>0.13</v>
      </c>
      <c r="F215" s="2979">
        <v>0.129</v>
      </c>
      <c r="G215" s="2980">
        <v>0.13</v>
      </c>
    </row>
    <row r="216" spans="1:7">
      <c r="A216" s="2989" t="s">
        <v>304</v>
      </c>
      <c r="B216" s="2978" t="s">
        <v>2951</v>
      </c>
      <c r="C216" s="2979">
        <v>0.13</v>
      </c>
      <c r="D216" s="2979">
        <v>0.13</v>
      </c>
      <c r="E216" s="2979">
        <v>0.13</v>
      </c>
      <c r="F216" s="2979">
        <v>0.13</v>
      </c>
      <c r="G216" s="2980">
        <v>0.13</v>
      </c>
    </row>
    <row r="217" spans="1:7">
      <c r="A217" s="2989" t="s">
        <v>304</v>
      </c>
      <c r="B217" s="2978" t="s">
        <v>2958</v>
      </c>
      <c r="C217" s="2979">
        <v>0.129</v>
      </c>
      <c r="D217" s="2979">
        <v>0.129</v>
      </c>
      <c r="E217" s="2979">
        <v>0.13</v>
      </c>
      <c r="F217" s="2979">
        <v>0.13</v>
      </c>
      <c r="G217" s="2980">
        <v>0.13</v>
      </c>
    </row>
    <row r="218" spans="1:7">
      <c r="A218" s="2989" t="s">
        <v>304</v>
      </c>
      <c r="B218" s="2978" t="s">
        <v>2964</v>
      </c>
      <c r="C218" s="2990"/>
      <c r="D218" s="2990"/>
      <c r="E218" s="2990"/>
      <c r="F218" s="2979">
        <v>0.05</v>
      </c>
      <c r="G218" s="2996"/>
    </row>
    <row r="219" spans="1:7">
      <c r="A219" s="2989" t="s">
        <v>304</v>
      </c>
      <c r="B219" s="2978" t="s">
        <v>2971</v>
      </c>
      <c r="C219" s="2990"/>
      <c r="D219" s="2990"/>
      <c r="E219" s="2990"/>
      <c r="F219" s="2979">
        <v>0.05</v>
      </c>
      <c r="G219" s="2996"/>
    </row>
    <row r="220" spans="1:7">
      <c r="A220" s="2989" t="s">
        <v>304</v>
      </c>
      <c r="B220" s="2978" t="s">
        <v>2977</v>
      </c>
      <c r="C220" s="2990"/>
      <c r="D220" s="2990"/>
      <c r="E220" s="2990"/>
      <c r="F220" s="2979">
        <v>0.05</v>
      </c>
      <c r="G220" s="2996"/>
    </row>
    <row r="221" spans="1:7">
      <c r="A221" s="2989" t="s">
        <v>304</v>
      </c>
      <c r="B221" s="2978" t="s">
        <v>2982</v>
      </c>
      <c r="C221" s="2990"/>
      <c r="D221" s="2990"/>
      <c r="E221" s="2990"/>
      <c r="F221" s="2979">
        <v>0.05</v>
      </c>
      <c r="G221" s="2996"/>
    </row>
    <row r="222" spans="1:7">
      <c r="A222" s="2989" t="s">
        <v>304</v>
      </c>
      <c r="B222" s="2978" t="s">
        <v>2986</v>
      </c>
      <c r="C222" s="2990"/>
      <c r="D222" s="2990"/>
      <c r="E222" s="2990"/>
      <c r="F222" s="2979">
        <v>0.05</v>
      </c>
      <c r="G222" s="2996"/>
    </row>
    <row r="223" spans="1:7">
      <c r="A223" s="2989" t="s">
        <v>304</v>
      </c>
      <c r="B223" s="2978" t="s">
        <v>2991</v>
      </c>
      <c r="C223" s="2990"/>
      <c r="D223" s="2990"/>
      <c r="E223" s="2990"/>
      <c r="F223" s="2979">
        <v>0.05</v>
      </c>
      <c r="G223" s="2996"/>
    </row>
    <row r="224" spans="1:7">
      <c r="A224" s="2989" t="s">
        <v>304</v>
      </c>
      <c r="B224" s="2978" t="s">
        <v>2996</v>
      </c>
      <c r="C224" s="2990"/>
      <c r="D224" s="2990"/>
      <c r="E224" s="2990"/>
      <c r="F224" s="2979">
        <v>0.05</v>
      </c>
      <c r="G224" s="2996"/>
    </row>
    <row r="225" spans="1:7">
      <c r="A225" s="2989" t="s">
        <v>304</v>
      </c>
      <c r="B225" s="2978" t="s">
        <v>3001</v>
      </c>
      <c r="C225" s="2990"/>
      <c r="D225" s="2990"/>
      <c r="E225" s="2990"/>
      <c r="F225" s="2979">
        <v>0.05</v>
      </c>
      <c r="G225" s="2996"/>
    </row>
    <row r="226" spans="1:7">
      <c r="A226" s="2989" t="s">
        <v>304</v>
      </c>
      <c r="B226" s="2978" t="s">
        <v>3203</v>
      </c>
      <c r="C226" s="2990"/>
      <c r="D226" s="2990"/>
      <c r="E226" s="2990"/>
      <c r="F226" s="2979">
        <v>0.05</v>
      </c>
      <c r="G226" s="2996"/>
    </row>
    <row r="227" spans="1:7">
      <c r="A227" s="2989" t="s">
        <v>304</v>
      </c>
      <c r="B227" s="2978" t="s">
        <v>3204</v>
      </c>
      <c r="C227" s="2990"/>
      <c r="D227" s="2990"/>
      <c r="E227" s="2990"/>
      <c r="F227" s="2979">
        <v>0.05</v>
      </c>
      <c r="G227" s="2996"/>
    </row>
    <row r="228" spans="1:7">
      <c r="A228" s="2989" t="s">
        <v>304</v>
      </c>
      <c r="B228" s="2978" t="s">
        <v>3205</v>
      </c>
      <c r="C228" s="2990"/>
      <c r="D228" s="2990"/>
      <c r="E228" s="2990"/>
      <c r="F228" s="2979">
        <v>0.05</v>
      </c>
      <c r="G228" s="2996"/>
    </row>
    <row r="229" spans="1:7">
      <c r="A229" s="2989" t="s">
        <v>304</v>
      </c>
      <c r="B229" s="2978" t="s">
        <v>3206</v>
      </c>
      <c r="C229" s="2990"/>
      <c r="D229" s="2990"/>
      <c r="E229" s="2990"/>
      <c r="F229" s="2979">
        <v>0.05</v>
      </c>
      <c r="G229" s="2996"/>
    </row>
    <row r="230" spans="1:7">
      <c r="A230" s="2989" t="s">
        <v>304</v>
      </c>
      <c r="B230" s="2978" t="s">
        <v>3207</v>
      </c>
      <c r="C230" s="2990"/>
      <c r="D230" s="2990"/>
      <c r="E230" s="2990"/>
      <c r="F230" s="2979">
        <v>0.05</v>
      </c>
      <c r="G230" s="2996"/>
    </row>
    <row r="231" spans="1:7">
      <c r="A231" s="2989" t="s">
        <v>304</v>
      </c>
      <c r="B231" s="2978" t="s">
        <v>3208</v>
      </c>
      <c r="C231" s="2990"/>
      <c r="D231" s="2990"/>
      <c r="E231" s="2990"/>
      <c r="F231" s="2979">
        <v>0.05</v>
      </c>
      <c r="G231" s="2996"/>
    </row>
    <row r="232" spans="1:7">
      <c r="A232" s="2989" t="s">
        <v>304</v>
      </c>
      <c r="B232" s="2978" t="s">
        <v>3209</v>
      </c>
      <c r="C232" s="2990"/>
      <c r="D232" s="2990"/>
      <c r="E232" s="2990"/>
      <c r="F232" s="2979">
        <v>0.05</v>
      </c>
      <c r="G232" s="2996"/>
    </row>
    <row r="233" spans="1:7" ht="14.25" thickBot="1">
      <c r="A233" s="2992" t="s">
        <v>304</v>
      </c>
      <c r="B233" s="2982" t="s">
        <v>3210</v>
      </c>
      <c r="C233" s="2984"/>
      <c r="D233" s="2984"/>
      <c r="E233" s="2984"/>
      <c r="F233" s="2983">
        <v>0.05</v>
      </c>
      <c r="G233" s="2997"/>
    </row>
    <row r="234" spans="1:7">
      <c r="A234" s="2988" t="s">
        <v>305</v>
      </c>
      <c r="B234" s="2974" t="s">
        <v>2859</v>
      </c>
      <c r="C234" s="2975">
        <v>0.13</v>
      </c>
      <c r="D234" s="2975">
        <v>0.128</v>
      </c>
      <c r="E234" s="2975">
        <v>0.14199999999999999</v>
      </c>
      <c r="F234" s="2975">
        <v>0.14699999999999999</v>
      </c>
      <c r="G234" s="2976">
        <v>0.14000000000000001</v>
      </c>
    </row>
    <row r="235" spans="1:7">
      <c r="A235" s="2989" t="s">
        <v>305</v>
      </c>
      <c r="B235" s="2978" t="s">
        <v>134</v>
      </c>
      <c r="C235" s="2979">
        <v>0.13600000000000001</v>
      </c>
      <c r="D235" s="2979">
        <v>0.13800000000000001</v>
      </c>
      <c r="E235" s="2979">
        <v>0.14499999999999999</v>
      </c>
      <c r="F235" s="2979">
        <v>0.14299999999999999</v>
      </c>
      <c r="G235" s="2980">
        <v>0.14099999999999999</v>
      </c>
    </row>
    <row r="236" spans="1:7">
      <c r="A236" s="2989" t="s">
        <v>305</v>
      </c>
      <c r="B236" s="2978" t="s">
        <v>143</v>
      </c>
      <c r="C236" s="2979">
        <v>0.15</v>
      </c>
      <c r="D236" s="2979">
        <v>0.15</v>
      </c>
      <c r="E236" s="2979">
        <v>0.15</v>
      </c>
      <c r="F236" s="2979">
        <v>0.15</v>
      </c>
      <c r="G236" s="2980">
        <v>0.15</v>
      </c>
    </row>
    <row r="237" spans="1:7">
      <c r="A237" s="2989" t="s">
        <v>305</v>
      </c>
      <c r="B237" s="2978" t="s">
        <v>152</v>
      </c>
      <c r="C237" s="2979">
        <v>0.15</v>
      </c>
      <c r="D237" s="2979">
        <v>0.15</v>
      </c>
      <c r="E237" s="2979">
        <v>0.15</v>
      </c>
      <c r="F237" s="2979">
        <v>0.15</v>
      </c>
      <c r="G237" s="2980">
        <v>0.15</v>
      </c>
    </row>
    <row r="238" spans="1:7">
      <c r="A238" s="2989" t="s">
        <v>305</v>
      </c>
      <c r="B238" s="2978" t="s">
        <v>2879</v>
      </c>
      <c r="C238" s="2979">
        <v>0.14899999999999999</v>
      </c>
      <c r="D238" s="2979">
        <v>0.14899999999999999</v>
      </c>
      <c r="E238" s="2979">
        <v>0.15</v>
      </c>
      <c r="F238" s="2979">
        <v>0.15</v>
      </c>
      <c r="G238" s="2980">
        <v>0.15</v>
      </c>
    </row>
    <row r="239" spans="1:7">
      <c r="A239" s="2989" t="s">
        <v>305</v>
      </c>
      <c r="B239" s="2978" t="s">
        <v>2883</v>
      </c>
      <c r="C239" s="2979">
        <v>0.15</v>
      </c>
      <c r="D239" s="2979">
        <v>0.15</v>
      </c>
      <c r="E239" s="2979">
        <v>0.15</v>
      </c>
      <c r="F239" s="2979">
        <v>0.15</v>
      </c>
      <c r="G239" s="2980">
        <v>0.15</v>
      </c>
    </row>
    <row r="240" spans="1:7">
      <c r="A240" s="2989" t="s">
        <v>305</v>
      </c>
      <c r="B240" s="2978" t="s">
        <v>2888</v>
      </c>
      <c r="C240" s="2979">
        <v>0.15</v>
      </c>
      <c r="D240" s="2979">
        <v>0.15</v>
      </c>
      <c r="E240" s="2979">
        <v>0.15</v>
      </c>
      <c r="F240" s="2979">
        <v>0.15</v>
      </c>
      <c r="G240" s="2980">
        <v>0.15</v>
      </c>
    </row>
    <row r="241" spans="1:7">
      <c r="A241" s="2989" t="s">
        <v>305</v>
      </c>
      <c r="B241" s="2978" t="s">
        <v>2892</v>
      </c>
      <c r="C241" s="2979">
        <v>0.14099999999999999</v>
      </c>
      <c r="D241" s="2979">
        <v>0.14199999999999999</v>
      </c>
      <c r="E241" s="2979">
        <v>0.14899999999999999</v>
      </c>
      <c r="F241" s="2979">
        <v>0.15</v>
      </c>
      <c r="G241" s="2980">
        <v>0.14399999999999999</v>
      </c>
    </row>
    <row r="242" spans="1:7">
      <c r="A242" s="2989" t="s">
        <v>305</v>
      </c>
      <c r="B242" s="2978" t="s">
        <v>181</v>
      </c>
      <c r="C242" s="2979">
        <v>0.14099999999999999</v>
      </c>
      <c r="D242" s="2979">
        <v>0.14199999999999999</v>
      </c>
      <c r="E242" s="2979">
        <v>0.14799999999999999</v>
      </c>
      <c r="F242" s="2979">
        <v>0.127</v>
      </c>
      <c r="G242" s="2980">
        <v>0.14399999999999999</v>
      </c>
    </row>
    <row r="243" spans="1:7">
      <c r="A243" s="2989" t="s">
        <v>305</v>
      </c>
      <c r="B243" s="2978" t="s">
        <v>191</v>
      </c>
      <c r="C243" s="2979">
        <v>0.14699999999999999</v>
      </c>
      <c r="D243" s="2979">
        <v>0.14699999999999999</v>
      </c>
      <c r="E243" s="2979">
        <v>0.15</v>
      </c>
      <c r="F243" s="2979">
        <v>0.15</v>
      </c>
      <c r="G243" s="2980">
        <v>0.14899999999999999</v>
      </c>
    </row>
    <row r="244" spans="1:7">
      <c r="A244" s="2989" t="s">
        <v>305</v>
      </c>
      <c r="B244" s="2978" t="s">
        <v>2898</v>
      </c>
      <c r="C244" s="2979">
        <v>0.15</v>
      </c>
      <c r="D244" s="2979">
        <v>0.15</v>
      </c>
      <c r="E244" s="2979">
        <v>0.15</v>
      </c>
      <c r="F244" s="2979">
        <v>0.15</v>
      </c>
      <c r="G244" s="2980">
        <v>0.15</v>
      </c>
    </row>
    <row r="245" spans="1:7">
      <c r="A245" s="2989" t="s">
        <v>305</v>
      </c>
      <c r="B245" s="2978" t="s">
        <v>206</v>
      </c>
      <c r="C245" s="2979">
        <v>0.14199999999999999</v>
      </c>
      <c r="D245" s="2979">
        <v>0.14199999999999999</v>
      </c>
      <c r="E245" s="2979">
        <v>0.15</v>
      </c>
      <c r="F245" s="2979">
        <v>0.15</v>
      </c>
      <c r="G245" s="2980">
        <v>0.14499999999999999</v>
      </c>
    </row>
    <row r="246" spans="1:7">
      <c r="A246" s="2989" t="s">
        <v>305</v>
      </c>
      <c r="B246" s="2978" t="s">
        <v>213</v>
      </c>
      <c r="C246" s="2979">
        <v>0.14199999999999999</v>
      </c>
      <c r="D246" s="2979">
        <v>0.14299999999999999</v>
      </c>
      <c r="E246" s="2979">
        <v>0.15</v>
      </c>
      <c r="F246" s="2979">
        <v>0.14199999999999999</v>
      </c>
      <c r="G246" s="2980">
        <v>0.14399999999999999</v>
      </c>
    </row>
    <row r="247" spans="1:7">
      <c r="A247" s="2989" t="s">
        <v>305</v>
      </c>
      <c r="B247" s="2978" t="s">
        <v>2906</v>
      </c>
      <c r="C247" s="2979">
        <v>0.14899999999999999</v>
      </c>
      <c r="D247" s="2979">
        <v>0.14899999999999999</v>
      </c>
      <c r="E247" s="2979">
        <v>0.15</v>
      </c>
      <c r="F247" s="2979">
        <v>0.15</v>
      </c>
      <c r="G247" s="2980">
        <v>0.15</v>
      </c>
    </row>
    <row r="248" spans="1:7">
      <c r="A248" s="2989" t="s">
        <v>305</v>
      </c>
      <c r="B248" s="2978" t="s">
        <v>227</v>
      </c>
      <c r="C248" s="2979">
        <v>0.14399999999999999</v>
      </c>
      <c r="D248" s="2979">
        <v>0.14399999999999999</v>
      </c>
      <c r="E248" s="2979">
        <v>0.14899999999999999</v>
      </c>
      <c r="F248" s="2979">
        <v>0.14799999999999999</v>
      </c>
      <c r="G248" s="2980">
        <v>0.14599999999999999</v>
      </c>
    </row>
    <row r="249" spans="1:7">
      <c r="A249" s="2989" t="s">
        <v>305</v>
      </c>
      <c r="B249" s="2978" t="s">
        <v>2911</v>
      </c>
      <c r="C249" s="2979">
        <v>0.14000000000000001</v>
      </c>
      <c r="D249" s="2979">
        <v>0.14000000000000001</v>
      </c>
      <c r="E249" s="2979">
        <v>0.14699999999999999</v>
      </c>
      <c r="F249" s="2979">
        <v>0.14899999999999999</v>
      </c>
      <c r="G249" s="2980">
        <v>0.14199999999999999</v>
      </c>
    </row>
    <row r="250" spans="1:7">
      <c r="A250" s="2989" t="s">
        <v>305</v>
      </c>
      <c r="B250" s="2978" t="s">
        <v>241</v>
      </c>
      <c r="C250" s="2979">
        <v>0.14399999999999999</v>
      </c>
      <c r="D250" s="2979">
        <v>0.14299999999999999</v>
      </c>
      <c r="E250" s="2979">
        <v>0.14899999999999999</v>
      </c>
      <c r="F250" s="2979">
        <v>0.15</v>
      </c>
      <c r="G250" s="2980">
        <v>0.14599999999999999</v>
      </c>
    </row>
    <row r="251" spans="1:7">
      <c r="A251" s="2989" t="s">
        <v>305</v>
      </c>
      <c r="B251" s="2978" t="s">
        <v>249</v>
      </c>
      <c r="C251" s="2995"/>
      <c r="D251" s="2990"/>
      <c r="E251" s="2990"/>
      <c r="F251" s="2979">
        <v>0.1</v>
      </c>
      <c r="G251" s="2996"/>
    </row>
    <row r="252" spans="1:7">
      <c r="A252" s="2989" t="s">
        <v>305</v>
      </c>
      <c r="B252" s="2978" t="s">
        <v>2919</v>
      </c>
      <c r="C252" s="2979">
        <v>0.14399999999999999</v>
      </c>
      <c r="D252" s="2979">
        <v>0.14399999999999999</v>
      </c>
      <c r="E252" s="2979">
        <v>0.15</v>
      </c>
      <c r="F252" s="2979">
        <v>0.14899999999999999</v>
      </c>
      <c r="G252" s="2980">
        <v>0.14599999999999999</v>
      </c>
    </row>
    <row r="253" spans="1:7">
      <c r="A253" s="2989" t="s">
        <v>305</v>
      </c>
      <c r="B253" s="2978" t="s">
        <v>283</v>
      </c>
      <c r="C253" s="2979">
        <v>0.14199999999999999</v>
      </c>
      <c r="D253" s="2979">
        <v>0.14199999999999999</v>
      </c>
      <c r="E253" s="2979">
        <v>0.14599999999999999</v>
      </c>
      <c r="F253" s="2979">
        <v>0.14799999999999999</v>
      </c>
      <c r="G253" s="2980">
        <v>0.14499999999999999</v>
      </c>
    </row>
    <row r="254" spans="1:7">
      <c r="A254" s="2989" t="s">
        <v>305</v>
      </c>
      <c r="B254" s="2978" t="s">
        <v>286</v>
      </c>
      <c r="C254" s="2979">
        <v>0.15</v>
      </c>
      <c r="D254" s="2979">
        <v>0.15</v>
      </c>
      <c r="E254" s="2979">
        <v>0.15</v>
      </c>
      <c r="F254" s="2979">
        <v>0.15</v>
      </c>
      <c r="G254" s="2980">
        <v>0.15</v>
      </c>
    </row>
    <row r="255" spans="1:7">
      <c r="A255" s="2989" t="s">
        <v>305</v>
      </c>
      <c r="B255" s="2978" t="s">
        <v>289</v>
      </c>
      <c r="C255" s="2979">
        <v>0.14299999999999999</v>
      </c>
      <c r="D255" s="2979">
        <v>0.14299999999999999</v>
      </c>
      <c r="E255" s="2979">
        <v>0.15</v>
      </c>
      <c r="F255" s="2979">
        <v>0.15</v>
      </c>
      <c r="G255" s="2980">
        <v>0.14499999999999999</v>
      </c>
    </row>
    <row r="256" spans="1:7">
      <c r="A256" s="2989" t="s">
        <v>305</v>
      </c>
      <c r="B256" s="2978" t="s">
        <v>2932</v>
      </c>
      <c r="C256" s="2979">
        <v>0.15</v>
      </c>
      <c r="D256" s="2979">
        <v>0.15</v>
      </c>
      <c r="E256" s="2979">
        <v>0.15</v>
      </c>
      <c r="F256" s="2979">
        <v>0.14599999999999999</v>
      </c>
      <c r="G256" s="2980">
        <v>0.15</v>
      </c>
    </row>
    <row r="257" spans="1:7">
      <c r="A257" s="2989" t="s">
        <v>305</v>
      </c>
      <c r="B257" s="2978" t="s">
        <v>275</v>
      </c>
      <c r="C257" s="2979">
        <v>0.14199999999999999</v>
      </c>
      <c r="D257" s="2979">
        <v>0.14299999999999999</v>
      </c>
      <c r="E257" s="2979">
        <v>0.14799999999999999</v>
      </c>
      <c r="F257" s="2979">
        <v>0.15</v>
      </c>
      <c r="G257" s="2980">
        <v>0.14499999999999999</v>
      </c>
    </row>
    <row r="258" spans="1:7">
      <c r="A258" s="2989" t="s">
        <v>305</v>
      </c>
      <c r="B258" s="2978" t="s">
        <v>2941</v>
      </c>
      <c r="C258" s="2979">
        <v>0.14299999999999999</v>
      </c>
      <c r="D258" s="2979">
        <v>0.14299999999999999</v>
      </c>
      <c r="E258" s="2979">
        <v>0.15</v>
      </c>
      <c r="F258" s="2979">
        <v>0.14799999999999999</v>
      </c>
      <c r="G258" s="2980">
        <v>0.14599999999999999</v>
      </c>
    </row>
    <row r="259" spans="1:7">
      <c r="A259" s="2989" t="s">
        <v>305</v>
      </c>
      <c r="B259" s="2978" t="s">
        <v>2945</v>
      </c>
      <c r="C259" s="2979">
        <v>0.14399999999999999</v>
      </c>
      <c r="D259" s="2979">
        <v>0.14399999999999999</v>
      </c>
      <c r="E259" s="2979">
        <v>0.14899999999999999</v>
      </c>
      <c r="F259" s="2979">
        <v>0.14699999999999999</v>
      </c>
      <c r="G259" s="2980">
        <v>0.14599999999999999</v>
      </c>
    </row>
    <row r="260" spans="1:7">
      <c r="A260" s="2989" t="s">
        <v>305</v>
      </c>
      <c r="B260" s="2978" t="s">
        <v>2952</v>
      </c>
      <c r="C260" s="2979">
        <v>0.109</v>
      </c>
      <c r="D260" s="2979">
        <v>0.111</v>
      </c>
      <c r="E260" s="2979">
        <v>0.13100000000000001</v>
      </c>
      <c r="F260" s="2979">
        <v>0.126</v>
      </c>
      <c r="G260" s="2980">
        <v>0.11899999999999999</v>
      </c>
    </row>
    <row r="261" spans="1:7">
      <c r="A261" s="2989" t="s">
        <v>305</v>
      </c>
      <c r="B261" s="2978" t="s">
        <v>2959</v>
      </c>
      <c r="C261" s="2979">
        <v>0.1</v>
      </c>
      <c r="D261" s="2979">
        <v>0.1</v>
      </c>
      <c r="E261" s="2979">
        <v>0.11799999999999999</v>
      </c>
      <c r="F261" s="2979">
        <v>0.108</v>
      </c>
      <c r="G261" s="2980">
        <v>0.107</v>
      </c>
    </row>
    <row r="262" spans="1:7">
      <c r="A262" s="2989" t="s">
        <v>305</v>
      </c>
      <c r="B262" s="2978" t="s">
        <v>2965</v>
      </c>
      <c r="C262" s="2979">
        <v>0.1</v>
      </c>
      <c r="D262" s="2979">
        <v>0.1</v>
      </c>
      <c r="E262" s="2979">
        <v>0.1</v>
      </c>
      <c r="F262" s="2979">
        <v>0.14099999999999999</v>
      </c>
      <c r="G262" s="2980">
        <v>0.1</v>
      </c>
    </row>
    <row r="263" spans="1:7">
      <c r="A263" s="2989" t="s">
        <v>305</v>
      </c>
      <c r="B263" s="2978" t="s">
        <v>2972</v>
      </c>
      <c r="C263" s="2979">
        <v>0.14799999999999999</v>
      </c>
      <c r="D263" s="2979">
        <v>0.14799999999999999</v>
      </c>
      <c r="E263" s="2979">
        <v>0.15</v>
      </c>
      <c r="F263" s="2979">
        <v>0.14699999999999999</v>
      </c>
      <c r="G263" s="2980">
        <v>0.15</v>
      </c>
    </row>
    <row r="264" spans="1:7">
      <c r="A264" s="2989" t="s">
        <v>305</v>
      </c>
      <c r="B264" s="2978" t="s">
        <v>299</v>
      </c>
      <c r="C264" s="2979">
        <v>0.14299999999999999</v>
      </c>
      <c r="D264" s="2979">
        <v>0.14299999999999999</v>
      </c>
      <c r="E264" s="2979">
        <v>0.15</v>
      </c>
      <c r="F264" s="2979">
        <v>0.14899999999999999</v>
      </c>
      <c r="G264" s="2980">
        <v>0.14599999999999999</v>
      </c>
    </row>
    <row r="265" spans="1:7">
      <c r="A265" s="2989" t="s">
        <v>305</v>
      </c>
      <c r="B265" s="2978" t="s">
        <v>2983</v>
      </c>
      <c r="C265" s="2990"/>
      <c r="D265" s="2990"/>
      <c r="E265" s="2990"/>
      <c r="F265" s="2979">
        <v>0.05</v>
      </c>
      <c r="G265" s="2996"/>
    </row>
    <row r="266" spans="1:7">
      <c r="A266" s="2989" t="s">
        <v>305</v>
      </c>
      <c r="B266" s="2978" t="s">
        <v>2987</v>
      </c>
      <c r="C266" s="2990"/>
      <c r="D266" s="2990"/>
      <c r="E266" s="2990"/>
      <c r="F266" s="2979">
        <v>0.05</v>
      </c>
      <c r="G266" s="2996"/>
    </row>
    <row r="267" spans="1:7">
      <c r="A267" s="2989" t="s">
        <v>305</v>
      </c>
      <c r="B267" s="2978" t="s">
        <v>2992</v>
      </c>
      <c r="C267" s="2990"/>
      <c r="D267" s="2990"/>
      <c r="E267" s="2990"/>
      <c r="F267" s="2979">
        <v>0.05</v>
      </c>
      <c r="G267" s="2996"/>
    </row>
    <row r="268" spans="1:7">
      <c r="A268" s="2989" t="s">
        <v>305</v>
      </c>
      <c r="B268" s="2978" t="s">
        <v>2997</v>
      </c>
      <c r="C268" s="2990"/>
      <c r="D268" s="2990"/>
      <c r="E268" s="2990"/>
      <c r="F268" s="2979">
        <v>0.05</v>
      </c>
      <c r="G268" s="2996"/>
    </row>
    <row r="269" spans="1:7">
      <c r="A269" s="2989" t="s">
        <v>305</v>
      </c>
      <c r="B269" s="2978" t="s">
        <v>3002</v>
      </c>
      <c r="C269" s="2990"/>
      <c r="D269" s="2990"/>
      <c r="E269" s="2990"/>
      <c r="F269" s="2979">
        <v>0.05</v>
      </c>
      <c r="G269" s="2996"/>
    </row>
    <row r="270" spans="1:7">
      <c r="A270" s="2989" t="s">
        <v>305</v>
      </c>
      <c r="B270" s="2978" t="s">
        <v>3007</v>
      </c>
      <c r="C270" s="2990"/>
      <c r="D270" s="2990"/>
      <c r="E270" s="2990"/>
      <c r="F270" s="2979">
        <v>0.05</v>
      </c>
      <c r="G270" s="2996"/>
    </row>
    <row r="271" spans="1:7">
      <c r="A271" s="2989" t="s">
        <v>305</v>
      </c>
      <c r="B271" s="2978" t="s">
        <v>3211</v>
      </c>
      <c r="C271" s="2990"/>
      <c r="D271" s="2990"/>
      <c r="E271" s="2990"/>
      <c r="F271" s="2979">
        <v>0.05</v>
      </c>
      <c r="G271" s="2996"/>
    </row>
    <row r="272" spans="1:7">
      <c r="A272" s="2989" t="s">
        <v>305</v>
      </c>
      <c r="B272" s="2978" t="s">
        <v>3212</v>
      </c>
      <c r="C272" s="2990"/>
      <c r="D272" s="2990"/>
      <c r="E272" s="2990"/>
      <c r="F272" s="2979">
        <v>0.05</v>
      </c>
      <c r="G272" s="2996"/>
    </row>
    <row r="273" spans="1:7">
      <c r="A273" s="2989" t="s">
        <v>305</v>
      </c>
      <c r="B273" s="2978" t="s">
        <v>3213</v>
      </c>
      <c r="C273" s="2990"/>
      <c r="D273" s="2990"/>
      <c r="E273" s="2990"/>
      <c r="F273" s="2979">
        <v>0.05</v>
      </c>
      <c r="G273" s="2996"/>
    </row>
    <row r="274" spans="1:7">
      <c r="A274" s="2989" t="s">
        <v>305</v>
      </c>
      <c r="B274" s="2978" t="s">
        <v>3214</v>
      </c>
      <c r="C274" s="2990"/>
      <c r="D274" s="2990"/>
      <c r="E274" s="2990"/>
      <c r="F274" s="2979">
        <v>0.05</v>
      </c>
      <c r="G274" s="2996"/>
    </row>
    <row r="275" spans="1:7">
      <c r="A275" s="2989" t="s">
        <v>305</v>
      </c>
      <c r="B275" s="2978" t="s">
        <v>3215</v>
      </c>
      <c r="C275" s="2990"/>
      <c r="D275" s="2990"/>
      <c r="E275" s="2990"/>
      <c r="F275" s="2979">
        <v>0.05</v>
      </c>
      <c r="G275" s="2996"/>
    </row>
    <row r="276" spans="1:7" ht="14.25" thickBot="1">
      <c r="A276" s="2992" t="s">
        <v>305</v>
      </c>
      <c r="B276" s="2982" t="s">
        <v>3216</v>
      </c>
      <c r="C276" s="2984"/>
      <c r="D276" s="2984"/>
      <c r="E276" s="2984"/>
      <c r="F276" s="2983">
        <v>0.05</v>
      </c>
      <c r="G276" s="2997"/>
    </row>
    <row r="277" spans="1:7">
      <c r="A277" s="2988" t="s">
        <v>306</v>
      </c>
      <c r="B277" s="2974" t="s">
        <v>2860</v>
      </c>
      <c r="C277" s="2975">
        <v>0.15</v>
      </c>
      <c r="D277" s="2975">
        <v>0.15</v>
      </c>
      <c r="E277" s="2975">
        <v>0.15</v>
      </c>
      <c r="F277" s="2975">
        <v>0.15</v>
      </c>
      <c r="G277" s="2976">
        <v>0.15</v>
      </c>
    </row>
    <row r="278" spans="1:7">
      <c r="A278" s="2989" t="s">
        <v>306</v>
      </c>
      <c r="B278" s="2978" t="s">
        <v>135</v>
      </c>
      <c r="C278" s="2979">
        <v>0.15</v>
      </c>
      <c r="D278" s="2979">
        <v>0.15</v>
      </c>
      <c r="E278" s="2979">
        <v>0.15</v>
      </c>
      <c r="F278" s="2979">
        <v>0.15</v>
      </c>
      <c r="G278" s="2980">
        <v>0.15</v>
      </c>
    </row>
    <row r="279" spans="1:7">
      <c r="A279" s="2989" t="s">
        <v>306</v>
      </c>
      <c r="B279" s="2978" t="s">
        <v>2872</v>
      </c>
      <c r="C279" s="2979">
        <v>0.15</v>
      </c>
      <c r="D279" s="2979">
        <v>0.15</v>
      </c>
      <c r="E279" s="2979">
        <v>0.15</v>
      </c>
      <c r="F279" s="2979">
        <v>0.15</v>
      </c>
      <c r="G279" s="2980">
        <v>0.15</v>
      </c>
    </row>
    <row r="280" spans="1:7">
      <c r="A280" s="2989" t="s">
        <v>306</v>
      </c>
      <c r="B280" s="2978" t="s">
        <v>2876</v>
      </c>
      <c r="C280" s="2979">
        <v>0.15</v>
      </c>
      <c r="D280" s="2979">
        <v>0.15</v>
      </c>
      <c r="E280" s="2979">
        <v>0.15</v>
      </c>
      <c r="F280" s="2979">
        <v>0.15</v>
      </c>
      <c r="G280" s="2980">
        <v>0.15</v>
      </c>
    </row>
    <row r="281" spans="1:7">
      <c r="A281" s="2989" t="s">
        <v>306</v>
      </c>
      <c r="B281" s="2978" t="s">
        <v>2880</v>
      </c>
      <c r="C281" s="2979">
        <v>0.15</v>
      </c>
      <c r="D281" s="2979">
        <v>0.15</v>
      </c>
      <c r="E281" s="2979">
        <v>0.15</v>
      </c>
      <c r="F281" s="2979">
        <v>0.15</v>
      </c>
      <c r="G281" s="2980">
        <v>0.15</v>
      </c>
    </row>
    <row r="282" spans="1:7">
      <c r="A282" s="2989" t="s">
        <v>306</v>
      </c>
      <c r="B282" s="2978" t="s">
        <v>2884</v>
      </c>
      <c r="C282" s="2979">
        <v>0.15</v>
      </c>
      <c r="D282" s="2979">
        <v>0.15</v>
      </c>
      <c r="E282" s="2979">
        <v>0.15</v>
      </c>
      <c r="F282" s="2979">
        <v>0.14499999999999999</v>
      </c>
      <c r="G282" s="2980">
        <v>0.15</v>
      </c>
    </row>
    <row r="283" spans="1:7">
      <c r="A283" s="2989" t="s">
        <v>306</v>
      </c>
      <c r="B283" s="2978" t="s">
        <v>174</v>
      </c>
      <c r="C283" s="2979">
        <v>0.15</v>
      </c>
      <c r="D283" s="2979">
        <v>0.15</v>
      </c>
      <c r="E283" s="2979">
        <v>0.15</v>
      </c>
      <c r="F283" s="2979">
        <v>0.14199999999999999</v>
      </c>
      <c r="G283" s="2980">
        <v>0.15</v>
      </c>
    </row>
    <row r="284" spans="1:7">
      <c r="A284" s="2989" t="s">
        <v>306</v>
      </c>
      <c r="B284" s="2978" t="s">
        <v>182</v>
      </c>
      <c r="C284" s="2979">
        <v>0.15</v>
      </c>
      <c r="D284" s="2979">
        <v>0.15</v>
      </c>
      <c r="E284" s="2979">
        <v>0.15</v>
      </c>
      <c r="F284" s="2979">
        <v>0.15</v>
      </c>
      <c r="G284" s="2980">
        <v>0.15</v>
      </c>
    </row>
    <row r="285" spans="1:7">
      <c r="A285" s="2989" t="s">
        <v>306</v>
      </c>
      <c r="B285" s="2978" t="s">
        <v>192</v>
      </c>
      <c r="C285" s="2979">
        <v>0.15</v>
      </c>
      <c r="D285" s="2979">
        <v>0.15</v>
      </c>
      <c r="E285" s="2979">
        <v>0.15</v>
      </c>
      <c r="F285" s="2979">
        <v>0.15</v>
      </c>
      <c r="G285" s="2980">
        <v>0.15</v>
      </c>
    </row>
    <row r="286" spans="1:7">
      <c r="A286" s="2989" t="s">
        <v>306</v>
      </c>
      <c r="B286" s="2978" t="s">
        <v>199</v>
      </c>
      <c r="C286" s="2979">
        <v>0.14499999999999999</v>
      </c>
      <c r="D286" s="2979">
        <v>0.14499999999999999</v>
      </c>
      <c r="E286" s="2979">
        <v>0.15</v>
      </c>
      <c r="F286" s="2979">
        <v>0.14099999999999999</v>
      </c>
      <c r="G286" s="2980">
        <v>0.14499999999999999</v>
      </c>
    </row>
    <row r="287" spans="1:7">
      <c r="A287" s="2989" t="s">
        <v>306</v>
      </c>
      <c r="B287" s="2978" t="s">
        <v>2899</v>
      </c>
      <c r="C287" s="2979">
        <v>0.11</v>
      </c>
      <c r="D287" s="2979">
        <v>0.111</v>
      </c>
      <c r="E287" s="2979">
        <v>0.14099999999999999</v>
      </c>
      <c r="F287" s="2979">
        <v>0.11</v>
      </c>
      <c r="G287" s="2980">
        <v>0.12</v>
      </c>
    </row>
    <row r="288" spans="1:7">
      <c r="A288" s="2989" t="s">
        <v>306</v>
      </c>
      <c r="B288" s="2978" t="s">
        <v>219</v>
      </c>
      <c r="C288" s="2979">
        <v>0.14199999999999999</v>
      </c>
      <c r="D288" s="2979">
        <v>0.14299999999999999</v>
      </c>
      <c r="E288" s="2979">
        <v>0.15</v>
      </c>
      <c r="F288" s="2979">
        <v>0.14199999999999999</v>
      </c>
      <c r="G288" s="2980">
        <v>0.14399999999999999</v>
      </c>
    </row>
    <row r="289" spans="1:7">
      <c r="A289" s="2989" t="s">
        <v>306</v>
      </c>
      <c r="B289" s="2978" t="s">
        <v>2904</v>
      </c>
      <c r="C289" s="2979">
        <v>0.14299999999999999</v>
      </c>
      <c r="D289" s="2979">
        <v>0.14299999999999999</v>
      </c>
      <c r="E289" s="2979">
        <v>0.14799999999999999</v>
      </c>
      <c r="F289" s="2979">
        <v>0.14399999999999999</v>
      </c>
      <c r="G289" s="2980">
        <v>0.14399999999999999</v>
      </c>
    </row>
    <row r="290" spans="1:7">
      <c r="A290" s="2989" t="s">
        <v>306</v>
      </c>
      <c r="B290" s="2978" t="s">
        <v>242</v>
      </c>
      <c r="C290" s="2979">
        <v>0.14799999999999999</v>
      </c>
      <c r="D290" s="2979">
        <v>0.14899999999999999</v>
      </c>
      <c r="E290" s="2979">
        <v>0.15</v>
      </c>
      <c r="F290" s="2979">
        <v>0.127</v>
      </c>
      <c r="G290" s="2980">
        <v>0.15</v>
      </c>
    </row>
    <row r="291" spans="1:7">
      <c r="A291" s="2989" t="s">
        <v>306</v>
      </c>
      <c r="B291" s="2978" t="s">
        <v>250</v>
      </c>
      <c r="C291" s="2979">
        <v>0.15</v>
      </c>
      <c r="D291" s="2979">
        <v>0.15</v>
      </c>
      <c r="E291" s="2979">
        <v>0.15</v>
      </c>
      <c r="F291" s="2979">
        <v>0.14899999999999999</v>
      </c>
      <c r="G291" s="2980">
        <v>0.15</v>
      </c>
    </row>
    <row r="292" spans="1:7">
      <c r="A292" s="2989" t="s">
        <v>306</v>
      </c>
      <c r="B292" s="2978" t="s">
        <v>256</v>
      </c>
      <c r="C292" s="2979">
        <v>0.15</v>
      </c>
      <c r="D292" s="2979">
        <v>0.15</v>
      </c>
      <c r="E292" s="2979">
        <v>0.15</v>
      </c>
      <c r="F292" s="2979">
        <v>0.14399999999999999</v>
      </c>
      <c r="G292" s="2980">
        <v>0.15</v>
      </c>
    </row>
    <row r="293" spans="1:7">
      <c r="A293" s="2989" t="s">
        <v>306</v>
      </c>
      <c r="B293" s="2978" t="s">
        <v>2914</v>
      </c>
      <c r="C293" s="2979">
        <v>0.15</v>
      </c>
      <c r="D293" s="2979">
        <v>0.15</v>
      </c>
      <c r="E293" s="2979">
        <v>0.15</v>
      </c>
      <c r="F293" s="2979">
        <v>0.14499999999999999</v>
      </c>
      <c r="G293" s="2980">
        <v>0.15</v>
      </c>
    </row>
    <row r="294" spans="1:7">
      <c r="A294" s="2989" t="s">
        <v>306</v>
      </c>
      <c r="B294" s="2978" t="s">
        <v>2916</v>
      </c>
      <c r="C294" s="2979">
        <v>0.15</v>
      </c>
      <c r="D294" s="2979">
        <v>0.15</v>
      </c>
      <c r="E294" s="2979">
        <v>0.15</v>
      </c>
      <c r="F294" s="2979">
        <v>0.14899999999999999</v>
      </c>
      <c r="G294" s="2980">
        <v>0.15</v>
      </c>
    </row>
    <row r="295" spans="1:7">
      <c r="A295" s="2989" t="s">
        <v>306</v>
      </c>
      <c r="B295" s="2978" t="s">
        <v>290</v>
      </c>
      <c r="C295" s="2979">
        <v>0.15</v>
      </c>
      <c r="D295" s="2979">
        <v>0.15</v>
      </c>
      <c r="E295" s="2979">
        <v>0.15</v>
      </c>
      <c r="F295" s="2979">
        <v>0.14799999999999999</v>
      </c>
      <c r="G295" s="2980">
        <v>0.15</v>
      </c>
    </row>
    <row r="296" spans="1:7">
      <c r="A296" s="2989" t="s">
        <v>306</v>
      </c>
      <c r="B296" s="2978" t="s">
        <v>293</v>
      </c>
      <c r="C296" s="2979">
        <v>0.15</v>
      </c>
      <c r="D296" s="2979">
        <v>0.15</v>
      </c>
      <c r="E296" s="2979">
        <v>0.15</v>
      </c>
      <c r="F296" s="2979">
        <v>0.14399999999999999</v>
      </c>
      <c r="G296" s="2980">
        <v>0.15</v>
      </c>
    </row>
    <row r="297" spans="1:7">
      <c r="A297" s="2989" t="s">
        <v>306</v>
      </c>
      <c r="B297" s="2978" t="s">
        <v>295</v>
      </c>
      <c r="C297" s="2979">
        <v>0.15</v>
      </c>
      <c r="D297" s="2979">
        <v>0.15</v>
      </c>
      <c r="E297" s="2979">
        <v>0.15</v>
      </c>
      <c r="F297" s="2979">
        <v>0.14499999999999999</v>
      </c>
      <c r="G297" s="2980">
        <v>0.15</v>
      </c>
    </row>
    <row r="298" spans="1:7">
      <c r="A298" s="2989" t="s">
        <v>306</v>
      </c>
      <c r="B298" s="2978" t="s">
        <v>298</v>
      </c>
      <c r="C298" s="2979">
        <v>0.15</v>
      </c>
      <c r="D298" s="2979">
        <v>0.15</v>
      </c>
      <c r="E298" s="2979">
        <v>0.15</v>
      </c>
      <c r="F298" s="2979">
        <v>0.15</v>
      </c>
      <c r="G298" s="2980">
        <v>0.15</v>
      </c>
    </row>
    <row r="299" spans="1:7">
      <c r="A299" s="2989" t="s">
        <v>306</v>
      </c>
      <c r="B299" s="2998" t="s">
        <v>2933</v>
      </c>
      <c r="C299" s="2979">
        <v>0.15</v>
      </c>
      <c r="D299" s="2979">
        <v>0.15</v>
      </c>
      <c r="E299" s="2979">
        <v>0.15</v>
      </c>
      <c r="F299" s="2979">
        <v>0.14499999999999999</v>
      </c>
      <c r="G299" s="2980">
        <v>0.15</v>
      </c>
    </row>
    <row r="300" spans="1:7">
      <c r="A300" s="2989" t="s">
        <v>306</v>
      </c>
      <c r="B300" s="2998" t="s">
        <v>271</v>
      </c>
      <c r="C300" s="2979">
        <v>0.15</v>
      </c>
      <c r="D300" s="2979">
        <v>0.15</v>
      </c>
      <c r="E300" s="2979">
        <v>0.15</v>
      </c>
      <c r="F300" s="2979">
        <v>0.14599999999999999</v>
      </c>
      <c r="G300" s="2980">
        <v>0.15</v>
      </c>
    </row>
    <row r="301" spans="1:7">
      <c r="A301" s="2989" t="s">
        <v>306</v>
      </c>
      <c r="B301" s="2998" t="s">
        <v>276</v>
      </c>
      <c r="C301" s="2979">
        <v>0.126</v>
      </c>
      <c r="D301" s="2979">
        <v>0.124</v>
      </c>
      <c r="E301" s="2979">
        <v>0.14099999999999999</v>
      </c>
      <c r="F301" s="2979">
        <v>0.14399999999999999</v>
      </c>
      <c r="G301" s="2980">
        <v>0.13</v>
      </c>
    </row>
    <row r="302" spans="1:7">
      <c r="A302" s="2989" t="s">
        <v>306</v>
      </c>
      <c r="B302" s="2978" t="s">
        <v>2946</v>
      </c>
      <c r="C302" s="2979">
        <v>0.15</v>
      </c>
      <c r="D302" s="2979">
        <v>0.15</v>
      </c>
      <c r="E302" s="2979">
        <v>0.15</v>
      </c>
      <c r="F302" s="2979">
        <v>0.14699999999999999</v>
      </c>
      <c r="G302" s="2980">
        <v>0.15</v>
      </c>
    </row>
    <row r="303" spans="1:7">
      <c r="A303" s="2989" t="s">
        <v>306</v>
      </c>
      <c r="B303" s="2978" t="s">
        <v>2953</v>
      </c>
      <c r="C303" s="2979">
        <v>0.15</v>
      </c>
      <c r="D303" s="2979">
        <v>0.15</v>
      </c>
      <c r="E303" s="2979">
        <v>0.15</v>
      </c>
      <c r="F303" s="2979">
        <v>0.14199999999999999</v>
      </c>
      <c r="G303" s="2980">
        <v>0.15</v>
      </c>
    </row>
    <row r="304" spans="1:7">
      <c r="A304" s="2989" t="s">
        <v>306</v>
      </c>
      <c r="B304" s="2978" t="s">
        <v>2960</v>
      </c>
      <c r="C304" s="2979">
        <v>0.15</v>
      </c>
      <c r="D304" s="2979">
        <v>0.15</v>
      </c>
      <c r="E304" s="2979">
        <v>0.15</v>
      </c>
      <c r="F304" s="2979">
        <v>0.14499999999999999</v>
      </c>
      <c r="G304" s="2980">
        <v>0.15</v>
      </c>
    </row>
    <row r="305" spans="1:7">
      <c r="A305" s="2989" t="s">
        <v>306</v>
      </c>
      <c r="B305" s="2978" t="s">
        <v>2966</v>
      </c>
      <c r="C305" s="2979">
        <v>0.15</v>
      </c>
      <c r="D305" s="2979">
        <v>0.15</v>
      </c>
      <c r="E305" s="2979">
        <v>0.15</v>
      </c>
      <c r="F305" s="2979">
        <v>0.111</v>
      </c>
      <c r="G305" s="2980">
        <v>0.15</v>
      </c>
    </row>
    <row r="306" spans="1:7">
      <c r="A306" s="2989" t="s">
        <v>306</v>
      </c>
      <c r="B306" s="2978" t="s">
        <v>2973</v>
      </c>
      <c r="C306" s="2979">
        <v>0.15</v>
      </c>
      <c r="D306" s="2979">
        <v>0.15</v>
      </c>
      <c r="E306" s="2979">
        <v>0.15</v>
      </c>
      <c r="F306" s="2979">
        <v>0.126</v>
      </c>
      <c r="G306" s="2980">
        <v>0.15</v>
      </c>
    </row>
    <row r="307" spans="1:7">
      <c r="A307" s="2989" t="s">
        <v>306</v>
      </c>
      <c r="B307" s="2978" t="s">
        <v>2978</v>
      </c>
      <c r="C307" s="2979">
        <v>0.15</v>
      </c>
      <c r="D307" s="2979">
        <v>0.15</v>
      </c>
      <c r="E307" s="2979">
        <v>0.15</v>
      </c>
      <c r="F307" s="2979">
        <v>0.12</v>
      </c>
      <c r="G307" s="2980">
        <v>0.15</v>
      </c>
    </row>
    <row r="308" spans="1:7">
      <c r="A308" s="2989" t="s">
        <v>306</v>
      </c>
      <c r="B308" s="2978" t="s">
        <v>2984</v>
      </c>
      <c r="C308" s="2979">
        <v>0.15</v>
      </c>
      <c r="D308" s="2979">
        <v>0.15</v>
      </c>
      <c r="E308" s="2979">
        <v>0.15</v>
      </c>
      <c r="F308" s="2979">
        <v>0.13</v>
      </c>
      <c r="G308" s="2980">
        <v>0.15</v>
      </c>
    </row>
    <row r="309" spans="1:7">
      <c r="A309" s="2989" t="s">
        <v>306</v>
      </c>
      <c r="B309" s="2978" t="s">
        <v>2988</v>
      </c>
      <c r="C309" s="2979">
        <v>0.15</v>
      </c>
      <c r="D309" s="2979">
        <v>0.15</v>
      </c>
      <c r="E309" s="2979">
        <v>0.15</v>
      </c>
      <c r="F309" s="2979">
        <v>0.14099999999999999</v>
      </c>
      <c r="G309" s="2980">
        <v>0.15</v>
      </c>
    </row>
    <row r="310" spans="1:7">
      <c r="A310" s="2989" t="s">
        <v>306</v>
      </c>
      <c r="B310" s="2978" t="s">
        <v>2993</v>
      </c>
      <c r="C310" s="2979">
        <v>0.15</v>
      </c>
      <c r="D310" s="2979">
        <v>0.15</v>
      </c>
      <c r="E310" s="2979">
        <v>0.15</v>
      </c>
      <c r="F310" s="2979">
        <v>0.15</v>
      </c>
      <c r="G310" s="2980">
        <v>0.15</v>
      </c>
    </row>
    <row r="311" spans="1:7">
      <c r="A311" s="2989" t="s">
        <v>306</v>
      </c>
      <c r="B311" s="2978" t="s">
        <v>2998</v>
      </c>
      <c r="C311" s="2979">
        <v>0.13200000000000001</v>
      </c>
      <c r="D311" s="2979">
        <v>0.13300000000000001</v>
      </c>
      <c r="E311" s="2979">
        <v>0.14499999999999999</v>
      </c>
      <c r="F311" s="2979">
        <v>0.14199999999999999</v>
      </c>
      <c r="G311" s="2980">
        <v>0.14000000000000001</v>
      </c>
    </row>
    <row r="312" spans="1:7">
      <c r="A312" s="2989" t="s">
        <v>306</v>
      </c>
      <c r="B312" s="2978" t="s">
        <v>3003</v>
      </c>
      <c r="C312" s="2979">
        <v>0.13800000000000001</v>
      </c>
      <c r="D312" s="2979">
        <v>0.14000000000000001</v>
      </c>
      <c r="E312" s="2979">
        <v>0.14599999999999999</v>
      </c>
      <c r="F312" s="2979">
        <v>0.14899999999999999</v>
      </c>
      <c r="G312" s="2980">
        <v>0.14199999999999999</v>
      </c>
    </row>
    <row r="313" spans="1:7">
      <c r="A313" s="2989" t="s">
        <v>306</v>
      </c>
      <c r="B313" s="2978" t="s">
        <v>3008</v>
      </c>
      <c r="C313" s="2979">
        <v>0.125</v>
      </c>
      <c r="D313" s="2979">
        <v>0.127</v>
      </c>
      <c r="E313" s="2979">
        <v>0.14399999999999999</v>
      </c>
      <c r="F313" s="2979">
        <v>0.115</v>
      </c>
      <c r="G313" s="2980">
        <v>0.13600000000000001</v>
      </c>
    </row>
    <row r="314" spans="1:7">
      <c r="A314" s="2989" t="s">
        <v>306</v>
      </c>
      <c r="B314" s="2978" t="s">
        <v>3217</v>
      </c>
      <c r="C314" s="2995"/>
      <c r="D314" s="2995"/>
      <c r="E314" s="2995"/>
      <c r="F314" s="2979">
        <v>0.05</v>
      </c>
      <c r="G314" s="2996"/>
    </row>
    <row r="315" spans="1:7">
      <c r="A315" s="2989" t="s">
        <v>306</v>
      </c>
      <c r="B315" s="2978" t="s">
        <v>3218</v>
      </c>
      <c r="C315" s="2995"/>
      <c r="D315" s="2995"/>
      <c r="E315" s="2995"/>
      <c r="F315" s="2979">
        <v>0.05</v>
      </c>
      <c r="G315" s="2996"/>
    </row>
    <row r="316" spans="1:7">
      <c r="A316" s="2989" t="s">
        <v>306</v>
      </c>
      <c r="B316" s="2978" t="s">
        <v>3219</v>
      </c>
      <c r="C316" s="2990"/>
      <c r="D316" s="2990"/>
      <c r="E316" s="2990"/>
      <c r="F316" s="2979">
        <v>0.05</v>
      </c>
      <c r="G316" s="2996"/>
    </row>
    <row r="317" spans="1:7">
      <c r="A317" s="2989" t="s">
        <v>306</v>
      </c>
      <c r="B317" s="2978" t="s">
        <v>3220</v>
      </c>
      <c r="C317" s="2990"/>
      <c r="D317" s="2990"/>
      <c r="E317" s="2990"/>
      <c r="F317" s="2979">
        <v>0.05</v>
      </c>
      <c r="G317" s="2996"/>
    </row>
    <row r="318" spans="1:7">
      <c r="A318" s="2989" t="s">
        <v>306</v>
      </c>
      <c r="B318" s="2978" t="s">
        <v>3221</v>
      </c>
      <c r="C318" s="2990"/>
      <c r="D318" s="2990"/>
      <c r="E318" s="2990"/>
      <c r="F318" s="2979">
        <v>0.05</v>
      </c>
      <c r="G318" s="2996"/>
    </row>
    <row r="319" spans="1:7">
      <c r="A319" s="2989" t="s">
        <v>306</v>
      </c>
      <c r="B319" s="2978" t="s">
        <v>3222</v>
      </c>
      <c r="C319" s="2990"/>
      <c r="D319" s="2990"/>
      <c r="E319" s="2990"/>
      <c r="F319" s="2979">
        <v>0.05</v>
      </c>
      <c r="G319" s="2996"/>
    </row>
    <row r="320" spans="1:7">
      <c r="A320" s="2989" t="s">
        <v>306</v>
      </c>
      <c r="B320" s="2978" t="s">
        <v>3223</v>
      </c>
      <c r="C320" s="2990"/>
      <c r="D320" s="2990"/>
      <c r="E320" s="2990"/>
      <c r="F320" s="2979">
        <v>0.05</v>
      </c>
      <c r="G320" s="2996"/>
    </row>
    <row r="321" spans="1:7">
      <c r="A321" s="2989" t="s">
        <v>306</v>
      </c>
      <c r="B321" s="2978" t="s">
        <v>3224</v>
      </c>
      <c r="C321" s="2990"/>
      <c r="D321" s="2990"/>
      <c r="E321" s="2990"/>
      <c r="F321" s="2979">
        <v>0.05</v>
      </c>
      <c r="G321" s="2996"/>
    </row>
    <row r="322" spans="1:7">
      <c r="A322" s="2989" t="s">
        <v>306</v>
      </c>
      <c r="B322" s="2978" t="s">
        <v>3225</v>
      </c>
      <c r="C322" s="2990"/>
      <c r="D322" s="2990"/>
      <c r="E322" s="2990"/>
      <c r="F322" s="2979">
        <v>0.05</v>
      </c>
      <c r="G322" s="2996"/>
    </row>
    <row r="323" spans="1:7">
      <c r="A323" s="2989" t="s">
        <v>306</v>
      </c>
      <c r="B323" s="2978" t="s">
        <v>3226</v>
      </c>
      <c r="C323" s="2990"/>
      <c r="D323" s="2990"/>
      <c r="E323" s="2990"/>
      <c r="F323" s="2979">
        <v>0.05</v>
      </c>
      <c r="G323" s="2996"/>
    </row>
    <row r="324" spans="1:7">
      <c r="A324" s="2989" t="s">
        <v>306</v>
      </c>
      <c r="B324" s="2978" t="s">
        <v>3227</v>
      </c>
      <c r="C324" s="2990"/>
      <c r="D324" s="2990"/>
      <c r="E324" s="2990"/>
      <c r="F324" s="2979">
        <v>0.05</v>
      </c>
      <c r="G324" s="2996"/>
    </row>
    <row r="325" spans="1:7">
      <c r="A325" s="2989" t="s">
        <v>306</v>
      </c>
      <c r="B325" s="2978" t="s">
        <v>3228</v>
      </c>
      <c r="C325" s="2990"/>
      <c r="D325" s="2990"/>
      <c r="E325" s="2990"/>
      <c r="F325" s="2979">
        <v>0.05</v>
      </c>
      <c r="G325" s="2996"/>
    </row>
    <row r="326" spans="1:7" ht="14.25" thickBot="1">
      <c r="A326" s="2992" t="s">
        <v>306</v>
      </c>
      <c r="B326" s="2982" t="s">
        <v>3229</v>
      </c>
      <c r="C326" s="2984"/>
      <c r="D326" s="2984"/>
      <c r="E326" s="2984"/>
      <c r="F326" s="2983">
        <v>0.05</v>
      </c>
      <c r="G326" s="2997"/>
    </row>
    <row r="327" spans="1:7">
      <c r="A327" s="2988" t="s">
        <v>307</v>
      </c>
      <c r="B327" s="2974" t="s">
        <v>2861</v>
      </c>
      <c r="C327" s="2975">
        <v>0.15</v>
      </c>
      <c r="D327" s="2975">
        <v>0.15</v>
      </c>
      <c r="E327" s="2975">
        <v>0.15</v>
      </c>
      <c r="F327" s="2975">
        <v>0.15</v>
      </c>
      <c r="G327" s="2976">
        <v>0.15</v>
      </c>
    </row>
    <row r="328" spans="1:7">
      <c r="A328" s="2989" t="s">
        <v>307</v>
      </c>
      <c r="B328" s="2978" t="s">
        <v>136</v>
      </c>
      <c r="C328" s="2979">
        <v>0.15</v>
      </c>
      <c r="D328" s="2979">
        <v>0.15</v>
      </c>
      <c r="E328" s="2979">
        <v>0.15</v>
      </c>
      <c r="F328" s="2979">
        <v>0.126</v>
      </c>
      <c r="G328" s="2980">
        <v>0.15</v>
      </c>
    </row>
    <row r="329" spans="1:7">
      <c r="A329" s="2989" t="s">
        <v>307</v>
      </c>
      <c r="B329" s="2978" t="s">
        <v>2873</v>
      </c>
      <c r="C329" s="2979">
        <v>0.15</v>
      </c>
      <c r="D329" s="2979">
        <v>0.15</v>
      </c>
      <c r="E329" s="2979">
        <v>0.15</v>
      </c>
      <c r="F329" s="2979">
        <v>0.15</v>
      </c>
      <c r="G329" s="2980">
        <v>0.15</v>
      </c>
    </row>
    <row r="330" spans="1:7">
      <c r="A330" s="2989" t="s">
        <v>307</v>
      </c>
      <c r="B330" s="2978" t="s">
        <v>2877</v>
      </c>
      <c r="C330" s="2979">
        <v>0.15</v>
      </c>
      <c r="D330" s="2979">
        <v>0.15</v>
      </c>
      <c r="E330" s="2979">
        <v>0.15</v>
      </c>
      <c r="F330" s="2979">
        <v>0.15</v>
      </c>
      <c r="G330" s="2980">
        <v>0.15</v>
      </c>
    </row>
    <row r="331" spans="1:7">
      <c r="A331" s="2989" t="s">
        <v>307</v>
      </c>
      <c r="B331" s="2978" t="s">
        <v>161</v>
      </c>
      <c r="C331" s="2979">
        <v>0.15</v>
      </c>
      <c r="D331" s="2979">
        <v>0.15</v>
      </c>
      <c r="E331" s="2979">
        <v>0.15</v>
      </c>
      <c r="F331" s="2979">
        <v>0.15</v>
      </c>
      <c r="G331" s="2980">
        <v>0.15</v>
      </c>
    </row>
    <row r="332" spans="1:7">
      <c r="A332" s="2989" t="s">
        <v>307</v>
      </c>
      <c r="B332" s="2978" t="s">
        <v>2885</v>
      </c>
      <c r="C332" s="2979">
        <v>0.15</v>
      </c>
      <c r="D332" s="2979">
        <v>0.15</v>
      </c>
      <c r="E332" s="2979">
        <v>0.15</v>
      </c>
      <c r="F332" s="2979">
        <v>0.15</v>
      </c>
      <c r="G332" s="2980">
        <v>0.15</v>
      </c>
    </row>
    <row r="333" spans="1:7">
      <c r="A333" s="2989" t="s">
        <v>307</v>
      </c>
      <c r="B333" s="2978" t="s">
        <v>2889</v>
      </c>
      <c r="C333" s="2979">
        <v>0.14899999999999999</v>
      </c>
      <c r="D333" s="2979">
        <v>0.14899999999999999</v>
      </c>
      <c r="E333" s="2979">
        <v>0.15</v>
      </c>
      <c r="F333" s="2979">
        <v>0.11600000000000001</v>
      </c>
      <c r="G333" s="2980">
        <v>0.15</v>
      </c>
    </row>
    <row r="334" spans="1:7">
      <c r="A334" s="2989" t="s">
        <v>307</v>
      </c>
      <c r="B334" s="2978" t="s">
        <v>183</v>
      </c>
      <c r="C334" s="2979">
        <v>0.15</v>
      </c>
      <c r="D334" s="2979">
        <v>0.15</v>
      </c>
      <c r="E334" s="2979">
        <v>0.15</v>
      </c>
      <c r="F334" s="2979">
        <v>0.13</v>
      </c>
      <c r="G334" s="2980">
        <v>0.15</v>
      </c>
    </row>
    <row r="335" spans="1:7">
      <c r="A335" s="2989" t="s">
        <v>307</v>
      </c>
      <c r="B335" s="2978" t="s">
        <v>193</v>
      </c>
      <c r="C335" s="2979">
        <v>0.15</v>
      </c>
      <c r="D335" s="2979">
        <v>0.15</v>
      </c>
      <c r="E335" s="2979">
        <v>0.15</v>
      </c>
      <c r="F335" s="2979">
        <v>0.14399999999999999</v>
      </c>
      <c r="G335" s="2980">
        <v>0.15</v>
      </c>
    </row>
    <row r="336" spans="1:7">
      <c r="A336" s="2989" t="s">
        <v>307</v>
      </c>
      <c r="B336" s="2978" t="s">
        <v>2895</v>
      </c>
      <c r="C336" s="2979">
        <v>0.15</v>
      </c>
      <c r="D336" s="2979">
        <v>0.15</v>
      </c>
      <c r="E336" s="2979">
        <v>0.15</v>
      </c>
      <c r="F336" s="2979">
        <v>0.14199999999999999</v>
      </c>
      <c r="G336" s="2980">
        <v>0.15</v>
      </c>
    </row>
    <row r="337" spans="1:7">
      <c r="A337" s="2989" t="s">
        <v>307</v>
      </c>
      <c r="B337" s="2978" t="s">
        <v>2900</v>
      </c>
      <c r="C337" s="2979">
        <v>0.15</v>
      </c>
      <c r="D337" s="2979">
        <v>0.15</v>
      </c>
      <c r="E337" s="2979">
        <v>0.15</v>
      </c>
      <c r="F337" s="2979">
        <v>0.14499999999999999</v>
      </c>
      <c r="G337" s="2980">
        <v>0.15</v>
      </c>
    </row>
    <row r="338" spans="1:7">
      <c r="A338" s="2989" t="s">
        <v>307</v>
      </c>
      <c r="B338" s="2978" t="s">
        <v>220</v>
      </c>
      <c r="C338" s="2979">
        <v>0.15</v>
      </c>
      <c r="D338" s="2979">
        <v>0.15</v>
      </c>
      <c r="E338" s="2979">
        <v>0.15</v>
      </c>
      <c r="F338" s="2979">
        <v>0.15</v>
      </c>
      <c r="G338" s="2980">
        <v>0.15</v>
      </c>
    </row>
    <row r="339" spans="1:7">
      <c r="A339" s="2989" t="s">
        <v>307</v>
      </c>
      <c r="B339" s="2978" t="s">
        <v>228</v>
      </c>
      <c r="C339" s="2979">
        <v>0.15</v>
      </c>
      <c r="D339" s="2979">
        <v>0.15</v>
      </c>
      <c r="E339" s="2979">
        <v>0.15</v>
      </c>
      <c r="F339" s="2979">
        <v>0.14699999999999999</v>
      </c>
      <c r="G339" s="2980">
        <v>0.15</v>
      </c>
    </row>
    <row r="340" spans="1:7">
      <c r="A340" s="2989" t="s">
        <v>307</v>
      </c>
      <c r="B340" s="2978" t="s">
        <v>2907</v>
      </c>
      <c r="C340" s="2979">
        <v>0.14599999999999999</v>
      </c>
      <c r="D340" s="2979">
        <v>0.14599999999999999</v>
      </c>
      <c r="E340" s="2979">
        <v>0.15</v>
      </c>
      <c r="F340" s="2979">
        <v>0.14099999999999999</v>
      </c>
      <c r="G340" s="2980">
        <v>0.14699999999999999</v>
      </c>
    </row>
    <row r="341" spans="1:7">
      <c r="A341" s="2989" t="s">
        <v>307</v>
      </c>
      <c r="B341" s="2978" t="s">
        <v>207</v>
      </c>
      <c r="C341" s="2979">
        <v>0.126</v>
      </c>
      <c r="D341" s="2979">
        <v>0.124</v>
      </c>
      <c r="E341" s="2979">
        <v>0.14099999999999999</v>
      </c>
      <c r="F341" s="2979">
        <v>0.14399999999999999</v>
      </c>
      <c r="G341" s="2980">
        <v>0.13</v>
      </c>
    </row>
    <row r="342" spans="1:7">
      <c r="A342" s="2989" t="s">
        <v>307</v>
      </c>
      <c r="B342" s="2978" t="s">
        <v>2912</v>
      </c>
      <c r="C342" s="2979">
        <v>0.15</v>
      </c>
      <c r="D342" s="2979">
        <v>0.15</v>
      </c>
      <c r="E342" s="2979">
        <v>0.15</v>
      </c>
      <c r="F342" s="2979">
        <v>0.14399999999999999</v>
      </c>
      <c r="G342" s="2980">
        <v>0.15</v>
      </c>
    </row>
    <row r="343" spans="1:7">
      <c r="A343" s="2989" t="s">
        <v>307</v>
      </c>
      <c r="B343" s="2978" t="s">
        <v>257</v>
      </c>
      <c r="C343" s="2979">
        <v>0.15</v>
      </c>
      <c r="D343" s="2979">
        <v>0.15</v>
      </c>
      <c r="E343" s="2979">
        <v>0.15</v>
      </c>
      <c r="F343" s="2979">
        <v>0.128</v>
      </c>
      <c r="G343" s="2980">
        <v>0.15</v>
      </c>
    </row>
    <row r="344" spans="1:7">
      <c r="A344" s="2989" t="s">
        <v>307</v>
      </c>
      <c r="B344" s="2978" t="s">
        <v>265</v>
      </c>
      <c r="C344" s="2979">
        <v>0.15</v>
      </c>
      <c r="D344" s="2979">
        <v>0.15</v>
      </c>
      <c r="E344" s="2979">
        <v>0.15</v>
      </c>
      <c r="F344" s="2979">
        <v>0.14799999999999999</v>
      </c>
      <c r="G344" s="2980">
        <v>0.15</v>
      </c>
    </row>
    <row r="345" spans="1:7">
      <c r="A345" s="2989" t="s">
        <v>307</v>
      </c>
      <c r="B345" s="2978" t="s">
        <v>2920</v>
      </c>
      <c r="C345" s="2979">
        <v>0.15</v>
      </c>
      <c r="D345" s="2979">
        <v>0.15</v>
      </c>
      <c r="E345" s="2979">
        <v>0.15</v>
      </c>
      <c r="F345" s="2979">
        <v>0.13800000000000001</v>
      </c>
      <c r="G345" s="2980">
        <v>0.15</v>
      </c>
    </row>
    <row r="346" spans="1:7">
      <c r="A346" s="2989" t="s">
        <v>307</v>
      </c>
      <c r="B346" s="2978" t="s">
        <v>2922</v>
      </c>
      <c r="C346" s="2979">
        <v>0.15</v>
      </c>
      <c r="D346" s="2979">
        <v>0.15</v>
      </c>
      <c r="E346" s="2979">
        <v>0.15</v>
      </c>
      <c r="F346" s="2979">
        <v>0.14399999999999999</v>
      </c>
      <c r="G346" s="2980">
        <v>0.15</v>
      </c>
    </row>
    <row r="347" spans="1:7">
      <c r="A347" s="2989" t="s">
        <v>307</v>
      </c>
      <c r="B347" s="2978" t="s">
        <v>243</v>
      </c>
      <c r="C347" s="2979">
        <v>0.15</v>
      </c>
      <c r="D347" s="2979">
        <v>0.15</v>
      </c>
      <c r="E347" s="2979">
        <v>0.15</v>
      </c>
      <c r="F347" s="2979">
        <v>0.14599999999999999</v>
      </c>
      <c r="G347" s="2980">
        <v>0.15</v>
      </c>
    </row>
    <row r="348" spans="1:7">
      <c r="A348" s="2989" t="s">
        <v>307</v>
      </c>
      <c r="B348" s="2978" t="s">
        <v>2929</v>
      </c>
      <c r="C348" s="2979">
        <v>0.15</v>
      </c>
      <c r="D348" s="2979">
        <v>0.15</v>
      </c>
      <c r="E348" s="2979">
        <v>0.15</v>
      </c>
      <c r="F348" s="2979">
        <v>0.14399999999999999</v>
      </c>
      <c r="G348" s="2980">
        <v>0.15</v>
      </c>
    </row>
    <row r="349" spans="1:7">
      <c r="A349" s="2989" t="s">
        <v>307</v>
      </c>
      <c r="B349" s="2978" t="s">
        <v>2934</v>
      </c>
      <c r="C349" s="2979">
        <v>0.15</v>
      </c>
      <c r="D349" s="2979">
        <v>0.15</v>
      </c>
      <c r="E349" s="2979">
        <v>0.15</v>
      </c>
      <c r="F349" s="2979">
        <v>0.15</v>
      </c>
      <c r="G349" s="2980">
        <v>0.15</v>
      </c>
    </row>
    <row r="350" spans="1:7">
      <c r="A350" s="2989" t="s">
        <v>307</v>
      </c>
      <c r="B350" s="2978" t="s">
        <v>2937</v>
      </c>
      <c r="C350" s="2979">
        <v>0.15</v>
      </c>
      <c r="D350" s="2979">
        <v>0.15</v>
      </c>
      <c r="E350" s="2979">
        <v>0.15</v>
      </c>
      <c r="F350" s="2979">
        <v>0.14699999999999999</v>
      </c>
      <c r="G350" s="2980">
        <v>0.15</v>
      </c>
    </row>
    <row r="351" spans="1:7">
      <c r="A351" s="2989" t="s">
        <v>307</v>
      </c>
      <c r="B351" s="2978" t="s">
        <v>2942</v>
      </c>
      <c r="C351" s="2979">
        <v>0.15</v>
      </c>
      <c r="D351" s="2979">
        <v>0.15</v>
      </c>
      <c r="E351" s="2979">
        <v>0.15</v>
      </c>
      <c r="F351" s="2979">
        <v>0.13</v>
      </c>
      <c r="G351" s="2980">
        <v>0.15</v>
      </c>
    </row>
    <row r="352" spans="1:7">
      <c r="A352" s="2989" t="s">
        <v>307</v>
      </c>
      <c r="B352" s="2978" t="s">
        <v>2947</v>
      </c>
      <c r="C352" s="2979">
        <v>0.15</v>
      </c>
      <c r="D352" s="2979">
        <v>0.15</v>
      </c>
      <c r="E352" s="2979">
        <v>0.15</v>
      </c>
      <c r="F352" s="2979">
        <v>0.14599999999999999</v>
      </c>
      <c r="G352" s="2980">
        <v>0.15</v>
      </c>
    </row>
    <row r="353" spans="1:7">
      <c r="A353" s="2989" t="s">
        <v>307</v>
      </c>
      <c r="B353" s="2978" t="s">
        <v>2954</v>
      </c>
      <c r="C353" s="2979">
        <v>0.15</v>
      </c>
      <c r="D353" s="2979">
        <v>0.15</v>
      </c>
      <c r="E353" s="2979">
        <v>0.15</v>
      </c>
      <c r="F353" s="2979">
        <v>0.14499999999999999</v>
      </c>
      <c r="G353" s="2980">
        <v>0.15</v>
      </c>
    </row>
    <row r="354" spans="1:7">
      <c r="A354" s="2989" t="s">
        <v>307</v>
      </c>
      <c r="B354" s="2978" t="s">
        <v>280</v>
      </c>
      <c r="C354" s="2979">
        <v>0.15</v>
      </c>
      <c r="D354" s="2979">
        <v>0.15</v>
      </c>
      <c r="E354" s="2979">
        <v>0.15</v>
      </c>
      <c r="F354" s="2979">
        <v>0.14099999999999999</v>
      </c>
      <c r="G354" s="2980">
        <v>0.15</v>
      </c>
    </row>
    <row r="355" spans="1:7">
      <c r="A355" s="2989" t="s">
        <v>307</v>
      </c>
      <c r="B355" s="2978" t="s">
        <v>2967</v>
      </c>
      <c r="C355" s="2979">
        <v>0.15</v>
      </c>
      <c r="D355" s="2979">
        <v>0.15</v>
      </c>
      <c r="E355" s="2979">
        <v>0.15</v>
      </c>
      <c r="F355" s="2979">
        <v>0.15</v>
      </c>
      <c r="G355" s="2980">
        <v>0.15</v>
      </c>
    </row>
    <row r="356" spans="1:7">
      <c r="A356" s="2989" t="s">
        <v>307</v>
      </c>
      <c r="B356" s="2978" t="s">
        <v>2974</v>
      </c>
      <c r="C356" s="2979">
        <v>0.15</v>
      </c>
      <c r="D356" s="2979">
        <v>0.15</v>
      </c>
      <c r="E356" s="2979">
        <v>0.15</v>
      </c>
      <c r="F356" s="2979">
        <v>0.15</v>
      </c>
      <c r="G356" s="2980">
        <v>0.15</v>
      </c>
    </row>
    <row r="357" spans="1:7" ht="14.25" thickBot="1">
      <c r="A357" s="2992" t="s">
        <v>307</v>
      </c>
      <c r="B357" s="2982" t="s">
        <v>2979</v>
      </c>
      <c r="C357" s="2983">
        <v>0.126</v>
      </c>
      <c r="D357" s="2983">
        <v>0.127</v>
      </c>
      <c r="E357" s="2983">
        <v>0.14299999999999999</v>
      </c>
      <c r="F357" s="2983">
        <v>0.125</v>
      </c>
      <c r="G357" s="2985">
        <v>0.129</v>
      </c>
    </row>
    <row r="358" spans="1:7">
      <c r="A358" s="2988" t="s">
        <v>2848</v>
      </c>
      <c r="B358" s="2974" t="s">
        <v>2862</v>
      </c>
      <c r="C358" s="2975">
        <v>0.15</v>
      </c>
      <c r="D358" s="2975">
        <v>0.15</v>
      </c>
      <c r="E358" s="2975">
        <v>0.15</v>
      </c>
      <c r="F358" s="2975">
        <v>0.15</v>
      </c>
      <c r="G358" s="2976">
        <v>0.15</v>
      </c>
    </row>
    <row r="359" spans="1:7">
      <c r="A359" s="2989" t="s">
        <v>2848</v>
      </c>
      <c r="B359" s="2978" t="s">
        <v>2868</v>
      </c>
      <c r="C359" s="2979">
        <v>0.1</v>
      </c>
      <c r="D359" s="2979">
        <v>0.1</v>
      </c>
      <c r="E359" s="2979">
        <v>0.1</v>
      </c>
      <c r="F359" s="2979">
        <v>0.1</v>
      </c>
      <c r="G359" s="2980">
        <v>0.1</v>
      </c>
    </row>
    <row r="360" spans="1:7">
      <c r="A360" s="2989" t="s">
        <v>2848</v>
      </c>
      <c r="B360" s="2978" t="s">
        <v>2874</v>
      </c>
      <c r="C360" s="2979">
        <v>0.15</v>
      </c>
      <c r="D360" s="2979">
        <v>0.15</v>
      </c>
      <c r="E360" s="2979">
        <v>0.15</v>
      </c>
      <c r="F360" s="2979">
        <v>0.14899999999999999</v>
      </c>
      <c r="G360" s="2980">
        <v>0.15</v>
      </c>
    </row>
    <row r="361" spans="1:7">
      <c r="A361" s="2989" t="s">
        <v>2848</v>
      </c>
      <c r="B361" s="2978" t="s">
        <v>153</v>
      </c>
      <c r="C361" s="2979">
        <v>0.15</v>
      </c>
      <c r="D361" s="2979">
        <v>0.15</v>
      </c>
      <c r="E361" s="2979">
        <v>0.15</v>
      </c>
      <c r="F361" s="2979">
        <v>0.115</v>
      </c>
      <c r="G361" s="2980">
        <v>0.15</v>
      </c>
    </row>
    <row r="362" spans="1:7">
      <c r="A362" s="2989" t="s">
        <v>2848</v>
      </c>
      <c r="B362" s="2978" t="s">
        <v>2881</v>
      </c>
      <c r="C362" s="2979">
        <v>0.15</v>
      </c>
      <c r="D362" s="2979">
        <v>0.15</v>
      </c>
      <c r="E362" s="2979">
        <v>0.15</v>
      </c>
      <c r="F362" s="2979">
        <v>0.106</v>
      </c>
      <c r="G362" s="2980">
        <v>0.15</v>
      </c>
    </row>
    <row r="363" spans="1:7">
      <c r="A363" s="2989" t="s">
        <v>2848</v>
      </c>
      <c r="B363" s="2978" t="s">
        <v>2886</v>
      </c>
      <c r="C363" s="2979">
        <v>0.15</v>
      </c>
      <c r="D363" s="2979">
        <v>0.15</v>
      </c>
      <c r="E363" s="2979">
        <v>0.15</v>
      </c>
      <c r="F363" s="2979">
        <v>0.14699999999999999</v>
      </c>
      <c r="G363" s="2980">
        <v>0.15</v>
      </c>
    </row>
    <row r="364" spans="1:7">
      <c r="A364" s="2989" t="s">
        <v>2848</v>
      </c>
      <c r="B364" s="2978" t="s">
        <v>2890</v>
      </c>
      <c r="C364" s="2979">
        <v>0.15</v>
      </c>
      <c r="D364" s="2979">
        <v>0.15</v>
      </c>
      <c r="E364" s="2979">
        <v>0.15</v>
      </c>
      <c r="F364" s="2979">
        <v>0.14799999999999999</v>
      </c>
      <c r="G364" s="2980">
        <v>0.15</v>
      </c>
    </row>
    <row r="365" spans="1:7">
      <c r="A365" s="2989" t="s">
        <v>2848</v>
      </c>
      <c r="B365" s="2978" t="s">
        <v>200</v>
      </c>
      <c r="C365" s="2979">
        <v>0.15</v>
      </c>
      <c r="D365" s="2979">
        <v>0.15</v>
      </c>
      <c r="E365" s="2979">
        <v>0.15</v>
      </c>
      <c r="F365" s="2979">
        <v>0.15</v>
      </c>
      <c r="G365" s="2980">
        <v>0.15</v>
      </c>
    </row>
    <row r="366" spans="1:7">
      <c r="A366" s="2989" t="s">
        <v>2848</v>
      </c>
      <c r="B366" s="2978" t="s">
        <v>2893</v>
      </c>
      <c r="C366" s="2979">
        <v>0.15</v>
      </c>
      <c r="D366" s="2979">
        <v>0.15</v>
      </c>
      <c r="E366" s="2979">
        <v>0.15</v>
      </c>
      <c r="F366" s="2979">
        <v>0.15</v>
      </c>
      <c r="G366" s="2980">
        <v>0.15</v>
      </c>
    </row>
    <row r="367" spans="1:7">
      <c r="A367" s="2989" t="s">
        <v>2848</v>
      </c>
      <c r="B367" s="2978" t="s">
        <v>2896</v>
      </c>
      <c r="C367" s="2979">
        <v>0.15</v>
      </c>
      <c r="D367" s="2979">
        <v>0.15</v>
      </c>
      <c r="E367" s="2979">
        <v>0.15</v>
      </c>
      <c r="F367" s="2979">
        <v>0.14699999999999999</v>
      </c>
      <c r="G367" s="2980">
        <v>0.15</v>
      </c>
    </row>
    <row r="368" spans="1:7">
      <c r="A368" s="2989" t="s">
        <v>2848</v>
      </c>
      <c r="B368" s="2978" t="s">
        <v>2901</v>
      </c>
      <c r="C368" s="2979">
        <v>0.15</v>
      </c>
      <c r="D368" s="2979">
        <v>0.15</v>
      </c>
      <c r="E368" s="2979">
        <v>0.15</v>
      </c>
      <c r="F368" s="2979">
        <v>0.13600000000000001</v>
      </c>
      <c r="G368" s="2980">
        <v>0.15</v>
      </c>
    </row>
    <row r="369" spans="1:7">
      <c r="A369" s="2989" t="s">
        <v>2848</v>
      </c>
      <c r="B369" s="2978" t="s">
        <v>214</v>
      </c>
      <c r="C369" s="2979">
        <v>0.15</v>
      </c>
      <c r="D369" s="2979">
        <v>0.15</v>
      </c>
      <c r="E369" s="2979">
        <v>0.15</v>
      </c>
      <c r="F369" s="2979">
        <v>0.14399999999999999</v>
      </c>
      <c r="G369" s="2980">
        <v>0.15</v>
      </c>
    </row>
    <row r="370" spans="1:7">
      <c r="A370" s="2989" t="s">
        <v>2848</v>
      </c>
      <c r="B370" s="2978" t="s">
        <v>221</v>
      </c>
      <c r="C370" s="2979">
        <v>0.15</v>
      </c>
      <c r="D370" s="2979">
        <v>0.15</v>
      </c>
      <c r="E370" s="2979">
        <v>0.15</v>
      </c>
      <c r="F370" s="2979">
        <v>0.14599999999999999</v>
      </c>
      <c r="G370" s="2980">
        <v>0.15</v>
      </c>
    </row>
    <row r="371" spans="1:7">
      <c r="A371" s="2989" t="s">
        <v>2848</v>
      </c>
      <c r="B371" s="2978" t="s">
        <v>229</v>
      </c>
      <c r="C371" s="2979">
        <v>0.15</v>
      </c>
      <c r="D371" s="2979">
        <v>0.15</v>
      </c>
      <c r="E371" s="2979">
        <v>0.15</v>
      </c>
      <c r="F371" s="2979">
        <v>0.12</v>
      </c>
      <c r="G371" s="2980">
        <v>0.15</v>
      </c>
    </row>
    <row r="372" spans="1:7">
      <c r="A372" s="2989" t="s">
        <v>2848</v>
      </c>
      <c r="B372" s="2978" t="s">
        <v>2909</v>
      </c>
      <c r="C372" s="2979">
        <v>0.15</v>
      </c>
      <c r="D372" s="2979">
        <v>0.15</v>
      </c>
      <c r="E372" s="2979">
        <v>0.15</v>
      </c>
      <c r="F372" s="2979">
        <v>0.14299999999999999</v>
      </c>
      <c r="G372" s="2980">
        <v>0.15</v>
      </c>
    </row>
    <row r="373" spans="1:7">
      <c r="A373" s="2989" t="s">
        <v>2848</v>
      </c>
      <c r="B373" s="2978" t="s">
        <v>258</v>
      </c>
      <c r="C373" s="2979">
        <v>0.15</v>
      </c>
      <c r="D373" s="2979">
        <v>0.15</v>
      </c>
      <c r="E373" s="2979">
        <v>0.15</v>
      </c>
      <c r="F373" s="2979">
        <v>0.14599999999999999</v>
      </c>
      <c r="G373" s="2980">
        <v>0.15</v>
      </c>
    </row>
    <row r="374" spans="1:7">
      <c r="A374" s="2989" t="s">
        <v>2848</v>
      </c>
      <c r="B374" s="2978" t="s">
        <v>266</v>
      </c>
      <c r="C374" s="2979">
        <v>0.15</v>
      </c>
      <c r="D374" s="2979">
        <v>0.15</v>
      </c>
      <c r="E374" s="2979">
        <v>0.15</v>
      </c>
      <c r="F374" s="2979">
        <v>0.14399999999999999</v>
      </c>
      <c r="G374" s="2980">
        <v>0.15</v>
      </c>
    </row>
    <row r="375" spans="1:7">
      <c r="A375" s="2989" t="s">
        <v>2848</v>
      </c>
      <c r="B375" s="2978" t="s">
        <v>2917</v>
      </c>
      <c r="C375" s="2979">
        <v>0.15</v>
      </c>
      <c r="D375" s="2979">
        <v>0.15</v>
      </c>
      <c r="E375" s="2979">
        <v>0.15</v>
      </c>
      <c r="F375" s="2979">
        <v>0.13</v>
      </c>
      <c r="G375" s="2980">
        <v>0.15</v>
      </c>
    </row>
    <row r="376" spans="1:7">
      <c r="A376" s="2989" t="s">
        <v>2848</v>
      </c>
      <c r="B376" s="2978" t="s">
        <v>277</v>
      </c>
      <c r="C376" s="2979">
        <v>0.15</v>
      </c>
      <c r="D376" s="2979">
        <v>0.15</v>
      </c>
      <c r="E376" s="2979">
        <v>0.15</v>
      </c>
      <c r="F376" s="2979">
        <v>0.14199999999999999</v>
      </c>
      <c r="G376" s="2980">
        <v>0.15</v>
      </c>
    </row>
    <row r="377" spans="1:7" ht="14.25" thickBot="1">
      <c r="A377" s="2992" t="s">
        <v>2848</v>
      </c>
      <c r="B377" s="2982" t="s">
        <v>2923</v>
      </c>
      <c r="C377" s="2983">
        <v>0.15</v>
      </c>
      <c r="D377" s="2983">
        <v>0.15</v>
      </c>
      <c r="E377" s="2983">
        <v>0.15</v>
      </c>
      <c r="F377" s="2983">
        <v>0.14000000000000001</v>
      </c>
      <c r="G377" s="2985">
        <v>0.15</v>
      </c>
    </row>
    <row r="378" spans="1:7">
      <c r="A378" s="2988" t="s">
        <v>2849</v>
      </c>
      <c r="B378" s="2974" t="s">
        <v>2863</v>
      </c>
      <c r="C378" s="2975">
        <v>0.15</v>
      </c>
      <c r="D378" s="2975">
        <v>0.15</v>
      </c>
      <c r="E378" s="2975">
        <v>0.15</v>
      </c>
      <c r="F378" s="2975">
        <v>0.107</v>
      </c>
      <c r="G378" s="2976">
        <v>0.15</v>
      </c>
    </row>
    <row r="379" spans="1:7">
      <c r="A379" s="2989" t="s">
        <v>2849</v>
      </c>
      <c r="B379" s="2978" t="s">
        <v>2869</v>
      </c>
      <c r="C379" s="2979">
        <v>0.15</v>
      </c>
      <c r="D379" s="2979">
        <v>0.15</v>
      </c>
      <c r="E379" s="2979">
        <v>0.15</v>
      </c>
      <c r="F379" s="2979">
        <v>0.115</v>
      </c>
      <c r="G379" s="2980">
        <v>0.14899999999999999</v>
      </c>
    </row>
    <row r="380" spans="1:7">
      <c r="A380" s="2989" t="s">
        <v>2849</v>
      </c>
      <c r="B380" s="2978" t="s">
        <v>2875</v>
      </c>
      <c r="C380" s="2979">
        <v>0.15</v>
      </c>
      <c r="D380" s="2979">
        <v>0.15</v>
      </c>
      <c r="E380" s="2979">
        <v>0.15</v>
      </c>
      <c r="F380" s="2979">
        <v>0.1</v>
      </c>
      <c r="G380" s="2980">
        <v>0.14799999999999999</v>
      </c>
    </row>
    <row r="381" spans="1:7">
      <c r="A381" s="2989" t="s">
        <v>2849</v>
      </c>
      <c r="B381" s="2978" t="s">
        <v>2878</v>
      </c>
      <c r="C381" s="2979">
        <v>0.15</v>
      </c>
      <c r="D381" s="2979">
        <v>0.15</v>
      </c>
      <c r="E381" s="2979">
        <v>0.15</v>
      </c>
      <c r="F381" s="2979">
        <v>0.126</v>
      </c>
      <c r="G381" s="2980">
        <v>0.15</v>
      </c>
    </row>
    <row r="382" spans="1:7">
      <c r="A382" s="2989" t="s">
        <v>2849</v>
      </c>
      <c r="B382" s="2978" t="s">
        <v>2882</v>
      </c>
      <c r="C382" s="2979">
        <v>0.15</v>
      </c>
      <c r="D382" s="2979">
        <v>0.15</v>
      </c>
      <c r="E382" s="2979">
        <v>0.15</v>
      </c>
      <c r="F382" s="2979">
        <v>0.15</v>
      </c>
      <c r="G382" s="2980">
        <v>0.15</v>
      </c>
    </row>
    <row r="383" spans="1:7">
      <c r="A383" s="2989" t="s">
        <v>2849</v>
      </c>
      <c r="B383" s="2978" t="s">
        <v>2887</v>
      </c>
      <c r="C383" s="2979">
        <v>0.15</v>
      </c>
      <c r="D383" s="2979">
        <v>0.15</v>
      </c>
      <c r="E383" s="2979">
        <v>0.15</v>
      </c>
      <c r="F383" s="2979">
        <v>0.14699999999999999</v>
      </c>
      <c r="G383" s="2980">
        <v>0.15</v>
      </c>
    </row>
    <row r="384" spans="1:7" ht="14.25" thickBot="1">
      <c r="A384" s="2999" t="s">
        <v>2849</v>
      </c>
      <c r="B384" s="3000" t="s">
        <v>2891</v>
      </c>
      <c r="C384" s="3001">
        <v>0.15</v>
      </c>
      <c r="D384" s="3001">
        <v>0.15</v>
      </c>
      <c r="E384" s="3001">
        <v>0.15</v>
      </c>
      <c r="F384" s="3001">
        <v>0.15</v>
      </c>
      <c r="G384" s="3002">
        <v>0.15</v>
      </c>
    </row>
  </sheetData>
  <sheetProtection password="CEE9" sheet="1" objects="1" scenarios="1"/>
  <mergeCells count="1">
    <mergeCell ref="A1:B1"/>
  </mergeCells>
  <phoneticPr fontId="95"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F17"/>
  <sheetViews>
    <sheetView workbookViewId="0">
      <selection sqref="A1:XFD1048576"/>
    </sheetView>
  </sheetViews>
  <sheetFormatPr defaultColWidth="13.25" defaultRowHeight="13.5"/>
  <cols>
    <col min="1" max="16384" width="13.25" style="2814"/>
  </cols>
  <sheetData>
    <row r="1" spans="1:6" ht="14.25">
      <c r="A1" s="3704" t="s">
        <v>3230</v>
      </c>
      <c r="B1" s="3704"/>
      <c r="C1" s="3704"/>
      <c r="D1" s="3704"/>
      <c r="E1" s="3704"/>
      <c r="F1" s="3705"/>
    </row>
    <row r="2" spans="1:6" ht="14.25">
      <c r="A2" s="3003" t="s">
        <v>3231</v>
      </c>
    </row>
    <row r="3" spans="1:6" ht="14.25">
      <c r="A3" s="3003" t="s">
        <v>3232</v>
      </c>
      <c r="F3" s="3004" t="s">
        <v>3233</v>
      </c>
    </row>
    <row r="4" spans="1:6">
      <c r="A4" s="3005" t="s">
        <v>672</v>
      </c>
      <c r="B4" s="3005" t="s">
        <v>673</v>
      </c>
      <c r="C4" s="3005" t="s">
        <v>21</v>
      </c>
      <c r="D4" s="3005" t="s">
        <v>674</v>
      </c>
      <c r="E4" s="3005" t="s">
        <v>3</v>
      </c>
      <c r="F4" s="3005" t="s">
        <v>3234</v>
      </c>
    </row>
    <row r="5" spans="1:6">
      <c r="A5" s="3006" t="s">
        <v>675</v>
      </c>
      <c r="B5" s="3005"/>
      <c r="C5" s="3005"/>
      <c r="D5" s="3005"/>
      <c r="E5" s="3005"/>
      <c r="F5" s="3007"/>
    </row>
    <row r="6" spans="1:6">
      <c r="A6" s="3006" t="s">
        <v>144</v>
      </c>
      <c r="B6" s="3008">
        <v>35380</v>
      </c>
      <c r="C6" s="3008">
        <v>35180</v>
      </c>
      <c r="D6" s="3008">
        <v>35030</v>
      </c>
      <c r="E6" s="3008">
        <v>13780</v>
      </c>
      <c r="F6" s="3008">
        <v>25980</v>
      </c>
    </row>
    <row r="7" spans="1:6">
      <c r="A7" s="3006" t="s">
        <v>184</v>
      </c>
      <c r="B7" s="3008">
        <v>29960</v>
      </c>
      <c r="C7" s="3008">
        <v>29800</v>
      </c>
      <c r="D7" s="3008">
        <v>29690</v>
      </c>
      <c r="E7" s="3008">
        <v>10100</v>
      </c>
      <c r="F7" s="3008">
        <v>21690</v>
      </c>
    </row>
    <row r="8" spans="1:6">
      <c r="A8" s="3006" t="s">
        <v>296</v>
      </c>
      <c r="B8" s="3008">
        <v>24480</v>
      </c>
      <c r="C8" s="3008">
        <v>24380</v>
      </c>
      <c r="D8" s="3008">
        <v>25590</v>
      </c>
      <c r="E8" s="3008">
        <v>7010</v>
      </c>
      <c r="F8" s="3008">
        <v>17060</v>
      </c>
    </row>
    <row r="9" spans="1:6">
      <c r="A9" s="3006" t="s">
        <v>110</v>
      </c>
      <c r="B9" s="3008">
        <v>19370</v>
      </c>
      <c r="C9" s="3008">
        <v>19290</v>
      </c>
      <c r="D9" s="3008">
        <v>21280</v>
      </c>
      <c r="E9" s="3008">
        <v>4910</v>
      </c>
      <c r="F9" s="3008">
        <v>13090</v>
      </c>
    </row>
    <row r="10" spans="1:6">
      <c r="A10" s="3006" t="s">
        <v>303</v>
      </c>
      <c r="B10" s="3008">
        <v>15050</v>
      </c>
      <c r="C10" s="3008">
        <v>14980</v>
      </c>
      <c r="D10" s="3008">
        <v>17300</v>
      </c>
      <c r="E10" s="3008">
        <v>3450</v>
      </c>
      <c r="F10" s="3008">
        <v>9900</v>
      </c>
    </row>
    <row r="11" spans="1:6">
      <c r="A11" s="3006" t="s">
        <v>29</v>
      </c>
      <c r="B11" s="3008">
        <v>11550</v>
      </c>
      <c r="C11" s="3008">
        <v>11490</v>
      </c>
      <c r="D11" s="3008">
        <v>13850</v>
      </c>
      <c r="E11" s="3008">
        <v>2400</v>
      </c>
      <c r="F11" s="3008">
        <v>7390</v>
      </c>
    </row>
    <row r="12" spans="1:6">
      <c r="A12" s="3006" t="s">
        <v>304</v>
      </c>
      <c r="B12" s="3008">
        <v>8630</v>
      </c>
      <c r="C12" s="3008">
        <v>8580</v>
      </c>
      <c r="D12" s="3008">
        <v>10740</v>
      </c>
      <c r="E12" s="3008">
        <v>1720</v>
      </c>
      <c r="F12" s="3008">
        <v>5420</v>
      </c>
    </row>
    <row r="13" spans="1:6">
      <c r="A13" s="3006" t="s">
        <v>305</v>
      </c>
      <c r="B13" s="3008">
        <v>6620</v>
      </c>
      <c r="C13" s="3008">
        <v>6580</v>
      </c>
      <c r="D13" s="3008">
        <v>7830</v>
      </c>
      <c r="E13" s="3008">
        <v>1260</v>
      </c>
      <c r="F13" s="3008">
        <v>4040</v>
      </c>
    </row>
    <row r="14" spans="1:6">
      <c r="A14" s="3006" t="s">
        <v>306</v>
      </c>
      <c r="B14" s="3008">
        <v>4900</v>
      </c>
      <c r="C14" s="3008">
        <v>4860</v>
      </c>
      <c r="D14" s="3008">
        <v>5540</v>
      </c>
      <c r="E14" s="3008">
        <v>950</v>
      </c>
      <c r="F14" s="3008">
        <v>2930</v>
      </c>
    </row>
    <row r="15" spans="1:6">
      <c r="A15" s="3006" t="s">
        <v>307</v>
      </c>
      <c r="B15" s="3008">
        <v>3380</v>
      </c>
      <c r="C15" s="3008">
        <v>3340</v>
      </c>
      <c r="D15" s="3008">
        <v>3630</v>
      </c>
      <c r="E15" s="3008">
        <v>730</v>
      </c>
      <c r="F15" s="3008">
        <v>1990</v>
      </c>
    </row>
    <row r="16" spans="1:6">
      <c r="A16" s="3006" t="s">
        <v>369</v>
      </c>
      <c r="B16" s="3008">
        <v>2230</v>
      </c>
      <c r="C16" s="3008">
        <v>2200</v>
      </c>
      <c r="D16" s="3008">
        <v>2180</v>
      </c>
      <c r="E16" s="3008">
        <v>570</v>
      </c>
      <c r="F16" s="3008">
        <v>1330</v>
      </c>
    </row>
    <row r="17" spans="1:6">
      <c r="A17" s="3006" t="s">
        <v>370</v>
      </c>
      <c r="B17" s="3008">
        <v>1390</v>
      </c>
      <c r="C17" s="3008">
        <v>1360</v>
      </c>
      <c r="D17" s="3008">
        <v>1340</v>
      </c>
      <c r="E17" s="3008">
        <v>450</v>
      </c>
      <c r="F17" s="3008">
        <v>860</v>
      </c>
    </row>
  </sheetData>
  <sheetProtection password="CEE9" sheet="1" objects="1" scenarios="1"/>
  <mergeCells count="1">
    <mergeCell ref="A1:F1"/>
  </mergeCells>
  <phoneticPr fontId="136"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AR54"/>
  <sheetViews>
    <sheetView zoomScale="90" zoomScaleNormal="90" workbookViewId="0">
      <selection activeCell="A36" sqref="A36:XFD36"/>
    </sheetView>
  </sheetViews>
  <sheetFormatPr defaultRowHeight="13.5"/>
  <cols>
    <col min="1" max="1" width="13.875" customWidth="1"/>
    <col min="11" max="17" width="0" hidden="1" customWidth="1"/>
    <col min="25" max="30" width="0" hidden="1" customWidth="1"/>
  </cols>
  <sheetData>
    <row r="1" spans="1:44">
      <c r="A1" s="2938">
        <f>基准地价修正!G23</f>
        <v>45839</v>
      </c>
      <c r="B1" s="2930" t="s">
        <v>3376</v>
      </c>
      <c r="C1" s="2931"/>
      <c r="D1" s="2931"/>
      <c r="E1" s="2931"/>
      <c r="F1" s="2931"/>
      <c r="G1" s="2931"/>
      <c r="H1" s="2931"/>
      <c r="I1" s="2931"/>
      <c r="J1" s="2897"/>
      <c r="K1" s="2931" t="s">
        <v>454</v>
      </c>
      <c r="L1" s="2931"/>
      <c r="M1" s="2931"/>
      <c r="N1" s="2931"/>
      <c r="O1" s="2931"/>
      <c r="P1" s="2931"/>
      <c r="Q1" s="2897"/>
      <c r="R1" s="3706" t="s">
        <v>456</v>
      </c>
      <c r="S1" s="3707"/>
      <c r="T1" s="3707"/>
      <c r="U1" s="3707"/>
      <c r="V1" s="3707"/>
      <c r="W1" s="3707"/>
      <c r="X1" s="2897"/>
      <c r="Y1" s="3706" t="s">
        <v>457</v>
      </c>
      <c r="Z1" s="3707"/>
      <c r="AA1" s="3707"/>
      <c r="AB1" s="3707"/>
      <c r="AC1" s="3707"/>
      <c r="AD1" s="3707"/>
    </row>
    <row r="2" spans="1:44" s="2010" customFormat="1" ht="14.25" thickBot="1">
      <c r="B2" s="2882"/>
      <c r="C2" s="2883"/>
      <c r="D2" s="2011" t="s">
        <v>2808</v>
      </c>
      <c r="E2" s="2012" t="s">
        <v>2809</v>
      </c>
      <c r="F2" s="2012" t="s">
        <v>2810</v>
      </c>
      <c r="G2" s="2012" t="s">
        <v>2811</v>
      </c>
      <c r="H2" s="2012" t="s">
        <v>2812</v>
      </c>
      <c r="I2" s="2012" t="s">
        <v>2629</v>
      </c>
      <c r="J2" s="2884"/>
      <c r="K2" s="2011" t="s">
        <v>2808</v>
      </c>
      <c r="L2" s="2012" t="s">
        <v>2809</v>
      </c>
      <c r="M2" s="2012" t="s">
        <v>2810</v>
      </c>
      <c r="N2" s="2012" t="s">
        <v>2811</v>
      </c>
      <c r="O2" s="2012" t="s">
        <v>2813</v>
      </c>
      <c r="P2" s="2012" t="s">
        <v>2629</v>
      </c>
      <c r="Q2" s="2884"/>
      <c r="R2" s="2011" t="s">
        <v>2808</v>
      </c>
      <c r="S2" s="2012" t="s">
        <v>2809</v>
      </c>
      <c r="T2" s="2012" t="s">
        <v>2810</v>
      </c>
      <c r="U2" s="2012" t="s">
        <v>2814</v>
      </c>
      <c r="V2" s="2012" t="s">
        <v>2815</v>
      </c>
      <c r="W2" s="2012" t="s">
        <v>2629</v>
      </c>
      <c r="X2" s="2884"/>
      <c r="Y2" s="2011" t="s">
        <v>2808</v>
      </c>
      <c r="Z2" s="2012" t="s">
        <v>2809</v>
      </c>
      <c r="AA2" s="2012" t="s">
        <v>2810</v>
      </c>
      <c r="AB2" s="2012" t="s">
        <v>2816</v>
      </c>
      <c r="AC2" s="2012" t="s">
        <v>2815</v>
      </c>
      <c r="AD2" s="2012" t="s">
        <v>2629</v>
      </c>
      <c r="AF2" t="s">
        <v>3403</v>
      </c>
      <c r="AG2" t="s">
        <v>673</v>
      </c>
      <c r="AH2" t="s">
        <v>21</v>
      </c>
      <c r="AI2" t="s">
        <v>3404</v>
      </c>
      <c r="AJ2" t="s">
        <v>3</v>
      </c>
      <c r="AK2" t="s">
        <v>3405</v>
      </c>
      <c r="AM2" t="s">
        <v>3403</v>
      </c>
      <c r="AN2" t="s">
        <v>673</v>
      </c>
      <c r="AO2" t="s">
        <v>21</v>
      </c>
      <c r="AP2" t="s">
        <v>3404</v>
      </c>
      <c r="AQ2" t="s">
        <v>3</v>
      </c>
      <c r="AR2" t="s">
        <v>3405</v>
      </c>
    </row>
    <row r="3" spans="1:44" s="2887" customFormat="1" ht="12.75">
      <c r="A3" s="2885" t="s">
        <v>2817</v>
      </c>
      <c r="B3" s="2886"/>
      <c r="D3" s="2887">
        <f>ROUND(AVERAGEIF(D4:D24,"&lt;&gt;0"),2)</f>
        <v>0.39</v>
      </c>
      <c r="E3" s="2887">
        <f t="shared" ref="E3:H3" si="0">ROUND(AVERAGEIF(E4:E24,"&lt;&gt;0"),2)</f>
        <v>0.21</v>
      </c>
      <c r="F3" s="2887">
        <f t="shared" si="0"/>
        <v>-0.06</v>
      </c>
      <c r="G3" s="2887">
        <f t="shared" si="0"/>
        <v>0.46</v>
      </c>
      <c r="H3" s="2887">
        <f t="shared" si="0"/>
        <v>0.51</v>
      </c>
      <c r="I3" s="2887">
        <f>F3</f>
        <v>-0.06</v>
      </c>
      <c r="J3" s="2888"/>
      <c r="K3" s="2889">
        <f>ROUND(AVERAGEIF(K4:K24,"&lt;&gt;0"),4)</f>
        <v>3.8999999999999998E-3</v>
      </c>
      <c r="L3" s="2890">
        <f t="shared" ref="L3:O3" si="1">ROUND(AVERAGEIF(L4:L24,"&lt;&gt;0"),4)</f>
        <v>2.0999999999999999E-3</v>
      </c>
      <c r="M3" s="2890">
        <f t="shared" si="1"/>
        <v>-5.9999999999999995E-4</v>
      </c>
      <c r="N3" s="2890">
        <f t="shared" si="1"/>
        <v>4.5999999999999999E-3</v>
      </c>
      <c r="O3" s="2890">
        <f t="shared" si="1"/>
        <v>5.1000000000000004E-3</v>
      </c>
      <c r="P3" s="2890">
        <f>M3</f>
        <v>-5.9999999999999995E-4</v>
      </c>
      <c r="Q3" s="2888"/>
      <c r="R3" s="2891">
        <f>ROUND(SUMPRODUCT(PRODUCT(1+K4:K24)),4)</f>
        <v>1.0674999999999999</v>
      </c>
      <c r="S3" s="2892">
        <f t="shared" ref="S3:V3" si="2">ROUND(SUMPRODUCT(PRODUCT(1+L4:L24)),4)</f>
        <v>1.0355000000000001</v>
      </c>
      <c r="T3" s="2892">
        <f t="shared" si="2"/>
        <v>0.98880000000000001</v>
      </c>
      <c r="U3" s="2892">
        <f t="shared" si="2"/>
        <v>1.0798000000000001</v>
      </c>
      <c r="V3" s="2892">
        <f t="shared" si="2"/>
        <v>1.0911</v>
      </c>
      <c r="W3" s="2891">
        <f>T3</f>
        <v>0.98880000000000001</v>
      </c>
      <c r="X3" s="2888"/>
      <c r="Y3" s="2893">
        <f>ROUND(AVERAGEIF(Y11:Y24,"&lt;&gt;0"),4)</f>
        <v>8.3999999999999995E-3</v>
      </c>
      <c r="Z3" s="2894">
        <f t="shared" ref="Z3:AC3" si="3">ROUND(AVERAGEIF(Z11:Z24,"&lt;&gt;0"),4)</f>
        <v>3.5000000000000001E-3</v>
      </c>
      <c r="AA3" s="2895">
        <f t="shared" si="3"/>
        <v>8.0000000000000004E-4</v>
      </c>
      <c r="AB3" s="2893">
        <f t="shared" si="3"/>
        <v>9.1000000000000004E-3</v>
      </c>
      <c r="AC3" s="2896">
        <f t="shared" si="3"/>
        <v>6.1000000000000004E-3</v>
      </c>
      <c r="AD3" s="2893">
        <f>AA3</f>
        <v>8.0000000000000004E-4</v>
      </c>
    </row>
    <row r="4" spans="1:44" s="2009" customFormat="1" ht="12.75">
      <c r="B4" s="2025"/>
      <c r="J4" s="2897"/>
      <c r="K4" s="2898"/>
      <c r="L4" s="2899"/>
      <c r="M4" s="2899"/>
      <c r="N4" s="2899"/>
      <c r="O4" s="2899"/>
      <c r="P4" s="2899"/>
      <c r="Q4" s="2897"/>
      <c r="R4" s="2027"/>
      <c r="S4" s="2900"/>
      <c r="T4" s="2901"/>
      <c r="U4" s="2027"/>
      <c r="V4" s="2902"/>
      <c r="W4" s="2027"/>
      <c r="X4" s="2897"/>
      <c r="Y4" s="2028"/>
      <c r="Z4" s="2903"/>
      <c r="AA4" s="2904"/>
      <c r="AB4" s="2028"/>
      <c r="AC4" s="2905"/>
      <c r="AD4" s="2028"/>
    </row>
    <row r="5" spans="1:44" s="2045" customFormat="1">
      <c r="A5" s="2040" t="s">
        <v>3402</v>
      </c>
      <c r="B5" s="2031">
        <v>2025</v>
      </c>
      <c r="C5" s="2042">
        <v>4</v>
      </c>
      <c r="D5" s="2007">
        <v>0</v>
      </c>
      <c r="E5" s="2007">
        <v>0</v>
      </c>
      <c r="F5" s="2007">
        <v>0</v>
      </c>
      <c r="G5" s="2007">
        <v>0</v>
      </c>
      <c r="H5" s="2007">
        <v>0</v>
      </c>
      <c r="I5" s="2008">
        <f t="shared" ref="I5" si="4">F5</f>
        <v>0</v>
      </c>
      <c r="J5" s="2907"/>
      <c r="K5" s="2043">
        <f t="shared" ref="K5" si="5">D5/100</f>
        <v>0</v>
      </c>
      <c r="L5" s="2028">
        <f t="shared" ref="L5" si="6">E5/100</f>
        <v>0</v>
      </c>
      <c r="M5" s="2028">
        <f t="shared" ref="M5" si="7">F5/100</f>
        <v>0</v>
      </c>
      <c r="N5" s="2028">
        <f t="shared" ref="N5" si="8">G5/100</f>
        <v>0</v>
      </c>
      <c r="O5" s="2028">
        <f t="shared" ref="O5" si="9">H5/100</f>
        <v>0</v>
      </c>
      <c r="P5" s="2028">
        <f t="shared" ref="P5:P11" si="10">M5</f>
        <v>0</v>
      </c>
      <c r="Q5" s="2907"/>
      <c r="R5" s="2027">
        <f>ROUND(IF(项目基本情况!$B$8="出让",SUMPRODUCT(PRODUCT(1+K5:$K$24)),SUMPRODUCT(PRODUCT(1+K5:$K$23))),4)</f>
        <v>1.0571999999999999</v>
      </c>
      <c r="S5" s="2027">
        <f>ROUND(IF(项目基本情况!$B$8="出让",SUMPRODUCT(PRODUCT(1+L5:$L$24)),SUMPRODUCT(PRODUCT(1+L5:$L$23))),4)</f>
        <v>1.0339</v>
      </c>
      <c r="T5" s="2027">
        <f>ROUND(IF(项目基本情况!$B$8="出让",SUMPRODUCT(PRODUCT(1+M5:$M$24)),SUMPRODUCT(PRODUCT(1+M5:$M$23))),4)</f>
        <v>0.99129999999999996</v>
      </c>
      <c r="U5" s="2027">
        <f>ROUND(IF(项目基本情况!$B$8="出让",SUMPRODUCT(PRODUCT(1+N5:$N$24)),SUMPRODUCT(PRODUCT(1+N5:$N$23))),4)</f>
        <v>1.0679000000000001</v>
      </c>
      <c r="V5" s="2027">
        <f>ROUND(IF(项目基本情况!$B$8="出让",SUMPRODUCT(PRODUCT(1+O5:$O$24)),SUMPRODUCT(PRODUCT(1+O5:$O$23))),4)</f>
        <v>1.0871999999999999</v>
      </c>
      <c r="W5" s="2027">
        <f t="shared" ref="W5:W11" si="11">T5</f>
        <v>0.99129999999999996</v>
      </c>
      <c r="X5" s="2907"/>
      <c r="Y5" s="2028">
        <f t="shared" ref="Y5:Y11" si="12">IF(D5=0,0,ROUND(AVERAGE(D5:D18)/100,4))</f>
        <v>0</v>
      </c>
      <c r="Z5" s="2028">
        <f t="shared" ref="Z5" si="13">IF(E5=0,0,ROUND(AVERAGE(E5:E18)/100,4))</f>
        <v>0</v>
      </c>
      <c r="AA5" s="2028">
        <f t="shared" ref="AA5" si="14">IF(F5=0,0,ROUND(AVERAGE(F5:F18)/100,4))</f>
        <v>0</v>
      </c>
      <c r="AB5" s="2028">
        <f t="shared" ref="AB5" si="15">IF(G5=0,0,ROUND(AVERAGE(G5:G18)/100,4))</f>
        <v>0</v>
      </c>
      <c r="AC5" s="2028">
        <f t="shared" ref="AC5" si="16">IF(H5=0,0,ROUND(AVERAGE(H5:H18)/100,4))</f>
        <v>0</v>
      </c>
      <c r="AD5" s="2028">
        <f t="shared" ref="AD5" si="17">AA5</f>
        <v>0</v>
      </c>
      <c r="AF5" s="3154">
        <f>$AF$24*R5</f>
        <v>105.72</v>
      </c>
      <c r="AG5" s="3154">
        <f t="shared" ref="AG5:AK5" si="18">$AF$24*S5</f>
        <v>103.39</v>
      </c>
      <c r="AH5" s="3154">
        <f t="shared" si="18"/>
        <v>99.13</v>
      </c>
      <c r="AI5" s="3154">
        <f t="shared" si="18"/>
        <v>106.79</v>
      </c>
      <c r="AJ5" s="3154">
        <f t="shared" si="18"/>
        <v>108.72</v>
      </c>
      <c r="AK5" s="3154">
        <f t="shared" si="18"/>
        <v>99.13</v>
      </c>
      <c r="AM5" s="3160">
        <v>100</v>
      </c>
      <c r="AN5" s="3160">
        <v>100</v>
      </c>
      <c r="AO5" s="3160">
        <v>100</v>
      </c>
      <c r="AP5" s="3160">
        <v>100</v>
      </c>
      <c r="AQ5" s="3160">
        <v>100</v>
      </c>
      <c r="AR5" s="3160">
        <v>100</v>
      </c>
    </row>
    <row r="6" spans="1:44" s="2045" customFormat="1" ht="12.75">
      <c r="A6" s="2040" t="s">
        <v>3401</v>
      </c>
      <c r="B6" s="2031">
        <v>2025</v>
      </c>
      <c r="C6" s="2042">
        <v>3</v>
      </c>
      <c r="D6" s="2007">
        <v>0</v>
      </c>
      <c r="E6" s="2007">
        <v>0</v>
      </c>
      <c r="F6" s="2007">
        <v>0</v>
      </c>
      <c r="G6" s="2007">
        <v>0</v>
      </c>
      <c r="H6" s="2007">
        <v>0</v>
      </c>
      <c r="I6" s="2008">
        <f t="shared" ref="I6" si="19">F6</f>
        <v>0</v>
      </c>
      <c r="J6" s="2907"/>
      <c r="K6" s="2043">
        <f t="shared" ref="K6" si="20">D6/100</f>
        <v>0</v>
      </c>
      <c r="L6" s="2028">
        <f t="shared" ref="L6" si="21">E6/100</f>
        <v>0</v>
      </c>
      <c r="M6" s="2028">
        <f t="shared" ref="M6" si="22">F6/100</f>
        <v>0</v>
      </c>
      <c r="N6" s="2028">
        <f t="shared" ref="N6" si="23">G6/100</f>
        <v>0</v>
      </c>
      <c r="O6" s="2028">
        <f t="shared" ref="O6" si="24">H6/100</f>
        <v>0</v>
      </c>
      <c r="P6" s="2028">
        <f t="shared" si="10"/>
        <v>0</v>
      </c>
      <c r="Q6" s="2907"/>
      <c r="R6" s="2027">
        <f>ROUND(IF(项目基本情况!$B$8="出让",SUMPRODUCT(PRODUCT(1+K6:$K$24)),SUMPRODUCT(PRODUCT(1+K6:$K$23))),4)</f>
        <v>1.0571999999999999</v>
      </c>
      <c r="S6" s="2027">
        <f>ROUND(IF(项目基本情况!$B$8="出让",SUMPRODUCT(PRODUCT(1+L6:$L$24)),SUMPRODUCT(PRODUCT(1+L6:$L$23))),4)</f>
        <v>1.0339</v>
      </c>
      <c r="T6" s="2027">
        <f>ROUND(IF(项目基本情况!$B$8="出让",SUMPRODUCT(PRODUCT(1+M6:$M$24)),SUMPRODUCT(PRODUCT(1+M6:$M$23))),4)</f>
        <v>0.99129999999999996</v>
      </c>
      <c r="U6" s="2027">
        <f>ROUND(IF(项目基本情况!$B$8="出让",SUMPRODUCT(PRODUCT(1+N6:$N$24)),SUMPRODUCT(PRODUCT(1+N6:$N$23))),4)</f>
        <v>1.0679000000000001</v>
      </c>
      <c r="V6" s="2027">
        <f>ROUND(IF(项目基本情况!$B$8="出让",SUMPRODUCT(PRODUCT(1+O6:$O$24)),SUMPRODUCT(PRODUCT(1+O6:$O$23))),4)</f>
        <v>1.0871999999999999</v>
      </c>
      <c r="W6" s="2027">
        <f t="shared" si="11"/>
        <v>0.99129999999999996</v>
      </c>
      <c r="X6" s="2907"/>
      <c r="Y6" s="2028">
        <f t="shared" si="12"/>
        <v>0</v>
      </c>
      <c r="Z6" s="2028">
        <f t="shared" ref="Z6" si="25">IF(E6=0,0,ROUND(AVERAGE(E6:E19)/100,4))</f>
        <v>0</v>
      </c>
      <c r="AA6" s="2028">
        <f t="shared" ref="AA6" si="26">IF(F6=0,0,ROUND(AVERAGE(F6:F19)/100,4))</f>
        <v>0</v>
      </c>
      <c r="AB6" s="2028">
        <f t="shared" ref="AB6" si="27">IF(G6=0,0,ROUND(AVERAGE(G6:G19)/100,4))</f>
        <v>0</v>
      </c>
      <c r="AC6" s="2028">
        <f t="shared" ref="AC6" si="28">IF(H6=0,0,ROUND(AVERAGE(H6:H19)/100,4))</f>
        <v>0</v>
      </c>
      <c r="AD6" s="2028">
        <f t="shared" ref="AD6" si="29">AA6</f>
        <v>0</v>
      </c>
      <c r="AF6" s="3154">
        <f t="shared" ref="AF6:AF23" si="30">$AF$24*R6</f>
        <v>105.72</v>
      </c>
      <c r="AG6" s="3154">
        <f t="shared" ref="AG6:AG23" si="31">$AF$24*S6</f>
        <v>103.39</v>
      </c>
      <c r="AH6" s="3154">
        <f t="shared" ref="AH6:AH23" si="32">$AF$24*T6</f>
        <v>99.13</v>
      </c>
      <c r="AI6" s="3154">
        <f t="shared" ref="AI6:AI23" si="33">$AF$24*U6</f>
        <v>106.79</v>
      </c>
      <c r="AJ6" s="3154">
        <f t="shared" ref="AJ6:AJ23" si="34">$AF$24*V6</f>
        <v>108.72</v>
      </c>
      <c r="AK6" s="3154">
        <f t="shared" ref="AK6:AK23" si="35">$AF$24*W6</f>
        <v>99.13</v>
      </c>
      <c r="AM6" s="3154">
        <f>AM5/(1+D5/100)</f>
        <v>100</v>
      </c>
      <c r="AN6" s="3154">
        <f t="shared" ref="AN6:AR6" si="36">AN5/(1+E5/100)</f>
        <v>100</v>
      </c>
      <c r="AO6" s="3154">
        <f t="shared" si="36"/>
        <v>100</v>
      </c>
      <c r="AP6" s="3154">
        <f t="shared" si="36"/>
        <v>100</v>
      </c>
      <c r="AQ6" s="3154">
        <f t="shared" si="36"/>
        <v>100</v>
      </c>
      <c r="AR6" s="3154">
        <f t="shared" si="36"/>
        <v>100</v>
      </c>
    </row>
    <row r="7" spans="1:44" s="2917" customFormat="1" ht="12.75">
      <c r="A7" s="2908" t="s">
        <v>3400</v>
      </c>
      <c r="B7" s="2909">
        <v>2025</v>
      </c>
      <c r="C7" s="2910">
        <v>2</v>
      </c>
      <c r="D7" s="2911">
        <v>0</v>
      </c>
      <c r="E7" s="2911">
        <v>0</v>
      </c>
      <c r="F7" s="2911">
        <v>0</v>
      </c>
      <c r="G7" s="2911">
        <v>0</v>
      </c>
      <c r="H7" s="2912">
        <v>0</v>
      </c>
      <c r="I7" s="2913">
        <f t="shared" ref="I7" si="37">F7</f>
        <v>0</v>
      </c>
      <c r="J7" s="2914"/>
      <c r="K7" s="2915">
        <f t="shared" ref="K7" si="38">D7/100</f>
        <v>0</v>
      </c>
      <c r="L7" s="2916">
        <f t="shared" ref="L7" si="39">E7/100</f>
        <v>0</v>
      </c>
      <c r="M7" s="2916">
        <f t="shared" ref="M7" si="40">F7/100</f>
        <v>0</v>
      </c>
      <c r="N7" s="2916">
        <f t="shared" ref="N7" si="41">G7/100</f>
        <v>0</v>
      </c>
      <c r="O7" s="2916">
        <f t="shared" ref="O7" si="42">H7/100</f>
        <v>0</v>
      </c>
      <c r="P7" s="2916">
        <f t="shared" si="10"/>
        <v>0</v>
      </c>
      <c r="Q7" s="2914"/>
      <c r="R7" s="2914">
        <f>ROUND(IF(项目基本情况!$B$8="出让",SUMPRODUCT(PRODUCT(1+K7:$K$24)),SUMPRODUCT(PRODUCT(1+K7:$K$23))),4)</f>
        <v>1.0571999999999999</v>
      </c>
      <c r="S7" s="2914">
        <f>ROUND(IF(项目基本情况!$B$8="出让",SUMPRODUCT(PRODUCT(1+L7:$L$24)),SUMPRODUCT(PRODUCT(1+L7:$L$23))),4)</f>
        <v>1.0339</v>
      </c>
      <c r="T7" s="2914">
        <f>ROUND(IF(项目基本情况!$B$8="出让",SUMPRODUCT(PRODUCT(1+M7:$M$24)),SUMPRODUCT(PRODUCT(1+M7:$M$23))),4)</f>
        <v>0.99129999999999996</v>
      </c>
      <c r="U7" s="2914">
        <f>ROUND(IF(项目基本情况!$B$8="出让",SUMPRODUCT(PRODUCT(1+N7:$N$24)),SUMPRODUCT(PRODUCT(1+N7:$N$23))),4)</f>
        <v>1.0679000000000001</v>
      </c>
      <c r="V7" s="2914">
        <f>ROUND(IF(项目基本情况!$B$8="出让",SUMPRODUCT(PRODUCT(1+O7:$O$24)),SUMPRODUCT(PRODUCT(1+O7:$O$23))),4)</f>
        <v>1.0871999999999999</v>
      </c>
      <c r="W7" s="2914">
        <f t="shared" si="11"/>
        <v>0.99129999999999996</v>
      </c>
      <c r="X7" s="2914"/>
      <c r="Y7" s="2916">
        <f t="shared" si="12"/>
        <v>0</v>
      </c>
      <c r="Z7" s="2916">
        <f t="shared" ref="Z7" si="43">IF(E7=0,0,ROUND(AVERAGE(E7:E20)/100,4))</f>
        <v>0</v>
      </c>
      <c r="AA7" s="2916">
        <f t="shared" ref="AA7" si="44">IF(F7=0,0,ROUND(AVERAGE(F7:F20)/100,4))</f>
        <v>0</v>
      </c>
      <c r="AB7" s="2916">
        <f t="shared" ref="AB7" si="45">IF(G7=0,0,ROUND(AVERAGE(G7:G20)/100,4))</f>
        <v>0</v>
      </c>
      <c r="AC7" s="2916">
        <f t="shared" ref="AC7" si="46">IF(H7=0,0,ROUND(AVERAGE(H7:H20)/100,4))</f>
        <v>0</v>
      </c>
      <c r="AD7" s="2916">
        <f t="shared" ref="AD7" si="47">AA7</f>
        <v>0</v>
      </c>
      <c r="AF7" s="3155">
        <f t="shared" si="30"/>
        <v>105.72</v>
      </c>
      <c r="AG7" s="3155">
        <f t="shared" si="31"/>
        <v>103.39</v>
      </c>
      <c r="AH7" s="3155">
        <f t="shared" si="32"/>
        <v>99.13</v>
      </c>
      <c r="AI7" s="3155">
        <f t="shared" si="33"/>
        <v>106.79</v>
      </c>
      <c r="AJ7" s="3155">
        <f t="shared" si="34"/>
        <v>108.72</v>
      </c>
      <c r="AK7" s="3155">
        <f t="shared" si="35"/>
        <v>99.13</v>
      </c>
      <c r="AM7" s="3155">
        <f t="shared" ref="AM7:AM24" si="48">AM6/(1+D6/100)</f>
        <v>100</v>
      </c>
      <c r="AN7" s="3155">
        <f t="shared" ref="AN7:AN24" si="49">AN6/(1+E6/100)</f>
        <v>100</v>
      </c>
      <c r="AO7" s="3155">
        <f t="shared" ref="AO7:AO24" si="50">AO6/(1+F6/100)</f>
        <v>100</v>
      </c>
      <c r="AP7" s="3155">
        <f t="shared" ref="AP7:AP24" si="51">AP6/(1+G6/100)</f>
        <v>100</v>
      </c>
      <c r="AQ7" s="3155">
        <f t="shared" ref="AQ7:AQ24" si="52">AQ6/(1+H6/100)</f>
        <v>100</v>
      </c>
      <c r="AR7" s="3155">
        <f t="shared" ref="AR7:AR24" si="53">AR6/(1+I6/100)</f>
        <v>100</v>
      </c>
    </row>
    <row r="8" spans="1:44" s="2045" customFormat="1" ht="12.75">
      <c r="A8" s="2040" t="s">
        <v>3408</v>
      </c>
      <c r="B8" s="2031">
        <v>2025</v>
      </c>
      <c r="C8" s="2042">
        <v>1</v>
      </c>
      <c r="D8" s="2007">
        <v>0.56999999999999995</v>
      </c>
      <c r="E8" s="2007">
        <v>-0.56999999999999995</v>
      </c>
      <c r="F8" s="2007">
        <v>-0.9</v>
      </c>
      <c r="G8" s="2007">
        <v>1.1200000000000001</v>
      </c>
      <c r="H8" s="2007">
        <v>0.42</v>
      </c>
      <c r="I8" s="2008">
        <f t="shared" ref="I8" si="54">F8</f>
        <v>-0.9</v>
      </c>
      <c r="J8" s="2907"/>
      <c r="K8" s="2043">
        <f t="shared" ref="K8" si="55">D8/100</f>
        <v>5.6999999999999993E-3</v>
      </c>
      <c r="L8" s="2028">
        <f t="shared" ref="L8" si="56">E8/100</f>
        <v>-5.6999999999999993E-3</v>
      </c>
      <c r="M8" s="2028">
        <f t="shared" ref="M8" si="57">F8/100</f>
        <v>-9.0000000000000011E-3</v>
      </c>
      <c r="N8" s="2028">
        <f t="shared" ref="N8" si="58">G8/100</f>
        <v>1.1200000000000002E-2</v>
      </c>
      <c r="O8" s="2028">
        <f t="shared" ref="O8" si="59">H8/100</f>
        <v>4.1999999999999997E-3</v>
      </c>
      <c r="P8" s="2028">
        <f t="shared" si="10"/>
        <v>-9.0000000000000011E-3</v>
      </c>
      <c r="Q8" s="2907"/>
      <c r="R8" s="2027">
        <f>ROUND(IF(项目基本情况!$B$8="出让",SUMPRODUCT(PRODUCT(1+K8:$K$24)),SUMPRODUCT(PRODUCT(1+K8:$K$23))),4)</f>
        <v>1.0571999999999999</v>
      </c>
      <c r="S8" s="2027">
        <f>ROUND(IF(项目基本情况!$B$8="出让",SUMPRODUCT(PRODUCT(1+L8:$L$24)),SUMPRODUCT(PRODUCT(1+L8:$L$23))),4)</f>
        <v>1.0339</v>
      </c>
      <c r="T8" s="2027">
        <f>ROUND(IF(项目基本情况!$B$8="出让",SUMPRODUCT(PRODUCT(1+M8:$M$24)),SUMPRODUCT(PRODUCT(1+M8:$M$23))),4)</f>
        <v>0.99129999999999996</v>
      </c>
      <c r="U8" s="2027">
        <f>ROUND(IF(项目基本情况!$B$8="出让",SUMPRODUCT(PRODUCT(1+N8:$N$24)),SUMPRODUCT(PRODUCT(1+N8:$N$23))),4)</f>
        <v>1.0679000000000001</v>
      </c>
      <c r="V8" s="2027">
        <f>ROUND(IF(项目基本情况!$B$8="出让",SUMPRODUCT(PRODUCT(1+O8:$O$24)),SUMPRODUCT(PRODUCT(1+O8:$O$23))),4)</f>
        <v>1.0871999999999999</v>
      </c>
      <c r="W8" s="2027">
        <f t="shared" si="11"/>
        <v>0.99129999999999996</v>
      </c>
      <c r="X8" s="2907"/>
      <c r="Y8" s="2028">
        <f t="shared" si="12"/>
        <v>3.0000000000000001E-3</v>
      </c>
      <c r="Z8" s="2028">
        <f t="shared" ref="Z8" si="60">IF(E8=0,0,ROUND(AVERAGE(E8:E21)/100,4))</f>
        <v>1.6000000000000001E-3</v>
      </c>
      <c r="AA8" s="2028">
        <f t="shared" ref="AA8" si="61">IF(F8=0,0,ROUND(AVERAGE(F8:F21)/100,4))</f>
        <v>-1.1000000000000001E-3</v>
      </c>
      <c r="AB8" s="2028">
        <f t="shared" ref="AB8" si="62">IF(G8=0,0,ROUND(AVERAGE(G8:G21)/100,4))</f>
        <v>3.7000000000000002E-3</v>
      </c>
      <c r="AC8" s="2028">
        <f t="shared" ref="AC8" si="63">IF(H8=0,0,ROUND(AVERAGE(H8:H21)/100,4))</f>
        <v>4.8999999999999998E-3</v>
      </c>
      <c r="AD8" s="2028">
        <f t="shared" ref="AD8" si="64">AA8</f>
        <v>-1.1000000000000001E-3</v>
      </c>
      <c r="AF8" s="3154">
        <f t="shared" si="30"/>
        <v>105.72</v>
      </c>
      <c r="AG8" s="3154">
        <f t="shared" si="31"/>
        <v>103.39</v>
      </c>
      <c r="AH8" s="3154">
        <f t="shared" si="32"/>
        <v>99.13</v>
      </c>
      <c r="AI8" s="3154">
        <f t="shared" si="33"/>
        <v>106.79</v>
      </c>
      <c r="AJ8" s="3154">
        <f t="shared" si="34"/>
        <v>108.72</v>
      </c>
      <c r="AK8" s="3154">
        <f t="shared" si="35"/>
        <v>99.13</v>
      </c>
      <c r="AM8" s="3154">
        <f t="shared" si="48"/>
        <v>100</v>
      </c>
      <c r="AN8" s="3154">
        <f t="shared" si="49"/>
        <v>100</v>
      </c>
      <c r="AO8" s="3154">
        <f t="shared" si="50"/>
        <v>100</v>
      </c>
      <c r="AP8" s="3154">
        <f t="shared" si="51"/>
        <v>100</v>
      </c>
      <c r="AQ8" s="3154">
        <f t="shared" si="52"/>
        <v>100</v>
      </c>
      <c r="AR8" s="3154">
        <f t="shared" si="53"/>
        <v>100</v>
      </c>
    </row>
    <row r="9" spans="1:44" s="2045" customFormat="1" ht="12.75">
      <c r="A9" s="2040" t="s">
        <v>3407</v>
      </c>
      <c r="B9" s="2031">
        <v>2024</v>
      </c>
      <c r="C9" s="2042">
        <v>4</v>
      </c>
      <c r="D9" s="2007">
        <v>-1.02</v>
      </c>
      <c r="E9" s="2007">
        <v>-0.48</v>
      </c>
      <c r="F9" s="2007">
        <v>-0.75</v>
      </c>
      <c r="G9" s="2007">
        <v>-1.05</v>
      </c>
      <c r="H9" s="2007">
        <v>0.08</v>
      </c>
      <c r="I9" s="2008">
        <f t="shared" ref="I9" si="65">F9</f>
        <v>-0.75</v>
      </c>
      <c r="J9" s="2907"/>
      <c r="K9" s="2043">
        <f t="shared" ref="K9" si="66">D9/100</f>
        <v>-1.0200000000000001E-2</v>
      </c>
      <c r="L9" s="2028">
        <f t="shared" ref="L9" si="67">E9/100</f>
        <v>-4.7999999999999996E-3</v>
      </c>
      <c r="M9" s="2028">
        <f t="shared" ref="M9" si="68">F9/100</f>
        <v>-7.4999999999999997E-3</v>
      </c>
      <c r="N9" s="2028">
        <f t="shared" ref="N9" si="69">G9/100</f>
        <v>-1.0500000000000001E-2</v>
      </c>
      <c r="O9" s="2028">
        <f t="shared" ref="O9" si="70">H9/100</f>
        <v>8.0000000000000004E-4</v>
      </c>
      <c r="P9" s="2028">
        <f t="shared" si="10"/>
        <v>-7.4999999999999997E-3</v>
      </c>
      <c r="Q9" s="2907"/>
      <c r="R9" s="2027">
        <f>ROUND(IF(项目基本情况!$B$8="出让",SUMPRODUCT(PRODUCT(1+K9:$K$24)),SUMPRODUCT(PRODUCT(1+K9:$K$23))),4)</f>
        <v>1.0511999999999999</v>
      </c>
      <c r="S9" s="2027">
        <f>ROUND(IF(项目基本情况!$B$8="出让",SUMPRODUCT(PRODUCT(1+L9:$L$24)),SUMPRODUCT(PRODUCT(1+L9:$L$23))),4)</f>
        <v>1.0398000000000001</v>
      </c>
      <c r="T9" s="2027">
        <f>ROUND(IF(项目基本情况!$B$8="出让",SUMPRODUCT(PRODUCT(1+M9:$M$24)),SUMPRODUCT(PRODUCT(1+M9:$M$23))),4)</f>
        <v>1.0003</v>
      </c>
      <c r="U9" s="2027">
        <f>ROUND(IF(项目基本情况!$B$8="出让",SUMPRODUCT(PRODUCT(1+N9:$N$24)),SUMPRODUCT(PRODUCT(1+N9:$N$23))),4)</f>
        <v>1.0561</v>
      </c>
      <c r="V9" s="2027">
        <f>ROUND(IF(项目基本情况!$B$8="出让",SUMPRODUCT(PRODUCT(1+O9:$O$24)),SUMPRODUCT(PRODUCT(1+O9:$O$23))),4)</f>
        <v>1.0827</v>
      </c>
      <c r="W9" s="2027">
        <f t="shared" si="11"/>
        <v>1.0003</v>
      </c>
      <c r="X9" s="2907"/>
      <c r="Y9" s="2028">
        <f t="shared" si="12"/>
        <v>2.8999999999999998E-3</v>
      </c>
      <c r="Z9" s="2028">
        <f t="shared" ref="Z9" si="71">IF(E9=0,0,ROUND(AVERAGE(E9:E22)/100,4))</f>
        <v>2.3E-3</v>
      </c>
      <c r="AA9" s="2028">
        <f t="shared" ref="AA9" si="72">IF(F9=0,0,ROUND(AVERAGE(F9:F22)/100,4))</f>
        <v>-2.9999999999999997E-4</v>
      </c>
      <c r="AB9" s="2028">
        <f t="shared" ref="AB9" si="73">IF(G9=0,0,ROUND(AVERAGE(G9:G22)/100,4))</f>
        <v>3.3E-3</v>
      </c>
      <c r="AC9" s="2028">
        <f t="shared" ref="AC9" si="74">IF(H9=0,0,ROUND(AVERAGE(H9:H22)/100,4))</f>
        <v>5.0000000000000001E-3</v>
      </c>
      <c r="AD9" s="2028">
        <f t="shared" ref="AD9" si="75">AA9</f>
        <v>-2.9999999999999997E-4</v>
      </c>
      <c r="AF9" s="3154">
        <f t="shared" si="30"/>
        <v>105.11999999999999</v>
      </c>
      <c r="AG9" s="3154">
        <f t="shared" si="31"/>
        <v>103.98</v>
      </c>
      <c r="AH9" s="3154">
        <f t="shared" si="32"/>
        <v>100.03</v>
      </c>
      <c r="AI9" s="3154">
        <f t="shared" si="33"/>
        <v>105.61</v>
      </c>
      <c r="AJ9" s="3154">
        <f t="shared" si="34"/>
        <v>108.27</v>
      </c>
      <c r="AK9" s="3154">
        <f t="shared" si="35"/>
        <v>100.03</v>
      </c>
      <c r="AM9" s="3154">
        <f t="shared" si="48"/>
        <v>99.433230585661718</v>
      </c>
      <c r="AN9" s="3154">
        <f t="shared" si="49"/>
        <v>100.57326762546515</v>
      </c>
      <c r="AO9" s="3154">
        <f t="shared" si="50"/>
        <v>100.90817356205852</v>
      </c>
      <c r="AP9" s="3154">
        <f t="shared" si="51"/>
        <v>98.892405063291136</v>
      </c>
      <c r="AQ9" s="3154">
        <f t="shared" si="52"/>
        <v>99.581756622186816</v>
      </c>
      <c r="AR9" s="3154">
        <f t="shared" si="53"/>
        <v>100.90817356205852</v>
      </c>
    </row>
    <row r="10" spans="1:44" s="2045" customFormat="1" ht="12.75">
      <c r="A10" s="2040" t="s">
        <v>3380</v>
      </c>
      <c r="B10" s="2031">
        <v>2024</v>
      </c>
      <c r="C10" s="2042">
        <v>3</v>
      </c>
      <c r="D10" s="2007">
        <v>-1.19</v>
      </c>
      <c r="E10" s="2007">
        <v>-0.47</v>
      </c>
      <c r="F10" s="2007">
        <v>-0.28999999999999998</v>
      </c>
      <c r="G10" s="2007">
        <v>-0.74</v>
      </c>
      <c r="H10" s="2007">
        <v>-0.21</v>
      </c>
      <c r="I10" s="2008">
        <f t="shared" ref="I10" si="76">F10</f>
        <v>-0.28999999999999998</v>
      </c>
      <c r="J10" s="2907"/>
      <c r="K10" s="2043">
        <f t="shared" ref="K10" si="77">D10/100</f>
        <v>-1.1899999999999999E-2</v>
      </c>
      <c r="L10" s="2028">
        <f t="shared" ref="L10" si="78">E10/100</f>
        <v>-4.6999999999999993E-3</v>
      </c>
      <c r="M10" s="2028">
        <f t="shared" ref="M10" si="79">F10/100</f>
        <v>-2.8999999999999998E-3</v>
      </c>
      <c r="N10" s="2028">
        <f t="shared" ref="N10" si="80">G10/100</f>
        <v>-7.4000000000000003E-3</v>
      </c>
      <c r="O10" s="2028">
        <f t="shared" ref="O10" si="81">H10/100</f>
        <v>-2.0999999999999999E-3</v>
      </c>
      <c r="P10" s="2028">
        <f t="shared" si="10"/>
        <v>-2.8999999999999998E-3</v>
      </c>
      <c r="Q10" s="2907"/>
      <c r="R10" s="2027">
        <f>ROUND(IF(项目基本情况!$B$8="出让",SUMPRODUCT(PRODUCT(1+K10:$K$24)),SUMPRODUCT(PRODUCT(1+K10:$K$23))),4)</f>
        <v>1.0620000000000001</v>
      </c>
      <c r="S10" s="2027">
        <f>ROUND(IF(项目基本情况!$B$8="出让",SUMPRODUCT(PRODUCT(1+L10:$L$24)),SUMPRODUCT(PRODUCT(1+L10:$L$23))),4)</f>
        <v>1.0448</v>
      </c>
      <c r="T10" s="2027">
        <f>ROUND(IF(项目基本情况!$B$8="出让",SUMPRODUCT(PRODUCT(1+M10:$M$24)),SUMPRODUCT(PRODUCT(1+M10:$M$23))),4)</f>
        <v>1.0079</v>
      </c>
      <c r="U10" s="2027">
        <f>ROUND(IF(项目基本情况!$B$8="出让",SUMPRODUCT(PRODUCT(1+N10:$N$24)),SUMPRODUCT(PRODUCT(1+N10:$N$23))),4)</f>
        <v>1.0672999999999999</v>
      </c>
      <c r="V10" s="2027">
        <f>ROUND(IF(项目基本情况!$B$8="出让",SUMPRODUCT(PRODUCT(1+O10:$O$24)),SUMPRODUCT(PRODUCT(1+O10:$O$23))),4)</f>
        <v>1.0818000000000001</v>
      </c>
      <c r="W10" s="2027">
        <f t="shared" si="11"/>
        <v>1.0079</v>
      </c>
      <c r="X10" s="2907"/>
      <c r="Y10" s="2028">
        <f t="shared" si="12"/>
        <v>4.3E-3</v>
      </c>
      <c r="Z10" s="2028">
        <f t="shared" ref="Z10" si="82">IF(E10=0,0,ROUND(AVERAGE(E10:E23)/100,4))</f>
        <v>3.0999999999999999E-3</v>
      </c>
      <c r="AA10" s="2028">
        <f t="shared" ref="AA10" si="83">IF(F10=0,0,ROUND(AVERAGE(F10:F23)/100,4))</f>
        <v>5.9999999999999995E-4</v>
      </c>
      <c r="AB10" s="2028">
        <f t="shared" ref="AB10" si="84">IF(G10=0,0,ROUND(AVERAGE(G10:G23)/100,4))</f>
        <v>4.7000000000000002E-3</v>
      </c>
      <c r="AC10" s="2028">
        <f t="shared" ref="AC10" si="85">IF(H10=0,0,ROUND(AVERAGE(H10:H23)/100,4))</f>
        <v>5.5999999999999999E-3</v>
      </c>
      <c r="AD10" s="2028">
        <f t="shared" ref="AD10" si="86">AA10</f>
        <v>5.9999999999999995E-4</v>
      </c>
      <c r="AF10" s="3154">
        <f t="shared" si="30"/>
        <v>106.2</v>
      </c>
      <c r="AG10" s="3154">
        <f t="shared" si="31"/>
        <v>104.47999999999999</v>
      </c>
      <c r="AH10" s="3154">
        <f t="shared" si="32"/>
        <v>100.79</v>
      </c>
      <c r="AI10" s="3154">
        <f t="shared" si="33"/>
        <v>106.72999999999999</v>
      </c>
      <c r="AJ10" s="3154">
        <f t="shared" si="34"/>
        <v>108.18</v>
      </c>
      <c r="AK10" s="3154">
        <f t="shared" si="35"/>
        <v>100.79</v>
      </c>
      <c r="AM10" s="3154">
        <f t="shared" si="48"/>
        <v>100.45790117767399</v>
      </c>
      <c r="AN10" s="3154">
        <f t="shared" si="49"/>
        <v>101.05834769439826</v>
      </c>
      <c r="AO10" s="3154">
        <f t="shared" si="50"/>
        <v>101.670703840865</v>
      </c>
      <c r="AP10" s="3154">
        <f t="shared" si="51"/>
        <v>99.941793899233076</v>
      </c>
      <c r="AQ10" s="3154">
        <f t="shared" si="52"/>
        <v>99.502154898268216</v>
      </c>
      <c r="AR10" s="3154">
        <f t="shared" si="53"/>
        <v>101.670703840865</v>
      </c>
    </row>
    <row r="11" spans="1:44" s="2045" customFormat="1" ht="12.75">
      <c r="A11" s="2906" t="s">
        <v>3374</v>
      </c>
      <c r="B11" s="2031">
        <v>2024</v>
      </c>
      <c r="C11" s="2042">
        <v>2</v>
      </c>
      <c r="D11" s="2007">
        <v>-0.59</v>
      </c>
      <c r="E11" s="2007">
        <v>-0.21</v>
      </c>
      <c r="F11" s="2007">
        <v>-1.38</v>
      </c>
      <c r="G11" s="2007">
        <v>-1.24</v>
      </c>
      <c r="H11" s="2918">
        <v>0.34</v>
      </c>
      <c r="I11" s="2008">
        <f t="shared" ref="I11:I24" si="87">F11</f>
        <v>-1.38</v>
      </c>
      <c r="J11" s="2907"/>
      <c r="K11" s="2043">
        <f t="shared" ref="K11:O24" si="88">D11/100</f>
        <v>-5.8999999999999999E-3</v>
      </c>
      <c r="L11" s="2028">
        <f t="shared" si="88"/>
        <v>-2.0999999999999999E-3</v>
      </c>
      <c r="M11" s="2028">
        <f t="shared" si="88"/>
        <v>-1.38E-2</v>
      </c>
      <c r="N11" s="2028">
        <f t="shared" si="88"/>
        <v>-1.24E-2</v>
      </c>
      <c r="O11" s="2028">
        <f t="shared" si="88"/>
        <v>3.4000000000000002E-3</v>
      </c>
      <c r="P11" s="2028">
        <f t="shared" si="10"/>
        <v>-1.38E-2</v>
      </c>
      <c r="Q11" s="2907"/>
      <c r="R11" s="2027">
        <f>ROUND(IF(项目基本情况!$B$8="出让",SUMPRODUCT(PRODUCT(1+K11:$K$24)),SUMPRODUCT(PRODUCT(1+K11:$K$23))),4)</f>
        <v>1.0748</v>
      </c>
      <c r="S11" s="2027">
        <f>ROUND(IF(项目基本情况!$B$8="出让",SUMPRODUCT(PRODUCT(1+L11:$L$24)),SUMPRODUCT(PRODUCT(1+L11:$L$23))),4)</f>
        <v>1.0498000000000001</v>
      </c>
      <c r="T11" s="2027">
        <f>ROUND(IF(项目基本情况!$B$8="出让",SUMPRODUCT(PRODUCT(1+M11:$M$24)),SUMPRODUCT(PRODUCT(1+M11:$M$23))),4)</f>
        <v>1.0107999999999999</v>
      </c>
      <c r="U11" s="2027">
        <f>ROUND(IF(项目基本情况!$B$8="出让",SUMPRODUCT(PRODUCT(1+N11:$N$24)),SUMPRODUCT(PRODUCT(1+N11:$N$23))),4)</f>
        <v>1.0752999999999999</v>
      </c>
      <c r="V11" s="2027">
        <f>ROUND(IF(项目基本情况!$B$8="出让",SUMPRODUCT(PRODUCT(1+O11:$O$24)),SUMPRODUCT(PRODUCT(1+O11:$O$23))),4)</f>
        <v>1.0841000000000001</v>
      </c>
      <c r="W11" s="2027">
        <f t="shared" si="11"/>
        <v>1.0107999999999999</v>
      </c>
      <c r="X11" s="2907"/>
      <c r="Y11" s="2028">
        <f t="shared" si="12"/>
        <v>5.8999999999999999E-3</v>
      </c>
      <c r="Z11" s="2028">
        <f t="shared" ref="Z11:AC11" si="89">IF(E11=0,0,ROUND(AVERAGE(E11:E24)/100,4))</f>
        <v>3.5999999999999999E-3</v>
      </c>
      <c r="AA11" s="2028">
        <f t="shared" si="89"/>
        <v>5.9999999999999995E-4</v>
      </c>
      <c r="AB11" s="2028">
        <f t="shared" si="89"/>
        <v>6.0000000000000001E-3</v>
      </c>
      <c r="AC11" s="2028">
        <f t="shared" si="89"/>
        <v>6.0000000000000001E-3</v>
      </c>
      <c r="AD11" s="2028">
        <f t="shared" ref="AD11:AD23" si="90">AA11</f>
        <v>5.9999999999999995E-4</v>
      </c>
      <c r="AF11" s="3154">
        <f t="shared" si="30"/>
        <v>107.48</v>
      </c>
      <c r="AG11" s="3154">
        <f t="shared" si="31"/>
        <v>104.98</v>
      </c>
      <c r="AH11" s="3154">
        <f t="shared" si="32"/>
        <v>101.08</v>
      </c>
      <c r="AI11" s="3154">
        <f t="shared" si="33"/>
        <v>107.52999999999999</v>
      </c>
      <c r="AJ11" s="3154">
        <f t="shared" si="34"/>
        <v>108.41000000000001</v>
      </c>
      <c r="AK11" s="3154">
        <f t="shared" si="35"/>
        <v>101.08</v>
      </c>
      <c r="AM11" s="3154">
        <f t="shared" si="48"/>
        <v>101.66774737139357</v>
      </c>
      <c r="AN11" s="3154">
        <f t="shared" si="49"/>
        <v>101.53556484918946</v>
      </c>
      <c r="AO11" s="3154">
        <f t="shared" si="50"/>
        <v>101.9664064194815</v>
      </c>
      <c r="AP11" s="3154">
        <f t="shared" si="51"/>
        <v>100.68687678746028</v>
      </c>
      <c r="AQ11" s="3154">
        <f t="shared" si="52"/>
        <v>99.711549151486338</v>
      </c>
      <c r="AR11" s="3154">
        <f t="shared" si="53"/>
        <v>101.9664064194815</v>
      </c>
    </row>
    <row r="12" spans="1:44" s="2045" customFormat="1" ht="12.75">
      <c r="A12" s="2906" t="s">
        <v>3373</v>
      </c>
      <c r="B12" s="2031">
        <v>2024</v>
      </c>
      <c r="C12" s="2042">
        <v>1</v>
      </c>
      <c r="D12" s="2007">
        <v>0.08</v>
      </c>
      <c r="E12" s="2007">
        <v>0.46</v>
      </c>
      <c r="F12" s="2007">
        <v>-0.16</v>
      </c>
      <c r="G12" s="2007">
        <v>0.26</v>
      </c>
      <c r="H12" s="2918">
        <v>0.59</v>
      </c>
      <c r="I12" s="2008">
        <f t="shared" si="87"/>
        <v>-0.16</v>
      </c>
      <c r="J12" s="2907"/>
      <c r="K12" s="2043">
        <f t="shared" ref="K12" si="91">D12/100</f>
        <v>8.0000000000000004E-4</v>
      </c>
      <c r="L12" s="2028">
        <f t="shared" ref="L12" si="92">E12/100</f>
        <v>4.5999999999999999E-3</v>
      </c>
      <c r="M12" s="2028">
        <f t="shared" ref="M12" si="93">F12/100</f>
        <v>-1.6000000000000001E-3</v>
      </c>
      <c r="N12" s="2028">
        <f t="shared" ref="N12" si="94">G12/100</f>
        <v>2.5999999999999999E-3</v>
      </c>
      <c r="O12" s="2028">
        <f t="shared" ref="O12" si="95">H12/100</f>
        <v>5.8999999999999999E-3</v>
      </c>
      <c r="P12" s="2028">
        <f t="shared" ref="P12" si="96">M12</f>
        <v>-1.6000000000000001E-3</v>
      </c>
      <c r="Q12" s="2907"/>
      <c r="R12" s="2027">
        <f>ROUND(IF(项目基本情况!$B$8="出让",SUMPRODUCT(PRODUCT(1+K12:$K$24)),SUMPRODUCT(PRODUCT(1+K12:$K$23))),4)</f>
        <v>1.0811999999999999</v>
      </c>
      <c r="S12" s="2027">
        <f>ROUND(IF(项目基本情况!$B$8="出让",SUMPRODUCT(PRODUCT(1+L12:$L$24)),SUMPRODUCT(PRODUCT(1+L12:$L$23))),4)</f>
        <v>1.052</v>
      </c>
      <c r="T12" s="2027">
        <f>ROUND(IF(项目基本情况!$B$8="出让",SUMPRODUCT(PRODUCT(1+M12:$M$24)),SUMPRODUCT(PRODUCT(1+M12:$M$23))),4)</f>
        <v>1.0249999999999999</v>
      </c>
      <c r="U12" s="2027">
        <f>ROUND(IF(项目基本情况!$B$8="出让",SUMPRODUCT(PRODUCT(1+N12:$N$24)),SUMPRODUCT(PRODUCT(1+N12:$N$23))),4)</f>
        <v>1.0888</v>
      </c>
      <c r="V12" s="2027">
        <f>ROUND(IF(项目基本情况!$B$8="出让",SUMPRODUCT(PRODUCT(1+O12:$O$24)),SUMPRODUCT(PRODUCT(1+O12:$O$23))),4)</f>
        <v>1.0804</v>
      </c>
      <c r="W12" s="2027">
        <f t="shared" ref="W12" si="97">T12</f>
        <v>1.0249999999999999</v>
      </c>
      <c r="X12" s="2907"/>
      <c r="Y12" s="2028"/>
      <c r="Z12" s="2028"/>
      <c r="AA12" s="2028"/>
      <c r="AB12" s="2028"/>
      <c r="AC12" s="2028"/>
      <c r="AD12" s="2028"/>
      <c r="AF12" s="3154">
        <f t="shared" si="30"/>
        <v>108.11999999999999</v>
      </c>
      <c r="AG12" s="3154">
        <f t="shared" si="31"/>
        <v>105.2</v>
      </c>
      <c r="AH12" s="3154">
        <f t="shared" si="32"/>
        <v>102.49999999999999</v>
      </c>
      <c r="AI12" s="3154">
        <f t="shared" si="33"/>
        <v>108.88</v>
      </c>
      <c r="AJ12" s="3154">
        <f t="shared" si="34"/>
        <v>108.04</v>
      </c>
      <c r="AK12" s="3154">
        <f t="shared" si="35"/>
        <v>102.49999999999999</v>
      </c>
      <c r="AM12" s="3154">
        <f t="shared" si="48"/>
        <v>102.27114713951673</v>
      </c>
      <c r="AN12" s="3154">
        <f t="shared" si="49"/>
        <v>101.74923824951344</v>
      </c>
      <c r="AO12" s="3154">
        <f t="shared" si="50"/>
        <v>103.3932330353696</v>
      </c>
      <c r="AP12" s="3154">
        <f t="shared" si="51"/>
        <v>101.95107005615662</v>
      </c>
      <c r="AQ12" s="3154">
        <f t="shared" si="52"/>
        <v>99.373678644096401</v>
      </c>
      <c r="AR12" s="3154">
        <f t="shared" si="53"/>
        <v>103.3932330353696</v>
      </c>
    </row>
    <row r="13" spans="1:44" s="2045" customFormat="1" ht="12.75">
      <c r="A13" s="2906" t="s">
        <v>3369</v>
      </c>
      <c r="B13" s="2031">
        <v>2023</v>
      </c>
      <c r="C13" s="2042">
        <v>4</v>
      </c>
      <c r="D13" s="2007">
        <v>0.19</v>
      </c>
      <c r="E13" s="2007">
        <v>0.24</v>
      </c>
      <c r="F13" s="2007">
        <v>-0.16</v>
      </c>
      <c r="G13" s="2007">
        <v>0.17</v>
      </c>
      <c r="H13" s="2918">
        <v>0.61</v>
      </c>
      <c r="I13" s="2008">
        <f>F13</f>
        <v>-0.16</v>
      </c>
      <c r="J13" s="2907"/>
      <c r="K13" s="2043">
        <f t="shared" si="88"/>
        <v>1.9E-3</v>
      </c>
      <c r="L13" s="2028">
        <f t="shared" si="88"/>
        <v>2.3999999999999998E-3</v>
      </c>
      <c r="M13" s="2028">
        <f t="shared" si="88"/>
        <v>-1.6000000000000001E-3</v>
      </c>
      <c r="N13" s="2028">
        <f t="shared" si="88"/>
        <v>1.7000000000000001E-3</v>
      </c>
      <c r="O13" s="2028">
        <f t="shared" si="88"/>
        <v>6.0999999999999995E-3</v>
      </c>
      <c r="P13" s="2028">
        <f t="shared" ref="P13" si="98">M13</f>
        <v>-1.6000000000000001E-3</v>
      </c>
      <c r="Q13" s="2907"/>
      <c r="R13" s="2027">
        <f>ROUND(IF(项目基本情况!$B$8="出让",SUMPRODUCT(PRODUCT(1+K13:$K$24)),SUMPRODUCT(PRODUCT(1+K13:$K$23))),4)</f>
        <v>1.0804</v>
      </c>
      <c r="S13" s="2027">
        <f>ROUND(IF(项目基本情况!$B$8="出让",SUMPRODUCT(PRODUCT(1+L13:$L$24)),SUMPRODUCT(PRODUCT(1+L13:$L$23))),4)</f>
        <v>1.0471999999999999</v>
      </c>
      <c r="T13" s="2027">
        <f>ROUND(IF(项目基本情况!$B$8="出让",SUMPRODUCT(PRODUCT(1+M13:$M$24)),SUMPRODUCT(PRODUCT(1+M13:$M$23))),4)</f>
        <v>1.0266</v>
      </c>
      <c r="U13" s="2027">
        <f>ROUND(IF(项目基本情况!$B$8="出让",SUMPRODUCT(PRODUCT(1+N13:$N$24)),SUMPRODUCT(PRODUCT(1+N13:$N$23))),4)</f>
        <v>1.0859000000000001</v>
      </c>
      <c r="V13" s="2027">
        <f>ROUND(IF(项目基本情况!$B$8="出让",SUMPRODUCT(PRODUCT(1+O13:$O$24)),SUMPRODUCT(PRODUCT(1+O13:$O$23))),4)</f>
        <v>1.0741000000000001</v>
      </c>
      <c r="W13" s="2027">
        <f t="shared" ref="W13" si="99">T13</f>
        <v>1.0266</v>
      </c>
      <c r="X13" s="2907"/>
      <c r="Y13" s="2028"/>
      <c r="Z13" s="2028"/>
      <c r="AA13" s="2028"/>
      <c r="AB13" s="2028"/>
      <c r="AC13" s="2028"/>
      <c r="AD13" s="2028"/>
      <c r="AF13" s="3154">
        <f t="shared" si="30"/>
        <v>108.04</v>
      </c>
      <c r="AG13" s="3154">
        <f t="shared" si="31"/>
        <v>104.71999999999998</v>
      </c>
      <c r="AH13" s="3154">
        <f t="shared" si="32"/>
        <v>102.66</v>
      </c>
      <c r="AI13" s="3154">
        <f t="shared" si="33"/>
        <v>108.59</v>
      </c>
      <c r="AJ13" s="3154">
        <f t="shared" si="34"/>
        <v>107.41000000000001</v>
      </c>
      <c r="AK13" s="3154">
        <f t="shared" si="35"/>
        <v>102.66</v>
      </c>
      <c r="AM13" s="3154">
        <f t="shared" si="48"/>
        <v>102.18939562301833</v>
      </c>
      <c r="AN13" s="3154">
        <f t="shared" si="49"/>
        <v>101.28333490893236</v>
      </c>
      <c r="AO13" s="3154">
        <f t="shared" si="50"/>
        <v>103.55892731908014</v>
      </c>
      <c r="AP13" s="3154">
        <f t="shared" si="51"/>
        <v>101.68668467599903</v>
      </c>
      <c r="AQ13" s="3154">
        <f t="shared" si="52"/>
        <v>98.79081284829148</v>
      </c>
      <c r="AR13" s="3154">
        <f t="shared" si="53"/>
        <v>103.55892731908014</v>
      </c>
    </row>
    <row r="14" spans="1:44" s="2045" customFormat="1" ht="12.75">
      <c r="A14" s="2906" t="s">
        <v>3368</v>
      </c>
      <c r="B14" s="2031">
        <v>2023</v>
      </c>
      <c r="C14" s="2042">
        <v>3</v>
      </c>
      <c r="D14" s="2007">
        <v>0.25</v>
      </c>
      <c r="E14" s="2007">
        <v>0.5</v>
      </c>
      <c r="F14" s="2007">
        <v>0.31</v>
      </c>
      <c r="G14" s="2007">
        <v>0.21</v>
      </c>
      <c r="H14" s="2918">
        <v>0.43</v>
      </c>
      <c r="I14" s="2008">
        <f t="shared" si="87"/>
        <v>0.31</v>
      </c>
      <c r="J14" s="2907"/>
      <c r="K14" s="2043">
        <f t="shared" ref="K14:K16" si="100">D14/100</f>
        <v>2.5000000000000001E-3</v>
      </c>
      <c r="L14" s="2028">
        <f t="shared" ref="L14:L16" si="101">E14/100</f>
        <v>5.0000000000000001E-3</v>
      </c>
      <c r="M14" s="2028">
        <f t="shared" ref="M14:M16" si="102">F14/100</f>
        <v>3.0999999999999999E-3</v>
      </c>
      <c r="N14" s="2028">
        <f t="shared" ref="N14:N16" si="103">G14/100</f>
        <v>2.0999999999999999E-3</v>
      </c>
      <c r="O14" s="2028">
        <f t="shared" ref="O14:O16" si="104">H14/100</f>
        <v>4.3E-3</v>
      </c>
      <c r="P14" s="2028">
        <f t="shared" ref="P14:P16" si="105">M14</f>
        <v>3.0999999999999999E-3</v>
      </c>
      <c r="Q14" s="2907"/>
      <c r="R14" s="2027">
        <f>ROUND(IF(项目基本情况!$B$8="出让",SUMPRODUCT(PRODUCT(1+K14:$K$24)),SUMPRODUCT(PRODUCT(1+K14:$K$23))),4)</f>
        <v>1.0783</v>
      </c>
      <c r="S14" s="2027">
        <f>ROUND(IF(项目基本情况!$B$8="出让",SUMPRODUCT(PRODUCT(1+L14:$L$24)),SUMPRODUCT(PRODUCT(1+L14:$L$23))),4)</f>
        <v>1.0447</v>
      </c>
      <c r="T14" s="2027">
        <f>ROUND(IF(项目基本情况!$B$8="出让",SUMPRODUCT(PRODUCT(1+M14:$M$24)),SUMPRODUCT(PRODUCT(1+M14:$M$23))),4)</f>
        <v>1.0282</v>
      </c>
      <c r="U14" s="2027">
        <f>ROUND(IF(项目基本情况!$B$8="出让",SUMPRODUCT(PRODUCT(1+N14:$N$24)),SUMPRODUCT(PRODUCT(1+N14:$N$23))),4)</f>
        <v>1.0841000000000001</v>
      </c>
      <c r="V14" s="2027">
        <f>ROUND(IF(项目基本情况!$B$8="出让",SUMPRODUCT(PRODUCT(1+O14:$O$24)),SUMPRODUCT(PRODUCT(1+O14:$O$23))),4)</f>
        <v>1.0674999999999999</v>
      </c>
      <c r="W14" s="2027">
        <f t="shared" ref="W14:W15" si="106">T14</f>
        <v>1.0282</v>
      </c>
      <c r="X14" s="2907"/>
      <c r="Y14" s="2028"/>
      <c r="Z14" s="2028"/>
      <c r="AA14" s="2028"/>
      <c r="AB14" s="2028"/>
      <c r="AC14" s="2028"/>
      <c r="AD14" s="2028"/>
      <c r="AF14" s="3154">
        <f t="shared" si="30"/>
        <v>107.83</v>
      </c>
      <c r="AG14" s="3154">
        <f t="shared" si="31"/>
        <v>104.47</v>
      </c>
      <c r="AH14" s="3154">
        <f t="shared" si="32"/>
        <v>102.82</v>
      </c>
      <c r="AI14" s="3154">
        <f t="shared" si="33"/>
        <v>108.41000000000001</v>
      </c>
      <c r="AJ14" s="3154">
        <f t="shared" si="34"/>
        <v>106.74999999999999</v>
      </c>
      <c r="AK14" s="3154">
        <f t="shared" si="35"/>
        <v>102.82</v>
      </c>
      <c r="AM14" s="3154">
        <f t="shared" si="48"/>
        <v>101.99560397546495</v>
      </c>
      <c r="AN14" s="3154">
        <f t="shared" si="49"/>
        <v>101.04083690037147</v>
      </c>
      <c r="AO14" s="3154">
        <f t="shared" si="50"/>
        <v>103.72488713850174</v>
      </c>
      <c r="AP14" s="3154">
        <f t="shared" si="51"/>
        <v>101.51411068782971</v>
      </c>
      <c r="AQ14" s="3154">
        <f t="shared" si="52"/>
        <v>98.191842608380355</v>
      </c>
      <c r="AR14" s="3154">
        <f t="shared" si="53"/>
        <v>103.72488713850174</v>
      </c>
    </row>
    <row r="15" spans="1:44" s="2045" customFormat="1" ht="12.75">
      <c r="A15" s="2906" t="s">
        <v>3366</v>
      </c>
      <c r="B15" s="2031">
        <v>2023</v>
      </c>
      <c r="C15" s="2042">
        <v>2</v>
      </c>
      <c r="D15" s="2007">
        <v>0.91</v>
      </c>
      <c r="E15" s="2007">
        <v>0.66</v>
      </c>
      <c r="F15" s="2007">
        <v>0.47</v>
      </c>
      <c r="G15" s="2007">
        <v>0.96</v>
      </c>
      <c r="H15" s="2918">
        <v>0.71</v>
      </c>
      <c r="I15" s="2008">
        <f t="shared" si="87"/>
        <v>0.47</v>
      </c>
      <c r="J15" s="2907"/>
      <c r="K15" s="2043">
        <f t="shared" si="100"/>
        <v>9.1000000000000004E-3</v>
      </c>
      <c r="L15" s="2028">
        <f t="shared" si="101"/>
        <v>6.6E-3</v>
      </c>
      <c r="M15" s="2028">
        <f t="shared" si="102"/>
        <v>4.6999999999999993E-3</v>
      </c>
      <c r="N15" s="2028">
        <f t="shared" si="103"/>
        <v>9.5999999999999992E-3</v>
      </c>
      <c r="O15" s="2028">
        <f t="shared" si="104"/>
        <v>7.0999999999999995E-3</v>
      </c>
      <c r="P15" s="2028">
        <f t="shared" si="105"/>
        <v>4.6999999999999993E-3</v>
      </c>
      <c r="Q15" s="2907"/>
      <c r="R15" s="2027">
        <f>ROUND(IF(项目基本情况!$B$8="出让",SUMPRODUCT(PRODUCT(1+K15:$K$24)),SUMPRODUCT(PRODUCT(1+K15:$K$23))),4)</f>
        <v>1.0755999999999999</v>
      </c>
      <c r="S15" s="2027">
        <f>ROUND(IF(项目基本情况!$B$8="出让",SUMPRODUCT(PRODUCT(1+L15:$L$24)),SUMPRODUCT(PRODUCT(1+L15:$L$23))),4)</f>
        <v>1.0395000000000001</v>
      </c>
      <c r="T15" s="2027">
        <f>ROUND(IF(项目基本情况!$B$8="出让",SUMPRODUCT(PRODUCT(1+M15:$M$24)),SUMPRODUCT(PRODUCT(1+M15:$M$23))),4)</f>
        <v>1.0250999999999999</v>
      </c>
      <c r="U15" s="2027">
        <f>ROUND(IF(项目基本情况!$B$8="出让",SUMPRODUCT(PRODUCT(1+N15:$N$24)),SUMPRODUCT(PRODUCT(1+N15:$N$23))),4)</f>
        <v>1.0818000000000001</v>
      </c>
      <c r="V15" s="2027">
        <f>ROUND(IF(项目基本情况!$B$8="出让",SUMPRODUCT(PRODUCT(1+O15:$O$24)),SUMPRODUCT(PRODUCT(1+O15:$O$23))),4)</f>
        <v>1.0629999999999999</v>
      </c>
      <c r="W15" s="2027">
        <f t="shared" si="106"/>
        <v>1.0250999999999999</v>
      </c>
      <c r="X15" s="2907"/>
      <c r="Y15" s="2028"/>
      <c r="Z15" s="2028"/>
      <c r="AA15" s="2028"/>
      <c r="AB15" s="2028"/>
      <c r="AC15" s="2028"/>
      <c r="AD15" s="2028"/>
      <c r="AF15" s="3154">
        <f t="shared" si="30"/>
        <v>107.55999999999999</v>
      </c>
      <c r="AG15" s="3154">
        <f t="shared" si="31"/>
        <v>103.95</v>
      </c>
      <c r="AH15" s="3154">
        <f t="shared" si="32"/>
        <v>102.50999999999999</v>
      </c>
      <c r="AI15" s="3154">
        <f t="shared" si="33"/>
        <v>108.18</v>
      </c>
      <c r="AJ15" s="3154">
        <f t="shared" si="34"/>
        <v>106.3</v>
      </c>
      <c r="AK15" s="3154">
        <f t="shared" si="35"/>
        <v>102.50999999999999</v>
      </c>
      <c r="AM15" s="3154">
        <f t="shared" si="48"/>
        <v>101.74125084834409</v>
      </c>
      <c r="AN15" s="3154">
        <f t="shared" si="49"/>
        <v>100.53814616952387</v>
      </c>
      <c r="AO15" s="3154">
        <f t="shared" si="50"/>
        <v>103.40433370401927</v>
      </c>
      <c r="AP15" s="3154">
        <f t="shared" si="51"/>
        <v>101.30137779446135</v>
      </c>
      <c r="AQ15" s="3154">
        <f t="shared" si="52"/>
        <v>97.771425478821428</v>
      </c>
      <c r="AR15" s="3154">
        <f t="shared" si="53"/>
        <v>103.40433370401927</v>
      </c>
    </row>
    <row r="16" spans="1:44" s="2045" customFormat="1" ht="12.75">
      <c r="A16" s="2906" t="s">
        <v>3365</v>
      </c>
      <c r="B16" s="2031">
        <v>2023</v>
      </c>
      <c r="C16" s="2042">
        <v>1</v>
      </c>
      <c r="D16" s="2007">
        <v>0.89</v>
      </c>
      <c r="E16" s="2007">
        <v>0.74</v>
      </c>
      <c r="F16" s="2007">
        <v>0.56999999999999995</v>
      </c>
      <c r="G16" s="2007">
        <v>0.92</v>
      </c>
      <c r="H16" s="2918">
        <v>0.5</v>
      </c>
      <c r="I16" s="2008">
        <f t="shared" si="87"/>
        <v>0.56999999999999995</v>
      </c>
      <c r="J16" s="2907"/>
      <c r="K16" s="2043">
        <f t="shared" si="100"/>
        <v>8.8999999999999999E-3</v>
      </c>
      <c r="L16" s="2028">
        <f t="shared" si="101"/>
        <v>7.4000000000000003E-3</v>
      </c>
      <c r="M16" s="2028">
        <f t="shared" si="102"/>
        <v>5.6999999999999993E-3</v>
      </c>
      <c r="N16" s="2028">
        <f t="shared" si="103"/>
        <v>9.1999999999999998E-3</v>
      </c>
      <c r="O16" s="2028">
        <f t="shared" si="104"/>
        <v>5.0000000000000001E-3</v>
      </c>
      <c r="P16" s="2028">
        <f t="shared" si="105"/>
        <v>5.6999999999999993E-3</v>
      </c>
      <c r="Q16" s="2907"/>
      <c r="R16" s="2027">
        <f>ROUND(IF(项目基本情况!$B$8="出让",SUMPRODUCT(PRODUCT(1+K16:$K$24)),SUMPRODUCT(PRODUCT(1+K16:$K$23))),4)</f>
        <v>1.0659000000000001</v>
      </c>
      <c r="S16" s="2027">
        <f>ROUND(IF(项目基本情况!$B$8="出让",SUMPRODUCT(PRODUCT(1+L16:$L$24)),SUMPRODUCT(PRODUCT(1+L16:$L$23))),4)</f>
        <v>1.0326</v>
      </c>
      <c r="T16" s="2027">
        <f>ROUND(IF(项目基本情况!$B$8="出让",SUMPRODUCT(PRODUCT(1+M16:$M$24)),SUMPRODUCT(PRODUCT(1+M16:$M$23))),4)</f>
        <v>1.0203</v>
      </c>
      <c r="U16" s="2027">
        <f>ROUND(IF(项目基本情况!$B$8="出让",SUMPRODUCT(PRODUCT(1+N16:$N$24)),SUMPRODUCT(PRODUCT(1+N16:$N$23))),4)</f>
        <v>1.0714999999999999</v>
      </c>
      <c r="V16" s="2027">
        <f>ROUND(IF(项目基本情况!$B$8="出让",SUMPRODUCT(PRODUCT(1+O16:$O$24)),SUMPRODUCT(PRODUCT(1+O16:$O$23))),4)</f>
        <v>1.0555000000000001</v>
      </c>
      <c r="W16" s="2027">
        <f t="shared" ref="W16:W23" si="107">T16</f>
        <v>1.0203</v>
      </c>
      <c r="X16" s="2907"/>
      <c r="Y16" s="2028"/>
      <c r="Z16" s="2028"/>
      <c r="AA16" s="2028"/>
      <c r="AB16" s="2028"/>
      <c r="AC16" s="2028"/>
      <c r="AD16" s="2028"/>
      <c r="AF16" s="3154">
        <f t="shared" si="30"/>
        <v>106.59</v>
      </c>
      <c r="AG16" s="3154">
        <f t="shared" si="31"/>
        <v>103.25999999999999</v>
      </c>
      <c r="AH16" s="3154">
        <f t="shared" si="32"/>
        <v>102.03</v>
      </c>
      <c r="AI16" s="3154">
        <f t="shared" si="33"/>
        <v>107.14999999999999</v>
      </c>
      <c r="AJ16" s="3154">
        <f t="shared" si="34"/>
        <v>105.55000000000001</v>
      </c>
      <c r="AK16" s="3154">
        <f t="shared" si="35"/>
        <v>102.03</v>
      </c>
      <c r="AM16" s="3154">
        <f t="shared" si="48"/>
        <v>100.82375468074926</v>
      </c>
      <c r="AN16" s="3154">
        <f t="shared" si="49"/>
        <v>99.878945131654959</v>
      </c>
      <c r="AO16" s="3154">
        <f t="shared" si="50"/>
        <v>102.92060685181573</v>
      </c>
      <c r="AP16" s="3154">
        <f t="shared" si="51"/>
        <v>100.33813172985474</v>
      </c>
      <c r="AQ16" s="3154">
        <f t="shared" si="52"/>
        <v>97.082142268713554</v>
      </c>
      <c r="AR16" s="3154">
        <f t="shared" si="53"/>
        <v>102.92060685181573</v>
      </c>
    </row>
    <row r="17" spans="1:44" s="2045" customFormat="1" ht="12.75">
      <c r="A17" s="2906" t="s">
        <v>3364</v>
      </c>
      <c r="B17" s="2031">
        <v>2022</v>
      </c>
      <c r="C17" s="2042">
        <v>4</v>
      </c>
      <c r="D17" s="2007">
        <v>0.62</v>
      </c>
      <c r="E17" s="2007">
        <v>0.2</v>
      </c>
      <c r="F17" s="2007">
        <v>0.11</v>
      </c>
      <c r="G17" s="2007">
        <v>0.69</v>
      </c>
      <c r="H17" s="2918">
        <v>0.53</v>
      </c>
      <c r="I17" s="2008">
        <f t="shared" si="87"/>
        <v>0.11</v>
      </c>
      <c r="J17" s="2907"/>
      <c r="K17" s="2043">
        <f t="shared" si="88"/>
        <v>6.1999999999999998E-3</v>
      </c>
      <c r="L17" s="2028">
        <f t="shared" si="88"/>
        <v>2E-3</v>
      </c>
      <c r="M17" s="2028">
        <f t="shared" si="88"/>
        <v>1.1000000000000001E-3</v>
      </c>
      <c r="N17" s="2028">
        <f t="shared" si="88"/>
        <v>6.8999999999999999E-3</v>
      </c>
      <c r="O17" s="2028">
        <f t="shared" si="88"/>
        <v>5.3E-3</v>
      </c>
      <c r="P17" s="2028">
        <f t="shared" ref="P17:P24" si="108">M17</f>
        <v>1.1000000000000001E-3</v>
      </c>
      <c r="Q17" s="2907"/>
      <c r="R17" s="2027">
        <f>ROUND(IF(项目基本情况!$B$8="出让",SUMPRODUCT(PRODUCT(1+K17:$K$24)),SUMPRODUCT(PRODUCT(1+K17:$K$23))),4)</f>
        <v>1.0565</v>
      </c>
      <c r="S17" s="2027">
        <f>ROUND(IF(项目基本情况!$B$8="出让",SUMPRODUCT(PRODUCT(1+L17:$L$24)),SUMPRODUCT(PRODUCT(1+L17:$L$23))),4)</f>
        <v>1.0250999999999999</v>
      </c>
      <c r="T17" s="2027">
        <f>ROUND(IF(项目基本情况!$B$8="出让",SUMPRODUCT(PRODUCT(1+M17:$M$24)),SUMPRODUCT(PRODUCT(1+M17:$M$23))),4)</f>
        <v>1.0145</v>
      </c>
      <c r="U17" s="2027">
        <f>ROUND(IF(项目基本情况!$B$8="出让",SUMPRODUCT(PRODUCT(1+N17:$N$24)),SUMPRODUCT(PRODUCT(1+N17:$N$23))),4)</f>
        <v>1.0618000000000001</v>
      </c>
      <c r="V17" s="2027">
        <f>ROUND(IF(项目基本情况!$B$8="出让",SUMPRODUCT(PRODUCT(1+O17:$O$24)),SUMPRODUCT(PRODUCT(1+O17:$O$23))),4)</f>
        <v>1.0502</v>
      </c>
      <c r="W17" s="2027">
        <f t="shared" si="107"/>
        <v>1.0145</v>
      </c>
      <c r="X17" s="2907"/>
      <c r="Y17" s="2028">
        <f>IF(D17=0,0,ROUND(AVERAGE(D17:D25)/100,4))</f>
        <v>8.0999999999999996E-3</v>
      </c>
      <c r="Z17" s="2028">
        <f t="shared" ref="Z17:AC17" si="109">IF(E17=0,0,ROUND(AVERAGE(E17:E24)/100,4))</f>
        <v>3.3E-3</v>
      </c>
      <c r="AA17" s="2028">
        <f t="shared" si="109"/>
        <v>1.5E-3</v>
      </c>
      <c r="AB17" s="2028">
        <f t="shared" si="109"/>
        <v>8.8999999999999999E-3</v>
      </c>
      <c r="AC17" s="2028">
        <f t="shared" si="109"/>
        <v>6.6E-3</v>
      </c>
      <c r="AD17" s="2028">
        <f t="shared" si="90"/>
        <v>1.5E-3</v>
      </c>
      <c r="AF17" s="3154">
        <f t="shared" si="30"/>
        <v>105.65</v>
      </c>
      <c r="AG17" s="3154">
        <f t="shared" si="31"/>
        <v>102.50999999999999</v>
      </c>
      <c r="AH17" s="3154">
        <f t="shared" si="32"/>
        <v>101.44999999999999</v>
      </c>
      <c r="AI17" s="3154">
        <f t="shared" si="33"/>
        <v>106.18</v>
      </c>
      <c r="AJ17" s="3154">
        <f t="shared" si="34"/>
        <v>105.02</v>
      </c>
      <c r="AK17" s="3154">
        <f t="shared" si="35"/>
        <v>101.44999999999999</v>
      </c>
      <c r="AM17" s="3154">
        <f t="shared" si="48"/>
        <v>99.934339063087791</v>
      </c>
      <c r="AN17" s="3154">
        <f t="shared" si="49"/>
        <v>99.145270132673176</v>
      </c>
      <c r="AO17" s="3154">
        <f t="shared" si="50"/>
        <v>102.3372843311283</v>
      </c>
      <c r="AP17" s="3154">
        <f t="shared" si="51"/>
        <v>99.423436117573061</v>
      </c>
      <c r="AQ17" s="3154">
        <f t="shared" si="52"/>
        <v>96.599146536033402</v>
      </c>
      <c r="AR17" s="3154">
        <f t="shared" si="53"/>
        <v>102.3372843311283</v>
      </c>
    </row>
    <row r="18" spans="1:44" s="2045" customFormat="1" ht="12.75">
      <c r="A18" s="2906" t="s">
        <v>3362</v>
      </c>
      <c r="B18" s="2031">
        <v>2022</v>
      </c>
      <c r="C18" s="2042">
        <v>3</v>
      </c>
      <c r="D18" s="2007">
        <v>0.66</v>
      </c>
      <c r="E18" s="2007">
        <v>0.32</v>
      </c>
      <c r="F18" s="2007">
        <v>0.23</v>
      </c>
      <c r="G18" s="2007">
        <v>0.72</v>
      </c>
      <c r="H18" s="2918">
        <v>0.63</v>
      </c>
      <c r="I18" s="2008">
        <f t="shared" si="87"/>
        <v>0.23</v>
      </c>
      <c r="J18" s="2907"/>
      <c r="K18" s="2043">
        <f t="shared" si="88"/>
        <v>6.6E-3</v>
      </c>
      <c r="L18" s="2028">
        <f t="shared" si="88"/>
        <v>3.2000000000000002E-3</v>
      </c>
      <c r="M18" s="2028">
        <f t="shared" si="88"/>
        <v>2.3E-3</v>
      </c>
      <c r="N18" s="2028">
        <f t="shared" si="88"/>
        <v>7.1999999999999998E-3</v>
      </c>
      <c r="O18" s="2028">
        <f t="shared" si="88"/>
        <v>6.3E-3</v>
      </c>
      <c r="P18" s="2028">
        <f t="shared" si="108"/>
        <v>2.3E-3</v>
      </c>
      <c r="Q18" s="2907"/>
      <c r="R18" s="2027">
        <f>ROUND(IF(项目基本情况!$B$8="出让",SUMPRODUCT(PRODUCT(1+K18:$K$24)),SUMPRODUCT(PRODUCT(1+K18:$K$23))),4)</f>
        <v>1.05</v>
      </c>
      <c r="S18" s="2027">
        <f>ROUND(IF(项目基本情况!$B$8="出让",SUMPRODUCT(PRODUCT(1+L18:$L$24)),SUMPRODUCT(PRODUCT(1+L18:$L$23))),4)</f>
        <v>1.0229999999999999</v>
      </c>
      <c r="T18" s="2027">
        <f>ROUND(IF(项目基本情况!$B$8="出让",SUMPRODUCT(PRODUCT(1+M18:$M$24)),SUMPRODUCT(PRODUCT(1+M18:$M$23))),4)</f>
        <v>1.0134000000000001</v>
      </c>
      <c r="U18" s="2027">
        <f>ROUND(IF(项目基本情况!$B$8="出让",SUMPRODUCT(PRODUCT(1+N18:$N$24)),SUMPRODUCT(PRODUCT(1+N18:$N$23))),4)</f>
        <v>1.0545</v>
      </c>
      <c r="V18" s="2027">
        <f>ROUND(IF(项目基本情况!$B$8="出让",SUMPRODUCT(PRODUCT(1+O18:$O$24)),SUMPRODUCT(PRODUCT(1+O18:$O$23))),4)</f>
        <v>1.0447</v>
      </c>
      <c r="W18" s="2027">
        <f t="shared" si="107"/>
        <v>1.0134000000000001</v>
      </c>
      <c r="X18" s="2907"/>
      <c r="Y18" s="2028">
        <f>IF(D18=0,0,ROUND(AVERAGE(D18:D24)/100,4))</f>
        <v>8.3999999999999995E-3</v>
      </c>
      <c r="Z18" s="2028">
        <f t="shared" ref="Z18:AC18" si="110">IF(E18=0,0,ROUND(AVERAGE(E18:E24)/100,4))</f>
        <v>3.5000000000000001E-3</v>
      </c>
      <c r="AA18" s="2028">
        <f t="shared" si="110"/>
        <v>1.5E-3</v>
      </c>
      <c r="AB18" s="2028">
        <f t="shared" si="110"/>
        <v>9.1999999999999998E-3</v>
      </c>
      <c r="AC18" s="2028">
        <f t="shared" si="110"/>
        <v>6.7999999999999996E-3</v>
      </c>
      <c r="AD18" s="2028">
        <f t="shared" si="90"/>
        <v>1.5E-3</v>
      </c>
      <c r="AF18" s="3154">
        <f t="shared" si="30"/>
        <v>105</v>
      </c>
      <c r="AG18" s="3154">
        <f t="shared" si="31"/>
        <v>102.3</v>
      </c>
      <c r="AH18" s="3154">
        <f t="shared" si="32"/>
        <v>101.34</v>
      </c>
      <c r="AI18" s="3154">
        <f t="shared" si="33"/>
        <v>105.45</v>
      </c>
      <c r="AJ18" s="3154">
        <f t="shared" si="34"/>
        <v>104.47</v>
      </c>
      <c r="AK18" s="3154">
        <f t="shared" si="35"/>
        <v>101.34</v>
      </c>
      <c r="AM18" s="3154">
        <f t="shared" si="48"/>
        <v>99.318563966495518</v>
      </c>
      <c r="AN18" s="3154">
        <f t="shared" si="49"/>
        <v>98.947375381909353</v>
      </c>
      <c r="AO18" s="3154">
        <f t="shared" si="50"/>
        <v>102.22483701041683</v>
      </c>
      <c r="AP18" s="3154">
        <f t="shared" si="51"/>
        <v>98.742115520481747</v>
      </c>
      <c r="AQ18" s="3154">
        <f t="shared" si="52"/>
        <v>96.089870223847001</v>
      </c>
      <c r="AR18" s="3154">
        <f t="shared" si="53"/>
        <v>102.22483701041683</v>
      </c>
    </row>
    <row r="19" spans="1:44" s="2045" customFormat="1" ht="12.75">
      <c r="A19" s="2906" t="s">
        <v>3353</v>
      </c>
      <c r="B19" s="2031">
        <v>2022</v>
      </c>
      <c r="C19" s="2042">
        <v>2</v>
      </c>
      <c r="D19" s="2007">
        <v>0.93</v>
      </c>
      <c r="E19" s="2007">
        <v>0.15</v>
      </c>
      <c r="F19" s="2007">
        <v>0.01</v>
      </c>
      <c r="G19" s="2007">
        <v>1.05</v>
      </c>
      <c r="H19" s="2918">
        <v>1.08</v>
      </c>
      <c r="I19" s="2008">
        <f t="shared" si="87"/>
        <v>0.01</v>
      </c>
      <c r="J19" s="2907"/>
      <c r="K19" s="2043">
        <f t="shared" si="88"/>
        <v>9.300000000000001E-3</v>
      </c>
      <c r="L19" s="2028">
        <f t="shared" si="88"/>
        <v>1.5E-3</v>
      </c>
      <c r="M19" s="2028">
        <f t="shared" si="88"/>
        <v>1E-4</v>
      </c>
      <c r="N19" s="2028">
        <f t="shared" si="88"/>
        <v>1.0500000000000001E-2</v>
      </c>
      <c r="O19" s="2028">
        <f t="shared" si="88"/>
        <v>1.0800000000000001E-2</v>
      </c>
      <c r="P19" s="2028">
        <f t="shared" si="108"/>
        <v>1E-4</v>
      </c>
      <c r="Q19" s="2907"/>
      <c r="R19" s="2027">
        <f>ROUND(IF(项目基本情况!$B$8="出让",SUMPRODUCT(PRODUCT(1+K19:$K$24)),SUMPRODUCT(PRODUCT(1+K19:$K$23))),4)</f>
        <v>1.0430999999999999</v>
      </c>
      <c r="S19" s="2027">
        <f>ROUND(IF(项目基本情况!$B$8="出让",SUMPRODUCT(PRODUCT(1+L19:$L$24)),SUMPRODUCT(PRODUCT(1+L19:$L$23))),4)</f>
        <v>1.0197000000000001</v>
      </c>
      <c r="T19" s="2027">
        <f>ROUND(IF(项目基本情况!$B$8="出让",SUMPRODUCT(PRODUCT(1+M19:$M$24)),SUMPRODUCT(PRODUCT(1+M19:$M$23))),4)</f>
        <v>1.0109999999999999</v>
      </c>
      <c r="U19" s="2027">
        <f>ROUND(IF(项目基本情况!$B$8="出让",SUMPRODUCT(PRODUCT(1+N19:$N$24)),SUMPRODUCT(PRODUCT(1+N19:$N$23))),4)</f>
        <v>1.0468999999999999</v>
      </c>
      <c r="V19" s="2027">
        <f>ROUND(IF(项目基本情况!$B$8="出让",SUMPRODUCT(PRODUCT(1+O19:$O$24)),SUMPRODUCT(PRODUCT(1+O19:$O$23))),4)</f>
        <v>1.0382</v>
      </c>
      <c r="W19" s="2027">
        <f t="shared" si="107"/>
        <v>1.0109999999999999</v>
      </c>
      <c r="X19" s="2907"/>
      <c r="Y19" s="2028">
        <f>IF(D19=0,0,ROUND(AVERAGE(D19:D24)/100,4))</f>
        <v>8.6999999999999994E-3</v>
      </c>
      <c r="Z19" s="2028">
        <f t="shared" ref="Z19:AC19" si="111">IF(E19=0,0,ROUND(AVERAGE(E19:E24)/100,4))</f>
        <v>3.5000000000000001E-3</v>
      </c>
      <c r="AA19" s="2028">
        <f t="shared" si="111"/>
        <v>1.4E-3</v>
      </c>
      <c r="AB19" s="2028">
        <f t="shared" si="111"/>
        <v>9.4999999999999998E-3</v>
      </c>
      <c r="AC19" s="2028">
        <f t="shared" si="111"/>
        <v>6.8999999999999999E-3</v>
      </c>
      <c r="AD19" s="2028">
        <f t="shared" si="90"/>
        <v>1.4E-3</v>
      </c>
      <c r="AF19" s="3154">
        <f t="shared" si="30"/>
        <v>104.30999999999999</v>
      </c>
      <c r="AG19" s="3154">
        <f t="shared" si="31"/>
        <v>101.97</v>
      </c>
      <c r="AH19" s="3154">
        <f t="shared" si="32"/>
        <v>101.1</v>
      </c>
      <c r="AI19" s="3154">
        <f t="shared" si="33"/>
        <v>104.69</v>
      </c>
      <c r="AJ19" s="3154">
        <f t="shared" si="34"/>
        <v>103.82000000000001</v>
      </c>
      <c r="AK19" s="3154">
        <f t="shared" si="35"/>
        <v>101.1</v>
      </c>
      <c r="AM19" s="3154">
        <f t="shared" si="48"/>
        <v>98.667359394491882</v>
      </c>
      <c r="AN19" s="3154">
        <f t="shared" si="49"/>
        <v>98.631753769845844</v>
      </c>
      <c r="AO19" s="3154">
        <f t="shared" si="50"/>
        <v>101.99025941376517</v>
      </c>
      <c r="AP19" s="3154">
        <f t="shared" si="51"/>
        <v>98.036254488166932</v>
      </c>
      <c r="AQ19" s="3154">
        <f t="shared" si="52"/>
        <v>95.488293971824504</v>
      </c>
      <c r="AR19" s="3154">
        <f t="shared" si="53"/>
        <v>101.99025941376517</v>
      </c>
    </row>
    <row r="20" spans="1:44" s="2045" customFormat="1" ht="12.75">
      <c r="A20" s="2906" t="s">
        <v>2818</v>
      </c>
      <c r="B20" s="2031">
        <v>2022</v>
      </c>
      <c r="C20" s="2042">
        <v>1</v>
      </c>
      <c r="D20" s="2007">
        <v>0.89</v>
      </c>
      <c r="E20" s="2007">
        <v>0.44</v>
      </c>
      <c r="F20" s="2007">
        <v>0.37</v>
      </c>
      <c r="G20" s="2007">
        <v>0.96</v>
      </c>
      <c r="H20" s="2918">
        <v>0.64</v>
      </c>
      <c r="I20" s="2008">
        <f t="shared" si="87"/>
        <v>0.37</v>
      </c>
      <c r="J20" s="2907"/>
      <c r="K20" s="2043">
        <f t="shared" si="88"/>
        <v>8.8999999999999999E-3</v>
      </c>
      <c r="L20" s="2028">
        <f t="shared" si="88"/>
        <v>4.4000000000000003E-3</v>
      </c>
      <c r="M20" s="2028">
        <f t="shared" si="88"/>
        <v>3.7000000000000002E-3</v>
      </c>
      <c r="N20" s="2028">
        <f t="shared" si="88"/>
        <v>9.5999999999999992E-3</v>
      </c>
      <c r="O20" s="2028">
        <f t="shared" si="88"/>
        <v>6.4000000000000003E-3</v>
      </c>
      <c r="P20" s="2028">
        <f t="shared" si="108"/>
        <v>3.7000000000000002E-3</v>
      </c>
      <c r="Q20" s="2907"/>
      <c r="R20" s="2027">
        <f>ROUND(IF(项目基本情况!$B$8="出让",SUMPRODUCT(PRODUCT(1+K20:$K$24)),SUMPRODUCT(PRODUCT(1+K20:$K$23))),4)</f>
        <v>1.0335000000000001</v>
      </c>
      <c r="S20" s="2027">
        <f>ROUND(IF(项目基本情况!$B$8="出让",SUMPRODUCT(PRODUCT(1+L20:$L$24)),SUMPRODUCT(PRODUCT(1+L20:$L$23))),4)</f>
        <v>1.0182</v>
      </c>
      <c r="T20" s="2027">
        <f>ROUND(IF(项目基本情况!$B$8="出让",SUMPRODUCT(PRODUCT(1+M20:$M$24)),SUMPRODUCT(PRODUCT(1+M20:$M$23))),4)</f>
        <v>1.0108999999999999</v>
      </c>
      <c r="U20" s="2027">
        <f>ROUND(IF(项目基本情况!$B$8="出让",SUMPRODUCT(PRODUCT(1+N20:$N$24)),SUMPRODUCT(PRODUCT(1+N20:$N$23))),4)</f>
        <v>1.0361</v>
      </c>
      <c r="V20" s="2027">
        <f>ROUND(IF(项目基本情况!$B$8="出让",SUMPRODUCT(PRODUCT(1+O20:$O$24)),SUMPRODUCT(PRODUCT(1+O20:$O$23))),4)</f>
        <v>1.0270999999999999</v>
      </c>
      <c r="W20" s="2027">
        <f t="shared" si="107"/>
        <v>1.0108999999999999</v>
      </c>
      <c r="X20" s="2907"/>
      <c r="Y20" s="2028">
        <f>IF(D20=0,0,ROUND(AVERAGE(D20:D24)/100,4))</f>
        <v>8.6E-3</v>
      </c>
      <c r="Z20" s="2028">
        <f t="shared" ref="Z20:AC20" si="112">IF(E20=0,0,ROUND(AVERAGE(E20:E24)/100,4))</f>
        <v>3.8999999999999998E-3</v>
      </c>
      <c r="AA20" s="2028">
        <f t="shared" si="112"/>
        <v>1.6999999999999999E-3</v>
      </c>
      <c r="AB20" s="2028">
        <f t="shared" si="112"/>
        <v>9.2999999999999992E-3</v>
      </c>
      <c r="AC20" s="2028">
        <f t="shared" si="112"/>
        <v>6.1000000000000004E-3</v>
      </c>
      <c r="AD20" s="2028">
        <f t="shared" si="90"/>
        <v>1.6999999999999999E-3</v>
      </c>
      <c r="AF20" s="3154">
        <f t="shared" si="30"/>
        <v>103.35000000000001</v>
      </c>
      <c r="AG20" s="3154">
        <f t="shared" si="31"/>
        <v>101.82</v>
      </c>
      <c r="AH20" s="3154">
        <f t="shared" si="32"/>
        <v>101.08999999999999</v>
      </c>
      <c r="AI20" s="3154">
        <f t="shared" si="33"/>
        <v>103.61</v>
      </c>
      <c r="AJ20" s="3154">
        <f t="shared" si="34"/>
        <v>102.71</v>
      </c>
      <c r="AK20" s="3154">
        <f t="shared" si="35"/>
        <v>101.08999999999999</v>
      </c>
      <c r="AM20" s="3154">
        <f t="shared" si="48"/>
        <v>97.758208059538163</v>
      </c>
      <c r="AN20" s="3154">
        <f t="shared" si="49"/>
        <v>98.484027728253452</v>
      </c>
      <c r="AO20" s="3154">
        <f t="shared" si="50"/>
        <v>101.98006140762442</v>
      </c>
      <c r="AP20" s="3154">
        <f t="shared" si="51"/>
        <v>97.017570003134026</v>
      </c>
      <c r="AQ20" s="3154">
        <f t="shared" si="52"/>
        <v>94.468039149015155</v>
      </c>
      <c r="AR20" s="3154">
        <f t="shared" si="53"/>
        <v>101.98006140762442</v>
      </c>
    </row>
    <row r="21" spans="1:44" s="2045" customFormat="1" ht="12.75">
      <c r="A21" s="2906" t="s">
        <v>2819</v>
      </c>
      <c r="B21" s="2031">
        <v>2021</v>
      </c>
      <c r="C21" s="2042">
        <v>4</v>
      </c>
      <c r="D21" s="2007">
        <v>1.03</v>
      </c>
      <c r="E21" s="2007">
        <v>0.24</v>
      </c>
      <c r="F21" s="2007">
        <v>7.0000000000000007E-2</v>
      </c>
      <c r="G21" s="2007">
        <v>1.17</v>
      </c>
      <c r="H21" s="2918">
        <v>0.55000000000000004</v>
      </c>
      <c r="I21" s="2008">
        <f t="shared" si="87"/>
        <v>7.0000000000000007E-2</v>
      </c>
      <c r="J21" s="2907"/>
      <c r="K21" s="2043">
        <f t="shared" si="88"/>
        <v>1.03E-2</v>
      </c>
      <c r="L21" s="2028">
        <f t="shared" si="88"/>
        <v>2.3999999999999998E-3</v>
      </c>
      <c r="M21" s="2028">
        <f t="shared" si="88"/>
        <v>7.000000000000001E-4</v>
      </c>
      <c r="N21" s="2028">
        <f t="shared" si="88"/>
        <v>1.1699999999999999E-2</v>
      </c>
      <c r="O21" s="2028">
        <f t="shared" si="88"/>
        <v>5.5000000000000005E-3</v>
      </c>
      <c r="P21" s="2028">
        <f t="shared" si="108"/>
        <v>7.000000000000001E-4</v>
      </c>
      <c r="Q21" s="2907"/>
      <c r="R21" s="2027">
        <f>ROUND(IF(项目基本情况!$B$8="出让",SUMPRODUCT(PRODUCT(1+K21:$K$24)),SUMPRODUCT(PRODUCT(1+K21:$K$23))),4)</f>
        <v>1.0244</v>
      </c>
      <c r="S21" s="2027">
        <f>ROUND(IF(项目基本情况!$B$8="出让",SUMPRODUCT(PRODUCT(1+L21:$L$24)),SUMPRODUCT(PRODUCT(1+L21:$L$23))),4)</f>
        <v>1.0138</v>
      </c>
      <c r="T21" s="2027">
        <f>ROUND(IF(项目基本情况!$B$8="出让",SUMPRODUCT(PRODUCT(1+M21:$M$24)),SUMPRODUCT(PRODUCT(1+M21:$M$23))),4)</f>
        <v>1.0072000000000001</v>
      </c>
      <c r="U21" s="2027">
        <f>ROUND(IF(项目基本情况!$B$8="出让",SUMPRODUCT(PRODUCT(1+N21:$N$24)),SUMPRODUCT(PRODUCT(1+N21:$N$23))),4)</f>
        <v>1.0262</v>
      </c>
      <c r="V21" s="2027">
        <f>ROUND(IF(项目基本情况!$B$8="出让",SUMPRODUCT(PRODUCT(1+O21:$O$24)),SUMPRODUCT(PRODUCT(1+O21:$O$23))),4)</f>
        <v>1.0205</v>
      </c>
      <c r="W21" s="2027">
        <f t="shared" si="107"/>
        <v>1.0072000000000001</v>
      </c>
      <c r="X21" s="2907"/>
      <c r="Y21" s="2028">
        <f>IF(D21=0,0,ROUND(AVERAGE(D21:D24)/100,4))</f>
        <v>8.5000000000000006E-3</v>
      </c>
      <c r="Z21" s="2028">
        <f t="shared" ref="Z21:AC21" si="113">IF(E21=0,0,ROUND(AVERAGE(E21:E24)/100,4))</f>
        <v>3.8E-3</v>
      </c>
      <c r="AA21" s="2028">
        <f t="shared" si="113"/>
        <v>1.1999999999999999E-3</v>
      </c>
      <c r="AB21" s="2028">
        <f t="shared" si="113"/>
        <v>9.2999999999999992E-3</v>
      </c>
      <c r="AC21" s="2028">
        <f t="shared" si="113"/>
        <v>6.0000000000000001E-3</v>
      </c>
      <c r="AD21" s="2028">
        <f t="shared" si="90"/>
        <v>1.1999999999999999E-3</v>
      </c>
      <c r="AF21" s="3154">
        <f t="shared" si="30"/>
        <v>102.44</v>
      </c>
      <c r="AG21" s="3154">
        <f t="shared" si="31"/>
        <v>101.38000000000001</v>
      </c>
      <c r="AH21" s="3154">
        <f t="shared" si="32"/>
        <v>100.72000000000001</v>
      </c>
      <c r="AI21" s="3154">
        <f t="shared" si="33"/>
        <v>102.62</v>
      </c>
      <c r="AJ21" s="3154">
        <f t="shared" si="34"/>
        <v>102.05</v>
      </c>
      <c r="AK21" s="3154">
        <f t="shared" si="35"/>
        <v>100.72000000000001</v>
      </c>
      <c r="AM21" s="3154">
        <f t="shared" si="48"/>
        <v>96.895835126908679</v>
      </c>
      <c r="AN21" s="3154">
        <f t="shared" si="49"/>
        <v>98.0525963045136</v>
      </c>
      <c r="AO21" s="3154">
        <f t="shared" si="50"/>
        <v>101.60412614090308</v>
      </c>
      <c r="AP21" s="3154">
        <f t="shared" si="51"/>
        <v>96.095057451598677</v>
      </c>
      <c r="AQ21" s="3154">
        <f t="shared" si="52"/>
        <v>93.867288502598527</v>
      </c>
      <c r="AR21" s="3154">
        <f t="shared" si="53"/>
        <v>101.60412614090308</v>
      </c>
    </row>
    <row r="22" spans="1:44" s="2045" customFormat="1" ht="12.75">
      <c r="A22" s="2906" t="s">
        <v>2820</v>
      </c>
      <c r="B22" s="2031">
        <v>2021</v>
      </c>
      <c r="C22" s="2042">
        <v>3</v>
      </c>
      <c r="D22" s="2007">
        <v>0.47</v>
      </c>
      <c r="E22" s="2007">
        <v>0.41</v>
      </c>
      <c r="F22" s="2007">
        <v>0.24</v>
      </c>
      <c r="G22" s="2007">
        <v>0.48</v>
      </c>
      <c r="H22" s="2918">
        <v>0.48</v>
      </c>
      <c r="I22" s="2008">
        <f t="shared" si="87"/>
        <v>0.24</v>
      </c>
      <c r="J22" s="2907"/>
      <c r="K22" s="2043">
        <f t="shared" si="88"/>
        <v>4.6999999999999993E-3</v>
      </c>
      <c r="L22" s="2028">
        <f t="shared" si="88"/>
        <v>4.0999999999999995E-3</v>
      </c>
      <c r="M22" s="2028">
        <f t="shared" si="88"/>
        <v>2.3999999999999998E-3</v>
      </c>
      <c r="N22" s="2028">
        <f t="shared" si="88"/>
        <v>4.7999999999999996E-3</v>
      </c>
      <c r="O22" s="2028">
        <f t="shared" si="88"/>
        <v>4.7999999999999996E-3</v>
      </c>
      <c r="P22" s="2028">
        <f t="shared" si="108"/>
        <v>2.3999999999999998E-3</v>
      </c>
      <c r="Q22" s="2907"/>
      <c r="R22" s="2027">
        <f>ROUND(IF(项目基本情况!$B$8="出让",SUMPRODUCT(PRODUCT(1+K22:$K$24)),SUMPRODUCT(PRODUCT(1+K22:$K$23))),4)</f>
        <v>1.0139</v>
      </c>
      <c r="S22" s="2027">
        <f>ROUND(IF(项目基本情况!$B$8="出让",SUMPRODUCT(PRODUCT(1+L22:$L$24)),SUMPRODUCT(PRODUCT(1+L22:$L$23))),4)</f>
        <v>1.0113000000000001</v>
      </c>
      <c r="T22" s="2027">
        <f>ROUND(IF(项目基本情况!$B$8="出让",SUMPRODUCT(PRODUCT(1+M22:$M$24)),SUMPRODUCT(PRODUCT(1+M22:$M$23))),4)</f>
        <v>1.0065</v>
      </c>
      <c r="U22" s="2027">
        <f>ROUND(IF(项目基本情况!$B$8="出让",SUMPRODUCT(PRODUCT(1+N22:$N$24)),SUMPRODUCT(PRODUCT(1+N22:$N$23))),4)</f>
        <v>1.0143</v>
      </c>
      <c r="V22" s="2027">
        <f>ROUND(IF(项目基本情况!$B$8="出让",SUMPRODUCT(PRODUCT(1+O22:$O$24)),SUMPRODUCT(PRODUCT(1+O22:$O$23))),4)</f>
        <v>1.0148999999999999</v>
      </c>
      <c r="W22" s="2027">
        <f t="shared" si="107"/>
        <v>1.0065</v>
      </c>
      <c r="X22" s="2907"/>
      <c r="Y22" s="2028">
        <f>IF(D22=0,0,ROUND(AVERAGE(D22:D24)/100,4))</f>
        <v>7.9000000000000008E-3</v>
      </c>
      <c r="Z22" s="2028">
        <f>IF(E22=0,0,ROUND(AVERAGE(E22:E24)/100,4))</f>
        <v>4.3E-3</v>
      </c>
      <c r="AA22" s="2028">
        <f>IF(F22=0,0,ROUND(AVERAGE(F22:F24)/100,4))</f>
        <v>1.2999999999999999E-3</v>
      </c>
      <c r="AB22" s="2028">
        <f>IF(G22=0,0,ROUND(AVERAGE(G22:G24)/100,4))</f>
        <v>8.5000000000000006E-3</v>
      </c>
      <c r="AC22" s="2028">
        <f>IF(H22=0,0,ROUND(AVERAGE(H22:H24)/100,4))</f>
        <v>6.1999999999999998E-3</v>
      </c>
      <c r="AD22" s="2028">
        <f t="shared" si="90"/>
        <v>1.2999999999999999E-3</v>
      </c>
      <c r="AF22" s="3154">
        <f t="shared" si="30"/>
        <v>101.39</v>
      </c>
      <c r="AG22" s="3154">
        <f t="shared" si="31"/>
        <v>101.13000000000001</v>
      </c>
      <c r="AH22" s="3154">
        <f t="shared" si="32"/>
        <v>100.64999999999999</v>
      </c>
      <c r="AI22" s="3154">
        <f t="shared" si="33"/>
        <v>101.42999999999999</v>
      </c>
      <c r="AJ22" s="3154">
        <f t="shared" si="34"/>
        <v>101.49</v>
      </c>
      <c r="AK22" s="3154">
        <f t="shared" si="35"/>
        <v>100.64999999999999</v>
      </c>
      <c r="AM22" s="3154">
        <f t="shared" si="48"/>
        <v>95.907982903007706</v>
      </c>
      <c r="AN22" s="3154">
        <f t="shared" si="49"/>
        <v>97.81783350410376</v>
      </c>
      <c r="AO22" s="3154">
        <f t="shared" si="50"/>
        <v>101.53305300380042</v>
      </c>
      <c r="AP22" s="3154">
        <f t="shared" si="51"/>
        <v>94.983747604624568</v>
      </c>
      <c r="AQ22" s="3154">
        <f t="shared" si="52"/>
        <v>93.353842369565911</v>
      </c>
      <c r="AR22" s="3154">
        <f t="shared" si="53"/>
        <v>101.53305300380042</v>
      </c>
    </row>
    <row r="23" spans="1:44" s="2045" customFormat="1" ht="12.75">
      <c r="A23" s="2906" t="s">
        <v>2821</v>
      </c>
      <c r="B23" s="2031">
        <v>2021</v>
      </c>
      <c r="C23" s="2042">
        <v>2</v>
      </c>
      <c r="D23" s="2007">
        <v>0.92</v>
      </c>
      <c r="E23" s="2007">
        <v>0.72</v>
      </c>
      <c r="F23" s="2007">
        <v>0.41</v>
      </c>
      <c r="G23" s="2007">
        <v>0.95</v>
      </c>
      <c r="H23" s="2918">
        <v>1.01</v>
      </c>
      <c r="I23" s="2008">
        <f t="shared" si="87"/>
        <v>0.41</v>
      </c>
      <c r="J23" s="2907"/>
      <c r="K23" s="2043">
        <f t="shared" si="88"/>
        <v>9.1999999999999998E-3</v>
      </c>
      <c r="L23" s="2028">
        <f t="shared" si="88"/>
        <v>7.1999999999999998E-3</v>
      </c>
      <c r="M23" s="2028">
        <f t="shared" si="88"/>
        <v>4.0999999999999995E-3</v>
      </c>
      <c r="N23" s="2028">
        <f t="shared" si="88"/>
        <v>9.4999999999999998E-3</v>
      </c>
      <c r="O23" s="2028">
        <f t="shared" si="88"/>
        <v>1.01E-2</v>
      </c>
      <c r="P23" s="2028">
        <f t="shared" si="108"/>
        <v>4.0999999999999995E-3</v>
      </c>
      <c r="Q23" s="2907"/>
      <c r="R23" s="2027">
        <f>ROUND(IF(项目基本情况!$B$8="出让",SUMPRODUCT(PRODUCT(1+K23:$K$24)),SUMPRODUCT(PRODUCT(1+K23:$K$23))),4)</f>
        <v>1.0092000000000001</v>
      </c>
      <c r="S23" s="2027">
        <f>ROUND(IF(项目基本情况!$B$8="出让",SUMPRODUCT(PRODUCT(1+L23:$L$24)),SUMPRODUCT(PRODUCT(1+L23:$L$23))),4)</f>
        <v>1.0072000000000001</v>
      </c>
      <c r="T23" s="2027">
        <f>ROUND(IF(项目基本情况!$B$8="出让",SUMPRODUCT(PRODUCT(1+M23:$M$24)),SUMPRODUCT(PRODUCT(1+M23:$M$23))),4)</f>
        <v>1.0041</v>
      </c>
      <c r="U23" s="2027">
        <f>ROUND(IF(项目基本情况!$B$8="出让",SUMPRODUCT(PRODUCT(1+N23:$N$24)),SUMPRODUCT(PRODUCT(1+N23:$N$23))),4)</f>
        <v>1.0095000000000001</v>
      </c>
      <c r="V23" s="2027">
        <f>ROUND(IF(项目基本情况!$B$8="出让",SUMPRODUCT(PRODUCT(1+O23:$O$24)),SUMPRODUCT(PRODUCT(1+O23:$O$23))),4)</f>
        <v>1.0101</v>
      </c>
      <c r="W23" s="2027">
        <f t="shared" si="107"/>
        <v>1.0041</v>
      </c>
      <c r="X23" s="2907"/>
      <c r="Y23" s="2028">
        <f>IF(D23=0,0,ROUND(AVERAGE(D23:D24)/100,4))</f>
        <v>9.4999999999999998E-3</v>
      </c>
      <c r="Z23" s="2028">
        <f>IF(E23=0,0,ROUND(AVERAGE(E23:E24)/100,4))</f>
        <v>4.4000000000000003E-3</v>
      </c>
      <c r="AA23" s="2028">
        <f>IF(F23=0,0,ROUND(AVERAGE(F23:F24)/100,4))</f>
        <v>8.0000000000000004E-4</v>
      </c>
      <c r="AB23" s="2028">
        <f>IF(G23=0,0,ROUND(AVERAGE(G23:G24)/100,4))</f>
        <v>1.03E-2</v>
      </c>
      <c r="AC23" s="2028">
        <f>IF(H23=0,0,ROUND(AVERAGE(H23:H24)/100,4))</f>
        <v>6.8999999999999999E-3</v>
      </c>
      <c r="AD23" s="2028">
        <f t="shared" si="90"/>
        <v>8.0000000000000004E-4</v>
      </c>
      <c r="AF23" s="3154">
        <f t="shared" si="30"/>
        <v>100.92000000000002</v>
      </c>
      <c r="AG23" s="3154">
        <f t="shared" si="31"/>
        <v>100.72000000000001</v>
      </c>
      <c r="AH23" s="3154">
        <f t="shared" si="32"/>
        <v>100.41</v>
      </c>
      <c r="AI23" s="3154">
        <f t="shared" si="33"/>
        <v>100.95</v>
      </c>
      <c r="AJ23" s="3154">
        <f t="shared" si="34"/>
        <v>101.01</v>
      </c>
      <c r="AK23" s="3154">
        <f t="shared" si="35"/>
        <v>100.41</v>
      </c>
      <c r="AM23" s="3154">
        <f t="shared" si="48"/>
        <v>95.459324079832498</v>
      </c>
      <c r="AN23" s="3154">
        <f t="shared" si="49"/>
        <v>97.418417990343357</v>
      </c>
      <c r="AO23" s="3154">
        <f t="shared" si="50"/>
        <v>101.28995710674424</v>
      </c>
      <c r="AP23" s="3154">
        <f t="shared" si="51"/>
        <v>94.530003587405034</v>
      </c>
      <c r="AQ23" s="3154">
        <f t="shared" si="52"/>
        <v>92.907884523851436</v>
      </c>
      <c r="AR23" s="3154">
        <f t="shared" si="53"/>
        <v>101.28995710674424</v>
      </c>
    </row>
    <row r="24" spans="1:44" s="2929" customFormat="1" ht="14.25" thickBot="1">
      <c r="A24" s="2919" t="s">
        <v>2822</v>
      </c>
      <c r="B24" s="2920">
        <v>2021</v>
      </c>
      <c r="C24" s="2921">
        <v>1</v>
      </c>
      <c r="D24" s="2922">
        <v>0.97</v>
      </c>
      <c r="E24" s="2922">
        <v>0.16</v>
      </c>
      <c r="F24" s="2922">
        <v>-0.25</v>
      </c>
      <c r="G24" s="2922">
        <v>1.1100000000000001</v>
      </c>
      <c r="H24" s="2923">
        <v>0.36</v>
      </c>
      <c r="I24" s="2924">
        <f t="shared" si="87"/>
        <v>-0.25</v>
      </c>
      <c r="J24" s="2925"/>
      <c r="K24" s="2926">
        <f t="shared" si="88"/>
        <v>9.7000000000000003E-3</v>
      </c>
      <c r="L24" s="2927">
        <f t="shared" si="88"/>
        <v>1.6000000000000001E-3</v>
      </c>
      <c r="M24" s="2927">
        <f>F24/100</f>
        <v>-2.5000000000000001E-3</v>
      </c>
      <c r="N24" s="2927">
        <f t="shared" si="88"/>
        <v>1.11E-2</v>
      </c>
      <c r="O24" s="2927">
        <f t="shared" si="88"/>
        <v>3.5999999999999999E-3</v>
      </c>
      <c r="P24" s="2927">
        <f t="shared" si="108"/>
        <v>-2.5000000000000001E-3</v>
      </c>
      <c r="Q24" s="2925"/>
      <c r="R24" s="2928">
        <v>1</v>
      </c>
      <c r="S24" s="2928">
        <v>1</v>
      </c>
      <c r="T24" s="2928">
        <v>1</v>
      </c>
      <c r="U24" s="2928">
        <v>1</v>
      </c>
      <c r="V24" s="2928">
        <v>1</v>
      </c>
      <c r="W24" s="2928">
        <f t="shared" ref="W24" si="114">T24</f>
        <v>1</v>
      </c>
      <c r="X24" s="2925"/>
      <c r="Y24" s="2927">
        <f>IF(D24=0,0,ROUND(AVERAGE(D24:D24)/100,4))</f>
        <v>9.7000000000000003E-3</v>
      </c>
      <c r="Z24" s="2927">
        <f>IF(E24=0,0,ROUND(AVERAGE(E24:E24)/100,4))</f>
        <v>1.6000000000000001E-3</v>
      </c>
      <c r="AA24" s="2927">
        <f>IF(F24=0,0,ROUND(AVERAGE(F24:F24)/100,4))</f>
        <v>-2.5000000000000001E-3</v>
      </c>
      <c r="AB24" s="2927">
        <f>IF(G24=0,0,ROUND(AVERAGE(G24:G24)/100,4))</f>
        <v>1.11E-2</v>
      </c>
      <c r="AC24" s="2927">
        <f>IF(H24=0,0,ROUND(AVERAGE(H24:H24)/100,4))</f>
        <v>3.5999999999999999E-3</v>
      </c>
      <c r="AD24" s="2927">
        <f>AA24</f>
        <v>-2.5000000000000001E-3</v>
      </c>
      <c r="AF24" s="3162">
        <v>100</v>
      </c>
      <c r="AG24" s="3162">
        <v>100</v>
      </c>
      <c r="AH24" s="3162">
        <v>100</v>
      </c>
      <c r="AI24" s="3162">
        <v>100</v>
      </c>
      <c r="AJ24" s="3162">
        <v>100</v>
      </c>
      <c r="AK24" s="3162">
        <v>100</v>
      </c>
      <c r="AM24" s="3161">
        <f t="shared" si="48"/>
        <v>94.589104320087685</v>
      </c>
      <c r="AN24" s="3161">
        <f t="shared" si="49"/>
        <v>96.722019450301175</v>
      </c>
      <c r="AO24" s="3161">
        <f t="shared" si="50"/>
        <v>100.87636401428567</v>
      </c>
      <c r="AP24" s="3161">
        <f t="shared" si="51"/>
        <v>93.640419601193685</v>
      </c>
      <c r="AQ24" s="3161">
        <f t="shared" si="52"/>
        <v>91.978897657510586</v>
      </c>
      <c r="AR24" s="3161">
        <f t="shared" si="53"/>
        <v>100.87636401428567</v>
      </c>
    </row>
    <row r="25" spans="1:44" ht="14.25" thickTop="1"/>
    <row r="26" spans="1:44">
      <c r="A26" s="3144" t="s">
        <v>3379</v>
      </c>
    </row>
    <row r="27" spans="1:44">
      <c r="I27" s="1405" t="s">
        <v>2823</v>
      </c>
    </row>
    <row r="29" spans="1:44" s="2009" customFormat="1" ht="12.75">
      <c r="B29" s="2930" t="s">
        <v>3377</v>
      </c>
      <c r="C29" s="2931"/>
      <c r="D29" s="2931"/>
      <c r="E29" s="2931"/>
      <c r="F29" s="2931"/>
      <c r="G29" s="2931"/>
      <c r="H29" s="2931"/>
      <c r="I29" s="2931"/>
      <c r="J29" s="2897"/>
      <c r="K29" s="2931" t="s">
        <v>2824</v>
      </c>
      <c r="L29" s="2931"/>
      <c r="M29" s="2931"/>
      <c r="N29" s="2931"/>
      <c r="O29" s="2931"/>
      <c r="P29" s="2931"/>
      <c r="Q29" s="2897"/>
      <c r="R29" s="3706" t="s">
        <v>2825</v>
      </c>
      <c r="S29" s="3707"/>
      <c r="T29" s="3707"/>
      <c r="U29" s="3707"/>
      <c r="V29" s="3707"/>
      <c r="W29" s="3707"/>
      <c r="X29" s="2897"/>
      <c r="Y29" s="3706" t="s">
        <v>2826</v>
      </c>
      <c r="Z29" s="3707"/>
      <c r="AA29" s="3707"/>
      <c r="AB29" s="3707"/>
      <c r="AC29" s="3707"/>
      <c r="AD29" s="3707"/>
    </row>
    <row r="30" spans="1:44" s="2010" customFormat="1" ht="14.25" thickBot="1">
      <c r="B30" s="2882"/>
      <c r="C30" s="2883"/>
      <c r="D30" s="2011" t="s">
        <v>2827</v>
      </c>
      <c r="E30" s="2012" t="s">
        <v>2828</v>
      </c>
      <c r="F30" s="2012" t="s">
        <v>2829</v>
      </c>
      <c r="G30" s="2012" t="s">
        <v>2830</v>
      </c>
      <c r="H30" s="2012"/>
      <c r="I30" s="2012" t="s">
        <v>2831</v>
      </c>
      <c r="J30" s="2884"/>
      <c r="K30" s="2011" t="s">
        <v>2827</v>
      </c>
      <c r="L30" s="2012" t="s">
        <v>2828</v>
      </c>
      <c r="M30" s="2012" t="s">
        <v>2829</v>
      </c>
      <c r="N30" s="2012" t="s">
        <v>2830</v>
      </c>
      <c r="O30" s="2012"/>
      <c r="P30" s="2012" t="s">
        <v>2831</v>
      </c>
      <c r="Q30" s="2884"/>
      <c r="R30" s="2011" t="s">
        <v>2827</v>
      </c>
      <c r="S30" s="2012" t="s">
        <v>2828</v>
      </c>
      <c r="T30" s="2012" t="s">
        <v>2829</v>
      </c>
      <c r="U30" s="2012" t="s">
        <v>2830</v>
      </c>
      <c r="V30" s="2012"/>
      <c r="W30" s="2012" t="s">
        <v>2831</v>
      </c>
      <c r="X30" s="2884"/>
      <c r="Y30" s="2011" t="s">
        <v>2827</v>
      </c>
      <c r="Z30" s="2012" t="s">
        <v>2828</v>
      </c>
      <c r="AA30" s="2012" t="s">
        <v>2829</v>
      </c>
      <c r="AB30" s="2012" t="s">
        <v>2830</v>
      </c>
      <c r="AC30" s="2012"/>
      <c r="AD30" s="2012" t="s">
        <v>2831</v>
      </c>
      <c r="AG30" t="s">
        <v>673</v>
      </c>
      <c r="AH30" t="s">
        <v>21</v>
      </c>
      <c r="AI30" t="s">
        <v>3404</v>
      </c>
      <c r="AJ30"/>
      <c r="AK30" t="s">
        <v>3405</v>
      </c>
      <c r="AN30" t="s">
        <v>673</v>
      </c>
      <c r="AO30" t="s">
        <v>21</v>
      </c>
      <c r="AP30" t="s">
        <v>3404</v>
      </c>
      <c r="AQ30"/>
      <c r="AR30" t="s">
        <v>3405</v>
      </c>
    </row>
    <row r="31" spans="1:44" s="2887" customFormat="1" ht="12.75">
      <c r="A31" s="2885" t="s">
        <v>2832</v>
      </c>
      <c r="B31" s="2886"/>
      <c r="E31" s="2887">
        <f t="shared" ref="E31:G31" si="115">ROUND(AVERAGEIF(E32:E52,"&lt;&gt;0"),2)</f>
        <v>0.11</v>
      </c>
      <c r="F31" s="2887">
        <f t="shared" si="115"/>
        <v>7.0000000000000007E-2</v>
      </c>
      <c r="G31" s="2887">
        <f t="shared" si="115"/>
        <v>0.26</v>
      </c>
      <c r="I31" s="2887">
        <f>F31</f>
        <v>7.0000000000000007E-2</v>
      </c>
      <c r="J31" s="2888"/>
      <c r="K31" s="2889"/>
      <c r="L31" s="2890">
        <f t="shared" ref="L31:N31" si="116">ROUND(AVERAGEIF(L32:L52,"&lt;&gt;0"),4)</f>
        <v>1.1000000000000001E-3</v>
      </c>
      <c r="M31" s="2890">
        <f t="shared" si="116"/>
        <v>6.9999999999999999E-4</v>
      </c>
      <c r="N31" s="2890">
        <f t="shared" si="116"/>
        <v>2.5999999999999999E-3</v>
      </c>
      <c r="O31" s="2890"/>
      <c r="P31" s="2890">
        <f>M31</f>
        <v>6.9999999999999999E-4</v>
      </c>
      <c r="Q31" s="2888"/>
      <c r="R31" s="2891"/>
      <c r="S31" s="2892">
        <f>ROUND(SUMPRODUCT(PRODUCT(1+L32:L52)),4)</f>
        <v>1.0185</v>
      </c>
      <c r="T31" s="2892">
        <f t="shared" ref="T31:U31" si="117">ROUND(SUMPRODUCT(PRODUCT(1+M32:M52)),4)</f>
        <v>1.012</v>
      </c>
      <c r="U31" s="2892">
        <f t="shared" si="117"/>
        <v>1.0436000000000001</v>
      </c>
      <c r="V31" s="2892"/>
      <c r="W31" s="2891">
        <f>T31</f>
        <v>1.012</v>
      </c>
      <c r="X31" s="2888"/>
      <c r="Y31" s="2893"/>
      <c r="Z31" s="2894">
        <f t="shared" ref="Z31:AB31" si="118">ROUND(AVERAGEIF(Z32:Z52,"&lt;&gt;0"),4)</f>
        <v>3.5999999999999999E-3</v>
      </c>
      <c r="AA31" s="2895">
        <f t="shared" si="118"/>
        <v>3.0000000000000001E-3</v>
      </c>
      <c r="AB31" s="2893">
        <f t="shared" si="118"/>
        <v>7.0000000000000001E-3</v>
      </c>
      <c r="AC31" s="2896"/>
      <c r="AD31" s="2893">
        <f>AA31</f>
        <v>3.0000000000000001E-3</v>
      </c>
    </row>
    <row r="32" spans="1:44" s="2009" customFormat="1" ht="12.75">
      <c r="B32" s="2025"/>
      <c r="J32" s="2897"/>
      <c r="K32" s="2898"/>
      <c r="L32" s="2899"/>
      <c r="M32" s="2899"/>
      <c r="N32" s="2899"/>
      <c r="O32" s="2899"/>
      <c r="P32" s="2899"/>
      <c r="Q32" s="2897"/>
      <c r="R32" s="2027"/>
      <c r="S32" s="2900"/>
      <c r="T32" s="2901"/>
      <c r="U32" s="2027"/>
      <c r="V32" s="2902"/>
      <c r="W32" s="2027"/>
      <c r="X32" s="2897"/>
      <c r="Y32" s="2028"/>
      <c r="Z32" s="2903"/>
      <c r="AA32" s="2904"/>
      <c r="AB32" s="2028"/>
      <c r="AC32" s="2905"/>
      <c r="AD32" s="2028"/>
    </row>
    <row r="33" spans="1:44" s="2045" customFormat="1">
      <c r="A33" s="2040" t="s">
        <v>3402</v>
      </c>
      <c r="B33" s="2031">
        <v>2025</v>
      </c>
      <c r="C33" s="2042">
        <v>4</v>
      </c>
      <c r="D33" s="2007"/>
      <c r="E33" s="2007">
        <v>0</v>
      </c>
      <c r="F33" s="2007">
        <v>0</v>
      </c>
      <c r="G33" s="2007">
        <v>0</v>
      </c>
      <c r="H33" s="2007"/>
      <c r="I33" s="2008">
        <f t="shared" ref="I33" si="119">F33</f>
        <v>0</v>
      </c>
      <c r="J33" s="2907"/>
      <c r="K33" s="2043"/>
      <c r="L33" s="2028">
        <f t="shared" ref="L33" si="120">E33/100</f>
        <v>0</v>
      </c>
      <c r="M33" s="2028">
        <f t="shared" ref="M33" si="121">F33/100</f>
        <v>0</v>
      </c>
      <c r="N33" s="2028">
        <f t="shared" ref="N33" si="122">G33/100</f>
        <v>0</v>
      </c>
      <c r="O33" s="2028"/>
      <c r="P33" s="2028">
        <f t="shared" ref="P33:P39" si="123">M33</f>
        <v>0</v>
      </c>
      <c r="Q33" s="2907"/>
      <c r="R33" s="2027"/>
      <c r="S33" s="2027">
        <f>ROUND(IF(项目基本情况!$B$8="出让",SUMPRODUCT(PRODUCT(1+L33:L$52)),SUMPRODUCT(PRODUCT(1+L33:L$51))),4)</f>
        <v>1.0148999999999999</v>
      </c>
      <c r="T33" s="2027">
        <f>ROUND(IF(项目基本情况!$B$8="出让",SUMPRODUCT(PRODUCT(1+M33:M$52)),SUMPRODUCT(PRODUCT(1+M33:M$51))),4)</f>
        <v>1.0072000000000001</v>
      </c>
      <c r="U33" s="2027">
        <f>ROUND(IF(项目基本情况!$B$8="出让",SUMPRODUCT(PRODUCT(1+N33:N$52)),SUMPRODUCT(PRODUCT(1+N33:N$51))),4)</f>
        <v>1.0335000000000001</v>
      </c>
      <c r="V33" s="2027"/>
      <c r="W33" s="2027">
        <f t="shared" ref="W33:W39" si="124">T33</f>
        <v>1.0072000000000001</v>
      </c>
      <c r="X33" s="2907"/>
      <c r="Y33" s="2028"/>
      <c r="Z33" s="2903">
        <f t="shared" ref="Z33" si="125">IF(E33=0,0,ROUND(AVERAGE(E33:E46)/100,4))</f>
        <v>0</v>
      </c>
      <c r="AA33" s="2903">
        <f t="shared" ref="AA33" si="126">IF(F33=0,0,ROUND(AVERAGE(F33:F46)/100,4))</f>
        <v>0</v>
      </c>
      <c r="AB33" s="2903">
        <f t="shared" ref="AB33" si="127">IF(G33=0,0,ROUND(AVERAGE(G33:G46)/100,4))</f>
        <v>0</v>
      </c>
      <c r="AC33" s="2905"/>
      <c r="AD33" s="2028">
        <f t="shared" ref="AD33:AD39" si="128">IF(I33=0,0,ROUND(AVERAGE(I33:I46)/100,4))</f>
        <v>0</v>
      </c>
      <c r="AG33" s="3154">
        <f t="shared" ref="AG33:AG50" si="129">$AG$52*S33</f>
        <v>101.49</v>
      </c>
      <c r="AH33" s="3154">
        <f t="shared" ref="AH33:AH50" si="130">$AG$52*T33</f>
        <v>100.72000000000001</v>
      </c>
      <c r="AI33" s="3154">
        <f t="shared" ref="AI33:AI50" si="131">$AG$52*U33</f>
        <v>103.35000000000001</v>
      </c>
      <c r="AJ33" s="3156"/>
      <c r="AK33" s="3154">
        <f t="shared" ref="AK33:AK50" si="132">$AG$52*W33</f>
        <v>100.72000000000001</v>
      </c>
      <c r="AN33" s="3159">
        <v>100</v>
      </c>
      <c r="AO33" s="3159">
        <v>100</v>
      </c>
      <c r="AP33" s="3159">
        <v>100</v>
      </c>
      <c r="AQ33" s="3159"/>
      <c r="AR33" s="3159">
        <v>100</v>
      </c>
    </row>
    <row r="34" spans="1:44" s="2045" customFormat="1" ht="12.75">
      <c r="A34" s="2040" t="s">
        <v>3401</v>
      </c>
      <c r="B34" s="2031">
        <v>2025</v>
      </c>
      <c r="C34" s="2042">
        <v>3</v>
      </c>
      <c r="D34" s="2007"/>
      <c r="E34" s="2007">
        <v>0</v>
      </c>
      <c r="F34" s="2007">
        <v>0</v>
      </c>
      <c r="G34" s="2007">
        <v>0</v>
      </c>
      <c r="H34" s="2007"/>
      <c r="I34" s="2008">
        <f t="shared" ref="I34" si="133">F34</f>
        <v>0</v>
      </c>
      <c r="J34" s="2907"/>
      <c r="K34" s="2043"/>
      <c r="L34" s="2028">
        <f t="shared" ref="L34" si="134">E34/100</f>
        <v>0</v>
      </c>
      <c r="M34" s="2028">
        <f t="shared" ref="M34" si="135">F34/100</f>
        <v>0</v>
      </c>
      <c r="N34" s="2028">
        <f t="shared" ref="N34" si="136">G34/100</f>
        <v>0</v>
      </c>
      <c r="O34" s="2028"/>
      <c r="P34" s="2028">
        <f t="shared" si="123"/>
        <v>0</v>
      </c>
      <c r="Q34" s="2907"/>
      <c r="R34" s="2027"/>
      <c r="S34" s="2027">
        <f>ROUND(IF(项目基本情况!$B$8="出让",SUMPRODUCT(PRODUCT(1+L34:L$52)),SUMPRODUCT(PRODUCT(1+L34:L$51))),4)</f>
        <v>1.0148999999999999</v>
      </c>
      <c r="T34" s="2027">
        <f>ROUND(IF(项目基本情况!$B$8="出让",SUMPRODUCT(PRODUCT(1+M34:M$52)),SUMPRODUCT(PRODUCT(1+M34:M$51))),4)</f>
        <v>1.0072000000000001</v>
      </c>
      <c r="U34" s="2027">
        <f>ROUND(IF(项目基本情况!$B$8="出让",SUMPRODUCT(PRODUCT(1+N34:N$52)),SUMPRODUCT(PRODUCT(1+N34:N$51))),4)</f>
        <v>1.0335000000000001</v>
      </c>
      <c r="V34" s="2027"/>
      <c r="W34" s="2027">
        <f t="shared" si="124"/>
        <v>1.0072000000000001</v>
      </c>
      <c r="X34" s="2907"/>
      <c r="Y34" s="2028"/>
      <c r="Z34" s="2903">
        <f t="shared" ref="Z34" si="137">IF(E34=0,0,ROUND(AVERAGE(E34:E47)/100,4))</f>
        <v>0</v>
      </c>
      <c r="AA34" s="2903">
        <f t="shared" ref="AA34" si="138">IF(F34=0,0,ROUND(AVERAGE(F34:F47)/100,4))</f>
        <v>0</v>
      </c>
      <c r="AB34" s="2903">
        <f t="shared" ref="AB34" si="139">IF(G34=0,0,ROUND(AVERAGE(G34:G47)/100,4))</f>
        <v>0</v>
      </c>
      <c r="AC34" s="2905"/>
      <c r="AD34" s="2028">
        <f t="shared" si="128"/>
        <v>0</v>
      </c>
      <c r="AG34" s="3154">
        <f t="shared" si="129"/>
        <v>101.49</v>
      </c>
      <c r="AH34" s="3154">
        <f t="shared" si="130"/>
        <v>100.72000000000001</v>
      </c>
      <c r="AI34" s="3154">
        <f t="shared" si="131"/>
        <v>103.35000000000001</v>
      </c>
      <c r="AJ34" s="3156"/>
      <c r="AK34" s="3154">
        <f t="shared" si="132"/>
        <v>100.72000000000001</v>
      </c>
      <c r="AN34" s="3154">
        <f>AN33/(1+E33/100)</f>
        <v>100</v>
      </c>
      <c r="AO34" s="3154">
        <f t="shared" ref="AO34:AR34" si="140">AO33/(1+F33/100)</f>
        <v>100</v>
      </c>
      <c r="AP34" s="3154">
        <f t="shared" si="140"/>
        <v>100</v>
      </c>
      <c r="AQ34" s="3154"/>
      <c r="AR34" s="3154">
        <f t="shared" si="140"/>
        <v>100</v>
      </c>
    </row>
    <row r="35" spans="1:44" s="2917" customFormat="1" ht="12.75">
      <c r="A35" s="2908" t="s">
        <v>3409</v>
      </c>
      <c r="B35" s="2909">
        <v>2025</v>
      </c>
      <c r="C35" s="2910">
        <v>2</v>
      </c>
      <c r="D35" s="2911"/>
      <c r="E35" s="2911">
        <v>0</v>
      </c>
      <c r="F35" s="2911">
        <v>0</v>
      </c>
      <c r="G35" s="2911">
        <v>0</v>
      </c>
      <c r="H35" s="2912"/>
      <c r="I35" s="2913">
        <f t="shared" ref="I35" si="141">F35</f>
        <v>0</v>
      </c>
      <c r="J35" s="2914"/>
      <c r="K35" s="2915"/>
      <c r="L35" s="2916">
        <f t="shared" ref="L35" si="142">E35/100</f>
        <v>0</v>
      </c>
      <c r="M35" s="2916">
        <f t="shared" ref="M35" si="143">F35/100</f>
        <v>0</v>
      </c>
      <c r="N35" s="2916">
        <f t="shared" ref="N35" si="144">G35/100</f>
        <v>0</v>
      </c>
      <c r="O35" s="2916"/>
      <c r="P35" s="2916">
        <f t="shared" si="123"/>
        <v>0</v>
      </c>
      <c r="Q35" s="2914"/>
      <c r="R35" s="2914"/>
      <c r="S35" s="2914">
        <f>ROUND(IF(项目基本情况!$B$8="出让",SUMPRODUCT(PRODUCT(1+L35:L$52)),SUMPRODUCT(PRODUCT(1+L35:L$51))),4)</f>
        <v>1.0148999999999999</v>
      </c>
      <c r="T35" s="2914">
        <f>ROUND(IF(项目基本情况!$B$8="出让",SUMPRODUCT(PRODUCT(1+M35:M$52)),SUMPRODUCT(PRODUCT(1+M35:M$51))),4)</f>
        <v>1.0072000000000001</v>
      </c>
      <c r="U35" s="2914">
        <f>ROUND(IF(项目基本情况!$B$8="出让",SUMPRODUCT(PRODUCT(1+N35:N$52)),SUMPRODUCT(PRODUCT(1+N35:N$51))),4)</f>
        <v>1.0335000000000001</v>
      </c>
      <c r="V35" s="2914"/>
      <c r="W35" s="2914">
        <f t="shared" si="124"/>
        <v>1.0072000000000001</v>
      </c>
      <c r="X35" s="2914"/>
      <c r="Y35" s="2916"/>
      <c r="Z35" s="2932">
        <f t="shared" ref="Z35" si="145">IF(E35=0,0,ROUND(AVERAGE(E35:E48)/100,4))</f>
        <v>0</v>
      </c>
      <c r="AA35" s="2933">
        <f t="shared" ref="AA35" si="146">IF(F35=0,0,ROUND(AVERAGE(F35:F48)/100,4))</f>
        <v>0</v>
      </c>
      <c r="AB35" s="2916">
        <f t="shared" ref="AB35" si="147">IF(G35=0,0,ROUND(AVERAGE(G35:G48)/100,4))</f>
        <v>0</v>
      </c>
      <c r="AC35" s="2934"/>
      <c r="AD35" s="2916">
        <f t="shared" si="128"/>
        <v>0</v>
      </c>
      <c r="AG35" s="3155">
        <f t="shared" si="129"/>
        <v>101.49</v>
      </c>
      <c r="AH35" s="3155">
        <f t="shared" si="130"/>
        <v>100.72000000000001</v>
      </c>
      <c r="AI35" s="3155">
        <f t="shared" si="131"/>
        <v>103.35000000000001</v>
      </c>
      <c r="AJ35" s="3157"/>
      <c r="AK35" s="3155">
        <f t="shared" si="132"/>
        <v>100.72000000000001</v>
      </c>
      <c r="AN35" s="3155">
        <f t="shared" ref="AN35:AN52" si="148">AN34/(1+E34/100)</f>
        <v>100</v>
      </c>
      <c r="AO35" s="3155">
        <f t="shared" ref="AO35" si="149">AO34/(1+F34/100)</f>
        <v>100</v>
      </c>
      <c r="AP35" s="3155">
        <f t="shared" ref="AP35" si="150">AP34/(1+G34/100)</f>
        <v>100</v>
      </c>
      <c r="AQ35" s="3155"/>
      <c r="AR35" s="3155">
        <f t="shared" ref="AR35" si="151">AR34/(1+I34/100)</f>
        <v>100</v>
      </c>
    </row>
    <row r="36" spans="1:44" s="2045" customFormat="1" ht="12.75">
      <c r="A36" s="2040" t="s">
        <v>3406</v>
      </c>
      <c r="B36" s="2031">
        <v>2025</v>
      </c>
      <c r="C36" s="2042">
        <v>1</v>
      </c>
      <c r="D36" s="2007"/>
      <c r="E36" s="2007">
        <v>-1.47</v>
      </c>
      <c r="F36" s="2007">
        <v>-0.98</v>
      </c>
      <c r="G36" s="2007">
        <v>-0.51</v>
      </c>
      <c r="H36" s="2007"/>
      <c r="I36" s="2008">
        <f t="shared" ref="I36" si="152">F36</f>
        <v>-0.98</v>
      </c>
      <c r="J36" s="2907"/>
      <c r="K36" s="2043"/>
      <c r="L36" s="2028">
        <f t="shared" ref="L36" si="153">E36/100</f>
        <v>-1.47E-2</v>
      </c>
      <c r="M36" s="2028">
        <f t="shared" ref="M36" si="154">F36/100</f>
        <v>-9.7999999999999997E-3</v>
      </c>
      <c r="N36" s="2028">
        <f t="shared" ref="N36" si="155">G36/100</f>
        <v>-5.1000000000000004E-3</v>
      </c>
      <c r="O36" s="2028"/>
      <c r="P36" s="2028">
        <f t="shared" si="123"/>
        <v>-9.7999999999999997E-3</v>
      </c>
      <c r="Q36" s="2907"/>
      <c r="R36" s="2027"/>
      <c r="S36" s="2027">
        <f>ROUND(IF(项目基本情况!$B$8="出让",SUMPRODUCT(PRODUCT(1+L36:L$52)),SUMPRODUCT(PRODUCT(1+L36:L$51))),4)</f>
        <v>1.0148999999999999</v>
      </c>
      <c r="T36" s="2027">
        <f>ROUND(IF(项目基本情况!$B$8="出让",SUMPRODUCT(PRODUCT(1+M36:M$52)),SUMPRODUCT(PRODUCT(1+M36:M$51))),4)</f>
        <v>1.0072000000000001</v>
      </c>
      <c r="U36" s="2027">
        <f>ROUND(IF(项目基本情况!$B$8="出让",SUMPRODUCT(PRODUCT(1+N36:N$52)),SUMPRODUCT(PRODUCT(1+N36:N$51))),4)</f>
        <v>1.0335000000000001</v>
      </c>
      <c r="V36" s="2027"/>
      <c r="W36" s="2027">
        <f t="shared" si="124"/>
        <v>1.0072000000000001</v>
      </c>
      <c r="X36" s="2907"/>
      <c r="Y36" s="2028"/>
      <c r="Z36" s="2903">
        <f t="shared" ref="Z36" si="156">IF(E36=0,0,ROUND(AVERAGE(E36:E49)/100,4))</f>
        <v>4.0000000000000002E-4</v>
      </c>
      <c r="AA36" s="2903">
        <f t="shared" ref="AA36" si="157">IF(F36=0,0,ROUND(AVERAGE(F36:F49)/100,4))</f>
        <v>0</v>
      </c>
      <c r="AB36" s="2903">
        <f t="shared" ref="AB36" si="158">IF(G36=0,0,ROUND(AVERAGE(G36:G49)/100,4))</f>
        <v>1E-3</v>
      </c>
      <c r="AC36" s="2905"/>
      <c r="AD36" s="2028">
        <f t="shared" si="128"/>
        <v>0</v>
      </c>
      <c r="AG36" s="3154">
        <f t="shared" si="129"/>
        <v>101.49</v>
      </c>
      <c r="AH36" s="3154">
        <f t="shared" si="130"/>
        <v>100.72000000000001</v>
      </c>
      <c r="AI36" s="3154">
        <f t="shared" si="131"/>
        <v>103.35000000000001</v>
      </c>
      <c r="AJ36" s="3156"/>
      <c r="AK36" s="3154">
        <f t="shared" si="132"/>
        <v>100.72000000000001</v>
      </c>
      <c r="AN36" s="3154">
        <f t="shared" si="148"/>
        <v>100</v>
      </c>
      <c r="AO36" s="3154">
        <f t="shared" ref="AO36:AO52" si="159">AO35/(1+F35/100)</f>
        <v>100</v>
      </c>
      <c r="AP36" s="3154">
        <f t="shared" ref="AP36:AP52" si="160">AP35/(1+G35/100)</f>
        <v>100</v>
      </c>
      <c r="AQ36" s="3154"/>
      <c r="AR36" s="3154">
        <f t="shared" ref="AR36:AR52" si="161">AR35/(1+I35/100)</f>
        <v>100</v>
      </c>
    </row>
    <row r="37" spans="1:44" s="2045" customFormat="1" ht="12.75">
      <c r="A37" s="2040" t="s">
        <v>3407</v>
      </c>
      <c r="B37" s="2031">
        <v>2024</v>
      </c>
      <c r="C37" s="2042">
        <v>4</v>
      </c>
      <c r="D37" s="2007"/>
      <c r="E37" s="2007">
        <v>-0.61</v>
      </c>
      <c r="F37" s="2007">
        <v>-0.71</v>
      </c>
      <c r="G37" s="2007">
        <v>-0.88</v>
      </c>
      <c r="H37" s="2007"/>
      <c r="I37" s="2008">
        <f t="shared" ref="I37" si="162">F37</f>
        <v>-0.71</v>
      </c>
      <c r="J37" s="2907"/>
      <c r="K37" s="2043"/>
      <c r="L37" s="2028">
        <f t="shared" ref="L37" si="163">E37/100</f>
        <v>-6.0999999999999995E-3</v>
      </c>
      <c r="M37" s="2028">
        <f t="shared" ref="M37" si="164">F37/100</f>
        <v>-7.0999999999999995E-3</v>
      </c>
      <c r="N37" s="2028">
        <f t="shared" ref="N37" si="165">G37/100</f>
        <v>-8.8000000000000005E-3</v>
      </c>
      <c r="O37" s="2028"/>
      <c r="P37" s="2028">
        <f t="shared" si="123"/>
        <v>-7.0999999999999995E-3</v>
      </c>
      <c r="Q37" s="2907"/>
      <c r="R37" s="2027"/>
      <c r="S37" s="2027">
        <f>ROUND(IF(项目基本情况!$B$8="出让",SUMPRODUCT(PRODUCT(1+L37:L$52)),SUMPRODUCT(PRODUCT(1+L37:L$51))),4)</f>
        <v>1.0301</v>
      </c>
      <c r="T37" s="2027">
        <f>ROUND(IF(项目基本情况!$B$8="出让",SUMPRODUCT(PRODUCT(1+M37:M$52)),SUMPRODUCT(PRODUCT(1+M37:M$51))),4)</f>
        <v>1.0170999999999999</v>
      </c>
      <c r="U37" s="2027">
        <f>ROUND(IF(项目基本情况!$B$8="出让",SUMPRODUCT(PRODUCT(1+N37:N$52)),SUMPRODUCT(PRODUCT(1+N37:N$51))),4)</f>
        <v>1.0387999999999999</v>
      </c>
      <c r="V37" s="2027"/>
      <c r="W37" s="2027">
        <f t="shared" si="124"/>
        <v>1.0170999999999999</v>
      </c>
      <c r="X37" s="2907"/>
      <c r="Y37" s="2028"/>
      <c r="Z37" s="2903">
        <f t="shared" ref="Z37" si="166">IF(E37=0,0,ROUND(AVERAGE(E37:E50)/100,4))</f>
        <v>1.6999999999999999E-3</v>
      </c>
      <c r="AA37" s="2903">
        <f t="shared" ref="AA37" si="167">IF(F37=0,0,ROUND(AVERAGE(F37:F50)/100,4))</f>
        <v>8.9999999999999998E-4</v>
      </c>
      <c r="AB37" s="2903">
        <f t="shared" ref="AB37" si="168">IF(G37=0,0,ROUND(AVERAGE(G37:G50)/100,4))</f>
        <v>2E-3</v>
      </c>
      <c r="AC37" s="2905"/>
      <c r="AD37" s="2028">
        <f t="shared" si="128"/>
        <v>8.9999999999999998E-4</v>
      </c>
      <c r="AG37" s="3154">
        <f t="shared" si="129"/>
        <v>103.01</v>
      </c>
      <c r="AH37" s="3154">
        <f t="shared" si="130"/>
        <v>101.71</v>
      </c>
      <c r="AI37" s="3154">
        <f t="shared" si="131"/>
        <v>103.88</v>
      </c>
      <c r="AJ37" s="3156"/>
      <c r="AK37" s="3154">
        <f t="shared" si="132"/>
        <v>101.71</v>
      </c>
      <c r="AN37" s="3154">
        <f t="shared" si="148"/>
        <v>101.49193139145439</v>
      </c>
      <c r="AO37" s="3154">
        <f t="shared" si="159"/>
        <v>100.98969905069683</v>
      </c>
      <c r="AP37" s="3154">
        <f t="shared" si="160"/>
        <v>100.51261433309881</v>
      </c>
      <c r="AQ37" s="3154"/>
      <c r="AR37" s="3154">
        <f t="shared" si="161"/>
        <v>100.98969905069683</v>
      </c>
    </row>
    <row r="38" spans="1:44" s="2045" customFormat="1" ht="12.75">
      <c r="A38" s="2040" t="s">
        <v>3371</v>
      </c>
      <c r="B38" s="2031">
        <v>2024</v>
      </c>
      <c r="C38" s="2042">
        <v>3</v>
      </c>
      <c r="D38" s="2007"/>
      <c r="E38" s="2007">
        <v>-0.66</v>
      </c>
      <c r="F38" s="2007">
        <v>-0.52</v>
      </c>
      <c r="G38" s="2007">
        <v>-2.87</v>
      </c>
      <c r="H38" s="2007"/>
      <c r="I38" s="2008">
        <f t="shared" ref="I38" si="169">F38</f>
        <v>-0.52</v>
      </c>
      <c r="J38" s="2907"/>
      <c r="K38" s="2043"/>
      <c r="L38" s="2028">
        <f t="shared" ref="L38" si="170">E38/100</f>
        <v>-6.6E-3</v>
      </c>
      <c r="M38" s="2028">
        <f t="shared" ref="M38" si="171">F38/100</f>
        <v>-5.1999999999999998E-3</v>
      </c>
      <c r="N38" s="2028">
        <f t="shared" ref="N38" si="172">G38/100</f>
        <v>-2.87E-2</v>
      </c>
      <c r="O38" s="2028"/>
      <c r="P38" s="2028">
        <f t="shared" si="123"/>
        <v>-5.1999999999999998E-3</v>
      </c>
      <c r="Q38" s="2907"/>
      <c r="R38" s="2027"/>
      <c r="S38" s="2027">
        <f>ROUND(IF(项目基本情况!$B$8="出让",SUMPRODUCT(PRODUCT(1+L38:L$52)),SUMPRODUCT(PRODUCT(1+L38:L$51))),4)</f>
        <v>1.0364</v>
      </c>
      <c r="T38" s="2027">
        <f>ROUND(IF(项目基本情况!$B$8="出让",SUMPRODUCT(PRODUCT(1+M38:M$52)),SUMPRODUCT(PRODUCT(1+M38:M$51))),4)</f>
        <v>1.0244</v>
      </c>
      <c r="U38" s="2027">
        <f>ROUND(IF(项目基本情况!$B$8="出让",SUMPRODUCT(PRODUCT(1+N38:N$52)),SUMPRODUCT(PRODUCT(1+N38:N$51))),4)</f>
        <v>1.048</v>
      </c>
      <c r="V38" s="2027"/>
      <c r="W38" s="2027">
        <f t="shared" si="124"/>
        <v>1.0244</v>
      </c>
      <c r="X38" s="2907"/>
      <c r="Y38" s="2028"/>
      <c r="Z38" s="2903">
        <f t="shared" ref="Z38:AB39" si="173">IF(E38=0,0,ROUND(AVERAGE(E38:E51)/100,4))</f>
        <v>2.5999999999999999E-3</v>
      </c>
      <c r="AA38" s="2903">
        <f t="shared" si="173"/>
        <v>1.6999999999999999E-3</v>
      </c>
      <c r="AB38" s="2903">
        <f t="shared" si="173"/>
        <v>3.3999999999999998E-3</v>
      </c>
      <c r="AC38" s="2905"/>
      <c r="AD38" s="2028">
        <f t="shared" si="128"/>
        <v>1.6999999999999999E-3</v>
      </c>
      <c r="AG38" s="3154">
        <f t="shared" si="129"/>
        <v>103.64</v>
      </c>
      <c r="AH38" s="3154">
        <f t="shared" si="130"/>
        <v>102.44</v>
      </c>
      <c r="AI38" s="3154">
        <f t="shared" si="131"/>
        <v>104.80000000000001</v>
      </c>
      <c r="AJ38" s="3156"/>
      <c r="AK38" s="3154">
        <f t="shared" si="132"/>
        <v>102.44</v>
      </c>
      <c r="AN38" s="3154">
        <f t="shared" si="148"/>
        <v>102.11483186583598</v>
      </c>
      <c r="AO38" s="3154">
        <f t="shared" si="159"/>
        <v>101.71185320847701</v>
      </c>
      <c r="AP38" s="3154">
        <f t="shared" si="160"/>
        <v>101.4049781407373</v>
      </c>
      <c r="AQ38" s="3154"/>
      <c r="AR38" s="3154">
        <f t="shared" si="161"/>
        <v>101.71185320847701</v>
      </c>
    </row>
    <row r="39" spans="1:44" s="2045" customFormat="1" ht="12.75">
      <c r="A39" s="2906" t="s">
        <v>3375</v>
      </c>
      <c r="B39" s="2031">
        <v>2024</v>
      </c>
      <c r="C39" s="2042">
        <v>2</v>
      </c>
      <c r="D39" s="2007"/>
      <c r="E39" s="2007">
        <v>-0.31</v>
      </c>
      <c r="F39" s="2007">
        <v>-0.39</v>
      </c>
      <c r="G39" s="2007">
        <v>1.23</v>
      </c>
      <c r="H39" s="2918"/>
      <c r="I39" s="2008">
        <f t="shared" ref="I39:I52" si="174">F39</f>
        <v>-0.39</v>
      </c>
      <c r="J39" s="2907"/>
      <c r="K39" s="2043"/>
      <c r="L39" s="2028">
        <f t="shared" ref="L39:N52" si="175">E39/100</f>
        <v>-3.0999999999999999E-3</v>
      </c>
      <c r="M39" s="2028">
        <f t="shared" si="175"/>
        <v>-3.9000000000000003E-3</v>
      </c>
      <c r="N39" s="2028">
        <f t="shared" si="175"/>
        <v>1.23E-2</v>
      </c>
      <c r="O39" s="2028"/>
      <c r="P39" s="2028">
        <f t="shared" si="123"/>
        <v>-3.9000000000000003E-3</v>
      </c>
      <c r="Q39" s="2907"/>
      <c r="R39" s="2027"/>
      <c r="S39" s="2027">
        <f>ROUND(IF(项目基本情况!$B$8="出让",SUMPRODUCT(PRODUCT(1+L39:L$52)),SUMPRODUCT(PRODUCT(1+L39:L$51))),4)</f>
        <v>1.0432999999999999</v>
      </c>
      <c r="T39" s="2027">
        <f>ROUND(IF(项目基本情况!$B$8="出让",SUMPRODUCT(PRODUCT(1+M39:M$52)),SUMPRODUCT(PRODUCT(1+M39:M$51))),4)</f>
        <v>1.0298</v>
      </c>
      <c r="U39" s="2027">
        <f>ROUND(IF(项目基本情况!$B$8="出让",SUMPRODUCT(PRODUCT(1+N39:N$52)),SUMPRODUCT(PRODUCT(1+N39:N$51))),4)</f>
        <v>1.079</v>
      </c>
      <c r="V39" s="2027"/>
      <c r="W39" s="2027">
        <f t="shared" si="124"/>
        <v>1.0298</v>
      </c>
      <c r="X39" s="2907"/>
      <c r="Y39" s="2028"/>
      <c r="Z39" s="2903">
        <f t="shared" si="173"/>
        <v>3.3E-3</v>
      </c>
      <c r="AA39" s="2904">
        <f t="shared" si="173"/>
        <v>2.3999999999999998E-3</v>
      </c>
      <c r="AB39" s="2028">
        <f t="shared" si="173"/>
        <v>6.1999999999999998E-3</v>
      </c>
      <c r="AC39" s="2905"/>
      <c r="AD39" s="2028">
        <f t="shared" si="128"/>
        <v>2.3999999999999998E-3</v>
      </c>
      <c r="AG39" s="3154">
        <f t="shared" si="129"/>
        <v>104.32999999999998</v>
      </c>
      <c r="AH39" s="3154">
        <f t="shared" si="130"/>
        <v>102.98</v>
      </c>
      <c r="AI39" s="3154">
        <f t="shared" si="131"/>
        <v>107.89999999999999</v>
      </c>
      <c r="AJ39" s="3156"/>
      <c r="AK39" s="3154">
        <f t="shared" si="132"/>
        <v>102.98</v>
      </c>
      <c r="AN39" s="3154">
        <f t="shared" si="148"/>
        <v>102.79326743087979</v>
      </c>
      <c r="AO39" s="3154">
        <f t="shared" si="159"/>
        <v>102.24351950992863</v>
      </c>
      <c r="AP39" s="3154">
        <f t="shared" si="160"/>
        <v>104.40129531631555</v>
      </c>
      <c r="AQ39" s="3154"/>
      <c r="AR39" s="3154">
        <f t="shared" si="161"/>
        <v>102.24351950992863</v>
      </c>
    </row>
    <row r="40" spans="1:44" s="2045" customFormat="1" ht="12.75">
      <c r="A40" s="2906" t="s">
        <v>3372</v>
      </c>
      <c r="B40" s="2031">
        <v>2024</v>
      </c>
      <c r="C40" s="2042">
        <v>1</v>
      </c>
      <c r="D40" s="2007"/>
      <c r="E40" s="2007">
        <v>0.25</v>
      </c>
      <c r="F40" s="2007">
        <v>0.4</v>
      </c>
      <c r="G40" s="2007">
        <v>-0.63</v>
      </c>
      <c r="H40" s="2918"/>
      <c r="I40" s="2008">
        <f t="shared" ref="I40:I41" si="176">F40</f>
        <v>0.4</v>
      </c>
      <c r="J40" s="2907"/>
      <c r="K40" s="2043"/>
      <c r="L40" s="2028">
        <f t="shared" ref="L40" si="177">E40/100</f>
        <v>2.5000000000000001E-3</v>
      </c>
      <c r="M40" s="2028">
        <f t="shared" ref="M40" si="178">F40/100</f>
        <v>4.0000000000000001E-3</v>
      </c>
      <c r="N40" s="2028">
        <f t="shared" ref="N40" si="179">G40/100</f>
        <v>-6.3E-3</v>
      </c>
      <c r="O40" s="2028"/>
      <c r="P40" s="2028">
        <f t="shared" ref="P40" si="180">M40</f>
        <v>4.0000000000000001E-3</v>
      </c>
      <c r="Q40" s="2907"/>
      <c r="R40" s="2027"/>
      <c r="S40" s="2027">
        <f>ROUND(IF(项目基本情况!$B$8="出让",SUMPRODUCT(PRODUCT(1+L40:L$52)),SUMPRODUCT(PRODUCT(1+L40:L$51))),4)</f>
        <v>1.0465</v>
      </c>
      <c r="T40" s="2027">
        <f>ROUND(IF(项目基本情况!$B$8="出让",SUMPRODUCT(PRODUCT(1+M40:M$52)),SUMPRODUCT(PRODUCT(1+M40:M$51))),4)</f>
        <v>1.0338000000000001</v>
      </c>
      <c r="U40" s="2027">
        <f>ROUND(IF(项目基本情况!$B$8="出让",SUMPRODUCT(PRODUCT(1+N40:N$52)),SUMPRODUCT(PRODUCT(1+N40:N$51))),4)</f>
        <v>1.0659000000000001</v>
      </c>
      <c r="V40" s="2027"/>
      <c r="W40" s="2027">
        <f t="shared" ref="W40" si="181">T40</f>
        <v>1.0338000000000001</v>
      </c>
      <c r="X40" s="2907"/>
      <c r="Y40" s="2028"/>
      <c r="Z40" s="2903"/>
      <c r="AA40" s="2904"/>
      <c r="AB40" s="2028"/>
      <c r="AC40" s="2905"/>
      <c r="AD40" s="2028"/>
      <c r="AG40" s="3154">
        <f t="shared" si="129"/>
        <v>104.65</v>
      </c>
      <c r="AH40" s="3154">
        <f t="shared" si="130"/>
        <v>103.38000000000001</v>
      </c>
      <c r="AI40" s="3154">
        <f t="shared" si="131"/>
        <v>106.59</v>
      </c>
      <c r="AJ40" s="3156"/>
      <c r="AK40" s="3154">
        <f t="shared" si="132"/>
        <v>103.38000000000001</v>
      </c>
      <c r="AN40" s="3154">
        <f t="shared" si="148"/>
        <v>103.11291747505246</v>
      </c>
      <c r="AO40" s="3154">
        <f t="shared" si="159"/>
        <v>102.64383044867849</v>
      </c>
      <c r="AP40" s="3154">
        <f t="shared" si="160"/>
        <v>103.13276233953923</v>
      </c>
      <c r="AQ40" s="3154"/>
      <c r="AR40" s="3154">
        <f t="shared" si="161"/>
        <v>102.64383044867849</v>
      </c>
    </row>
    <row r="41" spans="1:44" s="2045" customFormat="1" ht="12.75">
      <c r="A41" s="2906" t="s">
        <v>3370</v>
      </c>
      <c r="B41" s="2031">
        <v>2023</v>
      </c>
      <c r="C41" s="2042">
        <v>4</v>
      </c>
      <c r="D41" s="2007"/>
      <c r="E41" s="2007">
        <v>7.0000000000000007E-2</v>
      </c>
      <c r="F41" s="2007">
        <v>0.09</v>
      </c>
      <c r="G41" s="2007">
        <v>0.03</v>
      </c>
      <c r="H41" s="2918"/>
      <c r="I41" s="2008">
        <f t="shared" si="176"/>
        <v>0.09</v>
      </c>
      <c r="J41" s="2907"/>
      <c r="K41" s="2043"/>
      <c r="L41" s="2028">
        <f t="shared" si="175"/>
        <v>7.000000000000001E-4</v>
      </c>
      <c r="M41" s="2028">
        <f t="shared" si="175"/>
        <v>8.9999999999999998E-4</v>
      </c>
      <c r="N41" s="2028">
        <f t="shared" si="175"/>
        <v>2.9999999999999997E-4</v>
      </c>
      <c r="O41" s="2028"/>
      <c r="P41" s="2028">
        <f t="shared" ref="P41" si="182">M41</f>
        <v>8.9999999999999998E-4</v>
      </c>
      <c r="Q41" s="2907"/>
      <c r="R41" s="2027"/>
      <c r="S41" s="2027">
        <f>ROUND(IF(项目基本情况!$B$8="出让",SUMPRODUCT(PRODUCT(1+L41:L$52)),SUMPRODUCT(PRODUCT(1+L41:L$51))),4)</f>
        <v>1.0439000000000001</v>
      </c>
      <c r="T41" s="2027">
        <f>ROUND(IF(项目基本情况!$B$8="出让",SUMPRODUCT(PRODUCT(1+M41:M$52)),SUMPRODUCT(PRODUCT(1+M41:M$51))),4)</f>
        <v>1.0297000000000001</v>
      </c>
      <c r="U41" s="2027">
        <f>ROUND(IF(项目基本情况!$B$8="出让",SUMPRODUCT(PRODUCT(1+N41:N$52)),SUMPRODUCT(PRODUCT(1+N41:N$51))),4)</f>
        <v>1.0727</v>
      </c>
      <c r="V41" s="2027"/>
      <c r="W41" s="2027">
        <f t="shared" ref="W41" si="183">T41</f>
        <v>1.0297000000000001</v>
      </c>
      <c r="X41" s="2907"/>
      <c r="Y41" s="2028"/>
      <c r="Z41" s="2903"/>
      <c r="AA41" s="2904"/>
      <c r="AB41" s="2028"/>
      <c r="AC41" s="2905"/>
      <c r="AD41" s="2028"/>
      <c r="AG41" s="3154">
        <f t="shared" si="129"/>
        <v>104.39</v>
      </c>
      <c r="AH41" s="3154">
        <f t="shared" si="130"/>
        <v>102.97</v>
      </c>
      <c r="AI41" s="3154">
        <f t="shared" si="131"/>
        <v>107.27</v>
      </c>
      <c r="AJ41" s="3156"/>
      <c r="AK41" s="3154">
        <f t="shared" si="132"/>
        <v>102.97</v>
      </c>
      <c r="AN41" s="3154">
        <f t="shared" si="148"/>
        <v>102.85577802997751</v>
      </c>
      <c r="AO41" s="3154">
        <f t="shared" si="159"/>
        <v>102.23489088513793</v>
      </c>
      <c r="AP41" s="3154">
        <f t="shared" si="160"/>
        <v>103.78661803314806</v>
      </c>
      <c r="AQ41" s="3154"/>
      <c r="AR41" s="3154">
        <f t="shared" si="161"/>
        <v>102.23489088513793</v>
      </c>
    </row>
    <row r="42" spans="1:44" s="2045" customFormat="1" ht="12.75">
      <c r="A42" s="2906" t="s">
        <v>3368</v>
      </c>
      <c r="B42" s="2031">
        <v>2023</v>
      </c>
      <c r="C42" s="2042">
        <v>3</v>
      </c>
      <c r="D42" s="2007"/>
      <c r="E42" s="2007">
        <v>0.35</v>
      </c>
      <c r="F42" s="2007">
        <v>0.17</v>
      </c>
      <c r="G42" s="2007">
        <v>0.52</v>
      </c>
      <c r="H42" s="2918"/>
      <c r="I42" s="2008">
        <f t="shared" si="174"/>
        <v>0.17</v>
      </c>
      <c r="J42" s="2907"/>
      <c r="K42" s="2043"/>
      <c r="L42" s="2028">
        <f t="shared" ref="L42:L44" si="184">E42/100</f>
        <v>3.4999999999999996E-3</v>
      </c>
      <c r="M42" s="2028">
        <f t="shared" ref="M42:M44" si="185">F42/100</f>
        <v>1.7000000000000001E-3</v>
      </c>
      <c r="N42" s="2028">
        <f t="shared" ref="N42:N44" si="186">G42/100</f>
        <v>5.1999999999999998E-3</v>
      </c>
      <c r="O42" s="2028"/>
      <c r="P42" s="2028">
        <f t="shared" ref="P42:P44" si="187">M42</f>
        <v>1.7000000000000001E-3</v>
      </c>
      <c r="Q42" s="2907"/>
      <c r="R42" s="2027"/>
      <c r="S42" s="2027">
        <f>ROUND(IF(项目基本情况!$B$8="出让",SUMPRODUCT(PRODUCT(1+L42:L$52)),SUMPRODUCT(PRODUCT(1+L42:L$51))),4)</f>
        <v>1.0431999999999999</v>
      </c>
      <c r="T42" s="2027">
        <f>ROUND(IF(项目基本情况!$B$8="出让",SUMPRODUCT(PRODUCT(1+M42:M$52)),SUMPRODUCT(PRODUCT(1+M42:M$51))),4)</f>
        <v>1.0286999999999999</v>
      </c>
      <c r="U42" s="2027">
        <f>ROUND(IF(项目基本情况!$B$8="出让",SUMPRODUCT(PRODUCT(1+N42:N$52)),SUMPRODUCT(PRODUCT(1+N42:N$51))),4)</f>
        <v>1.0723</v>
      </c>
      <c r="V42" s="2027"/>
      <c r="W42" s="2027">
        <f t="shared" ref="W42:W44" si="188">T42</f>
        <v>1.0286999999999999</v>
      </c>
      <c r="X42" s="2907"/>
      <c r="Y42" s="2028"/>
      <c r="Z42" s="2903"/>
      <c r="AA42" s="2904"/>
      <c r="AB42" s="2028"/>
      <c r="AC42" s="2905"/>
      <c r="AD42" s="2028"/>
      <c r="AG42" s="3154">
        <f t="shared" si="129"/>
        <v>104.32</v>
      </c>
      <c r="AH42" s="3154">
        <f t="shared" si="130"/>
        <v>102.86999999999999</v>
      </c>
      <c r="AI42" s="3154">
        <f t="shared" si="131"/>
        <v>107.23</v>
      </c>
      <c r="AJ42" s="3156"/>
      <c r="AK42" s="3154">
        <f t="shared" si="132"/>
        <v>102.86999999999999</v>
      </c>
      <c r="AN42" s="3154">
        <f t="shared" si="148"/>
        <v>102.78382934943292</v>
      </c>
      <c r="AO42" s="3154">
        <f t="shared" si="159"/>
        <v>102.14296221914071</v>
      </c>
      <c r="AP42" s="3154">
        <f t="shared" si="160"/>
        <v>103.75549138573234</v>
      </c>
      <c r="AQ42" s="3154"/>
      <c r="AR42" s="3154">
        <f t="shared" si="161"/>
        <v>102.14296221914071</v>
      </c>
    </row>
    <row r="43" spans="1:44" s="2045" customFormat="1" ht="12.75">
      <c r="A43" s="2906" t="s">
        <v>3367</v>
      </c>
      <c r="B43" s="2031">
        <v>2023</v>
      </c>
      <c r="C43" s="2042">
        <v>2</v>
      </c>
      <c r="D43" s="2007"/>
      <c r="E43" s="2007">
        <v>0.5</v>
      </c>
      <c r="F43" s="2007">
        <v>0.45</v>
      </c>
      <c r="G43" s="2007">
        <v>0.89</v>
      </c>
      <c r="H43" s="2918"/>
      <c r="I43" s="2008">
        <f t="shared" si="174"/>
        <v>0.45</v>
      </c>
      <c r="J43" s="2907"/>
      <c r="K43" s="2043"/>
      <c r="L43" s="2028">
        <f t="shared" si="184"/>
        <v>5.0000000000000001E-3</v>
      </c>
      <c r="M43" s="2028">
        <f t="shared" si="185"/>
        <v>4.5000000000000005E-3</v>
      </c>
      <c r="N43" s="2028">
        <f t="shared" si="186"/>
        <v>8.8999999999999999E-3</v>
      </c>
      <c r="O43" s="2028"/>
      <c r="P43" s="2028">
        <f t="shared" si="187"/>
        <v>4.5000000000000005E-3</v>
      </c>
      <c r="Q43" s="2907"/>
      <c r="R43" s="2027"/>
      <c r="S43" s="2027">
        <f>ROUND(IF(项目基本情况!$B$8="出让",SUMPRODUCT(PRODUCT(1+L43:L$52)),SUMPRODUCT(PRODUCT(1+L43:L$51))),4)</f>
        <v>1.0396000000000001</v>
      </c>
      <c r="T43" s="2027">
        <f>ROUND(IF(项目基本情况!$B$8="出让",SUMPRODUCT(PRODUCT(1+M43:M$52)),SUMPRODUCT(PRODUCT(1+M43:M$51))),4)</f>
        <v>1.0269999999999999</v>
      </c>
      <c r="U43" s="2027">
        <f>ROUND(IF(项目基本情况!$B$8="出让",SUMPRODUCT(PRODUCT(1+N43:N$52)),SUMPRODUCT(PRODUCT(1+N43:N$51))),4)</f>
        <v>1.0668</v>
      </c>
      <c r="V43" s="2027"/>
      <c r="W43" s="2027">
        <f t="shared" si="188"/>
        <v>1.0269999999999999</v>
      </c>
      <c r="X43" s="2907"/>
      <c r="Y43" s="2028"/>
      <c r="Z43" s="2903"/>
      <c r="AA43" s="2904"/>
      <c r="AB43" s="2028"/>
      <c r="AC43" s="2905"/>
      <c r="AD43" s="2028"/>
      <c r="AG43" s="3154">
        <f t="shared" si="129"/>
        <v>103.96000000000001</v>
      </c>
      <c r="AH43" s="3154">
        <f t="shared" si="130"/>
        <v>102.69999999999999</v>
      </c>
      <c r="AI43" s="3154">
        <f t="shared" si="131"/>
        <v>106.67999999999999</v>
      </c>
      <c r="AJ43" s="3156"/>
      <c r="AK43" s="3154">
        <f t="shared" si="132"/>
        <v>102.69999999999999</v>
      </c>
      <c r="AN43" s="3154">
        <f t="shared" si="148"/>
        <v>102.42534065713295</v>
      </c>
      <c r="AO43" s="3154">
        <f t="shared" si="159"/>
        <v>101.96961387555227</v>
      </c>
      <c r="AP43" s="3154">
        <f t="shared" si="160"/>
        <v>103.21875386563104</v>
      </c>
      <c r="AQ43" s="3154"/>
      <c r="AR43" s="3154">
        <f t="shared" si="161"/>
        <v>101.96961387555227</v>
      </c>
    </row>
    <row r="44" spans="1:44" s="2045" customFormat="1" ht="12.75">
      <c r="A44" s="2906" t="s">
        <v>3365</v>
      </c>
      <c r="B44" s="2031">
        <v>2023</v>
      </c>
      <c r="C44" s="2042">
        <v>1</v>
      </c>
      <c r="D44" s="2007"/>
      <c r="E44" s="2007">
        <v>0.55000000000000004</v>
      </c>
      <c r="F44" s="2007">
        <v>0.59</v>
      </c>
      <c r="G44" s="2007">
        <v>0.64</v>
      </c>
      <c r="H44" s="2918"/>
      <c r="I44" s="2008">
        <f t="shared" si="174"/>
        <v>0.59</v>
      </c>
      <c r="J44" s="2907"/>
      <c r="K44" s="2043"/>
      <c r="L44" s="2028">
        <f t="shared" si="184"/>
        <v>5.5000000000000005E-3</v>
      </c>
      <c r="M44" s="2028">
        <f t="shared" si="185"/>
        <v>5.8999999999999999E-3</v>
      </c>
      <c r="N44" s="2028">
        <f t="shared" si="186"/>
        <v>6.4000000000000003E-3</v>
      </c>
      <c r="O44" s="2028"/>
      <c r="P44" s="2028">
        <f t="shared" si="187"/>
        <v>5.8999999999999999E-3</v>
      </c>
      <c r="Q44" s="2907"/>
      <c r="R44" s="2027"/>
      <c r="S44" s="2027">
        <f>ROUND(IF(项目基本情况!$B$8="出让",SUMPRODUCT(PRODUCT(1+L44:L$52)),SUMPRODUCT(PRODUCT(1+L44:L$51))),4)</f>
        <v>1.0344</v>
      </c>
      <c r="T44" s="2027">
        <f>ROUND(IF(项目基本情况!$B$8="出让",SUMPRODUCT(PRODUCT(1+M44:M$52)),SUMPRODUCT(PRODUCT(1+M44:M$51))),4)</f>
        <v>1.0224</v>
      </c>
      <c r="U44" s="2027">
        <f>ROUND(IF(项目基本情况!$B$8="出让",SUMPRODUCT(PRODUCT(1+N44:N$52)),SUMPRODUCT(PRODUCT(1+N44:N$51))),4)</f>
        <v>1.0573999999999999</v>
      </c>
      <c r="V44" s="2027"/>
      <c r="W44" s="2027">
        <f t="shared" si="188"/>
        <v>1.0224</v>
      </c>
      <c r="X44" s="2907"/>
      <c r="Y44" s="2028"/>
      <c r="Z44" s="2903"/>
      <c r="AA44" s="2904"/>
      <c r="AB44" s="2028"/>
      <c r="AC44" s="2905"/>
      <c r="AD44" s="2028"/>
      <c r="AG44" s="3154">
        <f t="shared" si="129"/>
        <v>103.44</v>
      </c>
      <c r="AH44" s="3154">
        <f t="shared" si="130"/>
        <v>102.24</v>
      </c>
      <c r="AI44" s="3154">
        <f t="shared" si="131"/>
        <v>105.74</v>
      </c>
      <c r="AJ44" s="3156"/>
      <c r="AK44" s="3154">
        <f t="shared" si="132"/>
        <v>102.24</v>
      </c>
      <c r="AN44" s="3154">
        <f t="shared" si="148"/>
        <v>101.91576184789349</v>
      </c>
      <c r="AO44" s="3154">
        <f t="shared" si="159"/>
        <v>101.5128062474388</v>
      </c>
      <c r="AP44" s="3154">
        <f t="shared" si="160"/>
        <v>102.30821078960358</v>
      </c>
      <c r="AQ44" s="3154"/>
      <c r="AR44" s="3154">
        <f t="shared" si="161"/>
        <v>101.5128062474388</v>
      </c>
    </row>
    <row r="45" spans="1:44" s="2045" customFormat="1" ht="12.75">
      <c r="A45" s="2906" t="s">
        <v>3364</v>
      </c>
      <c r="B45" s="2031">
        <v>2022</v>
      </c>
      <c r="C45" s="2042">
        <v>4</v>
      </c>
      <c r="D45" s="2007"/>
      <c r="E45" s="2007">
        <v>0.45</v>
      </c>
      <c r="F45" s="2007">
        <v>0.2</v>
      </c>
      <c r="G45" s="2007">
        <v>0.38</v>
      </c>
      <c r="H45" s="2918"/>
      <c r="I45" s="2008">
        <f t="shared" si="174"/>
        <v>0.2</v>
      </c>
      <c r="J45" s="2907"/>
      <c r="K45" s="2043"/>
      <c r="L45" s="2028">
        <f t="shared" si="175"/>
        <v>4.5000000000000005E-3</v>
      </c>
      <c r="M45" s="2028">
        <f t="shared" si="175"/>
        <v>2E-3</v>
      </c>
      <c r="N45" s="2028">
        <f t="shared" si="175"/>
        <v>3.8E-3</v>
      </c>
      <c r="O45" s="2028"/>
      <c r="P45" s="2028">
        <f t="shared" ref="P45:P52" si="189">M45</f>
        <v>2E-3</v>
      </c>
      <c r="Q45" s="2907"/>
      <c r="R45" s="2027"/>
      <c r="S45" s="2027">
        <f>ROUND(IF(项目基本情况!$B$8="出让",SUMPRODUCT(PRODUCT(1+L45:L$52)),SUMPRODUCT(PRODUCT(1+L45:L$51))),4)</f>
        <v>1.0286999999999999</v>
      </c>
      <c r="T45" s="2027">
        <f>ROUND(IF(项目基本情况!$B$8="出让",SUMPRODUCT(PRODUCT(1+M45:M$52)),SUMPRODUCT(PRODUCT(1+M45:M$51))),4)</f>
        <v>1.0164</v>
      </c>
      <c r="U45" s="2027">
        <f>ROUND(IF(项目基本情况!$B$8="出让",SUMPRODUCT(PRODUCT(1+N45:N$52)),SUMPRODUCT(PRODUCT(1+N45:N$51))),4)</f>
        <v>1.0506</v>
      </c>
      <c r="V45" s="2027"/>
      <c r="W45" s="2027">
        <f t="shared" ref="W45:W52" si="190">T45</f>
        <v>1.0164</v>
      </c>
      <c r="X45" s="2907"/>
      <c r="Y45" s="2028"/>
      <c r="Z45" s="2903">
        <f t="shared" ref="Z45:AD52" si="191">IF(E45=0,0,ROUND(AVERAGE(E45:E53)/100,4))</f>
        <v>4.0000000000000001E-3</v>
      </c>
      <c r="AA45" s="2904">
        <f t="shared" si="191"/>
        <v>2.5999999999999999E-3</v>
      </c>
      <c r="AB45" s="2028">
        <f t="shared" si="191"/>
        <v>7.4000000000000003E-3</v>
      </c>
      <c r="AC45" s="2905"/>
      <c r="AD45" s="2028">
        <f t="shared" si="191"/>
        <v>2.5999999999999999E-3</v>
      </c>
      <c r="AG45" s="3154">
        <f t="shared" si="129"/>
        <v>102.86999999999999</v>
      </c>
      <c r="AH45" s="3154">
        <f t="shared" si="130"/>
        <v>101.64</v>
      </c>
      <c r="AI45" s="3154">
        <f t="shared" si="131"/>
        <v>105.06</v>
      </c>
      <c r="AJ45" s="3156"/>
      <c r="AK45" s="3154">
        <f t="shared" si="132"/>
        <v>101.64</v>
      </c>
      <c r="AN45" s="3154">
        <f t="shared" si="148"/>
        <v>101.35829124604027</v>
      </c>
      <c r="AO45" s="3154">
        <f t="shared" si="159"/>
        <v>100.91739362505101</v>
      </c>
      <c r="AP45" s="3154">
        <f t="shared" si="160"/>
        <v>101.6576021359336</v>
      </c>
      <c r="AQ45" s="3154"/>
      <c r="AR45" s="3154">
        <f t="shared" si="161"/>
        <v>100.91739362505101</v>
      </c>
    </row>
    <row r="46" spans="1:44" s="2045" customFormat="1" ht="12.75">
      <c r="A46" s="2906" t="s">
        <v>3363</v>
      </c>
      <c r="B46" s="2031">
        <v>2022</v>
      </c>
      <c r="C46" s="2042">
        <v>3</v>
      </c>
      <c r="D46" s="2007"/>
      <c r="E46" s="2007">
        <v>0.3</v>
      </c>
      <c r="F46" s="2007">
        <v>0.28999999999999998</v>
      </c>
      <c r="G46" s="2007">
        <v>0.83</v>
      </c>
      <c r="H46" s="2918"/>
      <c r="I46" s="2008">
        <f t="shared" si="174"/>
        <v>0.28999999999999998</v>
      </c>
      <c r="J46" s="2907"/>
      <c r="K46" s="2043"/>
      <c r="L46" s="2028">
        <f t="shared" si="175"/>
        <v>3.0000000000000001E-3</v>
      </c>
      <c r="M46" s="2028">
        <f t="shared" si="175"/>
        <v>2.8999999999999998E-3</v>
      </c>
      <c r="N46" s="2028">
        <f t="shared" si="175"/>
        <v>8.3000000000000001E-3</v>
      </c>
      <c r="O46" s="2028"/>
      <c r="P46" s="2028">
        <f t="shared" si="189"/>
        <v>2.8999999999999998E-3</v>
      </c>
      <c r="Q46" s="2907"/>
      <c r="R46" s="2027"/>
      <c r="S46" s="2027">
        <f>ROUND(IF(项目基本情况!$B$8="出让",SUMPRODUCT(PRODUCT(1+L46:L$52)),SUMPRODUCT(PRODUCT(1+L46:L$51))),4)</f>
        <v>1.0241</v>
      </c>
      <c r="T46" s="2027">
        <f>ROUND(IF(项目基本情况!$B$8="出让",SUMPRODUCT(PRODUCT(1+M46:M$52)),SUMPRODUCT(PRODUCT(1+M46:M$51))),4)</f>
        <v>1.0144</v>
      </c>
      <c r="U46" s="2027">
        <f>ROUND(IF(项目基本情况!$B$8="出让",SUMPRODUCT(PRODUCT(1+N46:N$52)),SUMPRODUCT(PRODUCT(1+N46:N$51))),4)</f>
        <v>1.0467</v>
      </c>
      <c r="V46" s="2027"/>
      <c r="W46" s="2027">
        <f t="shared" si="190"/>
        <v>1.0144</v>
      </c>
      <c r="X46" s="2907"/>
      <c r="Y46" s="2028"/>
      <c r="Z46" s="2903">
        <f t="shared" si="191"/>
        <v>3.8999999999999998E-3</v>
      </c>
      <c r="AA46" s="2904">
        <f t="shared" si="191"/>
        <v>2.7000000000000001E-3</v>
      </c>
      <c r="AB46" s="2028">
        <f t="shared" si="191"/>
        <v>7.9000000000000008E-3</v>
      </c>
      <c r="AC46" s="2905"/>
      <c r="AD46" s="2028">
        <f t="shared" si="191"/>
        <v>2.7000000000000001E-3</v>
      </c>
      <c r="AG46" s="3154">
        <f t="shared" si="129"/>
        <v>102.41</v>
      </c>
      <c r="AH46" s="3154">
        <f t="shared" si="130"/>
        <v>101.44</v>
      </c>
      <c r="AI46" s="3154">
        <f t="shared" si="131"/>
        <v>104.67</v>
      </c>
      <c r="AJ46" s="3156"/>
      <c r="AK46" s="3154">
        <f t="shared" si="132"/>
        <v>101.44</v>
      </c>
      <c r="AN46" s="3154">
        <f t="shared" si="148"/>
        <v>100.90422224593357</v>
      </c>
      <c r="AO46" s="3154">
        <f t="shared" si="159"/>
        <v>100.71596170164771</v>
      </c>
      <c r="AP46" s="3154">
        <f t="shared" si="160"/>
        <v>101.2727656265527</v>
      </c>
      <c r="AQ46" s="3154"/>
      <c r="AR46" s="3154">
        <f t="shared" si="161"/>
        <v>100.71596170164771</v>
      </c>
    </row>
    <row r="47" spans="1:44" s="2045" customFormat="1" ht="12.75">
      <c r="A47" s="2906" t="s">
        <v>3353</v>
      </c>
      <c r="B47" s="2031">
        <v>2022</v>
      </c>
      <c r="C47" s="2042">
        <v>2</v>
      </c>
      <c r="D47" s="2007"/>
      <c r="E47" s="2007">
        <v>-0.11</v>
      </c>
      <c r="F47" s="2007">
        <v>-0.13</v>
      </c>
      <c r="G47" s="2007">
        <v>0.53</v>
      </c>
      <c r="H47" s="2918"/>
      <c r="I47" s="2008">
        <f t="shared" si="174"/>
        <v>-0.13</v>
      </c>
      <c r="J47" s="2907"/>
      <c r="K47" s="2043"/>
      <c r="L47" s="2028">
        <f t="shared" si="175"/>
        <v>-1.1000000000000001E-3</v>
      </c>
      <c r="M47" s="2028">
        <f t="shared" si="175"/>
        <v>-1.2999999999999999E-3</v>
      </c>
      <c r="N47" s="2028">
        <f t="shared" si="175"/>
        <v>5.3E-3</v>
      </c>
      <c r="O47" s="2028"/>
      <c r="P47" s="2028">
        <f t="shared" si="189"/>
        <v>-1.2999999999999999E-3</v>
      </c>
      <c r="Q47" s="2907"/>
      <c r="R47" s="2027"/>
      <c r="S47" s="2027">
        <f>ROUND(IF(项目基本情况!$B$8="出让",SUMPRODUCT(PRODUCT(1+L47:L$52)),SUMPRODUCT(PRODUCT(1+L47:L$51))),4)</f>
        <v>1.0210999999999999</v>
      </c>
      <c r="T47" s="2027">
        <f>ROUND(IF(项目基本情况!$B$8="出让",SUMPRODUCT(PRODUCT(1+M47:M$52)),SUMPRODUCT(PRODUCT(1+M47:M$51))),4)</f>
        <v>1.0114000000000001</v>
      </c>
      <c r="U47" s="2027">
        <f>ROUND(IF(项目基本情况!$B$8="出让",SUMPRODUCT(PRODUCT(1+N47:N$52)),SUMPRODUCT(PRODUCT(1+N47:N$51))),4)</f>
        <v>1.0381</v>
      </c>
      <c r="V47" s="2027"/>
      <c r="W47" s="2027">
        <f t="shared" si="190"/>
        <v>1.0114000000000001</v>
      </c>
      <c r="X47" s="2907"/>
      <c r="Y47" s="2028"/>
      <c r="Z47" s="2903">
        <f t="shared" si="191"/>
        <v>4.1000000000000003E-3</v>
      </c>
      <c r="AA47" s="2904">
        <f t="shared" si="191"/>
        <v>2.7000000000000001E-3</v>
      </c>
      <c r="AB47" s="2028">
        <f t="shared" si="191"/>
        <v>7.9000000000000008E-3</v>
      </c>
      <c r="AC47" s="2905"/>
      <c r="AD47" s="2028">
        <f t="shared" si="191"/>
        <v>2.7000000000000001E-3</v>
      </c>
      <c r="AG47" s="3154">
        <f t="shared" si="129"/>
        <v>102.10999999999999</v>
      </c>
      <c r="AH47" s="3154">
        <f t="shared" si="130"/>
        <v>101.14000000000001</v>
      </c>
      <c r="AI47" s="3154">
        <f t="shared" si="131"/>
        <v>103.81</v>
      </c>
      <c r="AJ47" s="3156"/>
      <c r="AK47" s="3154">
        <f t="shared" si="132"/>
        <v>101.14000000000001</v>
      </c>
      <c r="AN47" s="3154">
        <f t="shared" si="148"/>
        <v>100.60241500093079</v>
      </c>
      <c r="AO47" s="3154">
        <f t="shared" si="159"/>
        <v>100.42472998469212</v>
      </c>
      <c r="AP47" s="3154">
        <f t="shared" si="160"/>
        <v>100.43912092289268</v>
      </c>
      <c r="AQ47" s="3154"/>
      <c r="AR47" s="3154">
        <f t="shared" si="161"/>
        <v>100.42472998469212</v>
      </c>
    </row>
    <row r="48" spans="1:44" s="2045" customFormat="1" ht="12.75">
      <c r="A48" s="2906" t="s">
        <v>2833</v>
      </c>
      <c r="B48" s="2031">
        <v>2022</v>
      </c>
      <c r="C48" s="2042">
        <v>1</v>
      </c>
      <c r="D48" s="2007"/>
      <c r="E48" s="2007">
        <v>0.6</v>
      </c>
      <c r="F48" s="2007">
        <v>0.45</v>
      </c>
      <c r="G48" s="2007">
        <v>0.53</v>
      </c>
      <c r="H48" s="2918"/>
      <c r="I48" s="2008">
        <f t="shared" si="174"/>
        <v>0.45</v>
      </c>
      <c r="J48" s="2907"/>
      <c r="K48" s="2043"/>
      <c r="L48" s="2028">
        <f t="shared" si="175"/>
        <v>6.0000000000000001E-3</v>
      </c>
      <c r="M48" s="2028">
        <f t="shared" si="175"/>
        <v>4.5000000000000005E-3</v>
      </c>
      <c r="N48" s="2028">
        <f t="shared" si="175"/>
        <v>5.3E-3</v>
      </c>
      <c r="O48" s="2028"/>
      <c r="P48" s="2028">
        <f t="shared" si="189"/>
        <v>4.5000000000000005E-3</v>
      </c>
      <c r="Q48" s="2907"/>
      <c r="R48" s="2027"/>
      <c r="S48" s="2027">
        <f>ROUND(IF(项目基本情况!$B$8="出让",SUMPRODUCT(PRODUCT(1+L48:L$52)),SUMPRODUCT(PRODUCT(1+L48:L$51))),4)</f>
        <v>1.0222</v>
      </c>
      <c r="T48" s="2027">
        <f>ROUND(IF(项目基本情况!$B$8="出让",SUMPRODUCT(PRODUCT(1+M48:M$52)),SUMPRODUCT(PRODUCT(1+M48:M$51))),4)</f>
        <v>1.0127999999999999</v>
      </c>
      <c r="U48" s="2027">
        <f>ROUND(IF(项目基本情况!$B$8="出让",SUMPRODUCT(PRODUCT(1+N48:N$52)),SUMPRODUCT(PRODUCT(1+N48:N$51))),4)</f>
        <v>1.0326</v>
      </c>
      <c r="V48" s="2027"/>
      <c r="W48" s="2027">
        <f t="shared" si="190"/>
        <v>1.0127999999999999</v>
      </c>
      <c r="X48" s="2907"/>
      <c r="Y48" s="2028"/>
      <c r="Z48" s="2903">
        <f t="shared" si="191"/>
        <v>5.1000000000000004E-3</v>
      </c>
      <c r="AA48" s="2904">
        <f t="shared" si="191"/>
        <v>3.5000000000000001E-3</v>
      </c>
      <c r="AB48" s="2028">
        <f t="shared" si="191"/>
        <v>8.3999999999999995E-3</v>
      </c>
      <c r="AC48" s="2905"/>
      <c r="AD48" s="2028">
        <f t="shared" si="191"/>
        <v>3.5000000000000001E-3</v>
      </c>
      <c r="AG48" s="3154">
        <f t="shared" si="129"/>
        <v>102.22</v>
      </c>
      <c r="AH48" s="3154">
        <f t="shared" si="130"/>
        <v>101.27999999999999</v>
      </c>
      <c r="AI48" s="3154">
        <f t="shared" si="131"/>
        <v>103.25999999999999</v>
      </c>
      <c r="AJ48" s="3156"/>
      <c r="AK48" s="3154">
        <f t="shared" si="132"/>
        <v>101.27999999999999</v>
      </c>
      <c r="AN48" s="3154">
        <f t="shared" si="148"/>
        <v>100.71319952040324</v>
      </c>
      <c r="AO48" s="3154">
        <f t="shared" si="159"/>
        <v>100.55545207238622</v>
      </c>
      <c r="AP48" s="3154">
        <f t="shared" si="160"/>
        <v>99.90960004266654</v>
      </c>
      <c r="AQ48" s="3154"/>
      <c r="AR48" s="3154">
        <f t="shared" si="161"/>
        <v>100.55545207238622</v>
      </c>
    </row>
    <row r="49" spans="1:44" s="2045" customFormat="1" ht="12.75">
      <c r="A49" s="2906" t="s">
        <v>2834</v>
      </c>
      <c r="B49" s="2031">
        <v>2021</v>
      </c>
      <c r="C49" s="2042">
        <v>4</v>
      </c>
      <c r="D49" s="2007"/>
      <c r="E49" s="2007">
        <v>0.57999999999999996</v>
      </c>
      <c r="F49" s="2007">
        <v>0.08</v>
      </c>
      <c r="G49" s="2007">
        <v>0.68</v>
      </c>
      <c r="H49" s="2918"/>
      <c r="I49" s="2008">
        <f t="shared" si="174"/>
        <v>0.08</v>
      </c>
      <c r="J49" s="2907"/>
      <c r="K49" s="2043"/>
      <c r="L49" s="2028">
        <f t="shared" si="175"/>
        <v>5.7999999999999996E-3</v>
      </c>
      <c r="M49" s="2028">
        <f t="shared" si="175"/>
        <v>8.0000000000000004E-4</v>
      </c>
      <c r="N49" s="2028">
        <f t="shared" si="175"/>
        <v>6.8000000000000005E-3</v>
      </c>
      <c r="O49" s="2028"/>
      <c r="P49" s="2028">
        <f t="shared" si="189"/>
        <v>8.0000000000000004E-4</v>
      </c>
      <c r="Q49" s="2907"/>
      <c r="R49" s="2027"/>
      <c r="S49" s="2027">
        <f>ROUND(IF(项目基本情况!$B$8="出让",SUMPRODUCT(PRODUCT(1+L49:L$52)),SUMPRODUCT(PRODUCT(1+L49:L$51))),4)</f>
        <v>1.0161</v>
      </c>
      <c r="T49" s="2027">
        <f>ROUND(IF(项目基本情况!$B$8="出让",SUMPRODUCT(PRODUCT(1+M49:M$52)),SUMPRODUCT(PRODUCT(1+M49:M$51))),4)</f>
        <v>1.0082</v>
      </c>
      <c r="U49" s="2027">
        <f>ROUND(IF(项目基本情况!$B$8="出让",SUMPRODUCT(PRODUCT(1+N49:N$52)),SUMPRODUCT(PRODUCT(1+N49:N$51))),4)</f>
        <v>1.0270999999999999</v>
      </c>
      <c r="V49" s="2027"/>
      <c r="W49" s="2027">
        <f t="shared" si="190"/>
        <v>1.0082</v>
      </c>
      <c r="X49" s="2907"/>
      <c r="Y49" s="2028"/>
      <c r="Z49" s="2903">
        <f t="shared" si="191"/>
        <v>4.8999999999999998E-3</v>
      </c>
      <c r="AA49" s="2904">
        <f t="shared" si="191"/>
        <v>3.3E-3</v>
      </c>
      <c r="AB49" s="2028">
        <f t="shared" si="191"/>
        <v>9.1999999999999998E-3</v>
      </c>
      <c r="AC49" s="2905"/>
      <c r="AD49" s="2028">
        <f t="shared" si="191"/>
        <v>3.3E-3</v>
      </c>
      <c r="AG49" s="3154">
        <f t="shared" si="129"/>
        <v>101.61</v>
      </c>
      <c r="AH49" s="3154">
        <f t="shared" si="130"/>
        <v>100.82</v>
      </c>
      <c r="AI49" s="3154">
        <f t="shared" si="131"/>
        <v>102.71</v>
      </c>
      <c r="AJ49" s="3156"/>
      <c r="AK49" s="3154">
        <f t="shared" si="132"/>
        <v>100.82</v>
      </c>
      <c r="AN49" s="3154">
        <f t="shared" si="148"/>
        <v>100.11252437415828</v>
      </c>
      <c r="AO49" s="3154">
        <f t="shared" si="159"/>
        <v>100.10497966389867</v>
      </c>
      <c r="AP49" s="3154">
        <f t="shared" si="160"/>
        <v>99.382870827281934</v>
      </c>
      <c r="AQ49" s="3154"/>
      <c r="AR49" s="3154">
        <f t="shared" si="161"/>
        <v>100.10497966389867</v>
      </c>
    </row>
    <row r="50" spans="1:44" s="2045" customFormat="1" ht="12.75">
      <c r="A50" s="2906" t="s">
        <v>2835</v>
      </c>
      <c r="B50" s="2031">
        <v>2021</v>
      </c>
      <c r="C50" s="2042">
        <v>3</v>
      </c>
      <c r="D50" s="2007"/>
      <c r="E50" s="2007">
        <v>0.47</v>
      </c>
      <c r="F50" s="2007">
        <v>0.28000000000000003</v>
      </c>
      <c r="G50" s="2007">
        <v>0.91</v>
      </c>
      <c r="H50" s="2918"/>
      <c r="I50" s="2008">
        <f t="shared" si="174"/>
        <v>0.28000000000000003</v>
      </c>
      <c r="J50" s="2907"/>
      <c r="K50" s="2043"/>
      <c r="L50" s="2028">
        <f t="shared" si="175"/>
        <v>4.6999999999999993E-3</v>
      </c>
      <c r="M50" s="2028">
        <f t="shared" si="175"/>
        <v>2.8000000000000004E-3</v>
      </c>
      <c r="N50" s="2028">
        <f t="shared" si="175"/>
        <v>9.1000000000000004E-3</v>
      </c>
      <c r="O50" s="2028"/>
      <c r="P50" s="2028">
        <f t="shared" si="189"/>
        <v>2.8000000000000004E-3</v>
      </c>
      <c r="Q50" s="2907"/>
      <c r="R50" s="2027"/>
      <c r="S50" s="2027">
        <f>ROUND(IF(项目基本情况!$B$8="出让",SUMPRODUCT(PRODUCT(1+L50:L$52)),SUMPRODUCT(PRODUCT(1+L50:L$51))),4)</f>
        <v>1.0102</v>
      </c>
      <c r="T50" s="2027">
        <f>ROUND(IF(项目基本情况!$B$8="出让",SUMPRODUCT(PRODUCT(1+M50:M$52)),SUMPRODUCT(PRODUCT(1+M50:M$51))),4)</f>
        <v>1.0074000000000001</v>
      </c>
      <c r="U50" s="2027">
        <f>ROUND(IF(项目基本情况!$B$8="出让",SUMPRODUCT(PRODUCT(1+N50:N$52)),SUMPRODUCT(PRODUCT(1+N50:N$51))),4)</f>
        <v>1.0202</v>
      </c>
      <c r="V50" s="2027"/>
      <c r="W50" s="2027">
        <f t="shared" si="190"/>
        <v>1.0074000000000001</v>
      </c>
      <c r="X50" s="2907"/>
      <c r="Y50" s="2028"/>
      <c r="Z50" s="2903">
        <f t="shared" si="191"/>
        <v>4.5999999999999999E-3</v>
      </c>
      <c r="AA50" s="2904">
        <f t="shared" si="191"/>
        <v>4.1000000000000003E-3</v>
      </c>
      <c r="AB50" s="2028">
        <f t="shared" si="191"/>
        <v>0.01</v>
      </c>
      <c r="AC50" s="2905"/>
      <c r="AD50" s="2028">
        <f t="shared" si="191"/>
        <v>4.1000000000000003E-3</v>
      </c>
      <c r="AG50" s="3154">
        <f t="shared" si="129"/>
        <v>101.02</v>
      </c>
      <c r="AH50" s="3154">
        <f t="shared" si="130"/>
        <v>100.74000000000001</v>
      </c>
      <c r="AI50" s="3154">
        <f t="shared" si="131"/>
        <v>102.02</v>
      </c>
      <c r="AJ50" s="3156"/>
      <c r="AK50" s="3154">
        <f t="shared" si="132"/>
        <v>100.74000000000001</v>
      </c>
      <c r="AN50" s="3154">
        <f t="shared" si="148"/>
        <v>99.535220097592244</v>
      </c>
      <c r="AO50" s="3154">
        <f t="shared" si="159"/>
        <v>100.02495969614176</v>
      </c>
      <c r="AP50" s="3154">
        <f t="shared" si="160"/>
        <v>98.711631731507694</v>
      </c>
      <c r="AQ50" s="3154"/>
      <c r="AR50" s="3154">
        <f t="shared" si="161"/>
        <v>100.02495969614176</v>
      </c>
    </row>
    <row r="51" spans="1:44" s="2045" customFormat="1" ht="12.75">
      <c r="A51" s="2906" t="s">
        <v>2836</v>
      </c>
      <c r="B51" s="2031">
        <v>2021</v>
      </c>
      <c r="C51" s="2042">
        <v>2</v>
      </c>
      <c r="D51" s="2007"/>
      <c r="E51" s="2007">
        <v>0.55000000000000004</v>
      </c>
      <c r="F51" s="2007">
        <v>0.46</v>
      </c>
      <c r="G51" s="2007">
        <v>1.1000000000000001</v>
      </c>
      <c r="H51" s="2918"/>
      <c r="I51" s="2008">
        <f t="shared" si="174"/>
        <v>0.46</v>
      </c>
      <c r="J51" s="2907"/>
      <c r="K51" s="2043"/>
      <c r="L51" s="2028">
        <f t="shared" si="175"/>
        <v>5.5000000000000005E-3</v>
      </c>
      <c r="M51" s="2028">
        <f t="shared" si="175"/>
        <v>4.5999999999999999E-3</v>
      </c>
      <c r="N51" s="2028">
        <f t="shared" si="175"/>
        <v>1.1000000000000001E-2</v>
      </c>
      <c r="O51" s="2028"/>
      <c r="P51" s="2028">
        <f t="shared" si="189"/>
        <v>4.5999999999999999E-3</v>
      </c>
      <c r="Q51" s="2907"/>
      <c r="R51" s="2027"/>
      <c r="S51" s="2027">
        <f>ROUND(IF(项目基本情况!$B$8="出让",SUMPRODUCT(PRODUCT(1+L51:L$52)),SUMPRODUCT(PRODUCT(1+L51:L$51))),4)</f>
        <v>1.0055000000000001</v>
      </c>
      <c r="T51" s="2027">
        <f>ROUND(IF(项目基本情况!$B$8="出让",SUMPRODUCT(PRODUCT(1+M51:M$52)),SUMPRODUCT(PRODUCT(1+M51:M$51))),4)</f>
        <v>1.0045999999999999</v>
      </c>
      <c r="U51" s="2027">
        <f>ROUND(IF(项目基本情况!$B$8="出让",SUMPRODUCT(PRODUCT(1+N51:N$52)),SUMPRODUCT(PRODUCT(1+N51:N$51))),4)</f>
        <v>1.0109999999999999</v>
      </c>
      <c r="V51" s="2027"/>
      <c r="W51" s="2027">
        <f t="shared" si="190"/>
        <v>1.0045999999999999</v>
      </c>
      <c r="X51" s="2907"/>
      <c r="Y51" s="2028"/>
      <c r="Z51" s="2903">
        <f t="shared" si="191"/>
        <v>4.4999999999999997E-3</v>
      </c>
      <c r="AA51" s="2904">
        <f t="shared" si="191"/>
        <v>4.7000000000000002E-3</v>
      </c>
      <c r="AB51" s="2028">
        <f t="shared" si="191"/>
        <v>1.04E-2</v>
      </c>
      <c r="AC51" s="2905"/>
      <c r="AD51" s="2028">
        <f t="shared" si="191"/>
        <v>4.7000000000000002E-3</v>
      </c>
      <c r="AG51" s="3154">
        <f>$AG$52*S51</f>
        <v>100.55000000000001</v>
      </c>
      <c r="AH51" s="3154">
        <f t="shared" ref="AH51:AK51" si="192">$AG$52*T51</f>
        <v>100.46</v>
      </c>
      <c r="AI51" s="3154">
        <f t="shared" si="192"/>
        <v>101.1</v>
      </c>
      <c r="AJ51" s="3156"/>
      <c r="AK51" s="3154">
        <f t="shared" si="192"/>
        <v>100.46</v>
      </c>
      <c r="AN51" s="3154">
        <f t="shared" si="148"/>
        <v>99.069593010443171</v>
      </c>
      <c r="AO51" s="3154">
        <f t="shared" si="159"/>
        <v>99.745671815059609</v>
      </c>
      <c r="AP51" s="3154">
        <f t="shared" si="160"/>
        <v>97.821456477561867</v>
      </c>
      <c r="AQ51" s="3154"/>
      <c r="AR51" s="3154">
        <f t="shared" si="161"/>
        <v>99.745671815059609</v>
      </c>
    </row>
    <row r="52" spans="1:44" s="2929" customFormat="1" ht="14.25" thickBot="1">
      <c r="A52" s="2919" t="s">
        <v>2822</v>
      </c>
      <c r="B52" s="2920">
        <v>2021</v>
      </c>
      <c r="C52" s="2921">
        <v>1</v>
      </c>
      <c r="D52" s="2922"/>
      <c r="E52" s="2922">
        <v>0.35</v>
      </c>
      <c r="F52" s="2922">
        <v>0.48</v>
      </c>
      <c r="G52" s="2922">
        <v>0.98</v>
      </c>
      <c r="H52" s="2923"/>
      <c r="I52" s="2924">
        <f t="shared" si="174"/>
        <v>0.48</v>
      </c>
      <c r="J52" s="2925"/>
      <c r="K52" s="2926"/>
      <c r="L52" s="2927">
        <f t="shared" si="175"/>
        <v>3.4999999999999996E-3</v>
      </c>
      <c r="M52" s="2927">
        <f>F52/100</f>
        <v>4.7999999999999996E-3</v>
      </c>
      <c r="N52" s="2927">
        <f t="shared" si="175"/>
        <v>9.7999999999999997E-3</v>
      </c>
      <c r="O52" s="2927"/>
      <c r="P52" s="2927">
        <f t="shared" si="189"/>
        <v>4.7999999999999996E-3</v>
      </c>
      <c r="Q52" s="2925"/>
      <c r="R52" s="2928"/>
      <c r="S52" s="2928">
        <v>1</v>
      </c>
      <c r="T52" s="2928">
        <v>1</v>
      </c>
      <c r="U52" s="2928">
        <v>1</v>
      </c>
      <c r="V52" s="2928"/>
      <c r="W52" s="2928">
        <f t="shared" si="190"/>
        <v>1</v>
      </c>
      <c r="X52" s="2925"/>
      <c r="Y52" s="2927"/>
      <c r="Z52" s="2935">
        <f t="shared" si="191"/>
        <v>3.5000000000000001E-3</v>
      </c>
      <c r="AA52" s="2936">
        <f t="shared" si="191"/>
        <v>4.7999999999999996E-3</v>
      </c>
      <c r="AB52" s="2927">
        <f t="shared" si="191"/>
        <v>9.7999999999999997E-3</v>
      </c>
      <c r="AC52" s="2937"/>
      <c r="AD52" s="2927">
        <f t="shared" si="191"/>
        <v>4.7999999999999996E-3</v>
      </c>
      <c r="AG52" s="3158">
        <v>100</v>
      </c>
      <c r="AH52" s="3158">
        <v>100</v>
      </c>
      <c r="AI52" s="3158">
        <v>100</v>
      </c>
      <c r="AJ52" s="3158"/>
      <c r="AK52" s="3158">
        <v>100</v>
      </c>
      <c r="AN52" s="3161">
        <f t="shared" si="148"/>
        <v>98.527690711529758</v>
      </c>
      <c r="AO52" s="3161">
        <f t="shared" si="159"/>
        <v>99.288942678737428</v>
      </c>
      <c r="AP52" s="3161">
        <f t="shared" si="160"/>
        <v>96.757128068805017</v>
      </c>
      <c r="AQ52" s="3161"/>
      <c r="AR52" s="3161">
        <f t="shared" si="161"/>
        <v>99.288942678737428</v>
      </c>
    </row>
    <row r="53" spans="1:44" ht="14.25" thickTop="1"/>
    <row r="54" spans="1:44">
      <c r="A54" s="3144" t="s">
        <v>3378</v>
      </c>
    </row>
  </sheetData>
  <sheetProtection password="CEE9" sheet="1" objects="1" scenarios="1" formatCells="0" formatColumns="0" formatRows="0"/>
  <mergeCells count="4">
    <mergeCell ref="R29:W29"/>
    <mergeCell ref="Y29:AD29"/>
    <mergeCell ref="R1:W1"/>
    <mergeCell ref="Y1:AD1"/>
  </mergeCells>
  <phoneticPr fontId="5"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AH123"/>
  <sheetViews>
    <sheetView zoomScale="80" zoomScaleNormal="80" workbookViewId="0">
      <selection activeCell="I8" sqref="I8:J8"/>
    </sheetView>
  </sheetViews>
  <sheetFormatPr defaultColWidth="9" defaultRowHeight="12.75"/>
  <cols>
    <col min="1" max="1" width="9" style="2027"/>
    <col min="2" max="6" width="9" style="2027" customWidth="1"/>
    <col min="7" max="7" width="9" style="2061"/>
    <col min="8" max="8" width="9" style="2027"/>
    <col min="9" max="12" width="9" style="2027" customWidth="1"/>
    <col min="13" max="13" width="2.25" style="2027" customWidth="1"/>
    <col min="14" max="14" width="9" style="2061" customWidth="1"/>
    <col min="15" max="17" width="9" style="2027" customWidth="1"/>
    <col min="18" max="18" width="2.375" style="2027" customWidth="1"/>
    <col min="19" max="19" width="7.125" style="2061" customWidth="1"/>
    <col min="20" max="22" width="7.125" style="2027" customWidth="1"/>
    <col min="23" max="23" width="24.25" style="2027" customWidth="1"/>
    <col min="24" max="25" width="9" style="2027"/>
    <col min="26" max="27" width="11.625" style="2027" customWidth="1"/>
    <col min="28" max="28" width="9" style="2027"/>
    <col min="29" max="29" width="2" style="2027" customWidth="1"/>
    <col min="30" max="16384" width="9" style="2027"/>
  </cols>
  <sheetData>
    <row r="1" spans="1:34" s="2009" customFormat="1">
      <c r="B1" s="3711" t="s">
        <v>452</v>
      </c>
      <c r="C1" s="3711"/>
      <c r="D1" s="3711"/>
      <c r="E1" s="3711"/>
      <c r="F1" s="3711"/>
      <c r="G1" s="3707" t="s">
        <v>453</v>
      </c>
      <c r="H1" s="3707"/>
      <c r="I1" s="3707"/>
      <c r="J1" s="3707"/>
      <c r="K1" s="3707"/>
      <c r="L1" s="3707"/>
      <c r="N1" s="3707" t="s">
        <v>454</v>
      </c>
      <c r="O1" s="3707"/>
      <c r="P1" s="3707"/>
      <c r="Q1" s="3707"/>
      <c r="S1" s="3707" t="s">
        <v>455</v>
      </c>
      <c r="T1" s="3707"/>
      <c r="U1" s="3707"/>
      <c r="V1" s="3707"/>
      <c r="X1" s="3706" t="s">
        <v>456</v>
      </c>
      <c r="Y1" s="3707"/>
      <c r="Z1" s="3707"/>
      <c r="AA1" s="3707"/>
      <c r="AB1" s="3707"/>
      <c r="AD1" s="3706" t="s">
        <v>457</v>
      </c>
      <c r="AE1" s="3707"/>
      <c r="AF1" s="3707"/>
      <c r="AG1" s="3707"/>
      <c r="AH1" s="3707"/>
    </row>
    <row r="2" spans="1:34" s="2010" customFormat="1" ht="14.2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25">
      <c r="A3" s="2014" t="s">
        <v>2112</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25">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3361</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3358</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2113</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3359</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3360</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2434</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2311</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2310</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2309</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2306</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2305</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2128</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2126</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2125</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2124</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2122</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2121</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2123</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709">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5" customHeight="1">
      <c r="A22" s="2040" t="s">
        <v>2119</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709"/>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5" customHeight="1">
      <c r="A23" s="2040" t="s">
        <v>2118</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709"/>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2111</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716"/>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2109</v>
      </c>
      <c r="B25" s="2049">
        <v>439</v>
      </c>
      <c r="C25" s="2049">
        <v>327</v>
      </c>
      <c r="D25" s="2049">
        <f>C25</f>
        <v>327</v>
      </c>
      <c r="E25" s="2049">
        <v>627</v>
      </c>
      <c r="F25" s="2050">
        <v>283</v>
      </c>
      <c r="G25" s="3712">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5" customHeight="1">
      <c r="A26" s="2040" t="s">
        <v>2110</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709"/>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5"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709"/>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716"/>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712">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709"/>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709"/>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5"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710"/>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708">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709"/>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709"/>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710"/>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708">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709"/>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5"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709"/>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710"/>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713">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714"/>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714"/>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715"/>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708">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709"/>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709"/>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5" thickBot="1">
      <c r="A48" s="2040" t="s">
        <v>472</v>
      </c>
      <c r="B48" s="2041">
        <f>B47/(1+N47)</f>
        <v>275.19025476197027</v>
      </c>
      <c r="C48" s="2085">
        <v>232</v>
      </c>
      <c r="D48" s="2085">
        <f t="shared" si="246"/>
        <v>232</v>
      </c>
      <c r="E48" s="2041">
        <f t="shared" si="257"/>
        <v>375.65990977608692</v>
      </c>
      <c r="F48" s="2041">
        <f t="shared" si="257"/>
        <v>214.12518283971252</v>
      </c>
      <c r="G48" s="3710"/>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708">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709">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709">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5"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710">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708">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709">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709">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5"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710">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708">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709">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709">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710">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708">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709">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709">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5"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710">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708">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709">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709">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710">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708">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709">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709">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710">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708">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709">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709">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710">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708">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709">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709">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5"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710">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708">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709">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709">
        <v>2003</v>
      </c>
      <c r="H83" s="2051">
        <v>2</v>
      </c>
      <c r="I83" s="2105"/>
      <c r="J83" s="2105"/>
      <c r="K83" s="2105"/>
      <c r="L83" s="2105"/>
      <c r="X83" s="2097"/>
      <c r="Y83" s="2097"/>
      <c r="Z83" s="2097"/>
    </row>
    <row r="84" spans="1:26" ht="13.5" thickBot="1">
      <c r="A84" s="2040" t="s">
        <v>508</v>
      </c>
      <c r="B84" s="2107">
        <f t="shared" si="282"/>
        <v>107.25</v>
      </c>
      <c r="C84" s="2107">
        <f t="shared" si="282"/>
        <v>108.75</v>
      </c>
      <c r="D84" s="2107">
        <f t="shared" si="246"/>
        <v>108.75</v>
      </c>
      <c r="E84" s="2107">
        <f t="shared" si="283"/>
        <v>105.75</v>
      </c>
      <c r="F84" s="2107">
        <f t="shared" si="283"/>
        <v>102.5</v>
      </c>
      <c r="G84" s="3710">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708">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709">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709">
        <v>2002</v>
      </c>
      <c r="H87" s="2051">
        <v>2</v>
      </c>
      <c r="I87" s="2105"/>
      <c r="J87" s="2105"/>
      <c r="K87" s="2105"/>
      <c r="L87" s="2105"/>
      <c r="X87" s="2097"/>
      <c r="Y87" s="2097"/>
      <c r="Z87" s="2097"/>
    </row>
    <row r="88" spans="1:26" s="2072" customFormat="1" ht="13.5" thickBot="1">
      <c r="A88" s="2068" t="s">
        <v>512</v>
      </c>
      <c r="B88" s="2075">
        <f t="shared" si="284"/>
        <v>103</v>
      </c>
      <c r="C88" s="2075">
        <f t="shared" si="284"/>
        <v>104</v>
      </c>
      <c r="D88" s="2075">
        <f t="shared" si="246"/>
        <v>104</v>
      </c>
      <c r="E88" s="2075">
        <f t="shared" si="285"/>
        <v>103.5</v>
      </c>
      <c r="F88" s="2075">
        <f t="shared" si="285"/>
        <v>100.5</v>
      </c>
      <c r="G88" s="3710">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5"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5"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6"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T384"/>
  <sheetViews>
    <sheetView zoomScale="80" zoomScaleNormal="80" workbookViewId="0">
      <selection activeCell="T47" sqref="T47:T48"/>
    </sheetView>
  </sheetViews>
  <sheetFormatPr defaultColWidth="8.875" defaultRowHeight="11.25"/>
  <cols>
    <col min="1" max="1" width="9.625" style="2783" customWidth="1"/>
    <col min="2" max="2" width="18.625" style="2783" customWidth="1"/>
    <col min="3" max="6" width="10.25" style="2783" customWidth="1"/>
    <col min="7" max="7" width="10.5" style="2783" bestFit="1" customWidth="1"/>
    <col min="8" max="8" width="8.875" style="2782"/>
    <col min="9" max="9" width="13.375" style="2782" customWidth="1"/>
    <col min="10" max="13" width="13.375" style="2783" customWidth="1"/>
    <col min="14" max="14" width="18.25" style="2783" customWidth="1"/>
    <col min="15" max="17" width="15.125" style="2783" customWidth="1"/>
    <col min="18" max="20" width="11.5" style="2783" customWidth="1"/>
    <col min="21" max="16384" width="8.875" style="2783"/>
  </cols>
  <sheetData>
    <row r="1" spans="1:20" ht="12" thickBot="1">
      <c r="A1" s="3719" t="s">
        <v>2837</v>
      </c>
      <c r="B1" s="3719"/>
      <c r="C1" s="3719"/>
      <c r="D1" s="3719"/>
      <c r="E1" s="3719"/>
      <c r="F1" s="3719"/>
      <c r="G1" s="3720"/>
      <c r="I1" s="2939" t="s">
        <v>2838</v>
      </c>
      <c r="J1" s="2940" t="s">
        <v>2839</v>
      </c>
      <c r="K1" s="2940" t="s">
        <v>2840</v>
      </c>
      <c r="L1" s="2940" t="s">
        <v>2841</v>
      </c>
      <c r="M1" s="2940" t="s">
        <v>2842</v>
      </c>
      <c r="N1" s="2940" t="s">
        <v>2843</v>
      </c>
      <c r="O1" s="2940" t="s">
        <v>2844</v>
      </c>
      <c r="P1" s="2940" t="s">
        <v>2845</v>
      </c>
      <c r="Q1" s="2940" t="s">
        <v>2846</v>
      </c>
      <c r="R1" s="2940" t="s">
        <v>2847</v>
      </c>
      <c r="S1" s="2940" t="s">
        <v>2848</v>
      </c>
      <c r="T1" s="2941" t="s">
        <v>2849</v>
      </c>
    </row>
    <row r="2" spans="1:20" ht="12" thickBot="1">
      <c r="A2" s="2942" t="s">
        <v>2850</v>
      </c>
      <c r="B2" s="2942"/>
      <c r="C2" s="2942"/>
      <c r="D2" s="2942"/>
      <c r="E2" s="2942"/>
      <c r="F2" s="2942"/>
      <c r="G2" s="2943" t="s">
        <v>2851</v>
      </c>
      <c r="I2" s="2944" t="s">
        <v>2852</v>
      </c>
      <c r="J2" s="2944" t="s">
        <v>2853</v>
      </c>
      <c r="K2" s="2944" t="s">
        <v>2854</v>
      </c>
      <c r="L2" s="2944" t="s">
        <v>2855</v>
      </c>
      <c r="M2" s="2944" t="s">
        <v>2856</v>
      </c>
      <c r="N2" s="2944" t="s">
        <v>2857</v>
      </c>
      <c r="O2" s="2944" t="s">
        <v>2858</v>
      </c>
      <c r="P2" s="2944" t="s">
        <v>2859</v>
      </c>
      <c r="Q2" s="2944" t="s">
        <v>2860</v>
      </c>
      <c r="R2" s="2944" t="s">
        <v>2861</v>
      </c>
      <c r="S2" s="2944" t="s">
        <v>2862</v>
      </c>
      <c r="T2" s="2944" t="s">
        <v>2863</v>
      </c>
    </row>
    <row r="3" spans="1:20" s="2950" customFormat="1">
      <c r="A3" s="3717" t="s">
        <v>2864</v>
      </c>
      <c r="B3" s="2945"/>
      <c r="C3" s="2946" t="s">
        <v>2809</v>
      </c>
      <c r="D3" s="2946" t="s">
        <v>2865</v>
      </c>
      <c r="E3" s="2946" t="s">
        <v>2811</v>
      </c>
      <c r="F3" s="2946" t="s">
        <v>2866</v>
      </c>
      <c r="G3" s="2946" t="s">
        <v>2629</v>
      </c>
      <c r="H3" s="2947"/>
      <c r="I3" s="2948" t="s">
        <v>2867</v>
      </c>
      <c r="J3" s="2949" t="s">
        <v>128</v>
      </c>
      <c r="K3" s="2949" t="s">
        <v>129</v>
      </c>
      <c r="L3" s="2948" t="s">
        <v>130</v>
      </c>
      <c r="M3" s="2948" t="s">
        <v>131</v>
      </c>
      <c r="N3" s="2948" t="s">
        <v>132</v>
      </c>
      <c r="O3" s="2948" t="s">
        <v>133</v>
      </c>
      <c r="P3" s="2948" t="s">
        <v>134</v>
      </c>
      <c r="Q3" s="2948" t="s">
        <v>135</v>
      </c>
      <c r="R3" s="2948" t="s">
        <v>136</v>
      </c>
      <c r="S3" s="2948" t="s">
        <v>2868</v>
      </c>
      <c r="T3" s="2948" t="s">
        <v>2869</v>
      </c>
    </row>
    <row r="4" spans="1:20" s="2950" customFormat="1" ht="12" thickBot="1">
      <c r="A4" s="3718"/>
      <c r="B4" s="2951" t="s">
        <v>2870</v>
      </c>
      <c r="C4" s="2951" t="s">
        <v>2871</v>
      </c>
      <c r="D4" s="2951" t="s">
        <v>2871</v>
      </c>
      <c r="E4" s="2951" t="s">
        <v>2871</v>
      </c>
      <c r="F4" s="2952" t="s">
        <v>2871</v>
      </c>
      <c r="G4" s="2952" t="s">
        <v>2871</v>
      </c>
      <c r="H4" s="2947"/>
      <c r="I4" s="2949" t="s">
        <v>137</v>
      </c>
      <c r="J4" s="2949" t="s">
        <v>111</v>
      </c>
      <c r="K4" s="2949" t="s">
        <v>138</v>
      </c>
      <c r="L4" s="2948" t="s">
        <v>139</v>
      </c>
      <c r="M4" s="2948" t="s">
        <v>140</v>
      </c>
      <c r="N4" s="2948" t="s">
        <v>141</v>
      </c>
      <c r="O4" s="2948" t="s">
        <v>142</v>
      </c>
      <c r="P4" s="2948" t="s">
        <v>143</v>
      </c>
      <c r="Q4" s="2948" t="s">
        <v>2872</v>
      </c>
      <c r="R4" s="2948" t="s">
        <v>2873</v>
      </c>
      <c r="S4" s="2948" t="s">
        <v>2874</v>
      </c>
      <c r="T4" s="2948" t="s">
        <v>2875</v>
      </c>
    </row>
    <row r="5" spans="1:20">
      <c r="A5" s="2953" t="s">
        <v>2838</v>
      </c>
      <c r="B5" s="2944" t="s">
        <v>2852</v>
      </c>
      <c r="C5" s="2944">
        <v>34550</v>
      </c>
      <c r="D5" s="2944">
        <v>34470</v>
      </c>
      <c r="E5" s="2944">
        <v>34330</v>
      </c>
      <c r="F5" s="2944">
        <v>13400</v>
      </c>
      <c r="G5" s="2944">
        <v>25450</v>
      </c>
      <c r="H5" s="2947"/>
      <c r="I5" s="2948" t="s">
        <v>145</v>
      </c>
      <c r="J5" s="2949" t="s">
        <v>146</v>
      </c>
      <c r="K5" s="2949" t="s">
        <v>147</v>
      </c>
      <c r="L5" s="2948" t="s">
        <v>148</v>
      </c>
      <c r="M5" s="2948" t="s">
        <v>149</v>
      </c>
      <c r="N5" s="2948" t="s">
        <v>150</v>
      </c>
      <c r="O5" s="2948" t="s">
        <v>151</v>
      </c>
      <c r="P5" s="2948" t="s">
        <v>152</v>
      </c>
      <c r="Q5" s="2948" t="s">
        <v>2876</v>
      </c>
      <c r="R5" s="2948" t="s">
        <v>2877</v>
      </c>
      <c r="S5" s="2948" t="s">
        <v>153</v>
      </c>
      <c r="T5" s="2948" t="s">
        <v>2878</v>
      </c>
    </row>
    <row r="6" spans="1:20" ht="12" thickBot="1">
      <c r="A6" s="2948" t="s">
        <v>144</v>
      </c>
      <c r="B6" s="2948" t="s">
        <v>2867</v>
      </c>
      <c r="C6" s="2948">
        <v>36990</v>
      </c>
      <c r="D6" s="2948">
        <v>36850</v>
      </c>
      <c r="E6" s="2948">
        <v>36700</v>
      </c>
      <c r="F6" s="2948">
        <v>14590</v>
      </c>
      <c r="G6" s="2948">
        <v>27450</v>
      </c>
      <c r="H6" s="2947"/>
      <c r="I6" s="2954" t="s">
        <v>154</v>
      </c>
      <c r="J6" s="2949" t="s">
        <v>155</v>
      </c>
      <c r="K6" s="2949" t="s">
        <v>156</v>
      </c>
      <c r="L6" s="2948" t="s">
        <v>157</v>
      </c>
      <c r="M6" s="2948" t="s">
        <v>158</v>
      </c>
      <c r="N6" s="2948" t="s">
        <v>159</v>
      </c>
      <c r="O6" s="2948" t="s">
        <v>160</v>
      </c>
      <c r="P6" s="2948" t="s">
        <v>2879</v>
      </c>
      <c r="Q6" s="2948" t="s">
        <v>2880</v>
      </c>
      <c r="R6" s="2948" t="s">
        <v>161</v>
      </c>
      <c r="S6" s="2948" t="s">
        <v>2881</v>
      </c>
      <c r="T6" s="2948" t="s">
        <v>2882</v>
      </c>
    </row>
    <row r="7" spans="1:20">
      <c r="A7" s="2948" t="s">
        <v>144</v>
      </c>
      <c r="B7" s="2949" t="s">
        <v>137</v>
      </c>
      <c r="C7" s="2948">
        <v>34850</v>
      </c>
      <c r="D7" s="2948">
        <v>34690</v>
      </c>
      <c r="E7" s="2948">
        <v>34550</v>
      </c>
      <c r="F7" s="2948">
        <v>14360</v>
      </c>
      <c r="G7" s="2948">
        <v>25620</v>
      </c>
      <c r="H7" s="2947"/>
      <c r="J7" s="2949" t="s">
        <v>162</v>
      </c>
      <c r="K7" s="2949" t="s">
        <v>163</v>
      </c>
      <c r="L7" s="2948" t="s">
        <v>164</v>
      </c>
      <c r="M7" s="2948" t="s">
        <v>165</v>
      </c>
      <c r="N7" s="2948" t="s">
        <v>166</v>
      </c>
      <c r="O7" s="2948" t="s">
        <v>167</v>
      </c>
      <c r="P7" s="2948" t="s">
        <v>2883</v>
      </c>
      <c r="Q7" s="2948" t="s">
        <v>2884</v>
      </c>
      <c r="R7" s="2948" t="s">
        <v>2885</v>
      </c>
      <c r="S7" s="2948" t="s">
        <v>2886</v>
      </c>
      <c r="T7" s="2948" t="s">
        <v>2887</v>
      </c>
    </row>
    <row r="8" spans="1:20" ht="12" thickBot="1">
      <c r="A8" s="2948" t="s">
        <v>144</v>
      </c>
      <c r="B8" s="2948" t="s">
        <v>145</v>
      </c>
      <c r="C8" s="2948">
        <v>32630</v>
      </c>
      <c r="D8" s="2948">
        <v>32510</v>
      </c>
      <c r="E8" s="2948">
        <v>32420</v>
      </c>
      <c r="F8" s="2948">
        <v>13300</v>
      </c>
      <c r="G8" s="2948">
        <v>24010</v>
      </c>
      <c r="H8" s="2947"/>
      <c r="J8" s="2949" t="s">
        <v>168</v>
      </c>
      <c r="K8" s="2949" t="s">
        <v>169</v>
      </c>
      <c r="L8" s="2948" t="s">
        <v>170</v>
      </c>
      <c r="M8" s="2948" t="s">
        <v>171</v>
      </c>
      <c r="N8" s="2948" t="s">
        <v>172</v>
      </c>
      <c r="O8" s="2948" t="s">
        <v>173</v>
      </c>
      <c r="P8" s="2948" t="s">
        <v>2888</v>
      </c>
      <c r="Q8" s="2948" t="s">
        <v>174</v>
      </c>
      <c r="R8" s="2948" t="s">
        <v>2889</v>
      </c>
      <c r="S8" s="2948" t="s">
        <v>2890</v>
      </c>
      <c r="T8" s="2955" t="s">
        <v>2891</v>
      </c>
    </row>
    <row r="9" spans="1:20" ht="12" thickBot="1">
      <c r="A9" s="2956" t="s">
        <v>144</v>
      </c>
      <c r="B9" s="2954" t="s">
        <v>154</v>
      </c>
      <c r="C9" s="2955">
        <v>36370</v>
      </c>
      <c r="D9" s="2955">
        <v>36210</v>
      </c>
      <c r="E9" s="2955">
        <v>36050</v>
      </c>
      <c r="F9" s="2955"/>
      <c r="G9" s="2955">
        <v>26740</v>
      </c>
      <c r="H9" s="2947"/>
      <c r="J9" s="2949" t="s">
        <v>175</v>
      </c>
      <c r="K9" s="2949" t="s">
        <v>176</v>
      </c>
      <c r="L9" s="2948" t="s">
        <v>177</v>
      </c>
      <c r="M9" s="2948" t="s">
        <v>178</v>
      </c>
      <c r="N9" s="2948" t="s">
        <v>179</v>
      </c>
      <c r="O9" s="2948" t="s">
        <v>180</v>
      </c>
      <c r="P9" s="2948" t="s">
        <v>2892</v>
      </c>
      <c r="Q9" s="2948" t="s">
        <v>182</v>
      </c>
      <c r="R9" s="2948" t="s">
        <v>183</v>
      </c>
      <c r="S9" s="2948" t="s">
        <v>200</v>
      </c>
    </row>
    <row r="10" spans="1:20">
      <c r="A10" s="2953" t="s">
        <v>184</v>
      </c>
      <c r="B10" s="2944" t="s">
        <v>2853</v>
      </c>
      <c r="C10" s="2948">
        <v>32350</v>
      </c>
      <c r="D10" s="2948">
        <v>31430</v>
      </c>
      <c r="E10" s="2948">
        <v>31320</v>
      </c>
      <c r="F10" s="2948">
        <v>10850</v>
      </c>
      <c r="G10" s="2948">
        <v>22860</v>
      </c>
      <c r="H10" s="2947"/>
      <c r="J10" s="2949" t="s">
        <v>185</v>
      </c>
      <c r="K10" s="2949" t="s">
        <v>186</v>
      </c>
      <c r="L10" s="2948" t="s">
        <v>187</v>
      </c>
      <c r="M10" s="2948" t="s">
        <v>188</v>
      </c>
      <c r="N10" s="2948" t="s">
        <v>189</v>
      </c>
      <c r="O10" s="2948" t="s">
        <v>190</v>
      </c>
      <c r="P10" s="2948" t="s">
        <v>181</v>
      </c>
      <c r="Q10" s="2948" t="s">
        <v>192</v>
      </c>
      <c r="R10" s="2948" t="s">
        <v>193</v>
      </c>
      <c r="S10" s="2948" t="s">
        <v>2893</v>
      </c>
    </row>
    <row r="11" spans="1:20">
      <c r="A11" s="2948" t="s">
        <v>184</v>
      </c>
      <c r="B11" s="2949" t="s">
        <v>128</v>
      </c>
      <c r="C11" s="2948">
        <v>31590</v>
      </c>
      <c r="D11" s="2948">
        <v>29490</v>
      </c>
      <c r="E11" s="2948">
        <v>28700</v>
      </c>
      <c r="F11" s="2948">
        <v>10410</v>
      </c>
      <c r="G11" s="2948">
        <v>21460</v>
      </c>
      <c r="H11" s="2947"/>
      <c r="J11" s="2949" t="s">
        <v>194</v>
      </c>
      <c r="K11" s="2949" t="s">
        <v>195</v>
      </c>
      <c r="L11" s="2948" t="s">
        <v>196</v>
      </c>
      <c r="M11" s="2948" t="s">
        <v>197</v>
      </c>
      <c r="N11" s="2948" t="s">
        <v>198</v>
      </c>
      <c r="O11" s="2948" t="s">
        <v>2894</v>
      </c>
      <c r="P11" s="2948" t="s">
        <v>191</v>
      </c>
      <c r="Q11" s="2948" t="s">
        <v>199</v>
      </c>
      <c r="R11" s="2948" t="s">
        <v>2895</v>
      </c>
      <c r="S11" s="2948" t="s">
        <v>2896</v>
      </c>
    </row>
    <row r="12" spans="1:20">
      <c r="A12" s="2948" t="s">
        <v>184</v>
      </c>
      <c r="B12" s="2949" t="s">
        <v>111</v>
      </c>
      <c r="C12" s="2948">
        <v>29640</v>
      </c>
      <c r="D12" s="2948">
        <v>27550</v>
      </c>
      <c r="E12" s="2948">
        <v>28010</v>
      </c>
      <c r="F12" s="2948">
        <v>8730</v>
      </c>
      <c r="G12" s="2948">
        <v>20050</v>
      </c>
      <c r="H12" s="2947"/>
      <c r="J12" s="2949" t="s">
        <v>201</v>
      </c>
      <c r="K12" s="2949" t="s">
        <v>202</v>
      </c>
      <c r="L12" s="2948" t="s">
        <v>203</v>
      </c>
      <c r="M12" s="2948" t="s">
        <v>204</v>
      </c>
      <c r="N12" s="2948" t="s">
        <v>205</v>
      </c>
      <c r="O12" s="2948" t="s">
        <v>2897</v>
      </c>
      <c r="P12" s="2948" t="s">
        <v>2898</v>
      </c>
      <c r="Q12" s="2948" t="s">
        <v>2899</v>
      </c>
      <c r="R12" s="2948" t="s">
        <v>2900</v>
      </c>
      <c r="S12" s="2948" t="s">
        <v>2901</v>
      </c>
    </row>
    <row r="13" spans="1:20">
      <c r="A13" s="2948" t="s">
        <v>184</v>
      </c>
      <c r="B13" s="2949" t="s">
        <v>146</v>
      </c>
      <c r="C13" s="2948">
        <v>29680</v>
      </c>
      <c r="D13" s="2948">
        <v>27660</v>
      </c>
      <c r="E13" s="2948">
        <v>28210</v>
      </c>
      <c r="F13" s="2948">
        <v>9590</v>
      </c>
      <c r="G13" s="2948">
        <v>20120</v>
      </c>
      <c r="H13" s="2947"/>
      <c r="J13" s="2949" t="s">
        <v>208</v>
      </c>
      <c r="K13" s="2949" t="s">
        <v>209</v>
      </c>
      <c r="L13" s="2948" t="s">
        <v>210</v>
      </c>
      <c r="M13" s="2948" t="s">
        <v>211</v>
      </c>
      <c r="N13" s="2948" t="s">
        <v>212</v>
      </c>
      <c r="O13" s="2948" t="s">
        <v>2902</v>
      </c>
      <c r="P13" s="2948" t="s">
        <v>206</v>
      </c>
      <c r="Q13" s="2948" t="s">
        <v>219</v>
      </c>
      <c r="R13" s="2948" t="s">
        <v>220</v>
      </c>
      <c r="S13" s="2948" t="s">
        <v>214</v>
      </c>
    </row>
    <row r="14" spans="1:20">
      <c r="A14" s="2948" t="s">
        <v>184</v>
      </c>
      <c r="B14" s="2949" t="s">
        <v>155</v>
      </c>
      <c r="C14" s="2948">
        <v>30520</v>
      </c>
      <c r="D14" s="2948">
        <v>29510</v>
      </c>
      <c r="E14" s="2948">
        <v>29400</v>
      </c>
      <c r="F14" s="2948">
        <v>9630</v>
      </c>
      <c r="G14" s="2948">
        <v>21480</v>
      </c>
      <c r="H14" s="2947"/>
      <c r="J14" s="2949" t="s">
        <v>2903</v>
      </c>
      <c r="K14" s="2949" t="s">
        <v>215</v>
      </c>
      <c r="L14" s="2948" t="s">
        <v>216</v>
      </c>
      <c r="M14" s="2948" t="s">
        <v>217</v>
      </c>
      <c r="N14" s="2948" t="s">
        <v>218</v>
      </c>
      <c r="O14" s="2948" t="s">
        <v>240</v>
      </c>
      <c r="P14" s="2948" t="s">
        <v>213</v>
      </c>
      <c r="Q14" s="2948" t="s">
        <v>2904</v>
      </c>
      <c r="R14" s="2948" t="s">
        <v>228</v>
      </c>
      <c r="S14" s="2948" t="s">
        <v>221</v>
      </c>
    </row>
    <row r="15" spans="1:20">
      <c r="A15" s="2948" t="s">
        <v>184</v>
      </c>
      <c r="B15" s="2949" t="s">
        <v>162</v>
      </c>
      <c r="C15" s="2948">
        <v>29090</v>
      </c>
      <c r="D15" s="2948">
        <v>27590</v>
      </c>
      <c r="E15" s="2948">
        <v>28120</v>
      </c>
      <c r="F15" s="2948">
        <v>9110</v>
      </c>
      <c r="G15" s="2948">
        <v>20070</v>
      </c>
      <c r="H15" s="2947"/>
      <c r="J15" s="2949" t="s">
        <v>222</v>
      </c>
      <c r="K15" s="2949" t="s">
        <v>223</v>
      </c>
      <c r="L15" s="2948" t="s">
        <v>224</v>
      </c>
      <c r="M15" s="2948" t="s">
        <v>225</v>
      </c>
      <c r="N15" s="2948" t="s">
        <v>226</v>
      </c>
      <c r="O15" s="2948" t="s">
        <v>2905</v>
      </c>
      <c r="P15" s="2948" t="s">
        <v>2906</v>
      </c>
      <c r="Q15" s="2948" t="s">
        <v>242</v>
      </c>
      <c r="R15" s="2948" t="s">
        <v>2907</v>
      </c>
      <c r="S15" s="2948" t="s">
        <v>229</v>
      </c>
    </row>
    <row r="16" spans="1:20">
      <c r="A16" s="2948" t="s">
        <v>184</v>
      </c>
      <c r="B16" s="2949" t="s">
        <v>168</v>
      </c>
      <c r="C16" s="2948">
        <v>26790</v>
      </c>
      <c r="D16" s="2948">
        <v>30370</v>
      </c>
      <c r="E16" s="2948">
        <v>30240</v>
      </c>
      <c r="F16" s="2948">
        <v>11590</v>
      </c>
      <c r="G16" s="2948">
        <v>22090</v>
      </c>
      <c r="H16" s="2947"/>
      <c r="J16" s="2949" t="s">
        <v>230</v>
      </c>
      <c r="K16" s="2949" t="s">
        <v>231</v>
      </c>
      <c r="L16" s="2948" t="s">
        <v>232</v>
      </c>
      <c r="M16" s="2948" t="s">
        <v>233</v>
      </c>
      <c r="N16" s="2948" t="s">
        <v>234</v>
      </c>
      <c r="O16" s="2948" t="s">
        <v>2908</v>
      </c>
      <c r="P16" s="2948" t="s">
        <v>227</v>
      </c>
      <c r="Q16" s="2948" t="s">
        <v>250</v>
      </c>
      <c r="R16" s="2948" t="s">
        <v>207</v>
      </c>
      <c r="S16" s="2948" t="s">
        <v>2909</v>
      </c>
    </row>
    <row r="17" spans="1:19" ht="14.25" customHeight="1">
      <c r="A17" s="2948" t="s">
        <v>184</v>
      </c>
      <c r="B17" s="2949" t="s">
        <v>175</v>
      </c>
      <c r="C17" s="2948">
        <v>29180</v>
      </c>
      <c r="D17" s="2948">
        <v>27620</v>
      </c>
      <c r="E17" s="2948">
        <v>28180</v>
      </c>
      <c r="F17" s="2948">
        <v>10790</v>
      </c>
      <c r="G17" s="2948">
        <v>20090</v>
      </c>
      <c r="H17" s="2947"/>
      <c r="J17" s="2949" t="s">
        <v>235</v>
      </c>
      <c r="K17" s="2949" t="s">
        <v>236</v>
      </c>
      <c r="L17" s="2948" t="s">
        <v>237</v>
      </c>
      <c r="M17" s="2948" t="s">
        <v>238</v>
      </c>
      <c r="N17" s="2948" t="s">
        <v>239</v>
      </c>
      <c r="O17" s="2948" t="s">
        <v>2910</v>
      </c>
      <c r="P17" s="2948" t="s">
        <v>2911</v>
      </c>
      <c r="Q17" s="2948" t="s">
        <v>256</v>
      </c>
      <c r="R17" s="2948" t="s">
        <v>2912</v>
      </c>
      <c r="S17" s="2948" t="s">
        <v>258</v>
      </c>
    </row>
    <row r="18" spans="1:19" ht="14.25" customHeight="1">
      <c r="A18" s="2948" t="s">
        <v>184</v>
      </c>
      <c r="B18" s="2949" t="s">
        <v>185</v>
      </c>
      <c r="C18" s="2948">
        <v>26840</v>
      </c>
      <c r="D18" s="2948">
        <v>28930</v>
      </c>
      <c r="E18" s="2948">
        <v>28820</v>
      </c>
      <c r="F18" s="2948"/>
      <c r="G18" s="2948">
        <v>21050</v>
      </c>
      <c r="H18" s="2947"/>
      <c r="J18" s="2949" t="s">
        <v>244</v>
      </c>
      <c r="K18" s="2949" t="s">
        <v>245</v>
      </c>
      <c r="L18" s="2948" t="s">
        <v>246</v>
      </c>
      <c r="M18" s="2948" t="s">
        <v>247</v>
      </c>
      <c r="N18" s="2948" t="s">
        <v>248</v>
      </c>
      <c r="O18" s="2948" t="s">
        <v>2913</v>
      </c>
      <c r="P18" s="2948" t="s">
        <v>241</v>
      </c>
      <c r="Q18" s="2948" t="s">
        <v>2914</v>
      </c>
      <c r="R18" s="2948" t="s">
        <v>257</v>
      </c>
      <c r="S18" s="2948" t="s">
        <v>266</v>
      </c>
    </row>
    <row r="19" spans="1:19" ht="14.25" customHeight="1">
      <c r="A19" s="2948" t="s">
        <v>184</v>
      </c>
      <c r="B19" s="2949" t="s">
        <v>194</v>
      </c>
      <c r="C19" s="2948">
        <v>27750</v>
      </c>
      <c r="D19" s="2948">
        <v>26680</v>
      </c>
      <c r="E19" s="2948">
        <v>26590</v>
      </c>
      <c r="F19" s="2948"/>
      <c r="G19" s="2948">
        <v>19420</v>
      </c>
      <c r="H19" s="2947"/>
      <c r="J19" s="2949" t="s">
        <v>251</v>
      </c>
      <c r="K19" s="2949" t="s">
        <v>252</v>
      </c>
      <c r="L19" s="2948" t="s">
        <v>253</v>
      </c>
      <c r="M19" s="2948" t="s">
        <v>254</v>
      </c>
      <c r="N19" s="2948" t="s">
        <v>255</v>
      </c>
      <c r="O19" s="2948" t="s">
        <v>2915</v>
      </c>
      <c r="P19" s="2948" t="s">
        <v>249</v>
      </c>
      <c r="Q19" s="2948" t="s">
        <v>2916</v>
      </c>
      <c r="R19" s="2948" t="s">
        <v>265</v>
      </c>
      <c r="S19" s="2948" t="s">
        <v>2917</v>
      </c>
    </row>
    <row r="20" spans="1:19" ht="14.25" customHeight="1">
      <c r="A20" s="2948" t="s">
        <v>184</v>
      </c>
      <c r="B20" s="2949" t="s">
        <v>201</v>
      </c>
      <c r="C20" s="2948">
        <v>27050</v>
      </c>
      <c r="D20" s="2948">
        <v>29010</v>
      </c>
      <c r="E20" s="2948">
        <v>28910</v>
      </c>
      <c r="F20" s="2948"/>
      <c r="G20" s="2948">
        <v>21110</v>
      </c>
      <c r="J20" s="2949" t="s">
        <v>259</v>
      </c>
      <c r="K20" s="2949" t="s">
        <v>260</v>
      </c>
      <c r="L20" s="2948" t="s">
        <v>261</v>
      </c>
      <c r="M20" s="2948" t="s">
        <v>262</v>
      </c>
      <c r="N20" s="2948" t="s">
        <v>263</v>
      </c>
      <c r="O20" s="2948" t="s">
        <v>2918</v>
      </c>
      <c r="P20" s="2948" t="s">
        <v>2919</v>
      </c>
      <c r="Q20" s="2948" t="s">
        <v>290</v>
      </c>
      <c r="R20" s="2948" t="s">
        <v>2920</v>
      </c>
      <c r="S20" s="2948" t="s">
        <v>277</v>
      </c>
    </row>
    <row r="21" spans="1:19" ht="14.25" customHeight="1" thickBot="1">
      <c r="A21" s="2948" t="s">
        <v>184</v>
      </c>
      <c r="B21" s="2949" t="s">
        <v>208</v>
      </c>
      <c r="C21" s="2948">
        <v>32370</v>
      </c>
      <c r="D21" s="2948">
        <v>26730</v>
      </c>
      <c r="E21" s="2948">
        <v>26640</v>
      </c>
      <c r="F21" s="2948"/>
      <c r="G21" s="2948">
        <v>19440</v>
      </c>
      <c r="J21" s="2955" t="s">
        <v>2921</v>
      </c>
      <c r="K21" s="2949" t="s">
        <v>267</v>
      </c>
      <c r="L21" s="2948" t="s">
        <v>268</v>
      </c>
      <c r="M21" s="2948" t="s">
        <v>269</v>
      </c>
      <c r="N21" s="2948" t="s">
        <v>270</v>
      </c>
      <c r="O21" s="2948" t="s">
        <v>264</v>
      </c>
      <c r="P21" s="2948" t="s">
        <v>283</v>
      </c>
      <c r="Q21" s="2948" t="s">
        <v>293</v>
      </c>
      <c r="R21" s="2948" t="s">
        <v>2922</v>
      </c>
      <c r="S21" s="2955" t="s">
        <v>2923</v>
      </c>
    </row>
    <row r="22" spans="1:19" ht="14.25" customHeight="1">
      <c r="A22" s="2948" t="s">
        <v>184</v>
      </c>
      <c r="B22" s="2949" t="s">
        <v>2903</v>
      </c>
      <c r="C22" s="2948">
        <v>29830</v>
      </c>
      <c r="D22" s="2948">
        <v>27600</v>
      </c>
      <c r="E22" s="2948">
        <v>28150</v>
      </c>
      <c r="F22" s="2948"/>
      <c r="G22" s="2948">
        <v>20080</v>
      </c>
      <c r="K22" s="2949" t="s">
        <v>2924</v>
      </c>
      <c r="L22" s="2948" t="s">
        <v>272</v>
      </c>
      <c r="M22" s="2948" t="s">
        <v>273</v>
      </c>
      <c r="N22" s="2948" t="s">
        <v>274</v>
      </c>
      <c r="O22" s="2948" t="s">
        <v>2925</v>
      </c>
      <c r="P22" s="2948" t="s">
        <v>286</v>
      </c>
      <c r="Q22" s="2948" t="s">
        <v>295</v>
      </c>
      <c r="R22" s="2948" t="s">
        <v>243</v>
      </c>
    </row>
    <row r="23" spans="1:19" ht="14.25" customHeight="1">
      <c r="A23" s="2948" t="s">
        <v>184</v>
      </c>
      <c r="B23" s="2949" t="s">
        <v>222</v>
      </c>
      <c r="C23" s="2948">
        <v>27800</v>
      </c>
      <c r="D23" s="2948">
        <v>26900</v>
      </c>
      <c r="E23" s="2948">
        <v>27170</v>
      </c>
      <c r="F23" s="2948"/>
      <c r="G23" s="2948">
        <v>19570</v>
      </c>
      <c r="K23" s="2949" t="s">
        <v>2926</v>
      </c>
      <c r="L23" s="2948" t="s">
        <v>278</v>
      </c>
      <c r="M23" s="2948" t="s">
        <v>279</v>
      </c>
      <c r="N23" s="2948" t="s">
        <v>2927</v>
      </c>
      <c r="O23" s="2948" t="s">
        <v>2928</v>
      </c>
      <c r="P23" s="2948" t="s">
        <v>289</v>
      </c>
      <c r="Q23" s="2948" t="s">
        <v>298</v>
      </c>
      <c r="R23" s="2948" t="s">
        <v>2929</v>
      </c>
    </row>
    <row r="24" spans="1:19" ht="14.25" customHeight="1">
      <c r="A24" s="2948" t="s">
        <v>184</v>
      </c>
      <c r="B24" s="2949" t="s">
        <v>230</v>
      </c>
      <c r="C24" s="2948">
        <v>27930</v>
      </c>
      <c r="D24" s="2948">
        <v>32260</v>
      </c>
      <c r="E24" s="2948">
        <v>32120</v>
      </c>
      <c r="F24" s="2948"/>
      <c r="G24" s="2948">
        <v>23470</v>
      </c>
      <c r="K24" s="2949" t="s">
        <v>2930</v>
      </c>
      <c r="L24" s="2948" t="s">
        <v>281</v>
      </c>
      <c r="M24" s="2948" t="s">
        <v>282</v>
      </c>
      <c r="N24" s="2948" t="s">
        <v>2931</v>
      </c>
      <c r="O24" s="2948" t="s">
        <v>285</v>
      </c>
      <c r="P24" s="2948" t="s">
        <v>2932</v>
      </c>
      <c r="Q24" s="2957" t="s">
        <v>2933</v>
      </c>
      <c r="R24" s="2948" t="s">
        <v>2934</v>
      </c>
    </row>
    <row r="25" spans="1:19" ht="14.25" customHeight="1">
      <c r="A25" s="2948" t="s">
        <v>184</v>
      </c>
      <c r="B25" s="2949" t="s">
        <v>235</v>
      </c>
      <c r="C25" s="2948">
        <v>32230</v>
      </c>
      <c r="D25" s="2948">
        <v>29640</v>
      </c>
      <c r="E25" s="2948">
        <v>29510</v>
      </c>
      <c r="F25" s="2948"/>
      <c r="G25" s="2948">
        <v>21560</v>
      </c>
      <c r="K25" s="2949" t="s">
        <v>2935</v>
      </c>
      <c r="L25" s="2948" t="s">
        <v>2936</v>
      </c>
      <c r="M25" s="2948" t="s">
        <v>284</v>
      </c>
      <c r="N25" s="2948" t="s">
        <v>292</v>
      </c>
      <c r="O25" s="2948" t="s">
        <v>288</v>
      </c>
      <c r="P25" s="2948" t="s">
        <v>275</v>
      </c>
      <c r="Q25" s="2957" t="s">
        <v>271</v>
      </c>
      <c r="R25" s="2948" t="s">
        <v>2937</v>
      </c>
    </row>
    <row r="26" spans="1:19" ht="14.25" customHeight="1" thickBot="1">
      <c r="A26" s="2948" t="s">
        <v>184</v>
      </c>
      <c r="B26" s="2949" t="s">
        <v>244</v>
      </c>
      <c r="C26" s="2948">
        <v>31690</v>
      </c>
      <c r="D26" s="2948">
        <v>27650</v>
      </c>
      <c r="E26" s="2948">
        <v>28200</v>
      </c>
      <c r="F26" s="2948"/>
      <c r="G26" s="2948">
        <v>20110</v>
      </c>
      <c r="K26" s="2954" t="s">
        <v>2938</v>
      </c>
      <c r="L26" s="2948" t="s">
        <v>2939</v>
      </c>
      <c r="M26" s="2948" t="s">
        <v>287</v>
      </c>
      <c r="N26" s="2948" t="s">
        <v>294</v>
      </c>
      <c r="O26" s="2948" t="s">
        <v>2940</v>
      </c>
      <c r="P26" s="2948" t="s">
        <v>2941</v>
      </c>
      <c r="Q26" s="2957" t="s">
        <v>276</v>
      </c>
      <c r="R26" s="2948" t="s">
        <v>2942</v>
      </c>
    </row>
    <row r="27" spans="1:19" ht="14.25" customHeight="1">
      <c r="A27" s="2948" t="s">
        <v>184</v>
      </c>
      <c r="B27" s="2949" t="s">
        <v>251</v>
      </c>
      <c r="C27" s="2948">
        <v>29610</v>
      </c>
      <c r="D27" s="2948">
        <v>27770</v>
      </c>
      <c r="E27" s="2948">
        <v>28300</v>
      </c>
      <c r="F27" s="2948"/>
      <c r="G27" s="2948">
        <v>20210</v>
      </c>
      <c r="L27" s="2948" t="s">
        <v>2943</v>
      </c>
      <c r="M27" s="2948" t="s">
        <v>291</v>
      </c>
      <c r="N27" s="2948" t="s">
        <v>297</v>
      </c>
      <c r="O27" s="2948" t="s">
        <v>2944</v>
      </c>
      <c r="P27" s="2948" t="s">
        <v>2945</v>
      </c>
      <c r="Q27" s="2948" t="s">
        <v>2946</v>
      </c>
      <c r="R27" s="2948" t="s">
        <v>2947</v>
      </c>
    </row>
    <row r="28" spans="1:19" ht="14.25" customHeight="1">
      <c r="A28" s="2948" t="s">
        <v>184</v>
      </c>
      <c r="B28" s="2949" t="s">
        <v>259</v>
      </c>
      <c r="C28" s="2948"/>
      <c r="D28" s="2948">
        <v>31520</v>
      </c>
      <c r="E28" s="2948">
        <v>31410</v>
      </c>
      <c r="F28" s="2948"/>
      <c r="G28" s="2948">
        <v>22940</v>
      </c>
      <c r="L28" s="2948" t="s">
        <v>2948</v>
      </c>
      <c r="M28" s="2948" t="s">
        <v>2949</v>
      </c>
      <c r="N28" s="2948" t="s">
        <v>2950</v>
      </c>
      <c r="O28" s="2948" t="s">
        <v>2951</v>
      </c>
      <c r="P28" s="2948" t="s">
        <v>2952</v>
      </c>
      <c r="Q28" s="2948" t="s">
        <v>2953</v>
      </c>
      <c r="R28" s="2948" t="s">
        <v>2954</v>
      </c>
    </row>
    <row r="29" spans="1:19" ht="14.25" customHeight="1" thickBot="1">
      <c r="A29" s="2956" t="s">
        <v>184</v>
      </c>
      <c r="B29" s="2958" t="s">
        <v>2921</v>
      </c>
      <c r="C29" s="2959"/>
      <c r="D29" s="2959">
        <v>29460</v>
      </c>
      <c r="E29" s="2959">
        <v>28640</v>
      </c>
      <c r="F29" s="2959"/>
      <c r="G29" s="2959">
        <v>21430</v>
      </c>
      <c r="L29" s="2948" t="s">
        <v>2955</v>
      </c>
      <c r="M29" s="2948" t="s">
        <v>2956</v>
      </c>
      <c r="N29" s="2948" t="s">
        <v>2957</v>
      </c>
      <c r="O29" s="2948" t="s">
        <v>2958</v>
      </c>
      <c r="P29" s="2948" t="s">
        <v>2959</v>
      </c>
      <c r="Q29" s="2948" t="s">
        <v>2960</v>
      </c>
      <c r="R29" s="2948" t="s">
        <v>280</v>
      </c>
    </row>
    <row r="30" spans="1:19" ht="14.25" customHeight="1">
      <c r="A30" s="2953" t="s">
        <v>296</v>
      </c>
      <c r="B30" s="2944" t="s">
        <v>2854</v>
      </c>
      <c r="C30" s="2944">
        <v>26890</v>
      </c>
      <c r="D30" s="2944">
        <v>26770</v>
      </c>
      <c r="E30" s="2944">
        <v>25700</v>
      </c>
      <c r="F30" s="2944">
        <v>8180</v>
      </c>
      <c r="G30" s="2960">
        <v>18740</v>
      </c>
      <c r="L30" s="2948" t="s">
        <v>2961</v>
      </c>
      <c r="M30" s="2948" t="s">
        <v>2962</v>
      </c>
      <c r="N30" s="2948" t="s">
        <v>2963</v>
      </c>
      <c r="O30" s="2948" t="s">
        <v>2964</v>
      </c>
      <c r="P30" s="2948" t="s">
        <v>2965</v>
      </c>
      <c r="Q30" s="2948" t="s">
        <v>2966</v>
      </c>
      <c r="R30" s="2948" t="s">
        <v>2967</v>
      </c>
    </row>
    <row r="31" spans="1:19" ht="14.25" customHeight="1">
      <c r="A31" s="2948" t="s">
        <v>296</v>
      </c>
      <c r="B31" s="2949" t="s">
        <v>129</v>
      </c>
      <c r="C31" s="2948">
        <v>24550</v>
      </c>
      <c r="D31" s="2948">
        <v>23990</v>
      </c>
      <c r="E31" s="2948">
        <v>22930</v>
      </c>
      <c r="F31" s="2948">
        <v>7470</v>
      </c>
      <c r="G31" s="2961">
        <v>16790</v>
      </c>
      <c r="L31" s="2948" t="s">
        <v>2968</v>
      </c>
      <c r="M31" s="2948" t="s">
        <v>2969</v>
      </c>
      <c r="N31" s="2948" t="s">
        <v>2970</v>
      </c>
      <c r="O31" s="2948" t="s">
        <v>2971</v>
      </c>
      <c r="P31" s="2948" t="s">
        <v>2972</v>
      </c>
      <c r="Q31" s="2948" t="s">
        <v>2973</v>
      </c>
      <c r="R31" s="2948" t="s">
        <v>2974</v>
      </c>
    </row>
    <row r="32" spans="1:19" ht="14.25" customHeight="1" thickBot="1">
      <c r="A32" s="2948" t="s">
        <v>296</v>
      </c>
      <c r="B32" s="2949" t="s">
        <v>138</v>
      </c>
      <c r="C32" s="2948">
        <v>27210</v>
      </c>
      <c r="D32" s="2948">
        <v>23240</v>
      </c>
      <c r="E32" s="2948">
        <v>23260</v>
      </c>
      <c r="F32" s="2948">
        <v>7130</v>
      </c>
      <c r="G32" s="2961">
        <v>16270</v>
      </c>
      <c r="L32" s="2948" t="s">
        <v>2975</v>
      </c>
      <c r="M32" s="2948" t="s">
        <v>2976</v>
      </c>
      <c r="N32" s="2948" t="s">
        <v>300</v>
      </c>
      <c r="O32" s="2948" t="s">
        <v>2977</v>
      </c>
      <c r="P32" s="2948" t="s">
        <v>299</v>
      </c>
      <c r="Q32" s="2948" t="s">
        <v>2978</v>
      </c>
      <c r="R32" s="2955" t="s">
        <v>2979</v>
      </c>
    </row>
    <row r="33" spans="1:17" ht="14.25" customHeight="1" thickBot="1">
      <c r="A33" s="2948" t="s">
        <v>296</v>
      </c>
      <c r="B33" s="2949" t="s">
        <v>147</v>
      </c>
      <c r="C33" s="2948">
        <v>27300</v>
      </c>
      <c r="D33" s="2948">
        <v>22980</v>
      </c>
      <c r="E33" s="2948">
        <v>24260</v>
      </c>
      <c r="F33" s="2948">
        <v>5860</v>
      </c>
      <c r="G33" s="2961">
        <v>16090</v>
      </c>
      <c r="L33" s="2955" t="s">
        <v>2980</v>
      </c>
      <c r="M33" s="2948" t="s">
        <v>2981</v>
      </c>
      <c r="N33" s="2948" t="s">
        <v>301</v>
      </c>
      <c r="O33" s="2948" t="s">
        <v>2982</v>
      </c>
      <c r="P33" s="2948" t="s">
        <v>2983</v>
      </c>
      <c r="Q33" s="2948" t="s">
        <v>2984</v>
      </c>
    </row>
    <row r="34" spans="1:17" ht="14.25" customHeight="1">
      <c r="A34" s="2948" t="s">
        <v>296</v>
      </c>
      <c r="B34" s="2949" t="s">
        <v>156</v>
      </c>
      <c r="C34" s="2948">
        <v>23090</v>
      </c>
      <c r="D34" s="2948">
        <v>23390</v>
      </c>
      <c r="E34" s="2948">
        <v>23510</v>
      </c>
      <c r="F34" s="2948">
        <v>6700</v>
      </c>
      <c r="G34" s="2961">
        <v>16370</v>
      </c>
      <c r="M34" s="2948" t="s">
        <v>2985</v>
      </c>
      <c r="N34" s="2948" t="s">
        <v>302</v>
      </c>
      <c r="O34" s="2948" t="s">
        <v>2986</v>
      </c>
      <c r="P34" s="2948" t="s">
        <v>2987</v>
      </c>
      <c r="Q34" s="2948" t="s">
        <v>2988</v>
      </c>
    </row>
    <row r="35" spans="1:17" ht="14.25" customHeight="1">
      <c r="A35" s="2948" t="s">
        <v>296</v>
      </c>
      <c r="B35" s="2949" t="s">
        <v>163</v>
      </c>
      <c r="C35" s="2948">
        <v>27270</v>
      </c>
      <c r="D35" s="2948">
        <v>24270</v>
      </c>
      <c r="E35" s="2948">
        <v>24950</v>
      </c>
      <c r="F35" s="2948">
        <v>6600</v>
      </c>
      <c r="G35" s="2961">
        <v>16990</v>
      </c>
      <c r="M35" s="2948" t="s">
        <v>2989</v>
      </c>
      <c r="N35" s="2948" t="s">
        <v>2990</v>
      </c>
      <c r="O35" s="2948" t="s">
        <v>2991</v>
      </c>
      <c r="P35" s="2948" t="s">
        <v>2992</v>
      </c>
      <c r="Q35" s="2948" t="s">
        <v>2993</v>
      </c>
    </row>
    <row r="36" spans="1:17" ht="14.25" customHeight="1">
      <c r="A36" s="2948" t="s">
        <v>296</v>
      </c>
      <c r="B36" s="2949" t="s">
        <v>169</v>
      </c>
      <c r="C36" s="2948">
        <v>23490</v>
      </c>
      <c r="D36" s="2948">
        <v>23020</v>
      </c>
      <c r="E36" s="2948">
        <v>25230</v>
      </c>
      <c r="F36" s="2948">
        <v>6780</v>
      </c>
      <c r="G36" s="2961">
        <v>16120</v>
      </c>
      <c r="M36" s="2948" t="s">
        <v>2994</v>
      </c>
      <c r="N36" s="2948" t="s">
        <v>2995</v>
      </c>
      <c r="O36" s="2948" t="s">
        <v>2996</v>
      </c>
      <c r="P36" s="2948" t="s">
        <v>2997</v>
      </c>
      <c r="Q36" s="2948" t="s">
        <v>2998</v>
      </c>
    </row>
    <row r="37" spans="1:17" ht="14.25" customHeight="1">
      <c r="A37" s="2948" t="s">
        <v>296</v>
      </c>
      <c r="B37" s="2949" t="s">
        <v>176</v>
      </c>
      <c r="C37" s="2948">
        <v>24380</v>
      </c>
      <c r="D37" s="2948">
        <v>22240</v>
      </c>
      <c r="E37" s="2948">
        <v>25980</v>
      </c>
      <c r="F37" s="2948">
        <v>8160</v>
      </c>
      <c r="G37" s="2961">
        <v>15570</v>
      </c>
      <c r="M37" s="2948" t="s">
        <v>2999</v>
      </c>
      <c r="N37" s="2948" t="s">
        <v>3000</v>
      </c>
      <c r="O37" s="2948" t="s">
        <v>3001</v>
      </c>
      <c r="P37" s="2948" t="s">
        <v>3002</v>
      </c>
      <c r="Q37" s="2948" t="s">
        <v>3003</v>
      </c>
    </row>
    <row r="38" spans="1:17" ht="14.25" customHeight="1">
      <c r="A38" s="2948" t="s">
        <v>296</v>
      </c>
      <c r="B38" s="2949" t="s">
        <v>186</v>
      </c>
      <c r="C38" s="2948">
        <v>23120</v>
      </c>
      <c r="D38" s="2948">
        <v>24630</v>
      </c>
      <c r="E38" s="2948">
        <v>25030</v>
      </c>
      <c r="F38" s="2948">
        <v>7710</v>
      </c>
      <c r="G38" s="2961">
        <v>17240</v>
      </c>
      <c r="M38" s="2948" t="s">
        <v>3004</v>
      </c>
      <c r="N38" s="2948" t="s">
        <v>3005</v>
      </c>
      <c r="O38" s="2948" t="s">
        <v>3006</v>
      </c>
      <c r="P38" s="2948" t="s">
        <v>3007</v>
      </c>
      <c r="Q38" s="2948" t="s">
        <v>3008</v>
      </c>
    </row>
    <row r="39" spans="1:17" ht="14.25" customHeight="1">
      <c r="A39" s="2948" t="s">
        <v>296</v>
      </c>
      <c r="B39" s="2949" t="s">
        <v>195</v>
      </c>
      <c r="C39" s="2948">
        <v>22330</v>
      </c>
      <c r="D39" s="2948">
        <v>21140</v>
      </c>
      <c r="E39" s="2948">
        <v>23970</v>
      </c>
      <c r="F39" s="2948">
        <v>7940</v>
      </c>
      <c r="G39" s="2961">
        <v>14790</v>
      </c>
      <c r="M39" s="2948" t="s">
        <v>3009</v>
      </c>
      <c r="N39" s="2948" t="s">
        <v>3010</v>
      </c>
      <c r="O39" s="2948" t="s">
        <v>3011</v>
      </c>
      <c r="P39" s="2948" t="s">
        <v>3012</v>
      </c>
      <c r="Q39" s="2948" t="s">
        <v>3013</v>
      </c>
    </row>
    <row r="40" spans="1:17" ht="14.25" customHeight="1">
      <c r="A40" s="2948" t="s">
        <v>296</v>
      </c>
      <c r="B40" s="2949" t="s">
        <v>202</v>
      </c>
      <c r="C40" s="2948">
        <v>24740</v>
      </c>
      <c r="D40" s="2948">
        <v>24690</v>
      </c>
      <c r="E40" s="2948">
        <v>22610</v>
      </c>
      <c r="F40" s="2948"/>
      <c r="G40" s="2961">
        <v>17280</v>
      </c>
      <c r="M40" s="2948" t="s">
        <v>3014</v>
      </c>
      <c r="N40" s="2948" t="s">
        <v>3015</v>
      </c>
      <c r="O40" s="2948" t="s">
        <v>3016</v>
      </c>
      <c r="P40" s="2948" t="s">
        <v>3017</v>
      </c>
      <c r="Q40" s="2948" t="s">
        <v>3018</v>
      </c>
    </row>
    <row r="41" spans="1:17" ht="14.25" customHeight="1" thickBot="1">
      <c r="A41" s="2948" t="s">
        <v>296</v>
      </c>
      <c r="B41" s="2949" t="s">
        <v>209</v>
      </c>
      <c r="C41" s="2948">
        <v>21220</v>
      </c>
      <c r="D41" s="2948">
        <v>21120</v>
      </c>
      <c r="E41" s="2948">
        <v>22590</v>
      </c>
      <c r="F41" s="2948"/>
      <c r="G41" s="2961">
        <v>14780</v>
      </c>
      <c r="M41" s="2955" t="s">
        <v>3019</v>
      </c>
      <c r="N41" s="2948" t="s">
        <v>3020</v>
      </c>
      <c r="O41" s="2948" t="s">
        <v>3021</v>
      </c>
      <c r="P41" s="2948" t="s">
        <v>3022</v>
      </c>
      <c r="Q41" s="2948" t="s">
        <v>3023</v>
      </c>
    </row>
    <row r="42" spans="1:17" ht="14.25" customHeight="1">
      <c r="A42" s="2948" t="s">
        <v>296</v>
      </c>
      <c r="B42" s="2949" t="s">
        <v>215</v>
      </c>
      <c r="C42" s="2948">
        <v>24800</v>
      </c>
      <c r="D42" s="2948">
        <v>22280</v>
      </c>
      <c r="E42" s="2948">
        <v>24350</v>
      </c>
      <c r="F42" s="2948"/>
      <c r="G42" s="2961">
        <v>15590</v>
      </c>
      <c r="N42" s="2948" t="s">
        <v>3024</v>
      </c>
      <c r="O42" s="2948" t="s">
        <v>3025</v>
      </c>
      <c r="P42" s="2948" t="s">
        <v>3026</v>
      </c>
      <c r="Q42" s="2948" t="s">
        <v>3027</v>
      </c>
    </row>
    <row r="43" spans="1:17" ht="14.25" customHeight="1">
      <c r="A43" s="2948" t="s">
        <v>3028</v>
      </c>
      <c r="B43" s="2949" t="s">
        <v>223</v>
      </c>
      <c r="C43" s="2948">
        <v>21210</v>
      </c>
      <c r="D43" s="2948">
        <v>21160</v>
      </c>
      <c r="E43" s="2948">
        <v>22650</v>
      </c>
      <c r="F43" s="2948"/>
      <c r="G43" s="2961">
        <v>14800</v>
      </c>
      <c r="N43" s="2948" t="s">
        <v>3029</v>
      </c>
      <c r="O43" s="2948" t="s">
        <v>3030</v>
      </c>
      <c r="P43" s="2948" t="s">
        <v>3031</v>
      </c>
      <c r="Q43" s="2948" t="s">
        <v>3032</v>
      </c>
    </row>
    <row r="44" spans="1:17" ht="14.25" customHeight="1" thickBot="1">
      <c r="A44" s="2948" t="s">
        <v>296</v>
      </c>
      <c r="B44" s="2949" t="s">
        <v>231</v>
      </c>
      <c r="C44" s="2948">
        <v>22370</v>
      </c>
      <c r="D44" s="2948">
        <v>23140</v>
      </c>
      <c r="E44" s="2948">
        <v>25090</v>
      </c>
      <c r="F44" s="2948"/>
      <c r="G44" s="2961">
        <v>16190</v>
      </c>
      <c r="N44" s="2948" t="s">
        <v>3033</v>
      </c>
      <c r="O44" s="2948" t="s">
        <v>3034</v>
      </c>
      <c r="P44" s="2955" t="s">
        <v>3035</v>
      </c>
      <c r="Q44" s="2948" t="s">
        <v>3036</v>
      </c>
    </row>
    <row r="45" spans="1:17" ht="14.25" customHeight="1" thickBot="1">
      <c r="A45" s="2948" t="s">
        <v>296</v>
      </c>
      <c r="B45" s="2949" t="s">
        <v>236</v>
      </c>
      <c r="C45" s="2948">
        <v>21240</v>
      </c>
      <c r="D45" s="2948">
        <v>27050</v>
      </c>
      <c r="E45" s="2948">
        <v>28000</v>
      </c>
      <c r="F45" s="2948"/>
      <c r="G45" s="2961">
        <v>18940</v>
      </c>
      <c r="N45" s="2948" t="s">
        <v>3037</v>
      </c>
      <c r="O45" s="2955" t="s">
        <v>3038</v>
      </c>
      <c r="Q45" s="2948" t="s">
        <v>3039</v>
      </c>
    </row>
    <row r="46" spans="1:17" ht="14.25" customHeight="1">
      <c r="A46" s="2948" t="s">
        <v>296</v>
      </c>
      <c r="B46" s="2949" t="s">
        <v>245</v>
      </c>
      <c r="C46" s="2948">
        <v>23240</v>
      </c>
      <c r="D46" s="2948">
        <v>23000</v>
      </c>
      <c r="E46" s="2948">
        <v>24980</v>
      </c>
      <c r="F46" s="2948"/>
      <c r="G46" s="2961">
        <v>16100</v>
      </c>
      <c r="N46" s="2948" t="s">
        <v>3040</v>
      </c>
      <c r="Q46" s="2948" t="s">
        <v>3041</v>
      </c>
    </row>
    <row r="47" spans="1:17" ht="14.25" customHeight="1">
      <c r="A47" s="2948" t="s">
        <v>296</v>
      </c>
      <c r="B47" s="2949" t="s">
        <v>252</v>
      </c>
      <c r="C47" s="2948">
        <v>27150</v>
      </c>
      <c r="D47" s="2948">
        <v>23310</v>
      </c>
      <c r="E47" s="2948">
        <v>25150</v>
      </c>
      <c r="F47" s="2948"/>
      <c r="G47" s="2961">
        <v>16310</v>
      </c>
      <c r="N47" s="2948" t="s">
        <v>3042</v>
      </c>
      <c r="Q47" s="2948" t="s">
        <v>3043</v>
      </c>
    </row>
    <row r="48" spans="1:17" ht="14.25" customHeight="1">
      <c r="A48" s="2948" t="s">
        <v>296</v>
      </c>
      <c r="B48" s="2949" t="s">
        <v>260</v>
      </c>
      <c r="C48" s="2948">
        <v>23100</v>
      </c>
      <c r="D48" s="2948">
        <v>21110</v>
      </c>
      <c r="E48" s="2948">
        <v>23080</v>
      </c>
      <c r="F48" s="2948"/>
      <c r="G48" s="2961">
        <v>14780</v>
      </c>
      <c r="N48" s="2948" t="s">
        <v>3044</v>
      </c>
      <c r="Q48" s="2948" t="s">
        <v>3045</v>
      </c>
    </row>
    <row r="49" spans="1:17" ht="14.25" customHeight="1">
      <c r="A49" s="2948" t="s">
        <v>296</v>
      </c>
      <c r="B49" s="2949" t="s">
        <v>267</v>
      </c>
      <c r="C49" s="2948">
        <v>23400</v>
      </c>
      <c r="D49" s="2948">
        <v>22920</v>
      </c>
      <c r="E49" s="2948">
        <v>24900</v>
      </c>
      <c r="F49" s="2948"/>
      <c r="G49" s="2961">
        <v>16040</v>
      </c>
      <c r="N49" s="2948" t="s">
        <v>3046</v>
      </c>
      <c r="Q49" s="2948" t="s">
        <v>3047</v>
      </c>
    </row>
    <row r="50" spans="1:17" ht="14.25" customHeight="1">
      <c r="A50" s="2948" t="s">
        <v>296</v>
      </c>
      <c r="B50" s="2949" t="s">
        <v>2924</v>
      </c>
      <c r="C50" s="2948">
        <v>21200</v>
      </c>
      <c r="D50" s="2948">
        <v>26540</v>
      </c>
      <c r="E50" s="2948">
        <v>23200</v>
      </c>
      <c r="F50" s="2948"/>
      <c r="G50" s="2961">
        <v>18580</v>
      </c>
      <c r="N50" s="2948" t="s">
        <v>3048</v>
      </c>
      <c r="Q50" s="2949" t="s">
        <v>3049</v>
      </c>
    </row>
    <row r="51" spans="1:17" ht="14.25" customHeight="1" thickBot="1">
      <c r="A51" s="2948" t="s">
        <v>296</v>
      </c>
      <c r="B51" s="2949" t="s">
        <v>2926</v>
      </c>
      <c r="C51" s="2948">
        <v>23000</v>
      </c>
      <c r="D51" s="2948">
        <v>23460</v>
      </c>
      <c r="E51" s="2948">
        <v>25290</v>
      </c>
      <c r="F51" s="2948"/>
      <c r="G51" s="2961">
        <v>16420</v>
      </c>
      <c r="N51" s="2948" t="s">
        <v>3050</v>
      </c>
      <c r="Q51" s="2955" t="s">
        <v>3051</v>
      </c>
    </row>
    <row r="52" spans="1:17" ht="14.25" customHeight="1">
      <c r="A52" s="2948" t="s">
        <v>296</v>
      </c>
      <c r="B52" s="2949" t="s">
        <v>2930</v>
      </c>
      <c r="C52" s="2948">
        <v>26660</v>
      </c>
      <c r="D52" s="2948">
        <v>22350</v>
      </c>
      <c r="E52" s="2948">
        <v>22920</v>
      </c>
      <c r="F52" s="2948"/>
      <c r="G52" s="2961">
        <v>15640</v>
      </c>
      <c r="N52" s="2948" t="s">
        <v>3052</v>
      </c>
    </row>
    <row r="53" spans="1:17" ht="14.25" customHeight="1">
      <c r="A53" s="2948" t="s">
        <v>296</v>
      </c>
      <c r="B53" s="2949" t="s">
        <v>2935</v>
      </c>
      <c r="C53" s="2948">
        <v>23580</v>
      </c>
      <c r="D53" s="2948"/>
      <c r="E53" s="2948">
        <v>24280</v>
      </c>
      <c r="F53" s="2948"/>
      <c r="G53" s="2961"/>
      <c r="N53" s="2948" t="s">
        <v>3053</v>
      </c>
    </row>
    <row r="54" spans="1:17" ht="14.25" customHeight="1" thickBot="1">
      <c r="A54" s="2962" t="s">
        <v>296</v>
      </c>
      <c r="B54" s="2954" t="s">
        <v>2938</v>
      </c>
      <c r="C54" s="2955">
        <v>22460</v>
      </c>
      <c r="D54" s="2955"/>
      <c r="E54" s="2955"/>
      <c r="F54" s="2955"/>
      <c r="G54" s="2963"/>
      <c r="N54" s="2948" t="s">
        <v>3054</v>
      </c>
    </row>
    <row r="55" spans="1:17" ht="14.25" customHeight="1">
      <c r="A55" s="2953" t="s">
        <v>110</v>
      </c>
      <c r="B55" s="2944" t="s">
        <v>3055</v>
      </c>
      <c r="C55" s="2948">
        <v>21970</v>
      </c>
      <c r="D55" s="2948">
        <v>20370</v>
      </c>
      <c r="E55" s="2948">
        <v>20180</v>
      </c>
      <c r="F55" s="2948">
        <v>5730</v>
      </c>
      <c r="G55" s="2948">
        <v>13820</v>
      </c>
      <c r="N55" s="2948" t="s">
        <v>3056</v>
      </c>
    </row>
    <row r="56" spans="1:17" ht="14.25" customHeight="1">
      <c r="A56" s="2948" t="s">
        <v>110</v>
      </c>
      <c r="B56" s="2948" t="s">
        <v>130</v>
      </c>
      <c r="C56" s="2948">
        <v>20470</v>
      </c>
      <c r="D56" s="2948">
        <v>20700</v>
      </c>
      <c r="E56" s="2948">
        <v>20380</v>
      </c>
      <c r="F56" s="2948">
        <v>4760</v>
      </c>
      <c r="G56" s="2948">
        <v>14050</v>
      </c>
      <c r="N56" s="2948" t="s">
        <v>3057</v>
      </c>
    </row>
    <row r="57" spans="1:17" ht="14.25" customHeight="1">
      <c r="A57" s="2948" t="s">
        <v>110</v>
      </c>
      <c r="B57" s="2948" t="s">
        <v>139</v>
      </c>
      <c r="C57" s="2948">
        <v>20790</v>
      </c>
      <c r="D57" s="2948">
        <v>21370</v>
      </c>
      <c r="E57" s="2948">
        <v>20890</v>
      </c>
      <c r="F57" s="2948">
        <v>4910</v>
      </c>
      <c r="G57" s="2948">
        <v>14510</v>
      </c>
      <c r="N57" s="2948" t="s">
        <v>3058</v>
      </c>
    </row>
    <row r="58" spans="1:17" ht="14.25" customHeight="1">
      <c r="A58" s="2948" t="s">
        <v>110</v>
      </c>
      <c r="B58" s="2948" t="s">
        <v>148</v>
      </c>
      <c r="C58" s="2948">
        <v>21460</v>
      </c>
      <c r="D58" s="2948">
        <v>20920</v>
      </c>
      <c r="E58" s="2948">
        <v>23410</v>
      </c>
      <c r="F58" s="2948">
        <v>5100</v>
      </c>
      <c r="G58" s="2948">
        <v>14200</v>
      </c>
      <c r="N58" s="2948" t="s">
        <v>3059</v>
      </c>
    </row>
    <row r="59" spans="1:17" ht="14.25" customHeight="1">
      <c r="A59" s="2948" t="s">
        <v>110</v>
      </c>
      <c r="B59" s="2948" t="s">
        <v>157</v>
      </c>
      <c r="C59" s="2948">
        <v>21000</v>
      </c>
      <c r="D59" s="2948">
        <v>21550</v>
      </c>
      <c r="E59" s="2948">
        <v>21150</v>
      </c>
      <c r="F59" s="2948">
        <v>5250</v>
      </c>
      <c r="G59" s="2948">
        <v>14630</v>
      </c>
      <c r="N59" s="2948" t="s">
        <v>3060</v>
      </c>
    </row>
    <row r="60" spans="1:17" ht="14.25" customHeight="1">
      <c r="A60" s="2948" t="s">
        <v>110</v>
      </c>
      <c r="B60" s="2948" t="s">
        <v>164</v>
      </c>
      <c r="C60" s="2948">
        <v>21640</v>
      </c>
      <c r="D60" s="2948">
        <v>21260</v>
      </c>
      <c r="E60" s="2948">
        <v>24040</v>
      </c>
      <c r="F60" s="2948">
        <v>4470</v>
      </c>
      <c r="G60" s="2948">
        <v>14430</v>
      </c>
      <c r="N60" s="2948" t="s">
        <v>3061</v>
      </c>
    </row>
    <row r="61" spans="1:17" ht="14.25" customHeight="1">
      <c r="A61" s="2948" t="s">
        <v>110</v>
      </c>
      <c r="B61" s="2948" t="s">
        <v>170</v>
      </c>
      <c r="C61" s="2948">
        <v>21330</v>
      </c>
      <c r="D61" s="2948">
        <v>18640</v>
      </c>
      <c r="E61" s="2948">
        <v>21190</v>
      </c>
      <c r="F61" s="2948">
        <v>4180</v>
      </c>
      <c r="G61" s="2948">
        <v>12650</v>
      </c>
      <c r="N61" s="2948" t="s">
        <v>3062</v>
      </c>
    </row>
    <row r="62" spans="1:17" ht="14.25" customHeight="1">
      <c r="A62" s="2948" t="s">
        <v>110</v>
      </c>
      <c r="B62" s="2948" t="s">
        <v>177</v>
      </c>
      <c r="C62" s="2948">
        <v>18710</v>
      </c>
      <c r="D62" s="2948">
        <v>19400</v>
      </c>
      <c r="E62" s="2948">
        <v>23750</v>
      </c>
      <c r="F62" s="2948">
        <v>4860</v>
      </c>
      <c r="G62" s="2948">
        <v>13170</v>
      </c>
      <c r="N62" s="2948" t="s">
        <v>3063</v>
      </c>
    </row>
    <row r="63" spans="1:17" ht="14.25" customHeight="1">
      <c r="A63" s="2948" t="s">
        <v>110</v>
      </c>
      <c r="B63" s="2948" t="s">
        <v>187</v>
      </c>
      <c r="C63" s="2948">
        <v>19480</v>
      </c>
      <c r="D63" s="2948">
        <v>16830</v>
      </c>
      <c r="E63" s="2948">
        <v>21590</v>
      </c>
      <c r="F63" s="2948">
        <v>4560</v>
      </c>
      <c r="G63" s="2948">
        <v>11420</v>
      </c>
      <c r="N63" s="2948" t="s">
        <v>3064</v>
      </c>
    </row>
    <row r="64" spans="1:17" ht="14.25" customHeight="1" thickBot="1">
      <c r="A64" s="2948" t="s">
        <v>110</v>
      </c>
      <c r="B64" s="2948" t="s">
        <v>196</v>
      </c>
      <c r="C64" s="2948">
        <v>16920</v>
      </c>
      <c r="D64" s="2948">
        <v>19190</v>
      </c>
      <c r="E64" s="2948">
        <v>22200</v>
      </c>
      <c r="F64" s="2948">
        <v>4390</v>
      </c>
      <c r="G64" s="2948">
        <v>13030</v>
      </c>
      <c r="N64" s="2955" t="s">
        <v>3065</v>
      </c>
    </row>
    <row r="65" spans="1:7" s="2782" customFormat="1" ht="14.25" customHeight="1">
      <c r="A65" s="2948" t="s">
        <v>110</v>
      </c>
      <c r="B65" s="2948" t="s">
        <v>203</v>
      </c>
      <c r="C65" s="2948">
        <v>19290</v>
      </c>
      <c r="D65" s="2948">
        <v>17020</v>
      </c>
      <c r="E65" s="2948">
        <v>19880</v>
      </c>
      <c r="F65" s="2948">
        <v>4070</v>
      </c>
      <c r="G65" s="2948">
        <v>11550</v>
      </c>
    </row>
    <row r="66" spans="1:7" s="2782" customFormat="1" ht="14.25" customHeight="1">
      <c r="A66" s="2948" t="s">
        <v>110</v>
      </c>
      <c r="B66" s="2948" t="s">
        <v>210</v>
      </c>
      <c r="C66" s="2948">
        <v>17090</v>
      </c>
      <c r="D66" s="2948">
        <v>18340</v>
      </c>
      <c r="E66" s="2948">
        <v>21830</v>
      </c>
      <c r="F66" s="2948">
        <v>4690</v>
      </c>
      <c r="G66" s="2948">
        <v>12450</v>
      </c>
    </row>
    <row r="67" spans="1:7" s="2782" customFormat="1" ht="14.25" customHeight="1">
      <c r="A67" s="2948" t="s">
        <v>110</v>
      </c>
      <c r="B67" s="2948" t="s">
        <v>216</v>
      </c>
      <c r="C67" s="2948">
        <v>18420</v>
      </c>
      <c r="D67" s="2948">
        <v>16360</v>
      </c>
      <c r="E67" s="2948">
        <v>20020</v>
      </c>
      <c r="F67" s="2948">
        <v>5150</v>
      </c>
      <c r="G67" s="2948">
        <v>11110</v>
      </c>
    </row>
    <row r="68" spans="1:7" s="2782" customFormat="1" ht="14.25" customHeight="1">
      <c r="A68" s="2948" t="s">
        <v>110</v>
      </c>
      <c r="B68" s="2948" t="s">
        <v>224</v>
      </c>
      <c r="C68" s="2948">
        <v>16450</v>
      </c>
      <c r="D68" s="2948">
        <v>18430</v>
      </c>
      <c r="E68" s="2948">
        <v>21010</v>
      </c>
      <c r="F68" s="2948">
        <v>4720</v>
      </c>
      <c r="G68" s="2948">
        <v>12510</v>
      </c>
    </row>
    <row r="69" spans="1:7" s="2782" customFormat="1" ht="14.25" customHeight="1">
      <c r="A69" s="2948" t="s">
        <v>110</v>
      </c>
      <c r="B69" s="2948" t="s">
        <v>232</v>
      </c>
      <c r="C69" s="2948">
        <v>18510</v>
      </c>
      <c r="D69" s="2948">
        <v>16300</v>
      </c>
      <c r="E69" s="2948">
        <v>18830</v>
      </c>
      <c r="F69" s="2948">
        <v>5400</v>
      </c>
      <c r="G69" s="2948">
        <v>11070</v>
      </c>
    </row>
    <row r="70" spans="1:7" s="2782" customFormat="1" ht="14.25" customHeight="1">
      <c r="A70" s="2948" t="s">
        <v>110</v>
      </c>
      <c r="B70" s="2948" t="s">
        <v>237</v>
      </c>
      <c r="C70" s="2948">
        <v>16370</v>
      </c>
      <c r="D70" s="2948">
        <v>18620</v>
      </c>
      <c r="E70" s="2948">
        <v>21100</v>
      </c>
      <c r="F70" s="2948">
        <v>5700</v>
      </c>
      <c r="G70" s="2948">
        <v>12640</v>
      </c>
    </row>
    <row r="71" spans="1:7" s="2782" customFormat="1" ht="14.25" customHeight="1">
      <c r="A71" s="2948" t="s">
        <v>110</v>
      </c>
      <c r="B71" s="2948" t="s">
        <v>246</v>
      </c>
      <c r="C71" s="2948">
        <v>18700</v>
      </c>
      <c r="D71" s="2948">
        <v>16290</v>
      </c>
      <c r="E71" s="2948">
        <v>18760</v>
      </c>
      <c r="F71" s="2948">
        <v>4780</v>
      </c>
      <c r="G71" s="2948">
        <v>11050</v>
      </c>
    </row>
    <row r="72" spans="1:7" s="2782" customFormat="1" ht="14.25" customHeight="1">
      <c r="A72" s="2948" t="s">
        <v>110</v>
      </c>
      <c r="B72" s="2948" t="s">
        <v>253</v>
      </c>
      <c r="C72" s="2948">
        <v>16340</v>
      </c>
      <c r="D72" s="2948">
        <v>17520</v>
      </c>
      <c r="E72" s="2948">
        <v>21170</v>
      </c>
      <c r="F72" s="2948"/>
      <c r="G72" s="2948">
        <v>11900</v>
      </c>
    </row>
    <row r="73" spans="1:7" s="2782" customFormat="1" ht="14.25" customHeight="1">
      <c r="A73" s="2948" t="s">
        <v>110</v>
      </c>
      <c r="B73" s="2948" t="s">
        <v>261</v>
      </c>
      <c r="C73" s="2948">
        <v>17610</v>
      </c>
      <c r="D73" s="2948">
        <v>18520</v>
      </c>
      <c r="E73" s="2948">
        <v>18720</v>
      </c>
      <c r="F73" s="2948"/>
      <c r="G73" s="2948">
        <v>12570</v>
      </c>
    </row>
    <row r="74" spans="1:7" s="2782" customFormat="1" ht="14.25" customHeight="1">
      <c r="A74" s="2948" t="s">
        <v>110</v>
      </c>
      <c r="B74" s="2948" t="s">
        <v>268</v>
      </c>
      <c r="C74" s="2948">
        <v>18600</v>
      </c>
      <c r="D74" s="2948">
        <v>16480</v>
      </c>
      <c r="E74" s="2948">
        <v>20100</v>
      </c>
      <c r="F74" s="2948"/>
      <c r="G74" s="2948">
        <v>11190</v>
      </c>
    </row>
    <row r="75" spans="1:7" s="2782" customFormat="1" ht="14.25" customHeight="1">
      <c r="A75" s="2948" t="s">
        <v>110</v>
      </c>
      <c r="B75" s="2948" t="s">
        <v>272</v>
      </c>
      <c r="C75" s="2948">
        <v>16570</v>
      </c>
      <c r="D75" s="2948">
        <v>17530</v>
      </c>
      <c r="E75" s="2948">
        <v>21030</v>
      </c>
      <c r="F75" s="2948"/>
      <c r="G75" s="2948">
        <v>11900</v>
      </c>
    </row>
    <row r="76" spans="1:7" s="2782" customFormat="1" ht="14.25" customHeight="1">
      <c r="A76" s="2948" t="s">
        <v>110</v>
      </c>
      <c r="B76" s="2948" t="s">
        <v>278</v>
      </c>
      <c r="C76" s="2948">
        <v>17610</v>
      </c>
      <c r="D76" s="2948">
        <v>20800</v>
      </c>
      <c r="E76" s="2948">
        <v>18920</v>
      </c>
      <c r="F76" s="2948"/>
      <c r="G76" s="2948">
        <v>14120</v>
      </c>
    </row>
    <row r="77" spans="1:7" s="2782" customFormat="1" ht="14.25" customHeight="1">
      <c r="A77" s="2948" t="s">
        <v>110</v>
      </c>
      <c r="B77" s="2948" t="s">
        <v>281</v>
      </c>
      <c r="C77" s="2948">
        <v>20890</v>
      </c>
      <c r="D77" s="2948">
        <v>19740</v>
      </c>
      <c r="E77" s="2948">
        <v>20110</v>
      </c>
      <c r="F77" s="2948"/>
      <c r="G77" s="2948">
        <v>13400</v>
      </c>
    </row>
    <row r="78" spans="1:7" s="2782" customFormat="1" ht="14.25" customHeight="1">
      <c r="A78" s="2948" t="s">
        <v>110</v>
      </c>
      <c r="B78" s="2948" t="s">
        <v>2936</v>
      </c>
      <c r="C78" s="2948">
        <v>19820</v>
      </c>
      <c r="D78" s="2948">
        <v>19780</v>
      </c>
      <c r="E78" s="2948">
        <v>18560</v>
      </c>
      <c r="F78" s="2948"/>
      <c r="G78" s="2948">
        <v>13430</v>
      </c>
    </row>
    <row r="79" spans="1:7" s="2782" customFormat="1" ht="14.25" customHeight="1">
      <c r="A79" s="2948" t="s">
        <v>110</v>
      </c>
      <c r="B79" s="2948" t="s">
        <v>2939</v>
      </c>
      <c r="C79" s="2948">
        <v>21660</v>
      </c>
      <c r="D79" s="2948">
        <v>18000</v>
      </c>
      <c r="E79" s="2948">
        <v>22570</v>
      </c>
      <c r="F79" s="2948"/>
      <c r="G79" s="2948">
        <v>12220</v>
      </c>
    </row>
    <row r="80" spans="1:7" s="2782" customFormat="1" ht="14.25" customHeight="1">
      <c r="A80" s="2948" t="s">
        <v>110</v>
      </c>
      <c r="B80" s="2948" t="s">
        <v>2943</v>
      </c>
      <c r="C80" s="2948">
        <v>19850</v>
      </c>
      <c r="D80" s="2948"/>
      <c r="E80" s="2948">
        <v>21700</v>
      </c>
      <c r="F80" s="2948"/>
      <c r="G80" s="2948"/>
    </row>
    <row r="81" spans="1:7" s="2782" customFormat="1" ht="14.25" customHeight="1">
      <c r="A81" s="2948" t="s">
        <v>110</v>
      </c>
      <c r="B81" s="2948" t="s">
        <v>2948</v>
      </c>
      <c r="C81" s="2948">
        <v>18080</v>
      </c>
      <c r="D81" s="2948"/>
      <c r="E81" s="2948">
        <v>20900</v>
      </c>
      <c r="F81" s="2948"/>
      <c r="G81" s="2948"/>
    </row>
    <row r="82" spans="1:7" s="2782" customFormat="1" ht="14.25" customHeight="1">
      <c r="A82" s="2948" t="s">
        <v>110</v>
      </c>
      <c r="B82" s="2948" t="s">
        <v>2955</v>
      </c>
      <c r="C82" s="2948"/>
      <c r="D82" s="2948"/>
      <c r="E82" s="2948">
        <v>20840</v>
      </c>
      <c r="F82" s="2948"/>
      <c r="G82" s="2948"/>
    </row>
    <row r="83" spans="1:7" s="2782" customFormat="1" ht="14.25" customHeight="1">
      <c r="A83" s="2948" t="s">
        <v>110</v>
      </c>
      <c r="B83" s="2948" t="s">
        <v>3066</v>
      </c>
      <c r="C83" s="2948"/>
      <c r="D83" s="2948"/>
      <c r="E83" s="2948"/>
      <c r="F83" s="2948">
        <v>4770</v>
      </c>
      <c r="G83" s="2948"/>
    </row>
    <row r="84" spans="1:7" s="2782" customFormat="1" ht="14.25" customHeight="1">
      <c r="A84" s="2948" t="s">
        <v>110</v>
      </c>
      <c r="B84" s="2948" t="s">
        <v>3067</v>
      </c>
      <c r="C84" s="2948"/>
      <c r="D84" s="2948"/>
      <c r="E84" s="2948"/>
      <c r="F84" s="2948">
        <v>4600</v>
      </c>
      <c r="G84" s="2948"/>
    </row>
    <row r="85" spans="1:7" s="2782" customFormat="1" ht="14.25" customHeight="1">
      <c r="A85" s="2948" t="s">
        <v>110</v>
      </c>
      <c r="B85" s="2948" t="s">
        <v>3068</v>
      </c>
      <c r="C85" s="2948"/>
      <c r="D85" s="2948"/>
      <c r="E85" s="2948"/>
      <c r="F85" s="2948">
        <v>4680</v>
      </c>
      <c r="G85" s="2948"/>
    </row>
    <row r="86" spans="1:7" s="2782" customFormat="1" ht="14.25" customHeight="1" thickBot="1">
      <c r="A86" s="2956" t="s">
        <v>110</v>
      </c>
      <c r="B86" s="2958" t="s">
        <v>3069</v>
      </c>
      <c r="C86" s="2959">
        <v>16610</v>
      </c>
      <c r="D86" s="2959">
        <v>16540</v>
      </c>
      <c r="E86" s="2959">
        <v>18850</v>
      </c>
      <c r="F86" s="2959"/>
      <c r="G86" s="2959">
        <v>11220</v>
      </c>
    </row>
    <row r="87" spans="1:7" s="2782" customFormat="1" ht="14.25" customHeight="1">
      <c r="A87" s="2953" t="s">
        <v>303</v>
      </c>
      <c r="B87" s="2944" t="s">
        <v>3070</v>
      </c>
      <c r="C87" s="2944">
        <v>15240</v>
      </c>
      <c r="D87" s="2944">
        <v>15170</v>
      </c>
      <c r="E87" s="2944">
        <v>18260</v>
      </c>
      <c r="F87" s="2944">
        <v>3830</v>
      </c>
      <c r="G87" s="2960">
        <v>10020</v>
      </c>
    </row>
    <row r="88" spans="1:7" s="2782" customFormat="1" ht="14.25" customHeight="1">
      <c r="A88" s="2948" t="s">
        <v>303</v>
      </c>
      <c r="B88" s="2948" t="s">
        <v>131</v>
      </c>
      <c r="C88" s="2948">
        <v>17310</v>
      </c>
      <c r="D88" s="2948">
        <v>17220</v>
      </c>
      <c r="E88" s="2948">
        <v>18610</v>
      </c>
      <c r="F88" s="2948">
        <v>3990</v>
      </c>
      <c r="G88" s="2961">
        <v>11380</v>
      </c>
    </row>
    <row r="89" spans="1:7" s="2782" customFormat="1" ht="14.25" customHeight="1">
      <c r="A89" s="2948" t="s">
        <v>303</v>
      </c>
      <c r="B89" s="2948" t="s">
        <v>140</v>
      </c>
      <c r="C89" s="2948">
        <v>15600</v>
      </c>
      <c r="D89" s="2948">
        <v>15550</v>
      </c>
      <c r="E89" s="2948">
        <v>19200</v>
      </c>
      <c r="F89" s="2948">
        <v>4110</v>
      </c>
      <c r="G89" s="2961">
        <v>10270</v>
      </c>
    </row>
    <row r="90" spans="1:7" s="2782" customFormat="1" ht="14.25" customHeight="1">
      <c r="A90" s="2948" t="s">
        <v>303</v>
      </c>
      <c r="B90" s="2948" t="s">
        <v>149</v>
      </c>
      <c r="C90" s="2948">
        <v>17330</v>
      </c>
      <c r="D90" s="2948">
        <v>17240</v>
      </c>
      <c r="E90" s="2948">
        <v>18570</v>
      </c>
      <c r="F90" s="2948">
        <v>4070</v>
      </c>
      <c r="G90" s="2961">
        <v>11390</v>
      </c>
    </row>
    <row r="91" spans="1:7" s="2782" customFormat="1" ht="14.25" customHeight="1">
      <c r="A91" s="2948" t="s">
        <v>303</v>
      </c>
      <c r="B91" s="2948" t="s">
        <v>158</v>
      </c>
      <c r="C91" s="2948">
        <v>16330</v>
      </c>
      <c r="D91" s="2948">
        <v>16260</v>
      </c>
      <c r="E91" s="2948">
        <v>16800</v>
      </c>
      <c r="F91" s="2948">
        <v>3410</v>
      </c>
      <c r="G91" s="2961">
        <v>10740</v>
      </c>
    </row>
    <row r="92" spans="1:7" s="2782" customFormat="1" ht="14.25" customHeight="1">
      <c r="A92" s="2948" t="s">
        <v>303</v>
      </c>
      <c r="B92" s="2948" t="s">
        <v>165</v>
      </c>
      <c r="C92" s="2948">
        <v>15570</v>
      </c>
      <c r="D92" s="2948">
        <v>15500</v>
      </c>
      <c r="E92" s="2948">
        <v>17360</v>
      </c>
      <c r="F92" s="2948">
        <v>3510</v>
      </c>
      <c r="G92" s="2961">
        <v>10240</v>
      </c>
    </row>
    <row r="93" spans="1:7" s="2782" customFormat="1" ht="14.25" customHeight="1">
      <c r="A93" s="2948" t="s">
        <v>303</v>
      </c>
      <c r="B93" s="2948" t="s">
        <v>171</v>
      </c>
      <c r="C93" s="2948">
        <v>14000</v>
      </c>
      <c r="D93" s="2948">
        <v>13930</v>
      </c>
      <c r="E93" s="2948">
        <v>18200</v>
      </c>
      <c r="F93" s="2948">
        <v>3640</v>
      </c>
      <c r="G93" s="2961">
        <v>9210</v>
      </c>
    </row>
    <row r="94" spans="1:7" s="2782" customFormat="1" ht="14.25" customHeight="1">
      <c r="A94" s="2948" t="s">
        <v>303</v>
      </c>
      <c r="B94" s="2948" t="s">
        <v>178</v>
      </c>
      <c r="C94" s="2948">
        <v>14530</v>
      </c>
      <c r="D94" s="2948">
        <v>14470</v>
      </c>
      <c r="E94" s="2948">
        <v>18240</v>
      </c>
      <c r="F94" s="2948">
        <v>3180</v>
      </c>
      <c r="G94" s="2961">
        <v>9560</v>
      </c>
    </row>
    <row r="95" spans="1:7" s="2782" customFormat="1" ht="14.25" customHeight="1">
      <c r="A95" s="2948" t="s">
        <v>303</v>
      </c>
      <c r="B95" s="2948" t="s">
        <v>188</v>
      </c>
      <c r="C95" s="2948">
        <v>17330</v>
      </c>
      <c r="D95" s="2948">
        <v>17260</v>
      </c>
      <c r="E95" s="2948">
        <v>18420</v>
      </c>
      <c r="F95" s="2948">
        <v>3060</v>
      </c>
      <c r="G95" s="2961">
        <v>11410</v>
      </c>
    </row>
    <row r="96" spans="1:7" s="2782" customFormat="1" ht="14.25" customHeight="1">
      <c r="A96" s="2948" t="s">
        <v>303</v>
      </c>
      <c r="B96" s="2948" t="s">
        <v>197</v>
      </c>
      <c r="C96" s="2948">
        <v>15030</v>
      </c>
      <c r="D96" s="2948">
        <v>14970</v>
      </c>
      <c r="E96" s="2948">
        <v>17580</v>
      </c>
      <c r="F96" s="2948">
        <v>2970</v>
      </c>
      <c r="G96" s="2961">
        <v>9890</v>
      </c>
    </row>
    <row r="97" spans="1:7" s="2782" customFormat="1" ht="14.25" customHeight="1">
      <c r="A97" s="2948" t="s">
        <v>303</v>
      </c>
      <c r="B97" s="2948" t="s">
        <v>204</v>
      </c>
      <c r="C97" s="2948">
        <v>17400</v>
      </c>
      <c r="D97" s="2948">
        <v>17330</v>
      </c>
      <c r="E97" s="2948">
        <v>16430</v>
      </c>
      <c r="F97" s="2948">
        <v>2950</v>
      </c>
      <c r="G97" s="2961">
        <v>11450</v>
      </c>
    </row>
    <row r="98" spans="1:7" s="2782" customFormat="1" ht="14.25" customHeight="1">
      <c r="A98" s="2948" t="s">
        <v>303</v>
      </c>
      <c r="B98" s="2948" t="s">
        <v>211</v>
      </c>
      <c r="C98" s="2948">
        <v>15200</v>
      </c>
      <c r="D98" s="2948">
        <v>15120</v>
      </c>
      <c r="E98" s="2948">
        <v>17550</v>
      </c>
      <c r="F98" s="2948">
        <v>3080</v>
      </c>
      <c r="G98" s="2961">
        <v>9990</v>
      </c>
    </row>
    <row r="99" spans="1:7" s="2782" customFormat="1" ht="14.25" customHeight="1">
      <c r="A99" s="2948" t="s">
        <v>303</v>
      </c>
      <c r="B99" s="2948" t="s">
        <v>217</v>
      </c>
      <c r="C99" s="2948">
        <v>17520</v>
      </c>
      <c r="D99" s="2948">
        <v>17430</v>
      </c>
      <c r="E99" s="2948">
        <v>16350</v>
      </c>
      <c r="F99" s="2948">
        <v>3260</v>
      </c>
      <c r="G99" s="2961">
        <v>11510</v>
      </c>
    </row>
    <row r="100" spans="1:7" s="2782" customFormat="1" ht="14.25" customHeight="1">
      <c r="A100" s="2948" t="s">
        <v>303</v>
      </c>
      <c r="B100" s="2948" t="s">
        <v>225</v>
      </c>
      <c r="C100" s="2948">
        <v>15340</v>
      </c>
      <c r="D100" s="2948">
        <v>15260</v>
      </c>
      <c r="E100" s="2948">
        <v>15930</v>
      </c>
      <c r="F100" s="2948">
        <v>2740</v>
      </c>
      <c r="G100" s="2961">
        <v>10080</v>
      </c>
    </row>
    <row r="101" spans="1:7" s="2782" customFormat="1" ht="14.25" customHeight="1">
      <c r="A101" s="2948" t="s">
        <v>303</v>
      </c>
      <c r="B101" s="2948" t="s">
        <v>233</v>
      </c>
      <c r="C101" s="2948">
        <v>14620</v>
      </c>
      <c r="D101" s="2948">
        <v>14560</v>
      </c>
      <c r="E101" s="2948">
        <v>15570</v>
      </c>
      <c r="F101" s="2948">
        <v>3500</v>
      </c>
      <c r="G101" s="2961">
        <v>9630</v>
      </c>
    </row>
    <row r="102" spans="1:7" s="2782" customFormat="1" ht="14.25" customHeight="1">
      <c r="A102" s="2948" t="s">
        <v>303</v>
      </c>
      <c r="B102" s="2948" t="s">
        <v>238</v>
      </c>
      <c r="C102" s="2948">
        <v>13680</v>
      </c>
      <c r="D102" s="2948">
        <v>13610</v>
      </c>
      <c r="E102" s="2948">
        <v>15690</v>
      </c>
      <c r="F102" s="2948">
        <v>2870</v>
      </c>
      <c r="G102" s="2961">
        <v>8990</v>
      </c>
    </row>
    <row r="103" spans="1:7" s="2782" customFormat="1" ht="14.25" customHeight="1">
      <c r="A103" s="2948" t="s">
        <v>303</v>
      </c>
      <c r="B103" s="2948" t="s">
        <v>247</v>
      </c>
      <c r="C103" s="2948">
        <v>14620</v>
      </c>
      <c r="D103" s="2948">
        <v>14540</v>
      </c>
      <c r="E103" s="2948">
        <v>15240</v>
      </c>
      <c r="F103" s="2948">
        <v>2840</v>
      </c>
      <c r="G103" s="2961">
        <v>9610</v>
      </c>
    </row>
    <row r="104" spans="1:7" s="2782" customFormat="1" ht="14.25" customHeight="1">
      <c r="A104" s="2948" t="s">
        <v>303</v>
      </c>
      <c r="B104" s="2948" t="s">
        <v>254</v>
      </c>
      <c r="C104" s="2948">
        <v>13610</v>
      </c>
      <c r="D104" s="2948">
        <v>13540</v>
      </c>
      <c r="E104" s="2948">
        <v>15750</v>
      </c>
      <c r="F104" s="2948">
        <v>2770</v>
      </c>
      <c r="G104" s="2961">
        <v>8940</v>
      </c>
    </row>
    <row r="105" spans="1:7" s="2782" customFormat="1" ht="14.25" customHeight="1">
      <c r="A105" s="2948" t="s">
        <v>303</v>
      </c>
      <c r="B105" s="2948" t="s">
        <v>262</v>
      </c>
      <c r="C105" s="2948">
        <v>13310</v>
      </c>
      <c r="D105" s="2948">
        <v>13240</v>
      </c>
      <c r="E105" s="2948">
        <v>16280</v>
      </c>
      <c r="F105" s="2948">
        <v>3210</v>
      </c>
      <c r="G105" s="2961">
        <v>8750</v>
      </c>
    </row>
    <row r="106" spans="1:7" s="2782" customFormat="1" ht="14.25" customHeight="1">
      <c r="A106" s="2948" t="s">
        <v>303</v>
      </c>
      <c r="B106" s="2948" t="s">
        <v>269</v>
      </c>
      <c r="C106" s="2948">
        <v>13010</v>
      </c>
      <c r="D106" s="2948">
        <v>12930</v>
      </c>
      <c r="E106" s="2948">
        <v>14960</v>
      </c>
      <c r="F106" s="2948">
        <v>3530</v>
      </c>
      <c r="G106" s="2961">
        <v>8550</v>
      </c>
    </row>
    <row r="107" spans="1:7" s="2782" customFormat="1" ht="14.25" customHeight="1">
      <c r="A107" s="2948" t="s">
        <v>303</v>
      </c>
      <c r="B107" s="2948" t="s">
        <v>273</v>
      </c>
      <c r="C107" s="2948">
        <v>13070</v>
      </c>
      <c r="D107" s="2948">
        <v>13000</v>
      </c>
      <c r="E107" s="2948">
        <v>15910</v>
      </c>
      <c r="F107" s="2948">
        <v>3990</v>
      </c>
      <c r="G107" s="2961">
        <v>8580</v>
      </c>
    </row>
    <row r="108" spans="1:7" s="2782" customFormat="1" ht="14.25" customHeight="1">
      <c r="A108" s="2948" t="s">
        <v>303</v>
      </c>
      <c r="B108" s="2948" t="s">
        <v>279</v>
      </c>
      <c r="C108" s="2948">
        <v>12640</v>
      </c>
      <c r="D108" s="2948">
        <v>12580</v>
      </c>
      <c r="E108" s="2948">
        <v>15730</v>
      </c>
      <c r="F108" s="2948"/>
      <c r="G108" s="2961">
        <v>8310</v>
      </c>
    </row>
    <row r="109" spans="1:7" s="2782" customFormat="1" ht="14.25" customHeight="1">
      <c r="A109" s="2948" t="s">
        <v>303</v>
      </c>
      <c r="B109" s="2948" t="s">
        <v>282</v>
      </c>
      <c r="C109" s="2948">
        <v>13130</v>
      </c>
      <c r="D109" s="2948">
        <v>13070</v>
      </c>
      <c r="E109" s="2948">
        <v>15000</v>
      </c>
      <c r="F109" s="2948"/>
      <c r="G109" s="2961">
        <v>8630</v>
      </c>
    </row>
    <row r="110" spans="1:7" s="2782" customFormat="1" ht="14.25" customHeight="1">
      <c r="A110" s="2948" t="s">
        <v>303</v>
      </c>
      <c r="B110" s="2948" t="s">
        <v>284</v>
      </c>
      <c r="C110" s="2948">
        <v>13560</v>
      </c>
      <c r="D110" s="2948">
        <v>13490</v>
      </c>
      <c r="E110" s="2948">
        <v>16300</v>
      </c>
      <c r="F110" s="2948"/>
      <c r="G110" s="2961">
        <v>8920</v>
      </c>
    </row>
    <row r="111" spans="1:7" s="2782" customFormat="1" ht="14.25" customHeight="1">
      <c r="A111" s="2948" t="s">
        <v>303</v>
      </c>
      <c r="B111" s="2948" t="s">
        <v>287</v>
      </c>
      <c r="C111" s="2948">
        <v>12440</v>
      </c>
      <c r="D111" s="2948">
        <v>12380</v>
      </c>
      <c r="E111" s="2948">
        <v>17850</v>
      </c>
      <c r="F111" s="2948"/>
      <c r="G111" s="2961">
        <v>8180</v>
      </c>
    </row>
    <row r="112" spans="1:7" s="2782" customFormat="1" ht="14.25" customHeight="1">
      <c r="A112" s="2948" t="s">
        <v>303</v>
      </c>
      <c r="B112" s="2948" t="s">
        <v>291</v>
      </c>
      <c r="C112" s="2948">
        <v>13260</v>
      </c>
      <c r="D112" s="2948">
        <v>13180</v>
      </c>
      <c r="E112" s="2948">
        <v>19740</v>
      </c>
      <c r="F112" s="2948"/>
      <c r="G112" s="2961">
        <v>8710</v>
      </c>
    </row>
    <row r="113" spans="1:7" s="2782" customFormat="1" ht="14.25" customHeight="1">
      <c r="A113" s="2948" t="s">
        <v>303</v>
      </c>
      <c r="B113" s="2948" t="s">
        <v>2949</v>
      </c>
      <c r="C113" s="2948">
        <v>15520</v>
      </c>
      <c r="D113" s="2948">
        <v>15450</v>
      </c>
      <c r="E113" s="2948"/>
      <c r="F113" s="2948"/>
      <c r="G113" s="2961">
        <v>10210</v>
      </c>
    </row>
    <row r="114" spans="1:7" s="2782" customFormat="1" ht="14.25" customHeight="1">
      <c r="A114" s="2948" t="s">
        <v>303</v>
      </c>
      <c r="B114" s="2948" t="s">
        <v>2956</v>
      </c>
      <c r="C114" s="2948">
        <v>13110</v>
      </c>
      <c r="D114" s="2948">
        <v>13050</v>
      </c>
      <c r="E114" s="2948"/>
      <c r="F114" s="2948"/>
      <c r="G114" s="2961">
        <v>8620</v>
      </c>
    </row>
    <row r="115" spans="1:7" s="2782" customFormat="1" ht="14.25" customHeight="1">
      <c r="A115" s="2948" t="s">
        <v>303</v>
      </c>
      <c r="B115" s="2948" t="s">
        <v>2962</v>
      </c>
      <c r="C115" s="2948">
        <v>12460</v>
      </c>
      <c r="D115" s="2948">
        <v>12390</v>
      </c>
      <c r="E115" s="2948"/>
      <c r="F115" s="2948"/>
      <c r="G115" s="2961">
        <v>8190</v>
      </c>
    </row>
    <row r="116" spans="1:7" s="2782" customFormat="1" ht="14.25" customHeight="1">
      <c r="A116" s="2948" t="s">
        <v>303</v>
      </c>
      <c r="B116" s="2948" t="s">
        <v>2969</v>
      </c>
      <c r="C116" s="2948">
        <v>13580</v>
      </c>
      <c r="D116" s="2948">
        <v>13520</v>
      </c>
      <c r="E116" s="2948"/>
      <c r="F116" s="2948"/>
      <c r="G116" s="2961">
        <v>8930</v>
      </c>
    </row>
    <row r="117" spans="1:7" s="2782" customFormat="1" ht="14.25" customHeight="1">
      <c r="A117" s="2948" t="s">
        <v>303</v>
      </c>
      <c r="B117" s="2948" t="s">
        <v>2976</v>
      </c>
      <c r="C117" s="2948">
        <v>17120</v>
      </c>
      <c r="D117" s="2948">
        <v>17040</v>
      </c>
      <c r="E117" s="2948"/>
      <c r="F117" s="2948"/>
      <c r="G117" s="2961">
        <v>11260</v>
      </c>
    </row>
    <row r="118" spans="1:7" s="2782" customFormat="1" ht="14.25" customHeight="1">
      <c r="A118" s="2948" t="s">
        <v>303</v>
      </c>
      <c r="B118" s="2948" t="s">
        <v>2981</v>
      </c>
      <c r="C118" s="2948">
        <v>14860</v>
      </c>
      <c r="D118" s="2948">
        <v>14790</v>
      </c>
      <c r="E118" s="2948"/>
      <c r="F118" s="2948"/>
      <c r="G118" s="2961">
        <v>9780</v>
      </c>
    </row>
    <row r="119" spans="1:7" s="2782" customFormat="1" ht="14.25" customHeight="1">
      <c r="A119" s="2948" t="s">
        <v>303</v>
      </c>
      <c r="B119" s="2948" t="s">
        <v>2985</v>
      </c>
      <c r="C119" s="2948">
        <v>16470</v>
      </c>
      <c r="D119" s="2948">
        <v>16400</v>
      </c>
      <c r="E119" s="2948"/>
      <c r="F119" s="2948"/>
      <c r="G119" s="2961">
        <v>10840</v>
      </c>
    </row>
    <row r="120" spans="1:7" s="2782" customFormat="1" ht="14.25" customHeight="1">
      <c r="A120" s="2948" t="s">
        <v>303</v>
      </c>
      <c r="B120" s="2948" t="s">
        <v>3071</v>
      </c>
      <c r="C120" s="2948"/>
      <c r="D120" s="2948"/>
      <c r="E120" s="2948"/>
      <c r="F120" s="2948">
        <v>4160</v>
      </c>
      <c r="G120" s="2961"/>
    </row>
    <row r="121" spans="1:7" s="2782" customFormat="1" ht="14.25" customHeight="1">
      <c r="A121" s="2948" t="s">
        <v>303</v>
      </c>
      <c r="B121" s="2948" t="s">
        <v>3072</v>
      </c>
      <c r="C121" s="2948"/>
      <c r="D121" s="2948"/>
      <c r="E121" s="2948"/>
      <c r="F121" s="2948">
        <v>3880</v>
      </c>
      <c r="G121" s="2961"/>
    </row>
    <row r="122" spans="1:7" s="2782" customFormat="1" ht="14.25" customHeight="1">
      <c r="A122" s="2948" t="s">
        <v>303</v>
      </c>
      <c r="B122" s="2948" t="s">
        <v>3073</v>
      </c>
      <c r="C122" s="2948">
        <v>13750</v>
      </c>
      <c r="D122" s="2948">
        <v>13680</v>
      </c>
      <c r="E122" s="2948">
        <v>16460</v>
      </c>
      <c r="F122" s="2948">
        <v>2880</v>
      </c>
      <c r="G122" s="2961">
        <v>9040</v>
      </c>
    </row>
    <row r="123" spans="1:7" s="2782" customFormat="1" ht="14.25" customHeight="1">
      <c r="A123" s="2948" t="s">
        <v>303</v>
      </c>
      <c r="B123" s="2948" t="s">
        <v>3004</v>
      </c>
      <c r="C123" s="2948">
        <v>13590</v>
      </c>
      <c r="D123" s="2948">
        <v>13520</v>
      </c>
      <c r="E123" s="2948">
        <v>16290</v>
      </c>
      <c r="F123" s="2948">
        <v>2790</v>
      </c>
      <c r="G123" s="2961">
        <v>8930</v>
      </c>
    </row>
    <row r="124" spans="1:7" s="2782" customFormat="1" ht="14.25" customHeight="1">
      <c r="A124" s="2948" t="s">
        <v>303</v>
      </c>
      <c r="B124" s="2948" t="s">
        <v>3009</v>
      </c>
      <c r="C124" s="2948">
        <v>13400</v>
      </c>
      <c r="D124" s="2948">
        <v>13320</v>
      </c>
      <c r="E124" s="2948">
        <v>16100</v>
      </c>
      <c r="F124" s="2948">
        <v>2320</v>
      </c>
      <c r="G124" s="2961">
        <v>8800</v>
      </c>
    </row>
    <row r="125" spans="1:7" s="2782" customFormat="1" ht="14.25" customHeight="1">
      <c r="A125" s="2948" t="s">
        <v>303</v>
      </c>
      <c r="B125" s="2948" t="s">
        <v>3014</v>
      </c>
      <c r="C125" s="2948">
        <v>12860</v>
      </c>
      <c r="D125" s="2948">
        <v>12790</v>
      </c>
      <c r="E125" s="2948">
        <v>15370</v>
      </c>
      <c r="F125" s="2948">
        <v>2280</v>
      </c>
      <c r="G125" s="2961">
        <v>8450</v>
      </c>
    </row>
    <row r="126" spans="1:7" s="2782" customFormat="1" ht="14.25" customHeight="1" thickBot="1">
      <c r="A126" s="2962" t="s">
        <v>303</v>
      </c>
      <c r="B126" s="2955" t="s">
        <v>3019</v>
      </c>
      <c r="C126" s="2955">
        <v>12960</v>
      </c>
      <c r="D126" s="2955">
        <v>12890</v>
      </c>
      <c r="E126" s="2955">
        <v>15530</v>
      </c>
      <c r="F126" s="2955">
        <v>2910</v>
      </c>
      <c r="G126" s="2963">
        <v>8520</v>
      </c>
    </row>
    <row r="127" spans="1:7" s="2782" customFormat="1" ht="14.25" customHeight="1">
      <c r="A127" s="2953" t="s">
        <v>29</v>
      </c>
      <c r="B127" s="2944" t="s">
        <v>3074</v>
      </c>
      <c r="C127" s="2948">
        <v>12280</v>
      </c>
      <c r="D127" s="2948">
        <v>12250</v>
      </c>
      <c r="E127" s="2948">
        <v>15130</v>
      </c>
      <c r="F127" s="2948">
        <v>2710</v>
      </c>
      <c r="G127" s="2948">
        <v>7870</v>
      </c>
    </row>
    <row r="128" spans="1:7" s="2782" customFormat="1" ht="14.25" customHeight="1">
      <c r="A128" s="2948" t="s">
        <v>29</v>
      </c>
      <c r="B128" s="2948" t="s">
        <v>132</v>
      </c>
      <c r="C128" s="2948">
        <v>13180</v>
      </c>
      <c r="D128" s="2948">
        <v>13150</v>
      </c>
      <c r="E128" s="2948">
        <v>16190</v>
      </c>
      <c r="F128" s="2948">
        <v>2820</v>
      </c>
      <c r="G128" s="2948">
        <v>8460</v>
      </c>
    </row>
    <row r="129" spans="1:7" s="2782" customFormat="1" ht="14.25" customHeight="1">
      <c r="A129" s="2948" t="s">
        <v>29</v>
      </c>
      <c r="B129" s="2948" t="s">
        <v>141</v>
      </c>
      <c r="C129" s="2948">
        <v>10950</v>
      </c>
      <c r="D129" s="2948">
        <v>10920</v>
      </c>
      <c r="E129" s="2948">
        <v>13820</v>
      </c>
      <c r="F129" s="2948">
        <v>2500</v>
      </c>
      <c r="G129" s="2948">
        <v>7020</v>
      </c>
    </row>
    <row r="130" spans="1:7" s="2782" customFormat="1" ht="14.25" customHeight="1">
      <c r="A130" s="2948" t="s">
        <v>29</v>
      </c>
      <c r="B130" s="2948" t="s">
        <v>150</v>
      </c>
      <c r="C130" s="2948">
        <v>10910</v>
      </c>
      <c r="D130" s="2948">
        <v>10860</v>
      </c>
      <c r="E130" s="2948">
        <v>13730</v>
      </c>
      <c r="F130" s="2948">
        <v>2760</v>
      </c>
      <c r="G130" s="2948">
        <v>6990</v>
      </c>
    </row>
    <row r="131" spans="1:7" s="2782" customFormat="1" ht="14.25" customHeight="1">
      <c r="A131" s="2948" t="s">
        <v>29</v>
      </c>
      <c r="B131" s="2948" t="s">
        <v>159</v>
      </c>
      <c r="C131" s="2948">
        <v>12910</v>
      </c>
      <c r="D131" s="2948">
        <v>12870</v>
      </c>
      <c r="E131" s="2948">
        <v>15720</v>
      </c>
      <c r="F131" s="2948">
        <v>2750</v>
      </c>
      <c r="G131" s="2948">
        <v>8280</v>
      </c>
    </row>
    <row r="132" spans="1:7" s="2782" customFormat="1" ht="14.25" customHeight="1">
      <c r="A132" s="2948" t="s">
        <v>29</v>
      </c>
      <c r="B132" s="2948" t="s">
        <v>166</v>
      </c>
      <c r="C132" s="2948">
        <v>11910</v>
      </c>
      <c r="D132" s="2948">
        <v>11860</v>
      </c>
      <c r="E132" s="2948">
        <v>14730</v>
      </c>
      <c r="F132" s="2948">
        <v>2360</v>
      </c>
      <c r="G132" s="2948">
        <v>7630</v>
      </c>
    </row>
    <row r="133" spans="1:7" s="2782" customFormat="1" ht="14.25" customHeight="1">
      <c r="A133" s="2948" t="s">
        <v>29</v>
      </c>
      <c r="B133" s="2948" t="s">
        <v>172</v>
      </c>
      <c r="C133" s="2948">
        <v>12270</v>
      </c>
      <c r="D133" s="2948">
        <v>12210</v>
      </c>
      <c r="E133" s="2948">
        <v>15010</v>
      </c>
      <c r="F133" s="2948">
        <v>2580</v>
      </c>
      <c r="G133" s="2948">
        <v>7860</v>
      </c>
    </row>
    <row r="134" spans="1:7" s="2782" customFormat="1" ht="14.25" customHeight="1">
      <c r="A134" s="2948" t="s">
        <v>29</v>
      </c>
      <c r="B134" s="2948" t="s">
        <v>179</v>
      </c>
      <c r="C134" s="2948">
        <v>10800</v>
      </c>
      <c r="D134" s="2948">
        <v>10780</v>
      </c>
      <c r="E134" s="2948">
        <v>13640</v>
      </c>
      <c r="F134" s="2948">
        <v>2110</v>
      </c>
      <c r="G134" s="2948">
        <v>6930</v>
      </c>
    </row>
    <row r="135" spans="1:7" s="2782" customFormat="1" ht="14.25" customHeight="1">
      <c r="A135" s="2948" t="s">
        <v>29</v>
      </c>
      <c r="B135" s="2948" t="s">
        <v>189</v>
      </c>
      <c r="C135" s="2948">
        <v>10430</v>
      </c>
      <c r="D135" s="2948">
        <v>10390</v>
      </c>
      <c r="E135" s="2948">
        <v>13140</v>
      </c>
      <c r="F135" s="2948">
        <v>2240</v>
      </c>
      <c r="G135" s="2948">
        <v>6680</v>
      </c>
    </row>
    <row r="136" spans="1:7" s="2782" customFormat="1" ht="14.25" customHeight="1">
      <c r="A136" s="2948" t="s">
        <v>29</v>
      </c>
      <c r="B136" s="2948" t="s">
        <v>198</v>
      </c>
      <c r="C136" s="2948">
        <v>11930</v>
      </c>
      <c r="D136" s="2948">
        <v>11880</v>
      </c>
      <c r="E136" s="2948">
        <v>14770</v>
      </c>
      <c r="F136" s="2948">
        <v>1970</v>
      </c>
      <c r="G136" s="2948">
        <v>7640</v>
      </c>
    </row>
    <row r="137" spans="1:7" s="2782" customFormat="1" ht="14.25" customHeight="1">
      <c r="A137" s="2948" t="s">
        <v>29</v>
      </c>
      <c r="B137" s="2948" t="s">
        <v>205</v>
      </c>
      <c r="C137" s="2948">
        <v>10470</v>
      </c>
      <c r="D137" s="2948">
        <v>10430</v>
      </c>
      <c r="E137" s="2948">
        <v>13190</v>
      </c>
      <c r="F137" s="2948">
        <v>1990</v>
      </c>
      <c r="G137" s="2948">
        <v>6710</v>
      </c>
    </row>
    <row r="138" spans="1:7" s="2782" customFormat="1" ht="14.25" customHeight="1">
      <c r="A138" s="2948" t="s">
        <v>29</v>
      </c>
      <c r="B138" s="2948" t="s">
        <v>212</v>
      </c>
      <c r="C138" s="2948">
        <v>10410</v>
      </c>
      <c r="D138" s="2948">
        <v>10380</v>
      </c>
      <c r="E138" s="2948">
        <v>13130</v>
      </c>
      <c r="F138" s="2948">
        <v>2030</v>
      </c>
      <c r="G138" s="2948">
        <v>6680</v>
      </c>
    </row>
    <row r="139" spans="1:7" s="2782" customFormat="1" ht="14.25" customHeight="1">
      <c r="A139" s="2948" t="s">
        <v>29</v>
      </c>
      <c r="B139" s="2948" t="s">
        <v>218</v>
      </c>
      <c r="C139" s="2948">
        <v>9460</v>
      </c>
      <c r="D139" s="2948">
        <v>9410</v>
      </c>
      <c r="E139" s="2948">
        <v>12050</v>
      </c>
      <c r="F139" s="2948">
        <v>2140</v>
      </c>
      <c r="G139" s="2948">
        <v>6050</v>
      </c>
    </row>
    <row r="140" spans="1:7" s="2782" customFormat="1" ht="14.25" customHeight="1">
      <c r="A140" s="2948" t="s">
        <v>29</v>
      </c>
      <c r="B140" s="2948" t="s">
        <v>226</v>
      </c>
      <c r="C140" s="2948">
        <v>11030</v>
      </c>
      <c r="D140" s="2948">
        <v>10980</v>
      </c>
      <c r="E140" s="2948">
        <v>13880</v>
      </c>
      <c r="F140" s="2948">
        <v>2210</v>
      </c>
      <c r="G140" s="2948">
        <v>7060</v>
      </c>
    </row>
    <row r="141" spans="1:7" s="2782" customFormat="1" ht="14.25" customHeight="1">
      <c r="A141" s="2948" t="s">
        <v>29</v>
      </c>
      <c r="B141" s="2948" t="s">
        <v>234</v>
      </c>
      <c r="C141" s="2948">
        <v>11200</v>
      </c>
      <c r="D141" s="2948">
        <v>11150</v>
      </c>
      <c r="E141" s="2948">
        <v>14100</v>
      </c>
      <c r="F141" s="2948">
        <v>2470</v>
      </c>
      <c r="G141" s="2948">
        <v>7170</v>
      </c>
    </row>
    <row r="142" spans="1:7" s="2782" customFormat="1" ht="14.25" customHeight="1">
      <c r="A142" s="2948" t="s">
        <v>29</v>
      </c>
      <c r="B142" s="2948" t="s">
        <v>239</v>
      </c>
      <c r="C142" s="2948">
        <v>10780</v>
      </c>
      <c r="D142" s="2948">
        <v>10730</v>
      </c>
      <c r="E142" s="2948">
        <v>13540</v>
      </c>
      <c r="F142" s="2948">
        <v>2280</v>
      </c>
      <c r="G142" s="2948">
        <v>6900</v>
      </c>
    </row>
    <row r="143" spans="1:7" s="2782" customFormat="1" ht="14.25" customHeight="1">
      <c r="A143" s="2948" t="s">
        <v>29</v>
      </c>
      <c r="B143" s="2948" t="s">
        <v>248</v>
      </c>
      <c r="C143" s="2948">
        <v>11550</v>
      </c>
      <c r="D143" s="2948">
        <v>11490</v>
      </c>
      <c r="E143" s="2948">
        <v>14480</v>
      </c>
      <c r="F143" s="2948">
        <v>2070</v>
      </c>
      <c r="G143" s="2948">
        <v>7390</v>
      </c>
    </row>
    <row r="144" spans="1:7" s="2782" customFormat="1" ht="14.25" customHeight="1">
      <c r="A144" s="2948" t="s">
        <v>29</v>
      </c>
      <c r="B144" s="2948" t="s">
        <v>255</v>
      </c>
      <c r="C144" s="2948">
        <v>10720</v>
      </c>
      <c r="D144" s="2948">
        <v>10680</v>
      </c>
      <c r="E144" s="2948">
        <v>13480</v>
      </c>
      <c r="F144" s="2948">
        <v>2440</v>
      </c>
      <c r="G144" s="2948">
        <v>6870</v>
      </c>
    </row>
    <row r="145" spans="1:7" s="2782" customFormat="1" ht="14.25" customHeight="1">
      <c r="A145" s="2948" t="s">
        <v>29</v>
      </c>
      <c r="B145" s="2948" t="s">
        <v>263</v>
      </c>
      <c r="C145" s="2948">
        <v>10340</v>
      </c>
      <c r="D145" s="2948">
        <v>10290</v>
      </c>
      <c r="E145" s="2948">
        <v>12880</v>
      </c>
      <c r="F145" s="2948">
        <v>2650</v>
      </c>
      <c r="G145" s="2948">
        <v>6620</v>
      </c>
    </row>
    <row r="146" spans="1:7" s="2782" customFormat="1" ht="14.25" customHeight="1">
      <c r="A146" s="2948" t="s">
        <v>29</v>
      </c>
      <c r="B146" s="2948" t="s">
        <v>270</v>
      </c>
      <c r="C146" s="2948">
        <v>11890</v>
      </c>
      <c r="D146" s="2948">
        <v>11830</v>
      </c>
      <c r="E146" s="2948">
        <v>14670</v>
      </c>
      <c r="F146" s="2948"/>
      <c r="G146" s="2948">
        <v>7610</v>
      </c>
    </row>
    <row r="147" spans="1:7" s="2782" customFormat="1" ht="14.25" customHeight="1">
      <c r="A147" s="2948" t="s">
        <v>29</v>
      </c>
      <c r="B147" s="2948" t="s">
        <v>274</v>
      </c>
      <c r="C147" s="2948">
        <v>12650</v>
      </c>
      <c r="D147" s="2948">
        <v>12600</v>
      </c>
      <c r="E147" s="2948">
        <v>15440</v>
      </c>
      <c r="F147" s="2948"/>
      <c r="G147" s="2948">
        <v>8110</v>
      </c>
    </row>
    <row r="148" spans="1:7" s="2782" customFormat="1" ht="14.25" customHeight="1">
      <c r="A148" s="2948" t="s">
        <v>29</v>
      </c>
      <c r="B148" s="2948" t="s">
        <v>3075</v>
      </c>
      <c r="C148" s="2948">
        <v>10370</v>
      </c>
      <c r="D148" s="2948">
        <v>10310</v>
      </c>
      <c r="E148" s="2948">
        <v>12970</v>
      </c>
      <c r="F148" s="2948"/>
      <c r="G148" s="2948">
        <v>6630</v>
      </c>
    </row>
    <row r="149" spans="1:7" s="2782" customFormat="1" ht="14.25" customHeight="1">
      <c r="A149" s="2948" t="s">
        <v>29</v>
      </c>
      <c r="B149" s="2948" t="s">
        <v>3076</v>
      </c>
      <c r="C149" s="2948">
        <v>11600</v>
      </c>
      <c r="D149" s="2948">
        <v>11560</v>
      </c>
      <c r="E149" s="2948">
        <v>14540</v>
      </c>
      <c r="F149" s="2948">
        <v>2390</v>
      </c>
      <c r="G149" s="2948">
        <v>7430</v>
      </c>
    </row>
    <row r="150" spans="1:7" s="2782" customFormat="1" ht="14.25" customHeight="1">
      <c r="A150" s="2948" t="s">
        <v>29</v>
      </c>
      <c r="B150" s="2948" t="s">
        <v>292</v>
      </c>
      <c r="C150" s="2948">
        <v>9950</v>
      </c>
      <c r="D150" s="2948">
        <v>9890</v>
      </c>
      <c r="E150" s="2948">
        <v>12590</v>
      </c>
      <c r="F150" s="2948">
        <v>1970</v>
      </c>
      <c r="G150" s="2948">
        <v>6360</v>
      </c>
    </row>
    <row r="151" spans="1:7" s="2782" customFormat="1" ht="14.25" customHeight="1">
      <c r="A151" s="2948" t="s">
        <v>29</v>
      </c>
      <c r="B151" s="2948" t="s">
        <v>294</v>
      </c>
      <c r="C151" s="2948">
        <v>10700</v>
      </c>
      <c r="D151" s="2948">
        <v>10650</v>
      </c>
      <c r="E151" s="2948">
        <v>13420</v>
      </c>
      <c r="F151" s="2948">
        <v>2020</v>
      </c>
      <c r="G151" s="2948">
        <v>6850</v>
      </c>
    </row>
    <row r="152" spans="1:7" s="2782" customFormat="1" ht="14.25" customHeight="1">
      <c r="A152" s="2948" t="s">
        <v>29</v>
      </c>
      <c r="B152" s="2948" t="s">
        <v>297</v>
      </c>
      <c r="C152" s="2948">
        <v>10310</v>
      </c>
      <c r="D152" s="2948">
        <v>10260</v>
      </c>
      <c r="E152" s="2948">
        <v>12820</v>
      </c>
      <c r="F152" s="2948">
        <v>1980</v>
      </c>
      <c r="G152" s="2948">
        <v>6600</v>
      </c>
    </row>
    <row r="153" spans="1:7" s="2782" customFormat="1" ht="14.25" customHeight="1">
      <c r="A153" s="2948" t="s">
        <v>29</v>
      </c>
      <c r="B153" s="2948" t="s">
        <v>2950</v>
      </c>
      <c r="C153" s="2948">
        <v>10880</v>
      </c>
      <c r="D153" s="2948">
        <v>10820</v>
      </c>
      <c r="E153" s="2948">
        <v>13660</v>
      </c>
      <c r="F153" s="2948">
        <v>2260</v>
      </c>
      <c r="G153" s="2948">
        <v>6970</v>
      </c>
    </row>
    <row r="154" spans="1:7" s="2782" customFormat="1" ht="14.25" customHeight="1">
      <c r="A154" s="2948" t="s">
        <v>29</v>
      </c>
      <c r="B154" s="2948" t="s">
        <v>3077</v>
      </c>
      <c r="C154" s="2948">
        <v>11220</v>
      </c>
      <c r="D154" s="2948">
        <v>11160</v>
      </c>
      <c r="E154" s="2948">
        <v>14130</v>
      </c>
      <c r="F154" s="2948">
        <v>2230</v>
      </c>
      <c r="G154" s="2948">
        <v>7180</v>
      </c>
    </row>
    <row r="155" spans="1:7" s="2782" customFormat="1" ht="14.25" customHeight="1">
      <c r="A155" s="2948" t="s">
        <v>29</v>
      </c>
      <c r="B155" s="2948" t="s">
        <v>2963</v>
      </c>
      <c r="C155" s="2948">
        <v>10430</v>
      </c>
      <c r="D155" s="2948">
        <v>10380</v>
      </c>
      <c r="E155" s="2948">
        <v>13140</v>
      </c>
      <c r="F155" s="2948">
        <v>2080</v>
      </c>
      <c r="G155" s="2948">
        <v>6650</v>
      </c>
    </row>
    <row r="156" spans="1:7" s="2782" customFormat="1" ht="14.25" customHeight="1">
      <c r="A156" s="2948" t="s">
        <v>29</v>
      </c>
      <c r="B156" s="2948" t="s">
        <v>3078</v>
      </c>
      <c r="C156" s="2948">
        <v>10440</v>
      </c>
      <c r="D156" s="2948">
        <v>10400</v>
      </c>
      <c r="E156" s="2948">
        <v>13150</v>
      </c>
      <c r="F156" s="2948">
        <v>2490</v>
      </c>
      <c r="G156" s="2948">
        <v>6690</v>
      </c>
    </row>
    <row r="157" spans="1:7" s="2782" customFormat="1" ht="14.25" customHeight="1">
      <c r="A157" s="2948" t="s">
        <v>29</v>
      </c>
      <c r="B157" s="2948" t="s">
        <v>300</v>
      </c>
      <c r="C157" s="2948">
        <v>10970</v>
      </c>
      <c r="D157" s="2948">
        <v>10920</v>
      </c>
      <c r="E157" s="2948">
        <v>13840</v>
      </c>
      <c r="F157" s="2948">
        <v>2420</v>
      </c>
      <c r="G157" s="2948">
        <v>7020</v>
      </c>
    </row>
    <row r="158" spans="1:7" s="2782" customFormat="1" ht="14.25" customHeight="1">
      <c r="A158" s="2948" t="s">
        <v>29</v>
      </c>
      <c r="B158" s="2948" t="s">
        <v>301</v>
      </c>
      <c r="C158" s="2948">
        <v>9590</v>
      </c>
      <c r="D158" s="2948">
        <v>9540</v>
      </c>
      <c r="E158" s="2948">
        <v>12210</v>
      </c>
      <c r="F158" s="2948">
        <v>2100</v>
      </c>
      <c r="G158" s="2948">
        <v>6130</v>
      </c>
    </row>
    <row r="159" spans="1:7" s="2782" customFormat="1" ht="14.25" customHeight="1">
      <c r="A159" s="2948" t="s">
        <v>29</v>
      </c>
      <c r="B159" s="2948" t="s">
        <v>302</v>
      </c>
      <c r="C159" s="2948">
        <v>11190</v>
      </c>
      <c r="D159" s="2948">
        <v>11140</v>
      </c>
      <c r="E159" s="2948">
        <v>14090</v>
      </c>
      <c r="F159" s="2948">
        <v>2470</v>
      </c>
      <c r="G159" s="2948">
        <v>7170</v>
      </c>
    </row>
    <row r="160" spans="1:7" s="2782" customFormat="1" ht="14.25" customHeight="1">
      <c r="A160" s="2948" t="s">
        <v>29</v>
      </c>
      <c r="B160" s="2948" t="s">
        <v>3079</v>
      </c>
      <c r="C160" s="2948">
        <v>11180</v>
      </c>
      <c r="D160" s="2948">
        <v>11140</v>
      </c>
      <c r="E160" s="2948">
        <v>14050</v>
      </c>
      <c r="F160" s="2948">
        <v>2270</v>
      </c>
      <c r="G160" s="2948">
        <v>7170</v>
      </c>
    </row>
    <row r="161" spans="1:7" s="2782" customFormat="1" ht="14.25" customHeight="1">
      <c r="A161" s="2948" t="s">
        <v>29</v>
      </c>
      <c r="B161" s="2948" t="s">
        <v>2995</v>
      </c>
      <c r="C161" s="2948">
        <v>11160</v>
      </c>
      <c r="D161" s="2948">
        <v>11120</v>
      </c>
      <c r="E161" s="2948">
        <v>14020</v>
      </c>
      <c r="F161" s="2948">
        <v>2150</v>
      </c>
      <c r="G161" s="2948">
        <v>7160</v>
      </c>
    </row>
    <row r="162" spans="1:7" s="2782" customFormat="1" ht="14.25" customHeight="1">
      <c r="A162" s="2948" t="s">
        <v>29</v>
      </c>
      <c r="B162" s="2948" t="s">
        <v>3000</v>
      </c>
      <c r="C162" s="2948">
        <v>9620</v>
      </c>
      <c r="D162" s="2948">
        <v>9570</v>
      </c>
      <c r="E162" s="2948">
        <v>12320</v>
      </c>
      <c r="F162" s="2948">
        <v>2010</v>
      </c>
      <c r="G162" s="2948">
        <v>6160</v>
      </c>
    </row>
    <row r="163" spans="1:7" s="2782" customFormat="1" ht="14.25" customHeight="1">
      <c r="A163" s="2948" t="s">
        <v>29</v>
      </c>
      <c r="B163" s="2948" t="s">
        <v>3005</v>
      </c>
      <c r="C163" s="2948">
        <v>9320</v>
      </c>
      <c r="D163" s="2948">
        <v>9270</v>
      </c>
      <c r="E163" s="2948">
        <v>11790</v>
      </c>
      <c r="F163" s="2948">
        <v>1920</v>
      </c>
      <c r="G163" s="2948">
        <v>5960</v>
      </c>
    </row>
    <row r="164" spans="1:7" s="2782" customFormat="1" ht="14.25" customHeight="1">
      <c r="A164" s="2948" t="s">
        <v>29</v>
      </c>
      <c r="B164" s="2948" t="s">
        <v>3010</v>
      </c>
      <c r="C164" s="2948"/>
      <c r="D164" s="2948"/>
      <c r="E164" s="2948"/>
      <c r="F164" s="2948">
        <v>1980</v>
      </c>
      <c r="G164" s="2948"/>
    </row>
    <row r="165" spans="1:7" s="2782" customFormat="1" ht="14.25" customHeight="1">
      <c r="A165" s="2948" t="s">
        <v>29</v>
      </c>
      <c r="B165" s="2948" t="s">
        <v>3080</v>
      </c>
      <c r="C165" s="2948">
        <v>11060</v>
      </c>
      <c r="D165" s="2948">
        <v>11030</v>
      </c>
      <c r="E165" s="2948">
        <v>13850</v>
      </c>
      <c r="F165" s="2948">
        <v>2170</v>
      </c>
      <c r="G165" s="2948">
        <v>7090</v>
      </c>
    </row>
    <row r="166" spans="1:7" s="2782" customFormat="1" ht="14.25" customHeight="1">
      <c r="A166" s="2948" t="s">
        <v>29</v>
      </c>
      <c r="B166" s="2948" t="s">
        <v>3020</v>
      </c>
      <c r="C166" s="2948">
        <v>11050</v>
      </c>
      <c r="D166" s="2948">
        <v>11010</v>
      </c>
      <c r="E166" s="2948">
        <v>13920</v>
      </c>
      <c r="F166" s="2948">
        <v>2140</v>
      </c>
      <c r="G166" s="2948">
        <v>7080</v>
      </c>
    </row>
    <row r="167" spans="1:7" s="2782" customFormat="1" ht="14.25" customHeight="1">
      <c r="A167" s="2948" t="s">
        <v>29</v>
      </c>
      <c r="B167" s="2948" t="s">
        <v>3024</v>
      </c>
      <c r="C167" s="2948">
        <v>10930</v>
      </c>
      <c r="D167" s="2948">
        <v>10890</v>
      </c>
      <c r="E167" s="2948">
        <v>13790</v>
      </c>
      <c r="F167" s="2948">
        <v>2010</v>
      </c>
      <c r="G167" s="2948">
        <v>7000</v>
      </c>
    </row>
    <row r="168" spans="1:7" s="2782" customFormat="1" ht="14.25" customHeight="1">
      <c r="A168" s="2948" t="s">
        <v>29</v>
      </c>
      <c r="B168" s="2948" t="s">
        <v>3029</v>
      </c>
      <c r="C168" s="2948">
        <v>9420</v>
      </c>
      <c r="D168" s="2948">
        <v>9380</v>
      </c>
      <c r="E168" s="2948">
        <v>11970</v>
      </c>
      <c r="F168" s="2948"/>
      <c r="G168" s="2948">
        <v>6040</v>
      </c>
    </row>
    <row r="169" spans="1:7" s="2782" customFormat="1" ht="14.25" customHeight="1">
      <c r="A169" s="2948" t="s">
        <v>29</v>
      </c>
      <c r="B169" s="2948" t="s">
        <v>3081</v>
      </c>
      <c r="C169" s="2948"/>
      <c r="D169" s="2948"/>
      <c r="E169" s="2948"/>
      <c r="F169" s="2948">
        <v>2880</v>
      </c>
      <c r="G169" s="2948"/>
    </row>
    <row r="170" spans="1:7" s="2782" customFormat="1" ht="14.25" customHeight="1">
      <c r="A170" s="2948" t="s">
        <v>29</v>
      </c>
      <c r="B170" s="2948" t="s">
        <v>3037</v>
      </c>
      <c r="C170" s="2948"/>
      <c r="D170" s="2948"/>
      <c r="E170" s="2948"/>
      <c r="F170" s="2948">
        <v>2880</v>
      </c>
      <c r="G170" s="2948"/>
    </row>
    <row r="171" spans="1:7" s="2782" customFormat="1" ht="14.25" customHeight="1">
      <c r="A171" s="2948" t="s">
        <v>29</v>
      </c>
      <c r="B171" s="2948" t="s">
        <v>3040</v>
      </c>
      <c r="C171" s="2948"/>
      <c r="D171" s="2948"/>
      <c r="E171" s="2948"/>
      <c r="F171" s="2948">
        <v>2880</v>
      </c>
      <c r="G171" s="2948"/>
    </row>
    <row r="172" spans="1:7" s="2782" customFormat="1" ht="14.25" customHeight="1">
      <c r="A172" s="2948" t="s">
        <v>29</v>
      </c>
      <c r="B172" s="2948" t="s">
        <v>3042</v>
      </c>
      <c r="C172" s="2948"/>
      <c r="D172" s="2948"/>
      <c r="E172" s="2948"/>
      <c r="F172" s="2948">
        <v>2880</v>
      </c>
      <c r="G172" s="2948"/>
    </row>
    <row r="173" spans="1:7" s="2782" customFormat="1" ht="14.25" customHeight="1">
      <c r="A173" s="2948" t="s">
        <v>29</v>
      </c>
      <c r="B173" s="2948" t="s">
        <v>3044</v>
      </c>
      <c r="C173" s="2948"/>
      <c r="D173" s="2948"/>
      <c r="E173" s="2948"/>
      <c r="F173" s="2948">
        <v>2150</v>
      </c>
      <c r="G173" s="2948"/>
    </row>
    <row r="174" spans="1:7" s="2782" customFormat="1" ht="14.25" customHeight="1">
      <c r="A174" s="2948" t="s">
        <v>29</v>
      </c>
      <c r="B174" s="2948" t="s">
        <v>3046</v>
      </c>
      <c r="C174" s="2948"/>
      <c r="D174" s="2948"/>
      <c r="E174" s="2948"/>
      <c r="F174" s="2948">
        <v>2030</v>
      </c>
      <c r="G174" s="2948"/>
    </row>
    <row r="175" spans="1:7" s="2782" customFormat="1" ht="14.25" customHeight="1">
      <c r="A175" s="2948" t="s">
        <v>29</v>
      </c>
      <c r="B175" s="2948" t="s">
        <v>3048</v>
      </c>
      <c r="C175" s="2948"/>
      <c r="D175" s="2948"/>
      <c r="E175" s="2948"/>
      <c r="F175" s="2948">
        <v>2780</v>
      </c>
      <c r="G175" s="2948"/>
    </row>
    <row r="176" spans="1:7" s="2782" customFormat="1" ht="14.25" customHeight="1">
      <c r="A176" s="2948" t="s">
        <v>29</v>
      </c>
      <c r="B176" s="2948" t="s">
        <v>3050</v>
      </c>
      <c r="C176" s="2948"/>
      <c r="D176" s="2948"/>
      <c r="E176" s="2948"/>
      <c r="F176" s="2948">
        <v>2780</v>
      </c>
      <c r="G176" s="2948"/>
    </row>
    <row r="177" spans="1:7" s="2782" customFormat="1" ht="14.25" customHeight="1">
      <c r="A177" s="2948" t="s">
        <v>29</v>
      </c>
      <c r="B177" s="2948" t="s">
        <v>3082</v>
      </c>
      <c r="C177" s="2948"/>
      <c r="D177" s="2948"/>
      <c r="E177" s="2948"/>
      <c r="F177" s="2948">
        <v>2780</v>
      </c>
      <c r="G177" s="2948"/>
    </row>
    <row r="178" spans="1:7" s="2782" customFormat="1" ht="14.25" customHeight="1">
      <c r="A178" s="2948" t="s">
        <v>29</v>
      </c>
      <c r="B178" s="2948" t="s">
        <v>3083</v>
      </c>
      <c r="C178" s="2948"/>
      <c r="D178" s="2948"/>
      <c r="E178" s="2948"/>
      <c r="F178" s="2948">
        <v>2060</v>
      </c>
      <c r="G178" s="2948"/>
    </row>
    <row r="179" spans="1:7" s="2782" customFormat="1" ht="14.25" customHeight="1">
      <c r="A179" s="2948" t="s">
        <v>29</v>
      </c>
      <c r="B179" s="2948" t="s">
        <v>3084</v>
      </c>
      <c r="C179" s="2948"/>
      <c r="D179" s="2948"/>
      <c r="E179" s="2948"/>
      <c r="F179" s="2948">
        <v>2120</v>
      </c>
      <c r="G179" s="2948"/>
    </row>
    <row r="180" spans="1:7" s="2782" customFormat="1" ht="14.25" customHeight="1">
      <c r="A180" s="2948" t="s">
        <v>29</v>
      </c>
      <c r="B180" s="2948" t="s">
        <v>3056</v>
      </c>
      <c r="C180" s="2948"/>
      <c r="D180" s="2948"/>
      <c r="E180" s="2948"/>
      <c r="F180" s="2948">
        <v>2340</v>
      </c>
      <c r="G180" s="2948"/>
    </row>
    <row r="181" spans="1:7" s="2782" customFormat="1" ht="14.25" customHeight="1">
      <c r="A181" s="2948" t="s">
        <v>29</v>
      </c>
      <c r="B181" s="2948" t="s">
        <v>3057</v>
      </c>
      <c r="C181" s="2948"/>
      <c r="D181" s="2948"/>
      <c r="E181" s="2948"/>
      <c r="F181" s="2948">
        <v>2340</v>
      </c>
      <c r="G181" s="2948"/>
    </row>
    <row r="182" spans="1:7" s="2782" customFormat="1" ht="14.25" customHeight="1">
      <c r="A182" s="2948" t="s">
        <v>29</v>
      </c>
      <c r="B182" s="2948" t="s">
        <v>3058</v>
      </c>
      <c r="C182" s="2948"/>
      <c r="D182" s="2948"/>
      <c r="E182" s="2948"/>
      <c r="F182" s="2948">
        <v>2340</v>
      </c>
      <c r="G182" s="2948"/>
    </row>
    <row r="183" spans="1:7" s="2782" customFormat="1" ht="14.25" customHeight="1">
      <c r="A183" s="2948" t="s">
        <v>29</v>
      </c>
      <c r="B183" s="2948" t="s">
        <v>3059</v>
      </c>
      <c r="C183" s="2948"/>
      <c r="D183" s="2948"/>
      <c r="E183" s="2948"/>
      <c r="F183" s="2948">
        <v>2340</v>
      </c>
      <c r="G183" s="2948"/>
    </row>
    <row r="184" spans="1:7" s="2782" customFormat="1" ht="14.25" customHeight="1">
      <c r="A184" s="2948" t="s">
        <v>29</v>
      </c>
      <c r="B184" s="2948" t="s">
        <v>3060</v>
      </c>
      <c r="C184" s="2948"/>
      <c r="D184" s="2948"/>
      <c r="E184" s="2948"/>
      <c r="F184" s="2948">
        <v>2340</v>
      </c>
      <c r="G184" s="2948"/>
    </row>
    <row r="185" spans="1:7" s="2782" customFormat="1" ht="14.25" customHeight="1">
      <c r="A185" s="2948" t="s">
        <v>29</v>
      </c>
      <c r="B185" s="2948" t="s">
        <v>3061</v>
      </c>
      <c r="C185" s="2948"/>
      <c r="D185" s="2948"/>
      <c r="E185" s="2948"/>
      <c r="F185" s="2948">
        <v>2530</v>
      </c>
      <c r="G185" s="2948"/>
    </row>
    <row r="186" spans="1:7" s="2782" customFormat="1" ht="14.25" customHeight="1">
      <c r="A186" s="2948" t="s">
        <v>29</v>
      </c>
      <c r="B186" s="2948" t="s">
        <v>3062</v>
      </c>
      <c r="C186" s="2948"/>
      <c r="D186" s="2948"/>
      <c r="E186" s="2948"/>
      <c r="F186" s="2948">
        <v>2550</v>
      </c>
      <c r="G186" s="2948"/>
    </row>
    <row r="187" spans="1:7" s="2782" customFormat="1" ht="14.25" customHeight="1">
      <c r="A187" s="2948" t="s">
        <v>29</v>
      </c>
      <c r="B187" s="2948" t="s">
        <v>3063</v>
      </c>
      <c r="C187" s="2948"/>
      <c r="D187" s="2948"/>
      <c r="E187" s="2948"/>
      <c r="F187" s="2948">
        <v>2070</v>
      </c>
      <c r="G187" s="2948"/>
    </row>
    <row r="188" spans="1:7" s="2782" customFormat="1" ht="14.25" customHeight="1">
      <c r="A188" s="2948" t="s">
        <v>29</v>
      </c>
      <c r="B188" s="2948" t="s">
        <v>3064</v>
      </c>
      <c r="C188" s="2948"/>
      <c r="D188" s="2948"/>
      <c r="E188" s="2948"/>
      <c r="F188" s="2948">
        <v>2340</v>
      </c>
      <c r="G188" s="2948"/>
    </row>
    <row r="189" spans="1:7" s="2782" customFormat="1" ht="14.25" customHeight="1" thickBot="1">
      <c r="A189" s="2956" t="s">
        <v>29</v>
      </c>
      <c r="B189" s="2959" t="s">
        <v>3065</v>
      </c>
      <c r="C189" s="2959"/>
      <c r="D189" s="2959"/>
      <c r="E189" s="2959"/>
      <c r="F189" s="2959">
        <v>2050</v>
      </c>
      <c r="G189" s="2959"/>
    </row>
    <row r="190" spans="1:7" s="2782" customFormat="1" ht="14.25" customHeight="1">
      <c r="A190" s="2953" t="s">
        <v>304</v>
      </c>
      <c r="B190" s="2944" t="s">
        <v>3085</v>
      </c>
      <c r="C190" s="2944">
        <v>8830</v>
      </c>
      <c r="D190" s="2944">
        <v>8790</v>
      </c>
      <c r="E190" s="2944">
        <v>11630</v>
      </c>
      <c r="F190" s="2944">
        <v>1790</v>
      </c>
      <c r="G190" s="2960">
        <v>5550</v>
      </c>
    </row>
    <row r="191" spans="1:7" s="2782" customFormat="1" ht="14.25" customHeight="1">
      <c r="A191" s="2948" t="s">
        <v>304</v>
      </c>
      <c r="B191" s="2948" t="s">
        <v>133</v>
      </c>
      <c r="C191" s="2948">
        <v>9780</v>
      </c>
      <c r="D191" s="2948">
        <v>9710</v>
      </c>
      <c r="E191" s="2948">
        <v>12550</v>
      </c>
      <c r="F191" s="2948">
        <v>1980</v>
      </c>
      <c r="G191" s="2961">
        <v>6130</v>
      </c>
    </row>
    <row r="192" spans="1:7" s="2782" customFormat="1" ht="14.25" customHeight="1">
      <c r="A192" s="2948" t="s">
        <v>304</v>
      </c>
      <c r="B192" s="2948" t="s">
        <v>142</v>
      </c>
      <c r="C192" s="2948">
        <v>8180</v>
      </c>
      <c r="D192" s="2948">
        <v>8140</v>
      </c>
      <c r="E192" s="2948">
        <v>10870</v>
      </c>
      <c r="F192" s="2948">
        <v>1690</v>
      </c>
      <c r="G192" s="2961">
        <v>5140</v>
      </c>
    </row>
    <row r="193" spans="1:7" s="2782" customFormat="1" ht="14.25" customHeight="1">
      <c r="A193" s="2948" t="s">
        <v>304</v>
      </c>
      <c r="B193" s="2948" t="s">
        <v>151</v>
      </c>
      <c r="C193" s="2948">
        <v>8440</v>
      </c>
      <c r="D193" s="2948">
        <v>8390</v>
      </c>
      <c r="E193" s="2948">
        <v>11210</v>
      </c>
      <c r="F193" s="2948">
        <v>1600</v>
      </c>
      <c r="G193" s="2961">
        <v>5300</v>
      </c>
    </row>
    <row r="194" spans="1:7" s="2782" customFormat="1" ht="14.25" customHeight="1">
      <c r="A194" s="2948" t="s">
        <v>304</v>
      </c>
      <c r="B194" s="2948" t="s">
        <v>160</v>
      </c>
      <c r="C194" s="2948">
        <v>8780</v>
      </c>
      <c r="D194" s="2948">
        <v>8730</v>
      </c>
      <c r="E194" s="2948">
        <v>11550</v>
      </c>
      <c r="F194" s="2948">
        <v>1660</v>
      </c>
      <c r="G194" s="2961">
        <v>5520</v>
      </c>
    </row>
    <row r="195" spans="1:7" s="2782" customFormat="1" ht="14.25" customHeight="1">
      <c r="A195" s="2948" t="s">
        <v>304</v>
      </c>
      <c r="B195" s="2948" t="s">
        <v>167</v>
      </c>
      <c r="C195" s="2948">
        <v>8720</v>
      </c>
      <c r="D195" s="2948">
        <v>8670</v>
      </c>
      <c r="E195" s="2948">
        <v>11450</v>
      </c>
      <c r="F195" s="2948">
        <v>1720</v>
      </c>
      <c r="G195" s="2961">
        <v>5480</v>
      </c>
    </row>
    <row r="196" spans="1:7" s="2782" customFormat="1" ht="14.25" customHeight="1">
      <c r="A196" s="2948" t="s">
        <v>304</v>
      </c>
      <c r="B196" s="2948" t="s">
        <v>173</v>
      </c>
      <c r="C196" s="2948">
        <v>8460</v>
      </c>
      <c r="D196" s="2948">
        <v>8410</v>
      </c>
      <c r="E196" s="2948">
        <v>11230</v>
      </c>
      <c r="F196" s="2948">
        <v>1730</v>
      </c>
      <c r="G196" s="2961">
        <v>5310</v>
      </c>
    </row>
    <row r="197" spans="1:7" s="2782" customFormat="1" ht="14.25" customHeight="1">
      <c r="A197" s="2948" t="s">
        <v>304</v>
      </c>
      <c r="B197" s="2948" t="s">
        <v>180</v>
      </c>
      <c r="C197" s="2948">
        <v>8790</v>
      </c>
      <c r="D197" s="2948">
        <v>8730</v>
      </c>
      <c r="E197" s="2948">
        <v>11560</v>
      </c>
      <c r="F197" s="2948">
        <v>1750</v>
      </c>
      <c r="G197" s="2961">
        <v>5520</v>
      </c>
    </row>
    <row r="198" spans="1:7" s="2782" customFormat="1" ht="14.25" customHeight="1">
      <c r="A198" s="2948" t="s">
        <v>304</v>
      </c>
      <c r="B198" s="2948" t="s">
        <v>190</v>
      </c>
      <c r="C198" s="2948">
        <v>8720</v>
      </c>
      <c r="D198" s="2948">
        <v>8680</v>
      </c>
      <c r="E198" s="2948">
        <v>11470</v>
      </c>
      <c r="F198" s="2948"/>
      <c r="G198" s="2961">
        <v>5480</v>
      </c>
    </row>
    <row r="199" spans="1:7" s="2782" customFormat="1" ht="14.25" customHeight="1">
      <c r="A199" s="2948" t="s">
        <v>304</v>
      </c>
      <c r="B199" s="2948" t="s">
        <v>3086</v>
      </c>
      <c r="C199" s="2948">
        <v>8690</v>
      </c>
      <c r="D199" s="2948">
        <v>8630</v>
      </c>
      <c r="E199" s="2948">
        <v>11350</v>
      </c>
      <c r="F199" s="2948">
        <v>1600</v>
      </c>
      <c r="G199" s="2961">
        <v>5450</v>
      </c>
    </row>
    <row r="200" spans="1:7" s="2782" customFormat="1" ht="14.25" customHeight="1">
      <c r="A200" s="2948" t="s">
        <v>304</v>
      </c>
      <c r="B200" s="2948" t="s">
        <v>2897</v>
      </c>
      <c r="C200" s="2948"/>
      <c r="D200" s="2948"/>
      <c r="E200" s="2948"/>
      <c r="F200" s="2948">
        <v>1510</v>
      </c>
      <c r="G200" s="2961"/>
    </row>
    <row r="201" spans="1:7" s="2782" customFormat="1" ht="14.25" customHeight="1">
      <c r="A201" s="2948" t="s">
        <v>304</v>
      </c>
      <c r="B201" s="2948" t="s">
        <v>3087</v>
      </c>
      <c r="C201" s="2948">
        <v>8440</v>
      </c>
      <c r="D201" s="2948">
        <v>8390</v>
      </c>
      <c r="E201" s="2948">
        <v>10930</v>
      </c>
      <c r="F201" s="2948">
        <v>1500</v>
      </c>
      <c r="G201" s="2961">
        <v>5300</v>
      </c>
    </row>
    <row r="202" spans="1:7" s="2782" customFormat="1" ht="14.25" customHeight="1">
      <c r="A202" s="2948" t="s">
        <v>304</v>
      </c>
      <c r="B202" s="2948" t="s">
        <v>240</v>
      </c>
      <c r="C202" s="2948">
        <v>8530</v>
      </c>
      <c r="D202" s="2948">
        <v>8490</v>
      </c>
      <c r="E202" s="2948">
        <v>11160</v>
      </c>
      <c r="F202" s="2948">
        <v>1580</v>
      </c>
      <c r="G202" s="2961">
        <v>5360</v>
      </c>
    </row>
    <row r="203" spans="1:7" s="2782" customFormat="1" ht="14.25" customHeight="1">
      <c r="A203" s="2948" t="s">
        <v>304</v>
      </c>
      <c r="B203" s="2948" t="s">
        <v>3088</v>
      </c>
      <c r="C203" s="2948">
        <v>8130</v>
      </c>
      <c r="D203" s="2948">
        <v>8070</v>
      </c>
      <c r="E203" s="2948">
        <v>10820</v>
      </c>
      <c r="F203" s="2948">
        <v>1690</v>
      </c>
      <c r="G203" s="2961">
        <v>5100</v>
      </c>
    </row>
    <row r="204" spans="1:7" s="2782" customFormat="1" ht="14.25" customHeight="1">
      <c r="A204" s="2948" t="s">
        <v>304</v>
      </c>
      <c r="B204" s="2948" t="s">
        <v>2908</v>
      </c>
      <c r="C204" s="2948">
        <v>8350</v>
      </c>
      <c r="D204" s="2948">
        <v>8290</v>
      </c>
      <c r="E204" s="2948">
        <v>11080</v>
      </c>
      <c r="F204" s="2948">
        <v>1450</v>
      </c>
      <c r="G204" s="2961">
        <v>5240</v>
      </c>
    </row>
    <row r="205" spans="1:7" s="2782" customFormat="1" ht="14.25" customHeight="1">
      <c r="A205" s="2948" t="s">
        <v>304</v>
      </c>
      <c r="B205" s="2948" t="s">
        <v>2910</v>
      </c>
      <c r="C205" s="2948">
        <v>7190</v>
      </c>
      <c r="D205" s="2948">
        <v>7130</v>
      </c>
      <c r="E205" s="2948">
        <v>9490</v>
      </c>
      <c r="F205" s="2948">
        <v>1470</v>
      </c>
      <c r="G205" s="2961">
        <v>4510</v>
      </c>
    </row>
    <row r="206" spans="1:7" s="2782" customFormat="1" ht="14.25" customHeight="1">
      <c r="A206" s="2948" t="s">
        <v>304</v>
      </c>
      <c r="B206" s="2948" t="s">
        <v>2913</v>
      </c>
      <c r="C206" s="2948">
        <v>7000</v>
      </c>
      <c r="D206" s="2948">
        <v>6950</v>
      </c>
      <c r="E206" s="2948">
        <v>9170</v>
      </c>
      <c r="F206" s="2948">
        <v>1400</v>
      </c>
      <c r="G206" s="2961">
        <v>4380</v>
      </c>
    </row>
    <row r="207" spans="1:7" s="2782" customFormat="1" ht="14.25" customHeight="1">
      <c r="A207" s="2948" t="s">
        <v>304</v>
      </c>
      <c r="B207" s="2948" t="s">
        <v>2915</v>
      </c>
      <c r="C207" s="2948">
        <v>6950</v>
      </c>
      <c r="D207" s="2948">
        <v>6900</v>
      </c>
      <c r="E207" s="2948">
        <v>9110</v>
      </c>
      <c r="F207" s="2948">
        <v>1790</v>
      </c>
      <c r="G207" s="2961">
        <v>4360</v>
      </c>
    </row>
    <row r="208" spans="1:7" s="2782" customFormat="1" ht="14.25" customHeight="1">
      <c r="A208" s="2948" t="s">
        <v>304</v>
      </c>
      <c r="B208" s="2948" t="s">
        <v>3089</v>
      </c>
      <c r="C208" s="2948">
        <v>9470</v>
      </c>
      <c r="D208" s="2948">
        <v>9410</v>
      </c>
      <c r="E208" s="2948">
        <v>12330</v>
      </c>
      <c r="F208" s="2948">
        <v>1770</v>
      </c>
      <c r="G208" s="2961">
        <v>5940</v>
      </c>
    </row>
    <row r="209" spans="1:7" s="2782" customFormat="1" ht="14.25" customHeight="1">
      <c r="A209" s="2948" t="s">
        <v>304</v>
      </c>
      <c r="B209" s="2948" t="s">
        <v>264</v>
      </c>
      <c r="C209" s="2948">
        <v>8740</v>
      </c>
      <c r="D209" s="2948">
        <v>8700</v>
      </c>
      <c r="E209" s="2948">
        <v>11500</v>
      </c>
      <c r="F209" s="2948">
        <v>1730</v>
      </c>
      <c r="G209" s="2961">
        <v>5490</v>
      </c>
    </row>
    <row r="210" spans="1:7" s="2782" customFormat="1" ht="14.25" customHeight="1">
      <c r="A210" s="2948" t="s">
        <v>304</v>
      </c>
      <c r="B210" s="2948" t="s">
        <v>2925</v>
      </c>
      <c r="C210" s="2948">
        <v>8710</v>
      </c>
      <c r="D210" s="2948">
        <v>8660</v>
      </c>
      <c r="E210" s="2948">
        <v>11440</v>
      </c>
      <c r="F210" s="2948">
        <v>1740</v>
      </c>
      <c r="G210" s="2961">
        <v>5470</v>
      </c>
    </row>
    <row r="211" spans="1:7" s="2782" customFormat="1" ht="14.25" customHeight="1">
      <c r="A211" s="2948" t="s">
        <v>304</v>
      </c>
      <c r="B211" s="2948" t="s">
        <v>3090</v>
      </c>
      <c r="C211" s="2948">
        <v>9480</v>
      </c>
      <c r="D211" s="2948">
        <v>9430</v>
      </c>
      <c r="E211" s="2948">
        <v>12360</v>
      </c>
      <c r="F211" s="2948">
        <v>1820</v>
      </c>
      <c r="G211" s="2961">
        <v>5950</v>
      </c>
    </row>
    <row r="212" spans="1:7" s="2782" customFormat="1" ht="14.25" customHeight="1">
      <c r="A212" s="2948" t="s">
        <v>304</v>
      </c>
      <c r="B212" s="2948" t="s">
        <v>285</v>
      </c>
      <c r="C212" s="2948">
        <v>9070</v>
      </c>
      <c r="D212" s="2948">
        <v>9020</v>
      </c>
      <c r="E212" s="2948">
        <v>11720</v>
      </c>
      <c r="F212" s="2948">
        <v>1850</v>
      </c>
      <c r="G212" s="2961">
        <v>5700</v>
      </c>
    </row>
    <row r="213" spans="1:7" s="2782" customFormat="1" ht="14.25" customHeight="1">
      <c r="A213" s="2948" t="s">
        <v>304</v>
      </c>
      <c r="B213" s="2948" t="s">
        <v>288</v>
      </c>
      <c r="C213" s="2948">
        <v>9030</v>
      </c>
      <c r="D213" s="2948">
        <v>8980</v>
      </c>
      <c r="E213" s="2948">
        <v>11670</v>
      </c>
      <c r="F213" s="2948">
        <v>1690</v>
      </c>
      <c r="G213" s="2961">
        <v>5670</v>
      </c>
    </row>
    <row r="214" spans="1:7" s="2782" customFormat="1" ht="14.25" customHeight="1">
      <c r="A214" s="2948" t="s">
        <v>304</v>
      </c>
      <c r="B214" s="2948" t="s">
        <v>3091</v>
      </c>
      <c r="C214" s="2948">
        <v>8090</v>
      </c>
      <c r="D214" s="2948">
        <v>8030</v>
      </c>
      <c r="E214" s="2948">
        <v>10780</v>
      </c>
      <c r="F214" s="2948">
        <v>1570</v>
      </c>
      <c r="G214" s="2961">
        <v>5070</v>
      </c>
    </row>
    <row r="215" spans="1:7" s="2782" customFormat="1" ht="14.25" customHeight="1">
      <c r="A215" s="2948" t="s">
        <v>304</v>
      </c>
      <c r="B215" s="2948" t="s">
        <v>3092</v>
      </c>
      <c r="C215" s="2948">
        <v>7950</v>
      </c>
      <c r="D215" s="2948">
        <v>7900</v>
      </c>
      <c r="E215" s="2948">
        <v>10560</v>
      </c>
      <c r="F215" s="2948">
        <v>1630</v>
      </c>
      <c r="G215" s="2961">
        <v>4990</v>
      </c>
    </row>
    <row r="216" spans="1:7" s="2782" customFormat="1" ht="14.25" customHeight="1">
      <c r="A216" s="2948" t="s">
        <v>304</v>
      </c>
      <c r="B216" s="2948" t="s">
        <v>3093</v>
      </c>
      <c r="C216" s="2948">
        <v>8490</v>
      </c>
      <c r="D216" s="2948">
        <v>8440</v>
      </c>
      <c r="E216" s="2948">
        <v>11260</v>
      </c>
      <c r="F216" s="2948">
        <v>1690</v>
      </c>
      <c r="G216" s="2961">
        <v>5330</v>
      </c>
    </row>
    <row r="217" spans="1:7" s="2782" customFormat="1" ht="14.25" customHeight="1">
      <c r="A217" s="2948" t="s">
        <v>304</v>
      </c>
      <c r="B217" s="2948" t="s">
        <v>2958</v>
      </c>
      <c r="C217" s="2948">
        <v>8200</v>
      </c>
      <c r="D217" s="2948">
        <v>8150</v>
      </c>
      <c r="E217" s="2948">
        <v>10910</v>
      </c>
      <c r="F217" s="2948">
        <v>1670</v>
      </c>
      <c r="G217" s="2961">
        <v>5150</v>
      </c>
    </row>
    <row r="218" spans="1:7" s="2782" customFormat="1" ht="14.25" customHeight="1">
      <c r="A218" s="2948" t="s">
        <v>304</v>
      </c>
      <c r="B218" s="2948" t="s">
        <v>3094</v>
      </c>
      <c r="C218" s="2948"/>
      <c r="D218" s="2948"/>
      <c r="E218" s="2948"/>
      <c r="F218" s="2948">
        <v>2040</v>
      </c>
      <c r="G218" s="2961"/>
    </row>
    <row r="219" spans="1:7" s="2782" customFormat="1" ht="14.25" customHeight="1">
      <c r="A219" s="2948" t="s">
        <v>304</v>
      </c>
      <c r="B219" s="2948" t="s">
        <v>3095</v>
      </c>
      <c r="C219" s="2948"/>
      <c r="D219" s="2948"/>
      <c r="E219" s="2948"/>
      <c r="F219" s="2948">
        <v>2040</v>
      </c>
      <c r="G219" s="2961"/>
    </row>
    <row r="220" spans="1:7" s="2782" customFormat="1" ht="14.25" customHeight="1">
      <c r="A220" s="2948" t="s">
        <v>304</v>
      </c>
      <c r="B220" s="2948" t="s">
        <v>3096</v>
      </c>
      <c r="C220" s="2948"/>
      <c r="D220" s="2948"/>
      <c r="E220" s="2948"/>
      <c r="F220" s="2948">
        <v>2040</v>
      </c>
      <c r="G220" s="2961"/>
    </row>
    <row r="221" spans="1:7" s="2782" customFormat="1" ht="14.25" customHeight="1">
      <c r="A221" s="2948" t="s">
        <v>304</v>
      </c>
      <c r="B221" s="2948" t="s">
        <v>3097</v>
      </c>
      <c r="C221" s="2948"/>
      <c r="D221" s="2948"/>
      <c r="E221" s="2948"/>
      <c r="F221" s="2948">
        <v>2040</v>
      </c>
      <c r="G221" s="2961"/>
    </row>
    <row r="222" spans="1:7" s="2782" customFormat="1" ht="14.25" customHeight="1">
      <c r="A222" s="2948" t="s">
        <v>304</v>
      </c>
      <c r="B222" s="2948" t="s">
        <v>3098</v>
      </c>
      <c r="C222" s="2948"/>
      <c r="D222" s="2948"/>
      <c r="E222" s="2948"/>
      <c r="F222" s="2948">
        <v>2040</v>
      </c>
      <c r="G222" s="2961"/>
    </row>
    <row r="223" spans="1:7" s="2782" customFormat="1" ht="14.25" customHeight="1">
      <c r="A223" s="2948" t="s">
        <v>304</v>
      </c>
      <c r="B223" s="2948" t="s">
        <v>3099</v>
      </c>
      <c r="C223" s="2948"/>
      <c r="D223" s="2948"/>
      <c r="E223" s="2948"/>
      <c r="F223" s="2948">
        <v>1930</v>
      </c>
      <c r="G223" s="2961"/>
    </row>
    <row r="224" spans="1:7" s="2782" customFormat="1" ht="14.25" customHeight="1">
      <c r="A224" s="2948" t="s">
        <v>304</v>
      </c>
      <c r="B224" s="2948" t="s">
        <v>3100</v>
      </c>
      <c r="C224" s="2948"/>
      <c r="D224" s="2948"/>
      <c r="E224" s="2948"/>
      <c r="F224" s="2948">
        <v>1930</v>
      </c>
      <c r="G224" s="2961"/>
    </row>
    <row r="225" spans="1:7" s="2782" customFormat="1" ht="14.25" customHeight="1">
      <c r="A225" s="2948" t="s">
        <v>304</v>
      </c>
      <c r="B225" s="2948" t="s">
        <v>3101</v>
      </c>
      <c r="C225" s="2948"/>
      <c r="D225" s="2948"/>
      <c r="E225" s="2948"/>
      <c r="F225" s="2948">
        <v>1930</v>
      </c>
      <c r="G225" s="2961"/>
    </row>
    <row r="226" spans="1:7" s="2782" customFormat="1" ht="14.25" customHeight="1">
      <c r="A226" s="2948" t="s">
        <v>304</v>
      </c>
      <c r="B226" s="2948" t="s">
        <v>3102</v>
      </c>
      <c r="C226" s="2948"/>
      <c r="D226" s="2948"/>
      <c r="E226" s="2948"/>
      <c r="F226" s="2948">
        <v>1700</v>
      </c>
      <c r="G226" s="2961"/>
    </row>
    <row r="227" spans="1:7" s="2782" customFormat="1" ht="14.25" customHeight="1">
      <c r="A227" s="2948" t="s">
        <v>304</v>
      </c>
      <c r="B227" s="2948" t="s">
        <v>3103</v>
      </c>
      <c r="C227" s="2948"/>
      <c r="D227" s="2948"/>
      <c r="E227" s="2948"/>
      <c r="F227" s="2948">
        <v>1520</v>
      </c>
      <c r="G227" s="2961"/>
    </row>
    <row r="228" spans="1:7" s="2782" customFormat="1" ht="14.25" customHeight="1">
      <c r="A228" s="2948" t="s">
        <v>304</v>
      </c>
      <c r="B228" s="2948" t="s">
        <v>3104</v>
      </c>
      <c r="C228" s="2948"/>
      <c r="D228" s="2948"/>
      <c r="E228" s="2948"/>
      <c r="F228" s="2948">
        <v>1520</v>
      </c>
      <c r="G228" s="2961"/>
    </row>
    <row r="229" spans="1:7" s="2782" customFormat="1" ht="14.25" customHeight="1">
      <c r="A229" s="2948" t="s">
        <v>304</v>
      </c>
      <c r="B229" s="2948" t="s">
        <v>3021</v>
      </c>
      <c r="C229" s="2948"/>
      <c r="D229" s="2948"/>
      <c r="E229" s="2948"/>
      <c r="F229" s="2948">
        <v>1520</v>
      </c>
      <c r="G229" s="2961"/>
    </row>
    <row r="230" spans="1:7" s="2782" customFormat="1" ht="14.25" customHeight="1">
      <c r="A230" s="2948" t="s">
        <v>304</v>
      </c>
      <c r="B230" s="2948" t="s">
        <v>3105</v>
      </c>
      <c r="C230" s="2948"/>
      <c r="D230" s="2948"/>
      <c r="E230" s="2948"/>
      <c r="F230" s="2948">
        <v>1820</v>
      </c>
      <c r="G230" s="2961"/>
    </row>
    <row r="231" spans="1:7" s="2782" customFormat="1" ht="14.25" customHeight="1">
      <c r="A231" s="2948" t="s">
        <v>304</v>
      </c>
      <c r="B231" s="2948" t="s">
        <v>3106</v>
      </c>
      <c r="C231" s="2948"/>
      <c r="D231" s="2948"/>
      <c r="E231" s="2948"/>
      <c r="F231" s="2948">
        <v>1760</v>
      </c>
      <c r="G231" s="2961"/>
    </row>
    <row r="232" spans="1:7" s="2782" customFormat="1" ht="14.25" customHeight="1">
      <c r="A232" s="2948" t="s">
        <v>304</v>
      </c>
      <c r="B232" s="2948" t="s">
        <v>3107</v>
      </c>
      <c r="C232" s="2948"/>
      <c r="D232" s="2948"/>
      <c r="E232" s="2948"/>
      <c r="F232" s="2948">
        <v>1840</v>
      </c>
      <c r="G232" s="2961"/>
    </row>
    <row r="233" spans="1:7" s="2782" customFormat="1" ht="14.25" customHeight="1" thickBot="1">
      <c r="A233" s="2962" t="s">
        <v>304</v>
      </c>
      <c r="B233" s="2955" t="s">
        <v>3038</v>
      </c>
      <c r="C233" s="2955"/>
      <c r="D233" s="2955"/>
      <c r="E233" s="2955"/>
      <c r="F233" s="2955">
        <v>1770</v>
      </c>
      <c r="G233" s="2963"/>
    </row>
    <row r="234" spans="1:7" s="2782" customFormat="1" ht="14.25" customHeight="1">
      <c r="A234" s="2953" t="s">
        <v>305</v>
      </c>
      <c r="B234" s="2944" t="s">
        <v>3108</v>
      </c>
      <c r="C234" s="2948">
        <v>6980</v>
      </c>
      <c r="D234" s="2948">
        <v>6970</v>
      </c>
      <c r="E234" s="2948">
        <v>8720</v>
      </c>
      <c r="F234" s="2948">
        <v>1350</v>
      </c>
      <c r="G234" s="2948">
        <v>4280</v>
      </c>
    </row>
    <row r="235" spans="1:7" s="2782" customFormat="1" ht="14.25" customHeight="1">
      <c r="A235" s="2948" t="s">
        <v>305</v>
      </c>
      <c r="B235" s="2948" t="s">
        <v>134</v>
      </c>
      <c r="C235" s="2948">
        <v>7620</v>
      </c>
      <c r="D235" s="2948">
        <v>7580</v>
      </c>
      <c r="E235" s="2948">
        <v>9360</v>
      </c>
      <c r="F235" s="2948">
        <v>1490</v>
      </c>
      <c r="G235" s="2948">
        <v>4650</v>
      </c>
    </row>
    <row r="236" spans="1:7" s="2782" customFormat="1" ht="14.25" customHeight="1">
      <c r="A236" s="2948" t="s">
        <v>305</v>
      </c>
      <c r="B236" s="2948" t="s">
        <v>143</v>
      </c>
      <c r="C236" s="2948">
        <v>6650</v>
      </c>
      <c r="D236" s="2948">
        <v>6630</v>
      </c>
      <c r="E236" s="2948">
        <v>8330</v>
      </c>
      <c r="F236" s="2948">
        <v>1250</v>
      </c>
      <c r="G236" s="2948">
        <v>4070</v>
      </c>
    </row>
    <row r="237" spans="1:7" s="2782" customFormat="1" ht="14.25" customHeight="1">
      <c r="A237" s="2948" t="s">
        <v>305</v>
      </c>
      <c r="B237" s="2948" t="s">
        <v>152</v>
      </c>
      <c r="C237" s="2948">
        <v>5850</v>
      </c>
      <c r="D237" s="2948">
        <v>5820</v>
      </c>
      <c r="E237" s="2948">
        <v>7260</v>
      </c>
      <c r="F237" s="2948">
        <v>1140</v>
      </c>
      <c r="G237" s="2948">
        <v>3570</v>
      </c>
    </row>
    <row r="238" spans="1:7" s="2782" customFormat="1" ht="14.25" customHeight="1">
      <c r="A238" s="2948" t="s">
        <v>305</v>
      </c>
      <c r="B238" s="2948" t="s">
        <v>2879</v>
      </c>
      <c r="C238" s="2948">
        <v>6920</v>
      </c>
      <c r="D238" s="2948">
        <v>6890</v>
      </c>
      <c r="E238" s="2948">
        <v>8640</v>
      </c>
      <c r="F238" s="2948">
        <v>1310</v>
      </c>
      <c r="G238" s="2948">
        <v>4230</v>
      </c>
    </row>
    <row r="239" spans="1:7" s="2782" customFormat="1" ht="14.25" customHeight="1">
      <c r="A239" s="2948" t="s">
        <v>305</v>
      </c>
      <c r="B239" s="2948" t="s">
        <v>3109</v>
      </c>
      <c r="C239" s="2948">
        <v>6780</v>
      </c>
      <c r="D239" s="2948">
        <v>6750</v>
      </c>
      <c r="E239" s="2948">
        <v>8440</v>
      </c>
      <c r="F239" s="2948">
        <v>1160</v>
      </c>
      <c r="G239" s="2948">
        <v>4140</v>
      </c>
    </row>
    <row r="240" spans="1:7" s="2782" customFormat="1" ht="14.25" customHeight="1">
      <c r="A240" s="2948" t="s">
        <v>305</v>
      </c>
      <c r="B240" s="2948" t="s">
        <v>3110</v>
      </c>
      <c r="C240" s="2948">
        <v>5420</v>
      </c>
      <c r="D240" s="2948">
        <v>5380</v>
      </c>
      <c r="E240" s="2948">
        <v>6640</v>
      </c>
      <c r="F240" s="2948">
        <v>1020</v>
      </c>
      <c r="G240" s="2948">
        <v>3300</v>
      </c>
    </row>
    <row r="241" spans="1:7" s="2782" customFormat="1" ht="14.25" customHeight="1">
      <c r="A241" s="2948" t="s">
        <v>305</v>
      </c>
      <c r="B241" s="2948" t="s">
        <v>3111</v>
      </c>
      <c r="C241" s="2948">
        <v>6660</v>
      </c>
      <c r="D241" s="2948">
        <v>6640</v>
      </c>
      <c r="E241" s="2948">
        <v>8340</v>
      </c>
      <c r="F241" s="2948">
        <v>1130</v>
      </c>
      <c r="G241" s="2948">
        <v>4080</v>
      </c>
    </row>
    <row r="242" spans="1:7" s="2782" customFormat="1" ht="14.25" customHeight="1">
      <c r="A242" s="2948" t="s">
        <v>305</v>
      </c>
      <c r="B242" s="2948" t="s">
        <v>181</v>
      </c>
      <c r="C242" s="2948">
        <v>6580</v>
      </c>
      <c r="D242" s="2948">
        <v>6550</v>
      </c>
      <c r="E242" s="2948">
        <v>8090</v>
      </c>
      <c r="F242" s="2948">
        <v>1240</v>
      </c>
      <c r="G242" s="2948">
        <v>4020</v>
      </c>
    </row>
    <row r="243" spans="1:7" s="2782" customFormat="1" ht="14.25" customHeight="1">
      <c r="A243" s="2948" t="s">
        <v>305</v>
      </c>
      <c r="B243" s="2948" t="s">
        <v>191</v>
      </c>
      <c r="C243" s="2948">
        <v>6000</v>
      </c>
      <c r="D243" s="2948">
        <v>5970</v>
      </c>
      <c r="E243" s="2948">
        <v>7370</v>
      </c>
      <c r="F243" s="2948">
        <v>1070</v>
      </c>
      <c r="G243" s="2948">
        <v>3670</v>
      </c>
    </row>
    <row r="244" spans="1:7" s="2782" customFormat="1" ht="14.25" customHeight="1">
      <c r="A244" s="2948" t="s">
        <v>305</v>
      </c>
      <c r="B244" s="2948" t="s">
        <v>3112</v>
      </c>
      <c r="C244" s="2948">
        <v>5840</v>
      </c>
      <c r="D244" s="2948">
        <v>5810</v>
      </c>
      <c r="E244" s="2948">
        <v>7240</v>
      </c>
      <c r="F244" s="2948">
        <v>1100</v>
      </c>
      <c r="G244" s="2948">
        <v>3560</v>
      </c>
    </row>
    <row r="245" spans="1:7" s="2782" customFormat="1" ht="14.25" customHeight="1">
      <c r="A245" s="2948" t="s">
        <v>305</v>
      </c>
      <c r="B245" s="2948" t="s">
        <v>206</v>
      </c>
      <c r="C245" s="2948">
        <v>6040</v>
      </c>
      <c r="D245" s="2948">
        <v>6000</v>
      </c>
      <c r="E245" s="2948">
        <v>7420</v>
      </c>
      <c r="F245" s="2948">
        <v>1140</v>
      </c>
      <c r="G245" s="2948">
        <v>3690</v>
      </c>
    </row>
    <row r="246" spans="1:7" s="2782" customFormat="1" ht="14.25" customHeight="1">
      <c r="A246" s="2948" t="s">
        <v>305</v>
      </c>
      <c r="B246" s="2948" t="s">
        <v>213</v>
      </c>
      <c r="C246" s="2948">
        <v>5890</v>
      </c>
      <c r="D246" s="2948">
        <v>5860</v>
      </c>
      <c r="E246" s="2948">
        <v>7300</v>
      </c>
      <c r="F246" s="2948">
        <v>1110</v>
      </c>
      <c r="G246" s="2948">
        <v>3590</v>
      </c>
    </row>
    <row r="247" spans="1:7" s="2782" customFormat="1" ht="14.25" customHeight="1">
      <c r="A247" s="2948" t="s">
        <v>305</v>
      </c>
      <c r="B247" s="2948" t="s">
        <v>3113</v>
      </c>
      <c r="C247" s="2948">
        <v>6480</v>
      </c>
      <c r="D247" s="2948">
        <v>6450</v>
      </c>
      <c r="E247" s="2948">
        <v>8010</v>
      </c>
      <c r="F247" s="2948">
        <v>1170</v>
      </c>
      <c r="G247" s="2948">
        <v>3960</v>
      </c>
    </row>
    <row r="248" spans="1:7" s="2782" customFormat="1" ht="14.25" customHeight="1">
      <c r="A248" s="2948" t="s">
        <v>305</v>
      </c>
      <c r="B248" s="2948" t="s">
        <v>227</v>
      </c>
      <c r="C248" s="2948">
        <v>6860</v>
      </c>
      <c r="D248" s="2948">
        <v>6840</v>
      </c>
      <c r="E248" s="2948">
        <v>8520</v>
      </c>
      <c r="F248" s="2948">
        <v>1240</v>
      </c>
      <c r="G248" s="2948">
        <v>4200</v>
      </c>
    </row>
    <row r="249" spans="1:7" s="2782" customFormat="1" ht="14.25" customHeight="1">
      <c r="A249" s="2948" t="s">
        <v>305</v>
      </c>
      <c r="B249" s="2948" t="s">
        <v>3114</v>
      </c>
      <c r="C249" s="2948">
        <v>7180</v>
      </c>
      <c r="D249" s="2948">
        <v>7140</v>
      </c>
      <c r="E249" s="2948">
        <v>8900</v>
      </c>
      <c r="F249" s="2948">
        <v>1350</v>
      </c>
      <c r="G249" s="2948">
        <v>4380</v>
      </c>
    </row>
    <row r="250" spans="1:7" s="2782" customFormat="1" ht="14.25" customHeight="1">
      <c r="A250" s="2948" t="s">
        <v>305</v>
      </c>
      <c r="B250" s="2948" t="s">
        <v>241</v>
      </c>
      <c r="C250" s="2948">
        <v>6880</v>
      </c>
      <c r="D250" s="2948">
        <v>6860</v>
      </c>
      <c r="E250" s="2948">
        <v>8550</v>
      </c>
      <c r="F250" s="2948">
        <v>1220</v>
      </c>
      <c r="G250" s="2948">
        <v>4210</v>
      </c>
    </row>
    <row r="251" spans="1:7" s="2782" customFormat="1" ht="14.25" customHeight="1">
      <c r="A251" s="2948" t="s">
        <v>305</v>
      </c>
      <c r="B251" s="2948" t="s">
        <v>249</v>
      </c>
      <c r="C251" s="2948"/>
      <c r="D251" s="2948"/>
      <c r="E251" s="2948"/>
      <c r="F251" s="2948">
        <v>1100</v>
      </c>
      <c r="G251" s="2948"/>
    </row>
    <row r="252" spans="1:7" s="2782" customFormat="1" ht="14.25" customHeight="1">
      <c r="A252" s="2948" t="s">
        <v>305</v>
      </c>
      <c r="B252" s="2948" t="s">
        <v>3115</v>
      </c>
      <c r="C252" s="2948">
        <v>7240</v>
      </c>
      <c r="D252" s="2948">
        <v>7200</v>
      </c>
      <c r="E252" s="2948">
        <v>9040</v>
      </c>
      <c r="F252" s="2948">
        <v>1380</v>
      </c>
      <c r="G252" s="2948">
        <v>4420</v>
      </c>
    </row>
    <row r="253" spans="1:7" s="2782" customFormat="1" ht="14.25" customHeight="1">
      <c r="A253" s="2948" t="s">
        <v>305</v>
      </c>
      <c r="B253" s="2948" t="s">
        <v>283</v>
      </c>
      <c r="C253" s="2948">
        <v>6670</v>
      </c>
      <c r="D253" s="2948">
        <v>6650</v>
      </c>
      <c r="E253" s="2948">
        <v>8350</v>
      </c>
      <c r="F253" s="2948">
        <v>1260</v>
      </c>
      <c r="G253" s="2948">
        <v>4080</v>
      </c>
    </row>
    <row r="254" spans="1:7" s="2782" customFormat="1" ht="14.25" customHeight="1">
      <c r="A254" s="2948" t="s">
        <v>305</v>
      </c>
      <c r="B254" s="2948" t="s">
        <v>286</v>
      </c>
      <c r="C254" s="2948">
        <v>7630</v>
      </c>
      <c r="D254" s="2948">
        <v>7590</v>
      </c>
      <c r="E254" s="2948">
        <v>9380</v>
      </c>
      <c r="F254" s="2948">
        <v>1320</v>
      </c>
      <c r="G254" s="2948">
        <v>4660</v>
      </c>
    </row>
    <row r="255" spans="1:7" s="2782" customFormat="1" ht="14.25" customHeight="1">
      <c r="A255" s="2948" t="s">
        <v>305</v>
      </c>
      <c r="B255" s="2948" t="s">
        <v>289</v>
      </c>
      <c r="C255" s="2948">
        <v>6940</v>
      </c>
      <c r="D255" s="2948">
        <v>6890</v>
      </c>
      <c r="E255" s="2948">
        <v>8650</v>
      </c>
      <c r="F255" s="2948">
        <v>1210</v>
      </c>
      <c r="G255" s="2948">
        <v>4230</v>
      </c>
    </row>
    <row r="256" spans="1:7" s="2782" customFormat="1" ht="14.25" customHeight="1">
      <c r="A256" s="2948" t="s">
        <v>305</v>
      </c>
      <c r="B256" s="2948" t="s">
        <v>3116</v>
      </c>
      <c r="C256" s="2948">
        <v>7520</v>
      </c>
      <c r="D256" s="2948">
        <v>7490</v>
      </c>
      <c r="E256" s="2948">
        <v>9240</v>
      </c>
      <c r="F256" s="2948">
        <v>1270</v>
      </c>
      <c r="G256" s="2948">
        <v>4590</v>
      </c>
    </row>
    <row r="257" spans="1:7" s="2782" customFormat="1" ht="14.25" customHeight="1">
      <c r="A257" s="2948" t="s">
        <v>305</v>
      </c>
      <c r="B257" s="2948" t="s">
        <v>275</v>
      </c>
      <c r="C257" s="2948">
        <v>6280</v>
      </c>
      <c r="D257" s="2948">
        <v>6230</v>
      </c>
      <c r="E257" s="2948">
        <v>7740</v>
      </c>
      <c r="F257" s="2948">
        <v>1080</v>
      </c>
      <c r="G257" s="2948">
        <v>3830</v>
      </c>
    </row>
    <row r="258" spans="1:7" s="2782" customFormat="1" ht="14.25" customHeight="1">
      <c r="A258" s="2948" t="s">
        <v>305</v>
      </c>
      <c r="B258" s="2948" t="s">
        <v>2941</v>
      </c>
      <c r="C258" s="2948">
        <v>6190</v>
      </c>
      <c r="D258" s="2948">
        <v>6160</v>
      </c>
      <c r="E258" s="2948">
        <v>7680</v>
      </c>
      <c r="F258" s="2948">
        <v>1170</v>
      </c>
      <c r="G258" s="2948">
        <v>3780</v>
      </c>
    </row>
    <row r="259" spans="1:7" s="2782" customFormat="1" ht="14.25" customHeight="1">
      <c r="A259" s="2948" t="s">
        <v>305</v>
      </c>
      <c r="B259" s="2948" t="s">
        <v>3117</v>
      </c>
      <c r="C259" s="2948">
        <v>7610</v>
      </c>
      <c r="D259" s="2948">
        <v>7570</v>
      </c>
      <c r="E259" s="2948">
        <v>9350</v>
      </c>
      <c r="F259" s="2948">
        <v>1350</v>
      </c>
      <c r="G259" s="2948">
        <v>4650</v>
      </c>
    </row>
    <row r="260" spans="1:7" s="2782" customFormat="1" ht="14.25" customHeight="1">
      <c r="A260" s="2948" t="s">
        <v>305</v>
      </c>
      <c r="B260" s="2948" t="s">
        <v>3118</v>
      </c>
      <c r="C260" s="2948">
        <v>6920</v>
      </c>
      <c r="D260" s="2948">
        <v>6880</v>
      </c>
      <c r="E260" s="2948">
        <v>8380</v>
      </c>
      <c r="F260" s="2948">
        <v>1160</v>
      </c>
      <c r="G260" s="2948">
        <v>4220</v>
      </c>
    </row>
    <row r="261" spans="1:7" s="2782" customFormat="1" ht="14.25" customHeight="1">
      <c r="A261" s="2948" t="s">
        <v>305</v>
      </c>
      <c r="B261" s="2948" t="s">
        <v>3119</v>
      </c>
      <c r="C261" s="2948">
        <v>6850</v>
      </c>
      <c r="D261" s="2948">
        <v>6810</v>
      </c>
      <c r="E261" s="2948">
        <v>8290</v>
      </c>
      <c r="F261" s="2948">
        <v>1130</v>
      </c>
      <c r="G261" s="2948">
        <v>4180</v>
      </c>
    </row>
    <row r="262" spans="1:7" s="2782" customFormat="1" ht="14.25" customHeight="1">
      <c r="A262" s="2948" t="s">
        <v>305</v>
      </c>
      <c r="B262" s="2948" t="s">
        <v>3120</v>
      </c>
      <c r="C262" s="2948">
        <v>5860</v>
      </c>
      <c r="D262" s="2948">
        <v>5820</v>
      </c>
      <c r="E262" s="2948">
        <v>7640</v>
      </c>
      <c r="F262" s="2948">
        <v>1070</v>
      </c>
      <c r="G262" s="2948">
        <v>3570</v>
      </c>
    </row>
    <row r="263" spans="1:7" s="2782" customFormat="1" ht="14.25" customHeight="1">
      <c r="A263" s="2948" t="s">
        <v>305</v>
      </c>
      <c r="B263" s="2948" t="s">
        <v>3121</v>
      </c>
      <c r="C263" s="2948">
        <v>5870</v>
      </c>
      <c r="D263" s="2948">
        <v>5840</v>
      </c>
      <c r="E263" s="2948">
        <v>7270</v>
      </c>
      <c r="F263" s="2948">
        <v>1190</v>
      </c>
      <c r="G263" s="2948">
        <v>3580</v>
      </c>
    </row>
    <row r="264" spans="1:7" s="2782" customFormat="1" ht="14.25" customHeight="1">
      <c r="A264" s="2948" t="s">
        <v>305</v>
      </c>
      <c r="B264" s="2948" t="s">
        <v>299</v>
      </c>
      <c r="C264" s="2948">
        <v>6190</v>
      </c>
      <c r="D264" s="2948">
        <v>6150</v>
      </c>
      <c r="E264" s="2948">
        <v>7660</v>
      </c>
      <c r="F264" s="2948">
        <v>1160</v>
      </c>
      <c r="G264" s="2948">
        <v>3770</v>
      </c>
    </row>
    <row r="265" spans="1:7" s="2782" customFormat="1" ht="14.25" customHeight="1">
      <c r="A265" s="2948" t="s">
        <v>305</v>
      </c>
      <c r="B265" s="2948" t="s">
        <v>3122</v>
      </c>
      <c r="C265" s="2948"/>
      <c r="D265" s="2948"/>
      <c r="E265" s="2948"/>
      <c r="F265" s="2948">
        <v>1500</v>
      </c>
      <c r="G265" s="2948"/>
    </row>
    <row r="266" spans="1:7" s="2782" customFormat="1" ht="14.25" customHeight="1">
      <c r="A266" s="2948" t="s">
        <v>305</v>
      </c>
      <c r="B266" s="2948" t="s">
        <v>3123</v>
      </c>
      <c r="C266" s="2948"/>
      <c r="D266" s="2948"/>
      <c r="E266" s="2948"/>
      <c r="F266" s="2948">
        <v>1500</v>
      </c>
      <c r="G266" s="2948"/>
    </row>
    <row r="267" spans="1:7" s="2782" customFormat="1" ht="14.25" customHeight="1">
      <c r="A267" s="2948" t="s">
        <v>305</v>
      </c>
      <c r="B267" s="2948" t="s">
        <v>3124</v>
      </c>
      <c r="C267" s="2948"/>
      <c r="D267" s="2948"/>
      <c r="E267" s="2948"/>
      <c r="F267" s="2948">
        <v>1500</v>
      </c>
      <c r="G267" s="2948"/>
    </row>
    <row r="268" spans="1:7" s="2782" customFormat="1" ht="14.25" customHeight="1">
      <c r="A268" s="2948" t="s">
        <v>305</v>
      </c>
      <c r="B268" s="2948" t="s">
        <v>3125</v>
      </c>
      <c r="C268" s="2948"/>
      <c r="D268" s="2948"/>
      <c r="E268" s="2948"/>
      <c r="F268" s="2948">
        <v>1290</v>
      </c>
      <c r="G268" s="2948"/>
    </row>
    <row r="269" spans="1:7" s="2782" customFormat="1" ht="14.25" customHeight="1">
      <c r="A269" s="2948" t="s">
        <v>305</v>
      </c>
      <c r="B269" s="2948" t="s">
        <v>3126</v>
      </c>
      <c r="C269" s="2948"/>
      <c r="D269" s="2948"/>
      <c r="E269" s="2948"/>
      <c r="F269" s="2948">
        <v>1150</v>
      </c>
      <c r="G269" s="2948"/>
    </row>
    <row r="270" spans="1:7" s="2782" customFormat="1" ht="14.25" customHeight="1">
      <c r="A270" s="2948" t="s">
        <v>305</v>
      </c>
      <c r="B270" s="2948" t="s">
        <v>3127</v>
      </c>
      <c r="C270" s="2948"/>
      <c r="D270" s="2948"/>
      <c r="E270" s="2948"/>
      <c r="F270" s="2948">
        <v>1380</v>
      </c>
      <c r="G270" s="2948"/>
    </row>
    <row r="271" spans="1:7" s="2782" customFormat="1" ht="14.25" customHeight="1">
      <c r="A271" s="2948" t="s">
        <v>305</v>
      </c>
      <c r="B271" s="2948" t="s">
        <v>3128</v>
      </c>
      <c r="C271" s="2948"/>
      <c r="D271" s="2948"/>
      <c r="E271" s="2948"/>
      <c r="F271" s="2948">
        <v>1460</v>
      </c>
      <c r="G271" s="2948"/>
    </row>
    <row r="272" spans="1:7" s="2782" customFormat="1" ht="14.25" customHeight="1">
      <c r="A272" s="2948" t="s">
        <v>305</v>
      </c>
      <c r="B272" s="2948" t="s">
        <v>3129</v>
      </c>
      <c r="C272" s="2948"/>
      <c r="D272" s="2948"/>
      <c r="E272" s="2948"/>
      <c r="F272" s="2948">
        <v>1460</v>
      </c>
      <c r="G272" s="2948"/>
    </row>
    <row r="273" spans="1:7" s="2782" customFormat="1" ht="14.25" customHeight="1">
      <c r="A273" s="2948" t="s">
        <v>305</v>
      </c>
      <c r="B273" s="2948" t="s">
        <v>3022</v>
      </c>
      <c r="C273" s="2948"/>
      <c r="D273" s="2948"/>
      <c r="E273" s="2948"/>
      <c r="F273" s="2948">
        <v>1490</v>
      </c>
      <c r="G273" s="2948"/>
    </row>
    <row r="274" spans="1:7" s="2782" customFormat="1" ht="14.25" customHeight="1">
      <c r="A274" s="2948" t="s">
        <v>305</v>
      </c>
      <c r="B274" s="2948" t="s">
        <v>3130</v>
      </c>
      <c r="C274" s="2948"/>
      <c r="D274" s="2948"/>
      <c r="E274" s="2948"/>
      <c r="F274" s="2948">
        <v>1490</v>
      </c>
      <c r="G274" s="2948"/>
    </row>
    <row r="275" spans="1:7" s="2782" customFormat="1" ht="14.25" customHeight="1">
      <c r="A275" s="2948" t="s">
        <v>305</v>
      </c>
      <c r="B275" s="2948" t="s">
        <v>3131</v>
      </c>
      <c r="C275" s="2948"/>
      <c r="D275" s="2948"/>
      <c r="E275" s="2948"/>
      <c r="F275" s="2948">
        <v>1220</v>
      </c>
      <c r="G275" s="2948"/>
    </row>
    <row r="276" spans="1:7" s="2782" customFormat="1" ht="14.25" customHeight="1" thickBot="1">
      <c r="A276" s="2956" t="s">
        <v>305</v>
      </c>
      <c r="B276" s="2958" t="s">
        <v>3132</v>
      </c>
      <c r="C276" s="2959"/>
      <c r="D276" s="2959"/>
      <c r="E276" s="2959"/>
      <c r="F276" s="2959">
        <v>1380</v>
      </c>
      <c r="G276" s="2959"/>
    </row>
    <row r="277" spans="1:7" s="2782" customFormat="1" ht="14.25" customHeight="1">
      <c r="A277" s="2953" t="s">
        <v>306</v>
      </c>
      <c r="B277" s="2944" t="s">
        <v>3133</v>
      </c>
      <c r="C277" s="2944">
        <v>5790</v>
      </c>
      <c r="D277" s="2944">
        <v>5740</v>
      </c>
      <c r="E277" s="2944">
        <v>6730</v>
      </c>
      <c r="F277" s="2944">
        <v>1110</v>
      </c>
      <c r="G277" s="2960">
        <v>3460</v>
      </c>
    </row>
    <row r="278" spans="1:7" s="2782" customFormat="1" ht="14.25" customHeight="1">
      <c r="A278" s="2948" t="s">
        <v>306</v>
      </c>
      <c r="B278" s="2948" t="s">
        <v>135</v>
      </c>
      <c r="C278" s="2948">
        <v>5740</v>
      </c>
      <c r="D278" s="2948">
        <v>5670</v>
      </c>
      <c r="E278" s="2948">
        <v>6680</v>
      </c>
      <c r="F278" s="2948">
        <v>1070</v>
      </c>
      <c r="G278" s="2961">
        <v>3420</v>
      </c>
    </row>
    <row r="279" spans="1:7" s="2782" customFormat="1" ht="14.25" customHeight="1">
      <c r="A279" s="2948" t="s">
        <v>306</v>
      </c>
      <c r="B279" s="2948" t="s">
        <v>3134</v>
      </c>
      <c r="C279" s="2948">
        <v>4760</v>
      </c>
      <c r="D279" s="2948">
        <v>4720</v>
      </c>
      <c r="E279" s="2948">
        <v>5540</v>
      </c>
      <c r="F279" s="2948">
        <v>810</v>
      </c>
      <c r="G279" s="2961">
        <v>2850</v>
      </c>
    </row>
    <row r="280" spans="1:7" s="2782" customFormat="1" ht="14.25" customHeight="1">
      <c r="A280" s="2948" t="s">
        <v>306</v>
      </c>
      <c r="B280" s="2948" t="s">
        <v>3135</v>
      </c>
      <c r="C280" s="2948">
        <v>4010</v>
      </c>
      <c r="D280" s="2948">
        <v>3950</v>
      </c>
      <c r="E280" s="2948">
        <v>4710</v>
      </c>
      <c r="F280" s="2948">
        <v>800</v>
      </c>
      <c r="G280" s="2961">
        <v>2390</v>
      </c>
    </row>
    <row r="281" spans="1:7" s="2782" customFormat="1" ht="14.25" customHeight="1">
      <c r="A281" s="2948" t="s">
        <v>306</v>
      </c>
      <c r="B281" s="2948" t="s">
        <v>3136</v>
      </c>
      <c r="C281" s="2948">
        <v>4480</v>
      </c>
      <c r="D281" s="2948">
        <v>4420</v>
      </c>
      <c r="E281" s="2948">
        <v>5230</v>
      </c>
      <c r="F281" s="2948">
        <v>870</v>
      </c>
      <c r="G281" s="2961">
        <v>2660</v>
      </c>
    </row>
    <row r="282" spans="1:7" s="2782" customFormat="1" ht="14.25" customHeight="1">
      <c r="A282" s="2948" t="s">
        <v>306</v>
      </c>
      <c r="B282" s="2948" t="s">
        <v>3137</v>
      </c>
      <c r="C282" s="2948">
        <v>5360</v>
      </c>
      <c r="D282" s="2948">
        <v>5300</v>
      </c>
      <c r="E282" s="2948">
        <v>6190</v>
      </c>
      <c r="F282" s="2948">
        <v>950</v>
      </c>
      <c r="G282" s="2961">
        <v>3190</v>
      </c>
    </row>
    <row r="283" spans="1:7" s="2782" customFormat="1" ht="14.25" customHeight="1">
      <c r="A283" s="2948" t="s">
        <v>306</v>
      </c>
      <c r="B283" s="2948" t="s">
        <v>174</v>
      </c>
      <c r="C283" s="2948">
        <v>4950</v>
      </c>
      <c r="D283" s="2948">
        <v>4900</v>
      </c>
      <c r="E283" s="2948">
        <v>5720</v>
      </c>
      <c r="F283" s="2948">
        <v>920</v>
      </c>
      <c r="G283" s="2961">
        <v>2950</v>
      </c>
    </row>
    <row r="284" spans="1:7" s="2782" customFormat="1" ht="14.25" customHeight="1">
      <c r="A284" s="2948" t="s">
        <v>306</v>
      </c>
      <c r="B284" s="2948" t="s">
        <v>182</v>
      </c>
      <c r="C284" s="2948">
        <v>5610</v>
      </c>
      <c r="D284" s="2948">
        <v>5560</v>
      </c>
      <c r="E284" s="2948">
        <v>6520</v>
      </c>
      <c r="F284" s="2948">
        <v>1030</v>
      </c>
      <c r="G284" s="2961">
        <v>3360</v>
      </c>
    </row>
    <row r="285" spans="1:7" s="2782" customFormat="1" ht="14.25" customHeight="1">
      <c r="A285" s="2948" t="s">
        <v>306</v>
      </c>
      <c r="B285" s="2948" t="s">
        <v>192</v>
      </c>
      <c r="C285" s="2948">
        <v>5340</v>
      </c>
      <c r="D285" s="2948">
        <v>5290</v>
      </c>
      <c r="E285" s="2948">
        <v>6170</v>
      </c>
      <c r="F285" s="2948">
        <v>1080</v>
      </c>
      <c r="G285" s="2961">
        <v>3180</v>
      </c>
    </row>
    <row r="286" spans="1:7" s="2782" customFormat="1" ht="14.25" customHeight="1">
      <c r="A286" s="2948" t="s">
        <v>306</v>
      </c>
      <c r="B286" s="2948" t="s">
        <v>199</v>
      </c>
      <c r="C286" s="2948">
        <v>4890</v>
      </c>
      <c r="D286" s="2948">
        <v>4840</v>
      </c>
      <c r="E286" s="2948">
        <v>5640</v>
      </c>
      <c r="F286" s="2948">
        <v>960</v>
      </c>
      <c r="G286" s="2961">
        <v>2910</v>
      </c>
    </row>
    <row r="287" spans="1:7" s="2782" customFormat="1" ht="14.25" customHeight="1">
      <c r="A287" s="2948" t="s">
        <v>306</v>
      </c>
      <c r="B287" s="2948" t="s">
        <v>3138</v>
      </c>
      <c r="C287" s="2948">
        <v>4960</v>
      </c>
      <c r="D287" s="2948">
        <v>4920</v>
      </c>
      <c r="E287" s="2948">
        <v>5730</v>
      </c>
      <c r="F287" s="2948">
        <v>930</v>
      </c>
      <c r="G287" s="2961">
        <v>2960</v>
      </c>
    </row>
    <row r="288" spans="1:7" s="2782" customFormat="1" ht="14.25" customHeight="1">
      <c r="A288" s="2948" t="s">
        <v>306</v>
      </c>
      <c r="B288" s="2948" t="s">
        <v>219</v>
      </c>
      <c r="C288" s="2948">
        <v>4350</v>
      </c>
      <c r="D288" s="2948">
        <v>4300</v>
      </c>
      <c r="E288" s="2948">
        <v>4900</v>
      </c>
      <c r="F288" s="2948">
        <v>820</v>
      </c>
      <c r="G288" s="2961">
        <v>2590</v>
      </c>
    </row>
    <row r="289" spans="1:7" s="2782" customFormat="1" ht="14.25" customHeight="1">
      <c r="A289" s="2948" t="s">
        <v>306</v>
      </c>
      <c r="B289" s="2948" t="s">
        <v>3139</v>
      </c>
      <c r="C289" s="2948">
        <v>5230</v>
      </c>
      <c r="D289" s="2948">
        <v>5170</v>
      </c>
      <c r="E289" s="2948">
        <v>6060</v>
      </c>
      <c r="F289" s="2948">
        <v>900</v>
      </c>
      <c r="G289" s="2961">
        <v>3120</v>
      </c>
    </row>
    <row r="290" spans="1:7" s="2782" customFormat="1" ht="14.25" customHeight="1">
      <c r="A290" s="2948" t="s">
        <v>306</v>
      </c>
      <c r="B290" s="2948" t="s">
        <v>242</v>
      </c>
      <c r="C290" s="2948">
        <v>5550</v>
      </c>
      <c r="D290" s="2948">
        <v>5500</v>
      </c>
      <c r="E290" s="2948">
        <v>6440</v>
      </c>
      <c r="F290" s="2948">
        <v>960</v>
      </c>
      <c r="G290" s="2961">
        <v>3320</v>
      </c>
    </row>
    <row r="291" spans="1:7" s="2782" customFormat="1" ht="14.25" customHeight="1">
      <c r="A291" s="2948" t="s">
        <v>306</v>
      </c>
      <c r="B291" s="2948" t="s">
        <v>250</v>
      </c>
      <c r="C291" s="2948">
        <v>5440</v>
      </c>
      <c r="D291" s="2948">
        <v>5400</v>
      </c>
      <c r="E291" s="2948">
        <v>6320</v>
      </c>
      <c r="F291" s="2948">
        <v>930</v>
      </c>
      <c r="G291" s="2961">
        <v>3250</v>
      </c>
    </row>
    <row r="292" spans="1:7" s="2782" customFormat="1" ht="14.25" customHeight="1">
      <c r="A292" s="2948" t="s">
        <v>306</v>
      </c>
      <c r="B292" s="2948" t="s">
        <v>256</v>
      </c>
      <c r="C292" s="2948">
        <v>5400</v>
      </c>
      <c r="D292" s="2948">
        <v>5360</v>
      </c>
      <c r="E292" s="2948">
        <v>6270</v>
      </c>
      <c r="F292" s="2948">
        <v>1040</v>
      </c>
      <c r="G292" s="2961">
        <v>3230</v>
      </c>
    </row>
    <row r="293" spans="1:7" s="2782" customFormat="1" ht="14.25" customHeight="1">
      <c r="A293" s="2948" t="s">
        <v>306</v>
      </c>
      <c r="B293" s="2948" t="s">
        <v>2914</v>
      </c>
      <c r="C293" s="2948">
        <v>5320</v>
      </c>
      <c r="D293" s="2948">
        <v>5270</v>
      </c>
      <c r="E293" s="2948">
        <v>6160</v>
      </c>
      <c r="F293" s="2948">
        <v>990</v>
      </c>
      <c r="G293" s="2961">
        <v>3170</v>
      </c>
    </row>
    <row r="294" spans="1:7" s="2782" customFormat="1" ht="14.25" customHeight="1">
      <c r="A294" s="2948" t="s">
        <v>306</v>
      </c>
      <c r="B294" s="2948" t="s">
        <v>3140</v>
      </c>
      <c r="C294" s="2948">
        <v>5260</v>
      </c>
      <c r="D294" s="2948">
        <v>5210</v>
      </c>
      <c r="E294" s="2948">
        <v>6100</v>
      </c>
      <c r="F294" s="2948">
        <v>950</v>
      </c>
      <c r="G294" s="2961">
        <v>3150</v>
      </c>
    </row>
    <row r="295" spans="1:7" s="2782" customFormat="1" ht="14.25" customHeight="1">
      <c r="A295" s="2948" t="s">
        <v>306</v>
      </c>
      <c r="B295" s="2948" t="s">
        <v>290</v>
      </c>
      <c r="C295" s="2948">
        <v>5610</v>
      </c>
      <c r="D295" s="2948">
        <v>5570</v>
      </c>
      <c r="E295" s="2948">
        <v>6530</v>
      </c>
      <c r="F295" s="2948">
        <v>960</v>
      </c>
      <c r="G295" s="2961">
        <v>3360</v>
      </c>
    </row>
    <row r="296" spans="1:7" s="2782" customFormat="1" ht="14.25" customHeight="1">
      <c r="A296" s="2948" t="s">
        <v>306</v>
      </c>
      <c r="B296" s="2948" t="s">
        <v>293</v>
      </c>
      <c r="C296" s="2948">
        <v>5540</v>
      </c>
      <c r="D296" s="2948">
        <v>5490</v>
      </c>
      <c r="E296" s="2948">
        <v>6430</v>
      </c>
      <c r="F296" s="2948">
        <v>980</v>
      </c>
      <c r="G296" s="2961">
        <v>3310</v>
      </c>
    </row>
    <row r="297" spans="1:7" s="2782" customFormat="1" ht="14.25" customHeight="1">
      <c r="A297" s="2948" t="s">
        <v>306</v>
      </c>
      <c r="B297" s="2948" t="s">
        <v>295</v>
      </c>
      <c r="C297" s="2948">
        <v>5480</v>
      </c>
      <c r="D297" s="2948">
        <v>5420</v>
      </c>
      <c r="E297" s="2948">
        <v>6370</v>
      </c>
      <c r="F297" s="2948">
        <v>990</v>
      </c>
      <c r="G297" s="2961">
        <v>3270</v>
      </c>
    </row>
    <row r="298" spans="1:7" s="2782" customFormat="1" ht="14.25" customHeight="1">
      <c r="A298" s="2948" t="s">
        <v>306</v>
      </c>
      <c r="B298" s="2948" t="s">
        <v>298</v>
      </c>
      <c r="C298" s="2948">
        <v>5090</v>
      </c>
      <c r="D298" s="2948">
        <v>5050</v>
      </c>
      <c r="E298" s="2948">
        <v>5910</v>
      </c>
      <c r="F298" s="2948">
        <v>900</v>
      </c>
      <c r="G298" s="2961">
        <v>3040</v>
      </c>
    </row>
    <row r="299" spans="1:7" s="2782" customFormat="1" ht="14.25" customHeight="1">
      <c r="A299" s="2948" t="s">
        <v>306</v>
      </c>
      <c r="B299" s="2957" t="s">
        <v>2933</v>
      </c>
      <c r="C299" s="2948">
        <v>5430</v>
      </c>
      <c r="D299" s="2948">
        <v>5380</v>
      </c>
      <c r="E299" s="2948">
        <v>6280</v>
      </c>
      <c r="F299" s="2948">
        <v>1000</v>
      </c>
      <c r="G299" s="2961">
        <v>3240</v>
      </c>
    </row>
    <row r="300" spans="1:7" s="2782" customFormat="1" ht="14.25" customHeight="1">
      <c r="A300" s="2948" t="s">
        <v>306</v>
      </c>
      <c r="B300" s="2957" t="s">
        <v>271</v>
      </c>
      <c r="C300" s="2948">
        <v>4740</v>
      </c>
      <c r="D300" s="2948">
        <v>4680</v>
      </c>
      <c r="E300" s="2948">
        <v>5450</v>
      </c>
      <c r="F300" s="2948">
        <v>900</v>
      </c>
      <c r="G300" s="2961">
        <v>2830</v>
      </c>
    </row>
    <row r="301" spans="1:7" s="2782" customFormat="1" ht="14.25" customHeight="1">
      <c r="A301" s="2948" t="s">
        <v>306</v>
      </c>
      <c r="B301" s="2957" t="s">
        <v>276</v>
      </c>
      <c r="C301" s="2948">
        <v>4870</v>
      </c>
      <c r="D301" s="2948">
        <v>4810</v>
      </c>
      <c r="E301" s="2948">
        <v>5560</v>
      </c>
      <c r="F301" s="2948">
        <v>990</v>
      </c>
      <c r="G301" s="2961">
        <v>2910</v>
      </c>
    </row>
    <row r="302" spans="1:7" s="2782" customFormat="1" ht="14.25" customHeight="1">
      <c r="A302" s="2948" t="s">
        <v>306</v>
      </c>
      <c r="B302" s="2948" t="s">
        <v>3141</v>
      </c>
      <c r="C302" s="2948">
        <v>5520</v>
      </c>
      <c r="D302" s="2948">
        <v>5470</v>
      </c>
      <c r="E302" s="2948">
        <v>6410</v>
      </c>
      <c r="F302" s="2948">
        <v>950</v>
      </c>
      <c r="G302" s="2961">
        <v>3300</v>
      </c>
    </row>
    <row r="303" spans="1:7" s="2782" customFormat="1" ht="14.25" customHeight="1">
      <c r="A303" s="2948" t="s">
        <v>306</v>
      </c>
      <c r="B303" s="2948" t="s">
        <v>2953</v>
      </c>
      <c r="C303" s="2948">
        <v>5630</v>
      </c>
      <c r="D303" s="2948">
        <v>5590</v>
      </c>
      <c r="E303" s="2948">
        <v>6550</v>
      </c>
      <c r="F303" s="2948">
        <v>1010</v>
      </c>
      <c r="G303" s="2961">
        <v>3370</v>
      </c>
    </row>
    <row r="304" spans="1:7" s="2782" customFormat="1" ht="14.25" customHeight="1">
      <c r="A304" s="2948" t="s">
        <v>306</v>
      </c>
      <c r="B304" s="2948" t="s">
        <v>2960</v>
      </c>
      <c r="C304" s="2948">
        <v>5680</v>
      </c>
      <c r="D304" s="2948">
        <v>5620</v>
      </c>
      <c r="E304" s="2948">
        <v>6620</v>
      </c>
      <c r="F304" s="2948">
        <v>1050</v>
      </c>
      <c r="G304" s="2961">
        <v>3390</v>
      </c>
    </row>
    <row r="305" spans="1:7" s="2782" customFormat="1" ht="14.25" customHeight="1">
      <c r="A305" s="2948" t="s">
        <v>306</v>
      </c>
      <c r="B305" s="2948" t="s">
        <v>2966</v>
      </c>
      <c r="C305" s="2948">
        <v>5590</v>
      </c>
      <c r="D305" s="2948">
        <v>5530</v>
      </c>
      <c r="E305" s="2948">
        <v>6460</v>
      </c>
      <c r="F305" s="2948">
        <v>900</v>
      </c>
      <c r="G305" s="2961">
        <v>3340</v>
      </c>
    </row>
    <row r="306" spans="1:7" s="2782" customFormat="1" ht="14.25" customHeight="1">
      <c r="A306" s="2948" t="s">
        <v>306</v>
      </c>
      <c r="B306" s="2948" t="s">
        <v>3142</v>
      </c>
      <c r="C306" s="2948">
        <v>5560</v>
      </c>
      <c r="D306" s="2948">
        <v>5510</v>
      </c>
      <c r="E306" s="2948">
        <v>6440</v>
      </c>
      <c r="F306" s="2948">
        <v>900</v>
      </c>
      <c r="G306" s="2961">
        <v>3320</v>
      </c>
    </row>
    <row r="307" spans="1:7" s="2782" customFormat="1" ht="14.25" customHeight="1">
      <c r="A307" s="2948" t="s">
        <v>306</v>
      </c>
      <c r="B307" s="2948" t="s">
        <v>2978</v>
      </c>
      <c r="C307" s="2948">
        <v>5650</v>
      </c>
      <c r="D307" s="2948">
        <v>5600</v>
      </c>
      <c r="E307" s="2948">
        <v>6590</v>
      </c>
      <c r="F307" s="2948">
        <v>930</v>
      </c>
      <c r="G307" s="2961">
        <v>3380</v>
      </c>
    </row>
    <row r="308" spans="1:7" s="2782" customFormat="1" ht="14.25" customHeight="1">
      <c r="A308" s="2948" t="s">
        <v>306</v>
      </c>
      <c r="B308" s="2948" t="s">
        <v>3143</v>
      </c>
      <c r="C308" s="2948">
        <v>5620</v>
      </c>
      <c r="D308" s="2948">
        <v>5580</v>
      </c>
      <c r="E308" s="2948">
        <v>6540</v>
      </c>
      <c r="F308" s="2948">
        <v>910</v>
      </c>
      <c r="G308" s="2961">
        <v>3370</v>
      </c>
    </row>
    <row r="309" spans="1:7" s="2782" customFormat="1" ht="14.25" customHeight="1">
      <c r="A309" s="2948" t="s">
        <v>306</v>
      </c>
      <c r="B309" s="2948" t="s">
        <v>3144</v>
      </c>
      <c r="C309" s="2948">
        <v>5060</v>
      </c>
      <c r="D309" s="2948">
        <v>5020</v>
      </c>
      <c r="E309" s="2948">
        <v>6370</v>
      </c>
      <c r="F309" s="2948">
        <v>800</v>
      </c>
      <c r="G309" s="2961">
        <v>3020</v>
      </c>
    </row>
    <row r="310" spans="1:7" s="2782" customFormat="1" ht="14.25" customHeight="1">
      <c r="A310" s="2948" t="s">
        <v>306</v>
      </c>
      <c r="B310" s="2948" t="s">
        <v>2993</v>
      </c>
      <c r="C310" s="2948">
        <v>5150</v>
      </c>
      <c r="D310" s="2948">
        <v>5110</v>
      </c>
      <c r="E310" s="2948">
        <v>6500</v>
      </c>
      <c r="F310" s="2948">
        <v>880</v>
      </c>
      <c r="G310" s="2961">
        <v>3080</v>
      </c>
    </row>
    <row r="311" spans="1:7" s="2782" customFormat="1" ht="14.25" customHeight="1">
      <c r="A311" s="2948" t="s">
        <v>306</v>
      </c>
      <c r="B311" s="2948" t="s">
        <v>3145</v>
      </c>
      <c r="C311" s="2948">
        <v>4750</v>
      </c>
      <c r="D311" s="2948">
        <v>4710</v>
      </c>
      <c r="E311" s="2948">
        <v>5510</v>
      </c>
      <c r="F311" s="2948">
        <v>880</v>
      </c>
      <c r="G311" s="2961">
        <v>2840</v>
      </c>
    </row>
    <row r="312" spans="1:7" s="2782" customFormat="1" ht="14.25" customHeight="1">
      <c r="A312" s="2948" t="s">
        <v>306</v>
      </c>
      <c r="B312" s="2948" t="s">
        <v>3003</v>
      </c>
      <c r="C312" s="2948">
        <v>4690</v>
      </c>
      <c r="D312" s="2948">
        <v>4640</v>
      </c>
      <c r="E312" s="2948">
        <v>5420</v>
      </c>
      <c r="F312" s="2948">
        <v>800</v>
      </c>
      <c r="G312" s="2961">
        <v>2800</v>
      </c>
    </row>
    <row r="313" spans="1:7" s="2782" customFormat="1" ht="14.25" customHeight="1">
      <c r="A313" s="2948" t="s">
        <v>306</v>
      </c>
      <c r="B313" s="2948" t="s">
        <v>3008</v>
      </c>
      <c r="C313" s="2948">
        <v>4810</v>
      </c>
      <c r="D313" s="2948">
        <v>4760</v>
      </c>
      <c r="E313" s="2948">
        <v>5550</v>
      </c>
      <c r="F313" s="2948">
        <v>920</v>
      </c>
      <c r="G313" s="2961">
        <v>2870</v>
      </c>
    </row>
    <row r="314" spans="1:7" s="2782" customFormat="1" ht="14.25" customHeight="1">
      <c r="A314" s="2948" t="s">
        <v>306</v>
      </c>
      <c r="B314" s="2948" t="s">
        <v>3146</v>
      </c>
      <c r="C314" s="2948"/>
      <c r="D314" s="2948"/>
      <c r="E314" s="2948"/>
      <c r="F314" s="2948">
        <v>1020</v>
      </c>
      <c r="G314" s="2961"/>
    </row>
    <row r="315" spans="1:7" s="2782" customFormat="1" ht="14.25" customHeight="1">
      <c r="A315" s="2948" t="s">
        <v>306</v>
      </c>
      <c r="B315" s="2948" t="s">
        <v>3147</v>
      </c>
      <c r="C315" s="2948"/>
      <c r="D315" s="2948"/>
      <c r="E315" s="2948"/>
      <c r="F315" s="2948">
        <v>1050</v>
      </c>
      <c r="G315" s="2961"/>
    </row>
    <row r="316" spans="1:7" s="2782" customFormat="1" ht="14.25" customHeight="1">
      <c r="A316" s="2948" t="s">
        <v>306</v>
      </c>
      <c r="B316" s="2948" t="s">
        <v>3023</v>
      </c>
      <c r="C316" s="2948"/>
      <c r="D316" s="2948"/>
      <c r="E316" s="2948"/>
      <c r="F316" s="2948">
        <v>900</v>
      </c>
      <c r="G316" s="2961"/>
    </row>
    <row r="317" spans="1:7" s="2782" customFormat="1" ht="14.25" customHeight="1">
      <c r="A317" s="2948" t="s">
        <v>306</v>
      </c>
      <c r="B317" s="2948" t="s">
        <v>3148</v>
      </c>
      <c r="C317" s="2948"/>
      <c r="D317" s="2948"/>
      <c r="E317" s="2948"/>
      <c r="F317" s="2948">
        <v>920</v>
      </c>
      <c r="G317" s="2961"/>
    </row>
    <row r="318" spans="1:7" s="2782" customFormat="1" ht="14.25" customHeight="1">
      <c r="A318" s="2948" t="s">
        <v>306</v>
      </c>
      <c r="B318" s="2948" t="s">
        <v>3149</v>
      </c>
      <c r="C318" s="2948"/>
      <c r="D318" s="2948"/>
      <c r="E318" s="2948"/>
      <c r="F318" s="2948">
        <v>1080</v>
      </c>
      <c r="G318" s="2961"/>
    </row>
    <row r="319" spans="1:7" s="2782" customFormat="1" ht="14.25" customHeight="1">
      <c r="A319" s="2948" t="s">
        <v>306</v>
      </c>
      <c r="B319" s="2948" t="s">
        <v>3036</v>
      </c>
      <c r="C319" s="2948"/>
      <c r="D319" s="2948"/>
      <c r="E319" s="2948"/>
      <c r="F319" s="2948">
        <v>1020</v>
      </c>
      <c r="G319" s="2961"/>
    </row>
    <row r="320" spans="1:7" s="2782" customFormat="1" ht="14.25" customHeight="1">
      <c r="A320" s="2948" t="s">
        <v>306</v>
      </c>
      <c r="B320" s="2948" t="s">
        <v>3039</v>
      </c>
      <c r="C320" s="2948"/>
      <c r="D320" s="2948"/>
      <c r="E320" s="2948"/>
      <c r="F320" s="2948">
        <v>1050</v>
      </c>
      <c r="G320" s="2961"/>
    </row>
    <row r="321" spans="1:7" s="2782" customFormat="1" ht="14.25" customHeight="1">
      <c r="A321" s="2948" t="s">
        <v>306</v>
      </c>
      <c r="B321" s="2948" t="s">
        <v>3041</v>
      </c>
      <c r="C321" s="2948"/>
      <c r="D321" s="2948"/>
      <c r="E321" s="2948"/>
      <c r="F321" s="2948">
        <v>960</v>
      </c>
      <c r="G321" s="2961"/>
    </row>
    <row r="322" spans="1:7" s="2782" customFormat="1" ht="14.25" customHeight="1">
      <c r="A322" s="2948" t="s">
        <v>306</v>
      </c>
      <c r="B322" s="2948" t="s">
        <v>3043</v>
      </c>
      <c r="C322" s="2948"/>
      <c r="D322" s="2948"/>
      <c r="E322" s="2948"/>
      <c r="F322" s="2948">
        <v>960</v>
      </c>
      <c r="G322" s="2961"/>
    </row>
    <row r="323" spans="1:7" s="2782" customFormat="1" ht="14.25" customHeight="1">
      <c r="A323" s="2948" t="s">
        <v>306</v>
      </c>
      <c r="B323" s="2948" t="s">
        <v>3045</v>
      </c>
      <c r="C323" s="2948"/>
      <c r="D323" s="2948"/>
      <c r="E323" s="2948"/>
      <c r="F323" s="2948">
        <v>880</v>
      </c>
      <c r="G323" s="2961"/>
    </row>
    <row r="324" spans="1:7" s="2782" customFormat="1" ht="14.25" customHeight="1">
      <c r="A324" s="2948" t="s">
        <v>306</v>
      </c>
      <c r="B324" s="2948" t="s">
        <v>3047</v>
      </c>
      <c r="C324" s="2948"/>
      <c r="D324" s="2948"/>
      <c r="E324" s="2948"/>
      <c r="F324" s="2948">
        <v>930</v>
      </c>
      <c r="G324" s="2961"/>
    </row>
    <row r="325" spans="1:7" s="2782" customFormat="1" ht="14.25" customHeight="1">
      <c r="A325" s="2948" t="s">
        <v>306</v>
      </c>
      <c r="B325" s="2949" t="s">
        <v>3049</v>
      </c>
      <c r="C325" s="2948"/>
      <c r="D325" s="2948"/>
      <c r="E325" s="2948"/>
      <c r="F325" s="2948">
        <v>900</v>
      </c>
      <c r="G325" s="2961"/>
    </row>
    <row r="326" spans="1:7" s="2782" customFormat="1" ht="14.25" customHeight="1" thickBot="1">
      <c r="A326" s="2962" t="s">
        <v>306</v>
      </c>
      <c r="B326" s="2955" t="s">
        <v>3051</v>
      </c>
      <c r="C326" s="2955"/>
      <c r="D326" s="2955"/>
      <c r="E326" s="2955"/>
      <c r="F326" s="2955">
        <v>790</v>
      </c>
      <c r="G326" s="2963"/>
    </row>
    <row r="327" spans="1:7" s="2782" customFormat="1" ht="14.25" customHeight="1">
      <c r="A327" s="2953" t="s">
        <v>307</v>
      </c>
      <c r="B327" s="2944" t="s">
        <v>3150</v>
      </c>
      <c r="C327" s="2948">
        <v>3750</v>
      </c>
      <c r="D327" s="2948">
        <v>3710</v>
      </c>
      <c r="E327" s="2948">
        <v>4080</v>
      </c>
      <c r="F327" s="2948">
        <v>860</v>
      </c>
      <c r="G327" s="2948">
        <v>2210</v>
      </c>
    </row>
    <row r="328" spans="1:7" s="2782" customFormat="1" ht="14.25" customHeight="1">
      <c r="A328" s="2948" t="s">
        <v>307</v>
      </c>
      <c r="B328" s="2948" t="s">
        <v>136</v>
      </c>
      <c r="C328" s="2948">
        <v>3330</v>
      </c>
      <c r="D328" s="2948">
        <v>3290</v>
      </c>
      <c r="E328" s="2948">
        <v>3610</v>
      </c>
      <c r="F328" s="2948">
        <v>850</v>
      </c>
      <c r="G328" s="2948">
        <v>1960</v>
      </c>
    </row>
    <row r="329" spans="1:7" s="2782" customFormat="1" ht="14.25" customHeight="1">
      <c r="A329" s="2948" t="s">
        <v>307</v>
      </c>
      <c r="B329" s="2948" t="s">
        <v>3151</v>
      </c>
      <c r="C329" s="2948">
        <v>2730</v>
      </c>
      <c r="D329" s="2948">
        <v>2690</v>
      </c>
      <c r="E329" s="2948">
        <v>3100</v>
      </c>
      <c r="F329" s="2948">
        <v>660</v>
      </c>
      <c r="G329" s="2948">
        <v>1610</v>
      </c>
    </row>
    <row r="330" spans="1:7" s="2782" customFormat="1" ht="14.25" customHeight="1">
      <c r="A330" s="2948" t="s">
        <v>307</v>
      </c>
      <c r="B330" s="2948" t="s">
        <v>3152</v>
      </c>
      <c r="C330" s="2948">
        <v>3270</v>
      </c>
      <c r="D330" s="2948">
        <v>3240</v>
      </c>
      <c r="E330" s="2948">
        <v>3560</v>
      </c>
      <c r="F330" s="2948">
        <v>680</v>
      </c>
      <c r="G330" s="2948">
        <v>1940</v>
      </c>
    </row>
    <row r="331" spans="1:7" s="2782" customFormat="1" ht="14.25" customHeight="1">
      <c r="A331" s="2948" t="s">
        <v>307</v>
      </c>
      <c r="B331" s="2948" t="s">
        <v>161</v>
      </c>
      <c r="C331" s="2948">
        <v>3770</v>
      </c>
      <c r="D331" s="2948">
        <v>3740</v>
      </c>
      <c r="E331" s="2948">
        <v>4110</v>
      </c>
      <c r="F331" s="2948">
        <v>730</v>
      </c>
      <c r="G331" s="2948">
        <v>2230</v>
      </c>
    </row>
    <row r="332" spans="1:7" s="2782" customFormat="1" ht="14.25" customHeight="1">
      <c r="A332" s="2948" t="s">
        <v>307</v>
      </c>
      <c r="B332" s="2948" t="s">
        <v>2885</v>
      </c>
      <c r="C332" s="2948">
        <v>3520</v>
      </c>
      <c r="D332" s="2948">
        <v>3480</v>
      </c>
      <c r="E332" s="2948">
        <v>3830</v>
      </c>
      <c r="F332" s="2948">
        <v>720</v>
      </c>
      <c r="G332" s="2948">
        <v>2090</v>
      </c>
    </row>
    <row r="333" spans="1:7" s="2782" customFormat="1" ht="14.25" customHeight="1">
      <c r="A333" s="2948" t="s">
        <v>307</v>
      </c>
      <c r="B333" s="2948" t="s">
        <v>3153</v>
      </c>
      <c r="C333" s="2948">
        <v>3840</v>
      </c>
      <c r="D333" s="2948">
        <v>3800</v>
      </c>
      <c r="E333" s="2948">
        <v>4200</v>
      </c>
      <c r="F333" s="2948">
        <v>760</v>
      </c>
      <c r="G333" s="2948">
        <v>2270</v>
      </c>
    </row>
    <row r="334" spans="1:7" s="2782" customFormat="1" ht="14.25" customHeight="1">
      <c r="A334" s="2948" t="s">
        <v>307</v>
      </c>
      <c r="B334" s="2948" t="s">
        <v>183</v>
      </c>
      <c r="C334" s="2948">
        <v>3960</v>
      </c>
      <c r="D334" s="2948">
        <v>3910</v>
      </c>
      <c r="E334" s="2948">
        <v>4340</v>
      </c>
      <c r="F334" s="2948">
        <v>780</v>
      </c>
      <c r="G334" s="2948">
        <v>2340</v>
      </c>
    </row>
    <row r="335" spans="1:7" s="2782" customFormat="1" ht="14.25" customHeight="1">
      <c r="A335" s="2948" t="s">
        <v>307</v>
      </c>
      <c r="B335" s="2948" t="s">
        <v>193</v>
      </c>
      <c r="C335" s="2948">
        <v>3710</v>
      </c>
      <c r="D335" s="2948">
        <v>3670</v>
      </c>
      <c r="E335" s="2948">
        <v>4030</v>
      </c>
      <c r="F335" s="2948">
        <v>750</v>
      </c>
      <c r="G335" s="2948">
        <v>2200</v>
      </c>
    </row>
    <row r="336" spans="1:7" s="2782" customFormat="1" ht="14.25" customHeight="1">
      <c r="A336" s="2948" t="s">
        <v>307</v>
      </c>
      <c r="B336" s="2948" t="s">
        <v>2895</v>
      </c>
      <c r="C336" s="2948">
        <v>3570</v>
      </c>
      <c r="D336" s="2948">
        <v>3530</v>
      </c>
      <c r="E336" s="2948">
        <v>3880</v>
      </c>
      <c r="F336" s="2948">
        <v>770</v>
      </c>
      <c r="G336" s="2948">
        <v>2110</v>
      </c>
    </row>
    <row r="337" spans="1:10" s="2782" customFormat="1" ht="14.25" customHeight="1">
      <c r="A337" s="2948" t="s">
        <v>307</v>
      </c>
      <c r="B337" s="2948" t="s">
        <v>3154</v>
      </c>
      <c r="C337" s="2948">
        <v>3780</v>
      </c>
      <c r="D337" s="2948">
        <v>3750</v>
      </c>
      <c r="E337" s="2948">
        <v>4130</v>
      </c>
      <c r="F337" s="2948">
        <v>750</v>
      </c>
      <c r="G337" s="2948">
        <v>2240</v>
      </c>
    </row>
    <row r="338" spans="1:10" s="2782" customFormat="1" ht="14.25" customHeight="1">
      <c r="A338" s="2948" t="s">
        <v>307</v>
      </c>
      <c r="B338" s="2948" t="s">
        <v>220</v>
      </c>
      <c r="C338" s="2948">
        <v>3600</v>
      </c>
      <c r="D338" s="2948">
        <v>3570</v>
      </c>
      <c r="E338" s="2948">
        <v>3920</v>
      </c>
      <c r="F338" s="2948">
        <v>790</v>
      </c>
      <c r="G338" s="2948">
        <v>2140</v>
      </c>
    </row>
    <row r="339" spans="1:10" s="2782" customFormat="1" ht="14.25" customHeight="1">
      <c r="A339" s="2948" t="s">
        <v>307</v>
      </c>
      <c r="B339" s="2948" t="s">
        <v>228</v>
      </c>
      <c r="C339" s="2948">
        <v>3540</v>
      </c>
      <c r="D339" s="2948">
        <v>3500</v>
      </c>
      <c r="E339" s="2948">
        <v>3850</v>
      </c>
      <c r="F339" s="2948">
        <v>780</v>
      </c>
      <c r="G339" s="2948">
        <v>2100</v>
      </c>
    </row>
    <row r="340" spans="1:10" s="2782" customFormat="1" ht="14.25" customHeight="1">
      <c r="A340" s="2948" t="s">
        <v>307</v>
      </c>
      <c r="B340" s="2948" t="s">
        <v>3155</v>
      </c>
      <c r="C340" s="2948">
        <v>3850</v>
      </c>
      <c r="D340" s="2948">
        <v>3810</v>
      </c>
      <c r="E340" s="2948">
        <v>4210</v>
      </c>
      <c r="F340" s="2948">
        <v>750</v>
      </c>
      <c r="G340" s="2948">
        <v>2280</v>
      </c>
    </row>
    <row r="341" spans="1:10" s="2782" customFormat="1" ht="14.25" customHeight="1">
      <c r="A341" s="2948" t="s">
        <v>307</v>
      </c>
      <c r="B341" s="2948" t="s">
        <v>207</v>
      </c>
      <c r="C341" s="2948">
        <v>3780</v>
      </c>
      <c r="D341" s="2948">
        <v>3750</v>
      </c>
      <c r="E341" s="2948">
        <v>4140</v>
      </c>
      <c r="F341" s="2948">
        <v>720</v>
      </c>
      <c r="G341" s="2948">
        <v>2240</v>
      </c>
    </row>
    <row r="342" spans="1:10" s="2782" customFormat="1" ht="14.25" customHeight="1">
      <c r="A342" s="2948" t="s">
        <v>307</v>
      </c>
      <c r="B342" s="2948" t="s">
        <v>3156</v>
      </c>
      <c r="C342" s="2948">
        <v>3670</v>
      </c>
      <c r="D342" s="2948">
        <v>3620</v>
      </c>
      <c r="E342" s="2948">
        <v>3990</v>
      </c>
      <c r="F342" s="2948">
        <v>760</v>
      </c>
      <c r="G342" s="2948">
        <v>2170</v>
      </c>
    </row>
    <row r="343" spans="1:10" s="2782" customFormat="1" ht="14.25" customHeight="1">
      <c r="A343" s="2948" t="s">
        <v>307</v>
      </c>
      <c r="B343" s="2948" t="s">
        <v>257</v>
      </c>
      <c r="C343" s="2948">
        <v>3760</v>
      </c>
      <c r="D343" s="2948">
        <v>3720</v>
      </c>
      <c r="E343" s="2948">
        <v>4090</v>
      </c>
      <c r="F343" s="2948">
        <v>780</v>
      </c>
      <c r="G343" s="2948">
        <v>2220</v>
      </c>
    </row>
    <row r="344" spans="1:10" s="2782" customFormat="1" ht="14.25" customHeight="1">
      <c r="A344" s="2948" t="s">
        <v>307</v>
      </c>
      <c r="B344" s="2948" t="s">
        <v>265</v>
      </c>
      <c r="C344" s="2948">
        <v>3680</v>
      </c>
      <c r="D344" s="2948">
        <v>3640</v>
      </c>
      <c r="E344" s="2948">
        <v>4010</v>
      </c>
      <c r="F344" s="2948">
        <v>750</v>
      </c>
      <c r="G344" s="2948">
        <v>2180</v>
      </c>
    </row>
    <row r="345" spans="1:10">
      <c r="A345" s="2948" t="s">
        <v>307</v>
      </c>
      <c r="B345" s="2948" t="s">
        <v>2920</v>
      </c>
      <c r="C345" s="2948">
        <v>3190</v>
      </c>
      <c r="D345" s="2948">
        <v>3140</v>
      </c>
      <c r="E345" s="2948">
        <v>3450</v>
      </c>
      <c r="F345" s="2948">
        <v>720</v>
      </c>
      <c r="G345" s="2948">
        <v>1880</v>
      </c>
      <c r="J345" s="2782"/>
    </row>
    <row r="346" spans="1:10">
      <c r="A346" s="2948" t="s">
        <v>307</v>
      </c>
      <c r="B346" s="2948" t="s">
        <v>3157</v>
      </c>
      <c r="C346" s="2948">
        <v>3630</v>
      </c>
      <c r="D346" s="2948">
        <v>3590</v>
      </c>
      <c r="E346" s="2948">
        <v>3940</v>
      </c>
      <c r="F346" s="2948">
        <v>730</v>
      </c>
      <c r="G346" s="2948">
        <v>2150</v>
      </c>
      <c r="J346" s="2782"/>
    </row>
    <row r="347" spans="1:10">
      <c r="A347" s="2948" t="s">
        <v>307</v>
      </c>
      <c r="B347" s="2948" t="s">
        <v>243</v>
      </c>
      <c r="C347" s="2948">
        <v>3860</v>
      </c>
      <c r="D347" s="2948">
        <v>3820</v>
      </c>
      <c r="E347" s="2948">
        <v>4220</v>
      </c>
      <c r="F347" s="2948">
        <v>750</v>
      </c>
      <c r="G347" s="2948">
        <v>2280</v>
      </c>
      <c r="J347" s="2782"/>
    </row>
    <row r="348" spans="1:10">
      <c r="A348" s="2948" t="s">
        <v>307</v>
      </c>
      <c r="B348" s="2948" t="s">
        <v>2929</v>
      </c>
      <c r="C348" s="2948">
        <v>4000</v>
      </c>
      <c r="D348" s="2948">
        <v>3950</v>
      </c>
      <c r="E348" s="2948">
        <v>4430</v>
      </c>
      <c r="F348" s="2948">
        <v>760</v>
      </c>
      <c r="G348" s="2948">
        <v>2360</v>
      </c>
      <c r="J348" s="2782"/>
    </row>
    <row r="349" spans="1:10">
      <c r="A349" s="2948" t="s">
        <v>307</v>
      </c>
      <c r="B349" s="2948" t="s">
        <v>2934</v>
      </c>
      <c r="C349" s="2948">
        <v>3820</v>
      </c>
      <c r="D349" s="2948">
        <v>3780</v>
      </c>
      <c r="E349" s="2948">
        <v>4170</v>
      </c>
      <c r="F349" s="2948">
        <v>710</v>
      </c>
      <c r="G349" s="2948">
        <v>2260</v>
      </c>
      <c r="J349" s="2782"/>
    </row>
    <row r="350" spans="1:10">
      <c r="A350" s="2948" t="s">
        <v>307</v>
      </c>
      <c r="B350" s="2948" t="s">
        <v>3158</v>
      </c>
      <c r="C350" s="2948">
        <v>3760</v>
      </c>
      <c r="D350" s="2948">
        <v>3730</v>
      </c>
      <c r="E350" s="2948">
        <v>4100</v>
      </c>
      <c r="F350" s="2948">
        <v>800</v>
      </c>
      <c r="G350" s="2948">
        <v>2230</v>
      </c>
      <c r="J350" s="2782"/>
    </row>
    <row r="351" spans="1:10">
      <c r="A351" s="2948" t="s">
        <v>307</v>
      </c>
      <c r="B351" s="2948" t="s">
        <v>2942</v>
      </c>
      <c r="C351" s="2948">
        <v>3610</v>
      </c>
      <c r="D351" s="2948">
        <v>3580</v>
      </c>
      <c r="E351" s="2948">
        <v>3930</v>
      </c>
      <c r="F351" s="2948">
        <v>700</v>
      </c>
      <c r="G351" s="2948">
        <v>2140</v>
      </c>
      <c r="J351" s="2782"/>
    </row>
    <row r="352" spans="1:10">
      <c r="A352" s="2948" t="s">
        <v>307</v>
      </c>
      <c r="B352" s="2948" t="s">
        <v>2947</v>
      </c>
      <c r="C352" s="2948">
        <v>3670</v>
      </c>
      <c r="D352" s="2948">
        <v>3630</v>
      </c>
      <c r="E352" s="2948">
        <v>4000</v>
      </c>
      <c r="F352" s="2948">
        <v>750</v>
      </c>
      <c r="G352" s="2948">
        <v>2180</v>
      </c>
    </row>
    <row r="353" spans="1:7" s="2783" customFormat="1">
      <c r="A353" s="2948" t="s">
        <v>307</v>
      </c>
      <c r="B353" s="2948" t="s">
        <v>3159</v>
      </c>
      <c r="C353" s="2948">
        <v>3190</v>
      </c>
      <c r="D353" s="2948">
        <v>3150</v>
      </c>
      <c r="E353" s="2948">
        <v>3640</v>
      </c>
      <c r="F353" s="2948">
        <v>630</v>
      </c>
      <c r="G353" s="2948">
        <v>1890</v>
      </c>
    </row>
    <row r="354" spans="1:7" s="2783" customFormat="1">
      <c r="A354" s="2948" t="s">
        <v>307</v>
      </c>
      <c r="B354" s="2948" t="s">
        <v>280</v>
      </c>
      <c r="C354" s="2948">
        <v>3450</v>
      </c>
      <c r="D354" s="2948">
        <v>3420</v>
      </c>
      <c r="E354" s="2948">
        <v>3960</v>
      </c>
      <c r="F354" s="2948">
        <v>660</v>
      </c>
      <c r="G354" s="2948">
        <v>2050</v>
      </c>
    </row>
    <row r="355" spans="1:7" s="2783" customFormat="1">
      <c r="A355" s="2948" t="s">
        <v>307</v>
      </c>
      <c r="B355" s="2948" t="s">
        <v>2967</v>
      </c>
      <c r="C355" s="2948">
        <v>3650</v>
      </c>
      <c r="D355" s="2948">
        <v>3610</v>
      </c>
      <c r="E355" s="2948">
        <v>4200</v>
      </c>
      <c r="F355" s="2948">
        <v>640</v>
      </c>
      <c r="G355" s="2948">
        <v>2160</v>
      </c>
    </row>
    <row r="356" spans="1:7" s="2783" customFormat="1">
      <c r="A356" s="2948" t="s">
        <v>307</v>
      </c>
      <c r="B356" s="2948" t="s">
        <v>2974</v>
      </c>
      <c r="C356" s="2948">
        <v>3260</v>
      </c>
      <c r="D356" s="2948">
        <v>3230</v>
      </c>
      <c r="E356" s="2948">
        <v>3740</v>
      </c>
      <c r="F356" s="2948">
        <v>600</v>
      </c>
      <c r="G356" s="2948">
        <v>1930</v>
      </c>
    </row>
    <row r="357" spans="1:7" s="2783" customFormat="1" ht="12" thickBot="1">
      <c r="A357" s="2956" t="s">
        <v>307</v>
      </c>
      <c r="B357" s="2959" t="s">
        <v>3160</v>
      </c>
      <c r="C357" s="2959">
        <v>3690</v>
      </c>
      <c r="D357" s="2959">
        <v>3650</v>
      </c>
      <c r="E357" s="2959">
        <v>4020</v>
      </c>
      <c r="F357" s="2959">
        <v>700</v>
      </c>
      <c r="G357" s="2959">
        <v>2190</v>
      </c>
    </row>
    <row r="358" spans="1:7" s="2783" customFormat="1">
      <c r="A358" s="2953" t="s">
        <v>3161</v>
      </c>
      <c r="B358" s="2944" t="s">
        <v>3162</v>
      </c>
      <c r="C358" s="2944">
        <v>2080</v>
      </c>
      <c r="D358" s="2944">
        <v>2040</v>
      </c>
      <c r="E358" s="2944">
        <v>2010</v>
      </c>
      <c r="F358" s="2944">
        <v>530</v>
      </c>
      <c r="G358" s="2960">
        <v>1230</v>
      </c>
    </row>
    <row r="359" spans="1:7" s="2783" customFormat="1">
      <c r="A359" s="2948" t="s">
        <v>3161</v>
      </c>
      <c r="B359" s="2948" t="s">
        <v>3163</v>
      </c>
      <c r="C359" s="2948">
        <v>1850</v>
      </c>
      <c r="D359" s="2948">
        <v>1820</v>
      </c>
      <c r="E359" s="2948">
        <v>1780</v>
      </c>
      <c r="F359" s="2948">
        <v>520</v>
      </c>
      <c r="G359" s="2961">
        <v>1100</v>
      </c>
    </row>
    <row r="360" spans="1:7" s="2783" customFormat="1">
      <c r="A360" s="2948" t="s">
        <v>3161</v>
      </c>
      <c r="B360" s="2948" t="s">
        <v>3164</v>
      </c>
      <c r="C360" s="2948">
        <v>2020</v>
      </c>
      <c r="D360" s="2948">
        <v>1990</v>
      </c>
      <c r="E360" s="2948">
        <v>1950</v>
      </c>
      <c r="F360" s="2948">
        <v>500</v>
      </c>
      <c r="G360" s="2961">
        <v>1200</v>
      </c>
    </row>
    <row r="361" spans="1:7" s="2783" customFormat="1">
      <c r="A361" s="2948" t="s">
        <v>3161</v>
      </c>
      <c r="B361" s="2948" t="s">
        <v>153</v>
      </c>
      <c r="C361" s="2948">
        <v>2260</v>
      </c>
      <c r="D361" s="2948">
        <v>2220</v>
      </c>
      <c r="E361" s="2948">
        <v>2180</v>
      </c>
      <c r="F361" s="2948">
        <v>580</v>
      </c>
      <c r="G361" s="2961">
        <v>1340</v>
      </c>
    </row>
    <row r="362" spans="1:7" s="2783" customFormat="1">
      <c r="A362" s="2948" t="s">
        <v>3161</v>
      </c>
      <c r="B362" s="2948" t="s">
        <v>3165</v>
      </c>
      <c r="C362" s="2948">
        <v>2650</v>
      </c>
      <c r="D362" s="2948">
        <v>2610</v>
      </c>
      <c r="E362" s="2948">
        <v>2570</v>
      </c>
      <c r="F362" s="2948">
        <v>630</v>
      </c>
      <c r="G362" s="2961">
        <v>1570</v>
      </c>
    </row>
    <row r="363" spans="1:7" s="2783" customFormat="1">
      <c r="A363" s="2948" t="s">
        <v>3161</v>
      </c>
      <c r="B363" s="2948" t="s">
        <v>2886</v>
      </c>
      <c r="C363" s="2948">
        <v>2390</v>
      </c>
      <c r="D363" s="2948">
        <v>2360</v>
      </c>
      <c r="E363" s="2948">
        <v>2320</v>
      </c>
      <c r="F363" s="2948">
        <v>600</v>
      </c>
      <c r="G363" s="2961">
        <v>1420</v>
      </c>
    </row>
    <row r="364" spans="1:7" s="2783" customFormat="1">
      <c r="A364" s="2948" t="s">
        <v>3161</v>
      </c>
      <c r="B364" s="2948" t="s">
        <v>3166</v>
      </c>
      <c r="C364" s="2948">
        <v>2050</v>
      </c>
      <c r="D364" s="2948">
        <v>2030</v>
      </c>
      <c r="E364" s="2948">
        <v>1990</v>
      </c>
      <c r="F364" s="2948">
        <v>550</v>
      </c>
      <c r="G364" s="2961">
        <v>1220</v>
      </c>
    </row>
    <row r="365" spans="1:7" s="2783" customFormat="1">
      <c r="A365" s="2948" t="s">
        <v>3161</v>
      </c>
      <c r="B365" s="2948" t="s">
        <v>200</v>
      </c>
      <c r="C365" s="2948">
        <v>2140</v>
      </c>
      <c r="D365" s="2948">
        <v>2100</v>
      </c>
      <c r="E365" s="2948">
        <v>2060</v>
      </c>
      <c r="F365" s="2948">
        <v>540</v>
      </c>
      <c r="G365" s="2961">
        <v>1270</v>
      </c>
    </row>
    <row r="366" spans="1:7" s="2783" customFormat="1">
      <c r="A366" s="2948" t="s">
        <v>3161</v>
      </c>
      <c r="B366" s="2948" t="s">
        <v>2893</v>
      </c>
      <c r="C366" s="2948">
        <v>2410</v>
      </c>
      <c r="D366" s="2948">
        <v>2370</v>
      </c>
      <c r="E366" s="2948">
        <v>2330</v>
      </c>
      <c r="F366" s="2948">
        <v>570</v>
      </c>
      <c r="G366" s="2961">
        <v>1440</v>
      </c>
    </row>
    <row r="367" spans="1:7" s="2783" customFormat="1">
      <c r="A367" s="2948" t="s">
        <v>3161</v>
      </c>
      <c r="B367" s="2948" t="s">
        <v>3167</v>
      </c>
      <c r="C367" s="2948">
        <v>2300</v>
      </c>
      <c r="D367" s="2948">
        <v>2260</v>
      </c>
      <c r="E367" s="2948">
        <v>2220</v>
      </c>
      <c r="F367" s="2948">
        <v>560</v>
      </c>
      <c r="G367" s="2961">
        <v>1370</v>
      </c>
    </row>
    <row r="368" spans="1:7" s="2783" customFormat="1">
      <c r="A368" s="2948" t="s">
        <v>3161</v>
      </c>
      <c r="B368" s="2948" t="s">
        <v>3168</v>
      </c>
      <c r="C368" s="2948">
        <v>2430</v>
      </c>
      <c r="D368" s="2948">
        <v>2390</v>
      </c>
      <c r="E368" s="2948">
        <v>2350</v>
      </c>
      <c r="F368" s="2948">
        <v>570</v>
      </c>
      <c r="G368" s="2961">
        <v>1450</v>
      </c>
    </row>
    <row r="369" spans="1:7" s="2783" customFormat="1">
      <c r="A369" s="2948" t="s">
        <v>3161</v>
      </c>
      <c r="B369" s="2948" t="s">
        <v>214</v>
      </c>
      <c r="C369" s="2948">
        <v>2320</v>
      </c>
      <c r="D369" s="2948">
        <v>2290</v>
      </c>
      <c r="E369" s="2948">
        <v>2250</v>
      </c>
      <c r="F369" s="2948">
        <v>550</v>
      </c>
      <c r="G369" s="2961">
        <v>1380</v>
      </c>
    </row>
    <row r="370" spans="1:7" s="2783" customFormat="1">
      <c r="A370" s="2948" t="s">
        <v>3161</v>
      </c>
      <c r="B370" s="2948" t="s">
        <v>221</v>
      </c>
      <c r="C370" s="2948">
        <v>2190</v>
      </c>
      <c r="D370" s="2948">
        <v>2170</v>
      </c>
      <c r="E370" s="2948">
        <v>2130</v>
      </c>
      <c r="F370" s="2948">
        <v>530</v>
      </c>
      <c r="G370" s="2961">
        <v>1310</v>
      </c>
    </row>
    <row r="371" spans="1:7" s="2783" customFormat="1">
      <c r="A371" s="2948" t="s">
        <v>3161</v>
      </c>
      <c r="B371" s="2948" t="s">
        <v>229</v>
      </c>
      <c r="C371" s="2948">
        <v>2460</v>
      </c>
      <c r="D371" s="2948">
        <v>2420</v>
      </c>
      <c r="E371" s="2948">
        <v>2370</v>
      </c>
      <c r="F371" s="2948">
        <v>560</v>
      </c>
      <c r="G371" s="2961">
        <v>1470</v>
      </c>
    </row>
    <row r="372" spans="1:7" s="2783" customFormat="1">
      <c r="A372" s="2948" t="s">
        <v>3161</v>
      </c>
      <c r="B372" s="2948" t="s">
        <v>3169</v>
      </c>
      <c r="C372" s="2948">
        <v>2250</v>
      </c>
      <c r="D372" s="2948">
        <v>2210</v>
      </c>
      <c r="E372" s="2948">
        <v>2180</v>
      </c>
      <c r="F372" s="2948">
        <v>550</v>
      </c>
      <c r="G372" s="2961">
        <v>1340</v>
      </c>
    </row>
    <row r="373" spans="1:7" s="2783" customFormat="1">
      <c r="A373" s="2948" t="s">
        <v>3161</v>
      </c>
      <c r="B373" s="2948" t="s">
        <v>258</v>
      </c>
      <c r="C373" s="2948">
        <v>2210</v>
      </c>
      <c r="D373" s="2948">
        <v>2190</v>
      </c>
      <c r="E373" s="2948">
        <v>2150</v>
      </c>
      <c r="F373" s="2948">
        <v>530</v>
      </c>
      <c r="G373" s="2961">
        <v>1320</v>
      </c>
    </row>
    <row r="374" spans="1:7" s="2783" customFormat="1">
      <c r="A374" s="2948" t="s">
        <v>3161</v>
      </c>
      <c r="B374" s="2948" t="s">
        <v>266</v>
      </c>
      <c r="C374" s="2948">
        <v>2320</v>
      </c>
      <c r="D374" s="2948">
        <v>2280</v>
      </c>
      <c r="E374" s="2948">
        <v>2230</v>
      </c>
      <c r="F374" s="2948">
        <v>580</v>
      </c>
      <c r="G374" s="2961">
        <v>1380</v>
      </c>
    </row>
    <row r="375" spans="1:7" s="2783" customFormat="1">
      <c r="A375" s="2948" t="s">
        <v>3161</v>
      </c>
      <c r="B375" s="2948" t="s">
        <v>3170</v>
      </c>
      <c r="C375" s="2948">
        <v>2090</v>
      </c>
      <c r="D375" s="2948">
        <v>2050</v>
      </c>
      <c r="E375" s="2948">
        <v>2020</v>
      </c>
      <c r="F375" s="2948">
        <v>520</v>
      </c>
      <c r="G375" s="2961">
        <v>1240</v>
      </c>
    </row>
    <row r="376" spans="1:7" s="2783" customFormat="1">
      <c r="A376" s="2948" t="s">
        <v>3161</v>
      </c>
      <c r="B376" s="2948" t="s">
        <v>277</v>
      </c>
      <c r="C376" s="2948">
        <v>2010</v>
      </c>
      <c r="D376" s="2948">
        <v>1980</v>
      </c>
      <c r="E376" s="2948">
        <v>1940</v>
      </c>
      <c r="F376" s="2948">
        <v>540</v>
      </c>
      <c r="G376" s="2961">
        <v>1190</v>
      </c>
    </row>
    <row r="377" spans="1:7" s="2783" customFormat="1" ht="12" thickBot="1">
      <c r="A377" s="2956" t="s">
        <v>3161</v>
      </c>
      <c r="B377" s="2959" t="s">
        <v>2923</v>
      </c>
      <c r="C377" s="2959">
        <v>1930</v>
      </c>
      <c r="D377" s="2959">
        <v>1890</v>
      </c>
      <c r="E377" s="2959">
        <v>1860</v>
      </c>
      <c r="F377" s="2959">
        <v>530</v>
      </c>
      <c r="G377" s="2964">
        <v>1150</v>
      </c>
    </row>
    <row r="378" spans="1:7" s="2783" customFormat="1">
      <c r="A378" s="2965" t="s">
        <v>3171</v>
      </c>
      <c r="B378" s="2944" t="s">
        <v>3172</v>
      </c>
      <c r="C378" s="2944">
        <v>1520</v>
      </c>
      <c r="D378" s="2944">
        <v>1490</v>
      </c>
      <c r="E378" s="2944">
        <v>1460</v>
      </c>
      <c r="F378" s="2944">
        <v>460</v>
      </c>
      <c r="G378" s="2960">
        <v>940</v>
      </c>
    </row>
    <row r="379" spans="1:7" s="2783" customFormat="1">
      <c r="A379" s="2966" t="s">
        <v>3171</v>
      </c>
      <c r="B379" s="2948" t="s">
        <v>3173</v>
      </c>
      <c r="C379" s="2948">
        <v>1500</v>
      </c>
      <c r="D379" s="2948">
        <v>1470</v>
      </c>
      <c r="E379" s="2948">
        <v>1430</v>
      </c>
      <c r="F379" s="2948">
        <v>460</v>
      </c>
      <c r="G379" s="2961">
        <v>920</v>
      </c>
    </row>
    <row r="380" spans="1:7" s="2783" customFormat="1">
      <c r="A380" s="2966" t="s">
        <v>3171</v>
      </c>
      <c r="B380" s="2948" t="s">
        <v>3174</v>
      </c>
      <c r="C380" s="2948">
        <v>1620</v>
      </c>
      <c r="D380" s="2948">
        <v>1590</v>
      </c>
      <c r="E380" s="2948">
        <v>1560</v>
      </c>
      <c r="F380" s="2948">
        <v>480</v>
      </c>
      <c r="G380" s="2961">
        <v>1000</v>
      </c>
    </row>
    <row r="381" spans="1:7" s="2783" customFormat="1">
      <c r="A381" s="2966" t="s">
        <v>3171</v>
      </c>
      <c r="B381" s="2948" t="s">
        <v>3175</v>
      </c>
      <c r="C381" s="2948">
        <v>1460</v>
      </c>
      <c r="D381" s="2948">
        <v>1430</v>
      </c>
      <c r="E381" s="2948">
        <v>1390</v>
      </c>
      <c r="F381" s="2948">
        <v>450</v>
      </c>
      <c r="G381" s="2961">
        <v>900</v>
      </c>
    </row>
    <row r="382" spans="1:7" s="2783" customFormat="1">
      <c r="A382" s="2966" t="s">
        <v>3171</v>
      </c>
      <c r="B382" s="2948" t="s">
        <v>3176</v>
      </c>
      <c r="C382" s="2948">
        <v>1310</v>
      </c>
      <c r="D382" s="2948">
        <v>1280</v>
      </c>
      <c r="E382" s="2948">
        <v>1250</v>
      </c>
      <c r="F382" s="2948">
        <v>440</v>
      </c>
      <c r="G382" s="2961">
        <v>800</v>
      </c>
    </row>
    <row r="383" spans="1:7" s="2783" customFormat="1">
      <c r="A383" s="2966" t="s">
        <v>3171</v>
      </c>
      <c r="B383" s="2948" t="s">
        <v>3177</v>
      </c>
      <c r="C383" s="2948">
        <v>1260</v>
      </c>
      <c r="D383" s="2948">
        <v>1230</v>
      </c>
      <c r="E383" s="2948">
        <v>1200</v>
      </c>
      <c r="F383" s="2948">
        <v>420</v>
      </c>
      <c r="G383" s="2961">
        <v>770</v>
      </c>
    </row>
    <row r="384" spans="1:7" s="2783" customFormat="1" ht="12" thickBot="1">
      <c r="A384" s="2967" t="s">
        <v>3171</v>
      </c>
      <c r="B384" s="2955" t="s">
        <v>3178</v>
      </c>
      <c r="C384" s="2955">
        <v>1170</v>
      </c>
      <c r="D384" s="2955">
        <v>1140</v>
      </c>
      <c r="E384" s="2955">
        <v>1120</v>
      </c>
      <c r="F384" s="2955">
        <v>400</v>
      </c>
      <c r="G384" s="2963">
        <v>710</v>
      </c>
    </row>
  </sheetData>
  <sheetProtection password="CEE9" sheet="1" objects="1" scenarios="1" formatCells="0" formatColumns="0" formatRows="0"/>
  <mergeCells count="2">
    <mergeCell ref="A3:A4"/>
    <mergeCell ref="A1:G1"/>
  </mergeCells>
  <phoneticPr fontId="7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396" t="str">
        <f>IF(项目基本情况!B9="房地产市场价值","估价结果一览表","结果表-2")</f>
        <v>估价结果一览表</v>
      </c>
      <c r="B1" s="3396"/>
      <c r="C1" s="3396"/>
      <c r="D1" s="3396"/>
      <c r="E1" s="3396"/>
      <c r="F1" s="3396"/>
      <c r="G1" s="3396"/>
      <c r="H1" s="3396"/>
      <c r="I1" s="3396"/>
    </row>
    <row r="2" spans="1:9" ht="30" customHeight="1" thickTop="1">
      <c r="A2" s="3397" t="s">
        <v>928</v>
      </c>
      <c r="B2" s="3397" t="s">
        <v>929</v>
      </c>
      <c r="C2" s="3397" t="s">
        <v>930</v>
      </c>
      <c r="D2" s="3397" t="str">
        <f>结果表!D116</f>
        <v>出让国有建设用地使用权价值</v>
      </c>
      <c r="E2" s="3397"/>
      <c r="F2" s="3397" t="str">
        <f>结果表!F116</f>
        <v>在建建筑物价值</v>
      </c>
      <c r="G2" s="3397"/>
      <c r="H2" s="3397" t="str">
        <f>IF(项目基本情况!B9="房地产市场价值","房地产市场价值","房地产价值")</f>
        <v>房地产市场价值</v>
      </c>
      <c r="I2" s="3397"/>
    </row>
    <row r="3" spans="1:9" ht="15">
      <c r="A3" s="3398"/>
      <c r="B3" s="3398"/>
      <c r="C3" s="3398"/>
      <c r="D3" s="801" t="s">
        <v>925</v>
      </c>
      <c r="E3" s="801" t="s">
        <v>931</v>
      </c>
      <c r="F3" s="801" t="s">
        <v>925</v>
      </c>
      <c r="G3" s="801" t="s">
        <v>926</v>
      </c>
      <c r="H3" s="801" t="s">
        <v>925</v>
      </c>
      <c r="I3" s="801" t="s">
        <v>926</v>
      </c>
    </row>
    <row r="4" spans="1:9" ht="15">
      <c r="A4" s="1403" t="str">
        <f>项目基本情况!S2</f>
        <v>房地产</v>
      </c>
      <c r="B4" s="801">
        <f>项目基本情况!C17</f>
        <v>449.18</v>
      </c>
      <c r="C4" s="801">
        <f>项目基本情况!C18</f>
        <v>109.97</v>
      </c>
      <c r="D4" s="801" t="e">
        <f ca="1">结果表!D118</f>
        <v>#REF!</v>
      </c>
      <c r="E4" s="801" t="e">
        <f ca="1">结果表!E118</f>
        <v>#REF!</v>
      </c>
      <c r="F4" s="801" t="e">
        <f ca="1">结果表!F118</f>
        <v>#REF!</v>
      </c>
      <c r="G4" s="801" t="e">
        <f ca="1">结果表!G118</f>
        <v>#REF!</v>
      </c>
      <c r="H4" s="801" t="e">
        <f ca="1">结果表!H118</f>
        <v>#REF!</v>
      </c>
      <c r="I4" s="801" t="e">
        <f ca="1">结果表!I118</f>
        <v>#REF!</v>
      </c>
    </row>
    <row r="5" spans="1:9" ht="30" customHeight="1">
      <c r="A5" s="3398" t="s">
        <v>927</v>
      </c>
      <c r="B5" s="3398"/>
      <c r="C5" s="3398"/>
      <c r="D5" s="3398" t="e">
        <f ca="1">结果表!D119</f>
        <v>#REF!</v>
      </c>
      <c r="E5" s="3398"/>
      <c r="F5" s="3398" t="e">
        <f ca="1">结果表!F119</f>
        <v>#REF!</v>
      </c>
      <c r="G5" s="3398"/>
      <c r="H5" s="3398" t="e">
        <f ca="1">结果表!H119</f>
        <v>#REF!</v>
      </c>
      <c r="I5" s="3398"/>
    </row>
    <row r="6" spans="1:9" ht="15.75">
      <c r="A6" s="3399" t="str">
        <f>结果表!A120</f>
        <v/>
      </c>
      <c r="B6" s="3399"/>
      <c r="C6" s="3399"/>
      <c r="D6" s="3399">
        <f>结果表!D120</f>
        <v>0</v>
      </c>
      <c r="E6" s="3399"/>
      <c r="F6" s="3399"/>
      <c r="G6" s="3399"/>
      <c r="H6" s="3399"/>
      <c r="I6" s="3399"/>
    </row>
    <row r="7" spans="1:9" ht="15">
      <c r="A7" s="3398" t="s">
        <v>927</v>
      </c>
      <c r="B7" s="3398"/>
      <c r="C7" s="3398"/>
      <c r="D7" s="3400" t="str">
        <f>结果表!D121</f>
        <v>零元整</v>
      </c>
      <c r="E7" s="3401"/>
      <c r="F7" s="3401"/>
      <c r="G7" s="3401"/>
      <c r="H7" s="3401"/>
      <c r="I7" s="3402"/>
    </row>
    <row r="8" spans="1:9" ht="15.75">
      <c r="A8" s="3399" t="str">
        <f>结果表!A122</f>
        <v/>
      </c>
      <c r="B8" s="3399"/>
      <c r="C8" s="3399"/>
      <c r="D8" s="3399" t="e">
        <f ca="1">结果表!D122</f>
        <v>#REF!</v>
      </c>
      <c r="E8" s="3399"/>
      <c r="F8" s="3399"/>
      <c r="G8" s="3399"/>
      <c r="H8" s="3399"/>
      <c r="I8" s="3399"/>
    </row>
    <row r="9" spans="1:9" ht="15">
      <c r="A9" s="3398" t="s">
        <v>927</v>
      </c>
      <c r="B9" s="3398"/>
      <c r="C9" s="3398"/>
      <c r="D9" s="3398" t="e">
        <f ca="1">结果表!D123</f>
        <v>#REF!</v>
      </c>
      <c r="E9" s="3398"/>
      <c r="F9" s="3398"/>
      <c r="G9" s="3398"/>
      <c r="H9" s="3398"/>
      <c r="I9" s="3398"/>
    </row>
    <row r="10" spans="1:9" ht="15.75">
      <c r="A10" s="3399" t="str">
        <f>结果表!A124</f>
        <v/>
      </c>
      <c r="B10" s="3399"/>
      <c r="C10" s="3399"/>
      <c r="D10" s="3399" t="str">
        <f>结果表!D124</f>
        <v>——</v>
      </c>
      <c r="E10" s="3399"/>
      <c r="F10" s="3399"/>
      <c r="G10" s="3399"/>
      <c r="H10" s="3399"/>
      <c r="I10" s="3399"/>
    </row>
    <row r="11" spans="1:9" ht="15">
      <c r="A11" s="3398" t="s">
        <v>927</v>
      </c>
      <c r="B11" s="3398"/>
      <c r="C11" s="3398"/>
      <c r="D11" s="3398" t="e">
        <f>结果表!D125</f>
        <v>#VALUE!</v>
      </c>
      <c r="E11" s="3398"/>
      <c r="F11" s="3398"/>
      <c r="G11" s="3398"/>
      <c r="H11" s="3398"/>
      <c r="I11" s="3398"/>
    </row>
    <row r="12" spans="1:9" ht="15.75">
      <c r="A12" s="3399" t="str">
        <f>结果表!A126</f>
        <v/>
      </c>
      <c r="B12" s="3399"/>
      <c r="C12" s="3399"/>
      <c r="D12" s="3399" t="str">
        <f>结果表!D126</f>
        <v>——</v>
      </c>
      <c r="E12" s="3399"/>
      <c r="F12" s="3399"/>
      <c r="G12" s="3399"/>
      <c r="H12" s="3399"/>
      <c r="I12" s="3399"/>
    </row>
    <row r="13" spans="1:9" ht="15.75" thickBot="1">
      <c r="A13" s="3403" t="s">
        <v>927</v>
      </c>
      <c r="B13" s="3403"/>
      <c r="C13" s="3403"/>
      <c r="D13" s="3403" t="e">
        <f>结果表!D127</f>
        <v>#VALUE!</v>
      </c>
      <c r="E13" s="3403"/>
      <c r="F13" s="3403"/>
      <c r="G13" s="3403"/>
      <c r="H13" s="3403"/>
      <c r="I13" s="3403"/>
    </row>
    <row r="14" spans="1:9" ht="15" thickTop="1">
      <c r="A14" s="3404" t="s">
        <v>932</v>
      </c>
      <c r="B14" s="3404"/>
      <c r="C14" s="3404"/>
      <c r="D14" s="3404"/>
      <c r="E14" s="3404"/>
      <c r="F14" s="3404"/>
      <c r="G14" s="3404"/>
      <c r="H14" s="3404"/>
      <c r="I14" s="3404"/>
    </row>
    <row r="16" spans="1:9" ht="18.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7"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IW78"/>
  <sheetViews>
    <sheetView workbookViewId="0">
      <selection activeCell="G20" sqref="G20"/>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45839</v>
      </c>
      <c r="D1" s="1217" t="s">
        <v>603</v>
      </c>
      <c r="E1" s="1212">
        <f>'数据-取费表'!B22</f>
        <v>1</v>
      </c>
      <c r="F1" s="1217" t="s">
        <v>604</v>
      </c>
      <c r="G1" s="1213">
        <f ca="1">INDIRECT("d"&amp;$K$1)/100</f>
        <v>0.03</v>
      </c>
      <c r="H1" s="1217" t="s">
        <v>634</v>
      </c>
      <c r="I1" s="1213">
        <f ca="1">F4/100</f>
        <v>1.4999999999999999E-2</v>
      </c>
      <c r="J1" s="1218">
        <f>IF(C1&gt;C13,0,MATCH(C1,C$13:C$115,-1))+IF(SUMIF(C13:C115,C1,D13:D115)=0,13,12)</f>
        <v>13</v>
      </c>
      <c r="K1" s="1218">
        <f ca="1">MATCH(E1,C3:C7,1)+IF(SUMIF(C3:C7,E1,D3:D7)=0,2,1)</f>
        <v>4</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3.5</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6">
        <v>45797</v>
      </c>
      <c r="D13" s="1201">
        <v>3</v>
      </c>
      <c r="E13" s="1201">
        <v>3</v>
      </c>
      <c r="F13" s="1201">
        <f t="shared" ref="F13:F18" si="0">D13</f>
        <v>3</v>
      </c>
      <c r="G13" s="1201">
        <f t="shared" ref="G13:G18" si="1">D13</f>
        <v>3</v>
      </c>
      <c r="H13" s="1201">
        <v>3.5</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45586</v>
      </c>
      <c r="D14" s="1205">
        <v>3.1</v>
      </c>
      <c r="E14" s="1205">
        <f>D14</f>
        <v>3.1</v>
      </c>
      <c r="F14" s="1205">
        <f t="shared" si="0"/>
        <v>3.1</v>
      </c>
      <c r="G14" s="1205">
        <f t="shared" si="1"/>
        <v>3.1</v>
      </c>
      <c r="H14" s="1205">
        <v>3.6</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45495</v>
      </c>
      <c r="D15" s="1205">
        <v>3.35</v>
      </c>
      <c r="E15" s="1205">
        <f>D15</f>
        <v>3.35</v>
      </c>
      <c r="F15" s="1205">
        <f t="shared" si="0"/>
        <v>3.35</v>
      </c>
      <c r="G15" s="1205">
        <f t="shared" si="1"/>
        <v>3.35</v>
      </c>
      <c r="H15" s="1205">
        <v>3.85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0"/>
      <c r="C16" s="1206">
        <v>45342</v>
      </c>
      <c r="D16" s="1205">
        <v>3.45</v>
      </c>
      <c r="E16" s="1205">
        <f>D16</f>
        <v>3.45</v>
      </c>
      <c r="F16" s="1205">
        <f t="shared" si="0"/>
        <v>3.45</v>
      </c>
      <c r="G16" s="1205">
        <f t="shared" si="1"/>
        <v>3.45</v>
      </c>
      <c r="H16" s="1205">
        <v>3.95</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0"/>
      <c r="C17" s="1206">
        <v>45159</v>
      </c>
      <c r="D17" s="1205">
        <v>3.45</v>
      </c>
      <c r="E17" s="1205">
        <f>D17</f>
        <v>3.45</v>
      </c>
      <c r="F17" s="1205">
        <f t="shared" si="0"/>
        <v>3.45</v>
      </c>
      <c r="G17" s="1205">
        <f t="shared" si="1"/>
        <v>3.45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0"/>
      <c r="C18" s="1206">
        <v>45097</v>
      </c>
      <c r="D18" s="1205">
        <v>3.55</v>
      </c>
      <c r="E18" s="1205">
        <f>D18</f>
        <v>3.55</v>
      </c>
      <c r="F18" s="1205">
        <f t="shared" si="0"/>
        <v>3.55</v>
      </c>
      <c r="G18" s="1205">
        <f t="shared" si="1"/>
        <v>3.55</v>
      </c>
      <c r="H18" s="1205">
        <v>4.2</v>
      </c>
      <c r="I18" s="1201"/>
      <c r="J18" s="1201"/>
      <c r="L18" s="2580"/>
      <c r="M18" s="2579">
        <v>41965</v>
      </c>
      <c r="N18" s="2580">
        <v>0.35</v>
      </c>
      <c r="O18" s="2580">
        <v>2.35</v>
      </c>
      <c r="P18" s="2580">
        <v>2.5499999999999998</v>
      </c>
      <c r="Q18" s="2580">
        <v>2.75</v>
      </c>
      <c r="R18" s="2580">
        <v>3.35</v>
      </c>
      <c r="S18" s="2580">
        <v>4</v>
      </c>
      <c r="T18" s="2580">
        <v>4.75</v>
      </c>
      <c r="U18" s="2581">
        <v>2.35</v>
      </c>
      <c r="V18" s="2581">
        <v>2.5499999999999998</v>
      </c>
      <c r="W18" s="2581">
        <v>2.75</v>
      </c>
      <c r="X18" s="2580"/>
      <c r="Y18" s="2581">
        <v>0.8</v>
      </c>
      <c r="Z18" s="2581">
        <v>1.35</v>
      </c>
    </row>
    <row r="19" spans="1:256" s="2582" customFormat="1" ht="14.25">
      <c r="A19" s="1199"/>
      <c r="B19" s="1200"/>
      <c r="C19" s="1206">
        <v>44795</v>
      </c>
      <c r="D19" s="1205">
        <v>3.65</v>
      </c>
      <c r="E19" s="1205">
        <v>3.65</v>
      </c>
      <c r="F19" s="1205">
        <v>3.65</v>
      </c>
      <c r="G19" s="1205">
        <v>3.65</v>
      </c>
      <c r="H19" s="1205">
        <v>4.3</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0"/>
      <c r="C20" s="1206">
        <v>44701</v>
      </c>
      <c r="D20" s="1205">
        <v>3.7</v>
      </c>
      <c r="E20" s="1205">
        <f>D20</f>
        <v>3.7</v>
      </c>
      <c r="F20" s="1205">
        <f>D20</f>
        <v>3.7</v>
      </c>
      <c r="G20" s="1205">
        <f>D20</f>
        <v>3.7</v>
      </c>
      <c r="H20" s="1205">
        <v>4.45</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0"/>
      <c r="C21" s="1206">
        <v>44581</v>
      </c>
      <c r="D21" s="1205">
        <v>3.7</v>
      </c>
      <c r="E21" s="1205">
        <f>D21</f>
        <v>3.7</v>
      </c>
      <c r="F21" s="1205">
        <f>D21</f>
        <v>3.7</v>
      </c>
      <c r="G21" s="1205">
        <f>D21</f>
        <v>3.7</v>
      </c>
      <c r="H21" s="1205">
        <v>4.5999999999999996</v>
      </c>
      <c r="I21" s="1201"/>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1199"/>
      <c r="B22" s="1205"/>
      <c r="C22" s="1206">
        <v>44550</v>
      </c>
      <c r="D22" s="1205">
        <v>3.8</v>
      </c>
      <c r="E22" s="1205">
        <f>D22</f>
        <v>3.8</v>
      </c>
      <c r="F22" s="1205">
        <f>D22</f>
        <v>3.8</v>
      </c>
      <c r="G22" s="1205">
        <f>D22</f>
        <v>3.8</v>
      </c>
      <c r="H22" s="1205">
        <v>4.6500000000000004</v>
      </c>
      <c r="I22" s="1205"/>
      <c r="J22" s="1201"/>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4.25">
      <c r="A23" s="2577"/>
      <c r="B23" s="1205"/>
      <c r="C23" s="1206">
        <v>43941</v>
      </c>
      <c r="D23" s="1205">
        <v>3.85</v>
      </c>
      <c r="E23" s="1205">
        <v>3.85</v>
      </c>
      <c r="F23" s="1205">
        <v>3.85</v>
      </c>
      <c r="G23" s="1205">
        <v>3.85</v>
      </c>
      <c r="H23" s="1205">
        <v>4.6500000000000004</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43881</v>
      </c>
      <c r="D24" s="1205">
        <v>4.05</v>
      </c>
      <c r="E24" s="1205">
        <v>4.05</v>
      </c>
      <c r="F24" s="1205">
        <v>4.05</v>
      </c>
      <c r="G24" s="1205">
        <v>4.05</v>
      </c>
      <c r="H24" s="1205">
        <v>4.75</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43789</v>
      </c>
      <c r="D25" s="1205">
        <v>4.1500000000000004</v>
      </c>
      <c r="E25" s="1205">
        <v>4.1500000000000004</v>
      </c>
      <c r="F25" s="1205">
        <v>4.1500000000000004</v>
      </c>
      <c r="G25" s="1205">
        <v>4.1500000000000004</v>
      </c>
      <c r="H25" s="1205">
        <v>4.8</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43728</v>
      </c>
      <c r="D26" s="1205">
        <v>4.2</v>
      </c>
      <c r="E26" s="1205">
        <v>4.2</v>
      </c>
      <c r="F26" s="1205">
        <v>4.2</v>
      </c>
      <c r="G26" s="1205">
        <v>4.2</v>
      </c>
      <c r="H26" s="1205">
        <v>4.8499999999999996</v>
      </c>
      <c r="I26" s="1205"/>
      <c r="J26" s="120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4.25">
      <c r="B27" s="1200" t="s">
        <v>2307</v>
      </c>
      <c r="C27" s="1207">
        <v>43697</v>
      </c>
      <c r="D27" s="2575">
        <v>4.25</v>
      </c>
      <c r="E27" s="2575">
        <v>4.25</v>
      </c>
      <c r="F27" s="2575">
        <v>4.25</v>
      </c>
      <c r="G27" s="2575">
        <v>4.25</v>
      </c>
      <c r="H27" s="2575">
        <v>4.8499999999999996</v>
      </c>
      <c r="I27" s="2575"/>
      <c r="J27" s="2575"/>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ht="14.25">
      <c r="B28" s="2578"/>
      <c r="C28" s="2579">
        <v>42301</v>
      </c>
      <c r="D28" s="2580">
        <v>4.3499999999999996</v>
      </c>
      <c r="E28" s="2580">
        <v>4.3499999999999996</v>
      </c>
      <c r="F28" s="2580">
        <v>4.75</v>
      </c>
      <c r="G28" s="2580">
        <v>4.75</v>
      </c>
      <c r="H28" s="2580">
        <v>4.9000000000000004</v>
      </c>
      <c r="I28" s="2580"/>
      <c r="J28" s="2580"/>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42242</v>
      </c>
      <c r="D29" s="1205">
        <v>4.5999999999999996</v>
      </c>
      <c r="E29" s="1205">
        <v>4.5999999999999996</v>
      </c>
      <c r="F29" s="1205">
        <v>5</v>
      </c>
      <c r="G29" s="1205">
        <v>5</v>
      </c>
      <c r="H29" s="1205">
        <v>5.15</v>
      </c>
      <c r="I29" s="1205">
        <v>2.75</v>
      </c>
      <c r="J29" s="1205">
        <v>3.25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42183</v>
      </c>
      <c r="D30" s="1205">
        <v>4.8499999999999996</v>
      </c>
      <c r="E30" s="1205">
        <v>4.8499999999999996</v>
      </c>
      <c r="F30" s="1205">
        <v>5.25</v>
      </c>
      <c r="G30" s="1205">
        <v>5.25</v>
      </c>
      <c r="H30" s="1205">
        <v>5.4</v>
      </c>
      <c r="I30" s="1205">
        <v>3</v>
      </c>
      <c r="J30" s="1205">
        <v>3.5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42135</v>
      </c>
      <c r="D31" s="1205">
        <v>5.0999999999999996</v>
      </c>
      <c r="E31" s="1205">
        <v>5.0999999999999996</v>
      </c>
      <c r="F31" s="1205">
        <v>5.5</v>
      </c>
      <c r="G31" s="1205">
        <v>5.5</v>
      </c>
      <c r="H31" s="1205">
        <v>5.65</v>
      </c>
      <c r="I31" s="1205">
        <v>3.25</v>
      </c>
      <c r="J31" s="1205">
        <v>3.75</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42064</v>
      </c>
      <c r="D32" s="1205">
        <v>5.35</v>
      </c>
      <c r="E32" s="1205">
        <v>5.35</v>
      </c>
      <c r="F32" s="1205">
        <v>5.75</v>
      </c>
      <c r="G32" s="1205">
        <v>5.75</v>
      </c>
      <c r="H32" s="1205">
        <v>5.9</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41965</v>
      </c>
      <c r="D33" s="1205">
        <v>5.6</v>
      </c>
      <c r="E33" s="1205">
        <v>5.6</v>
      </c>
      <c r="F33" s="1205">
        <v>6</v>
      </c>
      <c r="G33" s="1205">
        <v>6</v>
      </c>
      <c r="H33" s="1205">
        <v>6.15</v>
      </c>
      <c r="I33" s="1205"/>
      <c r="J33" s="1205"/>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41096</v>
      </c>
      <c r="D34" s="1205">
        <v>5.6</v>
      </c>
      <c r="E34" s="1205">
        <v>6</v>
      </c>
      <c r="F34" s="1205">
        <v>6.15</v>
      </c>
      <c r="G34" s="1205">
        <v>6.4</v>
      </c>
      <c r="H34" s="1205">
        <v>6.55</v>
      </c>
      <c r="I34" s="1205">
        <v>4</v>
      </c>
      <c r="J34" s="1205">
        <v>4.5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41068</v>
      </c>
      <c r="D35" s="1205">
        <v>5.85</v>
      </c>
      <c r="E35" s="1205">
        <v>6.31</v>
      </c>
      <c r="F35" s="1205">
        <v>6.4</v>
      </c>
      <c r="G35" s="1205">
        <v>6.65</v>
      </c>
      <c r="H35" s="1205">
        <v>6.8</v>
      </c>
      <c r="I35" s="1205">
        <v>4.2</v>
      </c>
      <c r="J35" s="1205">
        <v>4.7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40731</v>
      </c>
      <c r="D36" s="1205">
        <v>6.1</v>
      </c>
      <c r="E36" s="1205">
        <v>6.56</v>
      </c>
      <c r="F36" s="1205">
        <v>6.65</v>
      </c>
      <c r="G36" s="1205">
        <v>6.9</v>
      </c>
      <c r="H36" s="1205">
        <v>7.05</v>
      </c>
      <c r="I36" s="1205">
        <v>4.45</v>
      </c>
      <c r="J36" s="1205">
        <v>4.9000000000000004</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40639</v>
      </c>
      <c r="D37" s="1205">
        <v>5.85</v>
      </c>
      <c r="E37" s="1205">
        <v>6.31</v>
      </c>
      <c r="F37" s="1205">
        <v>6.4</v>
      </c>
      <c r="G37" s="1205">
        <v>6.65</v>
      </c>
      <c r="H37" s="1205">
        <v>6.8</v>
      </c>
      <c r="I37" s="1205">
        <v>4.2</v>
      </c>
      <c r="J37" s="1205">
        <v>4.7</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40583</v>
      </c>
      <c r="D38" s="1205">
        <v>5.6</v>
      </c>
      <c r="E38" s="1205">
        <v>6.06</v>
      </c>
      <c r="F38" s="1205">
        <v>6.1</v>
      </c>
      <c r="G38" s="1205">
        <v>6.45</v>
      </c>
      <c r="H38" s="1205">
        <v>6.6</v>
      </c>
      <c r="I38" s="1205">
        <v>4</v>
      </c>
      <c r="J38" s="1205">
        <v>4.5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40538</v>
      </c>
      <c r="D39" s="1205">
        <v>5.35</v>
      </c>
      <c r="E39" s="1205">
        <v>5.81</v>
      </c>
      <c r="F39" s="1205">
        <v>5.85</v>
      </c>
      <c r="G39" s="1205">
        <v>6.22</v>
      </c>
      <c r="H39" s="1205">
        <v>6.4</v>
      </c>
      <c r="I39" s="1205">
        <v>3.75</v>
      </c>
      <c r="J39" s="1205">
        <v>4.3</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40471</v>
      </c>
      <c r="D40" s="1205">
        <v>5.0999999999999996</v>
      </c>
      <c r="E40" s="1205">
        <v>5.56</v>
      </c>
      <c r="F40" s="1205">
        <v>5.6</v>
      </c>
      <c r="G40" s="1205">
        <v>5.96</v>
      </c>
      <c r="H40" s="1205">
        <v>6.14</v>
      </c>
      <c r="I40" s="1205">
        <v>3.5</v>
      </c>
      <c r="J40" s="1205">
        <v>4.05</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39805</v>
      </c>
      <c r="D41" s="1205">
        <v>4.8600000000000003</v>
      </c>
      <c r="E41" s="1205">
        <v>5.31</v>
      </c>
      <c r="F41" s="1205">
        <v>5.4</v>
      </c>
      <c r="G41" s="1205">
        <v>5.76</v>
      </c>
      <c r="H41" s="1205">
        <v>5.94</v>
      </c>
      <c r="I41" s="1205">
        <v>3.33</v>
      </c>
      <c r="J41" s="1205">
        <v>3.87</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39779</v>
      </c>
      <c r="D42" s="1205">
        <v>5.04</v>
      </c>
      <c r="E42" s="1205">
        <v>5.58</v>
      </c>
      <c r="F42" s="1205">
        <v>5.67</v>
      </c>
      <c r="G42" s="1205">
        <v>5.94</v>
      </c>
      <c r="H42" s="1205">
        <v>6.12</v>
      </c>
      <c r="I42" s="1205">
        <v>3.51</v>
      </c>
      <c r="J42" s="1205">
        <v>4.05</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39751</v>
      </c>
      <c r="D43" s="1205">
        <v>6.03</v>
      </c>
      <c r="E43" s="1205">
        <v>6.66</v>
      </c>
      <c r="F43" s="1205">
        <v>6.75</v>
      </c>
      <c r="G43" s="1205">
        <v>7.02</v>
      </c>
      <c r="H43" s="1205">
        <v>7.2</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7">
        <v>39748</v>
      </c>
      <c r="D44" s="1205">
        <v>6.12</v>
      </c>
      <c r="E44" s="1205">
        <v>6.93</v>
      </c>
      <c r="F44" s="1205">
        <v>7.02</v>
      </c>
      <c r="G44" s="1205">
        <v>7.29</v>
      </c>
      <c r="H44" s="1205">
        <v>7.47</v>
      </c>
      <c r="I44" s="1205">
        <v>4.05</v>
      </c>
      <c r="J44" s="1205">
        <v>4.59</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39730</v>
      </c>
      <c r="D45" s="1205">
        <v>6.12</v>
      </c>
      <c r="E45" s="1205">
        <v>6.93</v>
      </c>
      <c r="F45" s="1205">
        <v>7.02</v>
      </c>
      <c r="G45" s="1205">
        <v>7.29</v>
      </c>
      <c r="H45" s="1205">
        <v>7.47</v>
      </c>
      <c r="I45" s="1205">
        <v>4.32</v>
      </c>
      <c r="J45" s="1205">
        <v>4.8600000000000003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39707</v>
      </c>
      <c r="D46" s="1205">
        <v>6.21</v>
      </c>
      <c r="E46" s="1205">
        <v>7.2</v>
      </c>
      <c r="F46" s="1205">
        <v>7.29</v>
      </c>
      <c r="G46" s="1205">
        <v>7.56</v>
      </c>
      <c r="H46" s="1205">
        <v>7.74</v>
      </c>
      <c r="I46" s="1205">
        <v>4.59</v>
      </c>
      <c r="J46" s="1205">
        <v>5.13</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39437</v>
      </c>
      <c r="D47" s="1205">
        <v>6.57</v>
      </c>
      <c r="E47" s="1205">
        <v>7.47</v>
      </c>
      <c r="F47" s="1205">
        <v>7.56</v>
      </c>
      <c r="G47" s="1205">
        <v>7.74</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39340</v>
      </c>
      <c r="D48" s="1205">
        <v>6.48</v>
      </c>
      <c r="E48" s="1205">
        <v>7.29</v>
      </c>
      <c r="F48" s="1205">
        <v>7.47</v>
      </c>
      <c r="G48" s="1205">
        <v>7.65</v>
      </c>
      <c r="H48" s="1205">
        <v>7.83</v>
      </c>
      <c r="I48" s="1205">
        <v>4.7699999999999996</v>
      </c>
      <c r="J48" s="1205">
        <v>5.22</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39316</v>
      </c>
      <c r="D49" s="1205">
        <v>6.21</v>
      </c>
      <c r="E49" s="1205">
        <v>7.02</v>
      </c>
      <c r="F49" s="1205">
        <v>7.2</v>
      </c>
      <c r="G49" s="1205">
        <v>7.38</v>
      </c>
      <c r="H49" s="1205">
        <v>7.56</v>
      </c>
      <c r="I49" s="1205">
        <v>4.59</v>
      </c>
      <c r="J49" s="1205">
        <v>5.04</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39284</v>
      </c>
      <c r="D50" s="1205">
        <v>6.03</v>
      </c>
      <c r="E50" s="1205">
        <v>6.84</v>
      </c>
      <c r="F50" s="1205">
        <v>7.02</v>
      </c>
      <c r="G50" s="1205">
        <v>7.2</v>
      </c>
      <c r="H50" s="1205">
        <v>7.38</v>
      </c>
      <c r="I50" s="1205">
        <v>4.5</v>
      </c>
      <c r="J50" s="1205">
        <v>4.95</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39221</v>
      </c>
      <c r="D51" s="1205">
        <v>5.85</v>
      </c>
      <c r="E51" s="1205">
        <v>6.57</v>
      </c>
      <c r="F51" s="1205">
        <v>6.75</v>
      </c>
      <c r="G51" s="1205">
        <v>6.93</v>
      </c>
      <c r="H51" s="1205">
        <v>7.2</v>
      </c>
      <c r="I51" s="1205">
        <v>4.41</v>
      </c>
      <c r="J51" s="1205">
        <v>4.8600000000000003</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39159</v>
      </c>
      <c r="D52" s="1205">
        <v>5.67</v>
      </c>
      <c r="E52" s="1205">
        <v>6.39</v>
      </c>
      <c r="F52" s="1205">
        <v>6.57</v>
      </c>
      <c r="G52" s="1205">
        <v>6.75</v>
      </c>
      <c r="H52" s="1205">
        <v>7.11</v>
      </c>
      <c r="I52" s="1205">
        <v>4.32</v>
      </c>
      <c r="J52" s="1205">
        <v>4.7699999999999996</v>
      </c>
      <c r="L52" s="1205"/>
      <c r="M52" s="1206"/>
      <c r="N52" s="1205"/>
      <c r="O52" s="1205"/>
      <c r="P52" s="1205"/>
      <c r="Q52" s="1205"/>
      <c r="R52" s="1205"/>
      <c r="S52" s="1205"/>
      <c r="T52" s="1205"/>
      <c r="U52" s="1205"/>
      <c r="V52" s="1205"/>
      <c r="W52" s="1205"/>
      <c r="X52" s="1205"/>
      <c r="Y52" s="1205"/>
      <c r="Z52" s="1205"/>
    </row>
    <row r="53" spans="2:26">
      <c r="B53" s="1205"/>
      <c r="C53" s="1206">
        <v>38948</v>
      </c>
      <c r="D53" s="1205">
        <v>5.58</v>
      </c>
      <c r="E53" s="1205">
        <v>6.12</v>
      </c>
      <c r="F53" s="1205">
        <v>6.3</v>
      </c>
      <c r="G53" s="1205">
        <v>6.48</v>
      </c>
      <c r="H53" s="1205">
        <v>6.84</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38835</v>
      </c>
      <c r="D54" s="1205">
        <v>5.4</v>
      </c>
      <c r="E54" s="1205">
        <v>5.85</v>
      </c>
      <c r="F54" s="1205">
        <v>6.03</v>
      </c>
      <c r="G54" s="1205">
        <v>6.12</v>
      </c>
      <c r="H54" s="1205">
        <v>6.39</v>
      </c>
      <c r="I54" s="1205">
        <v>4.1399999999999997</v>
      </c>
      <c r="J54" s="1205">
        <v>4.59</v>
      </c>
      <c r="L54" s="1205"/>
      <c r="M54" s="1206"/>
      <c r="N54" s="1205"/>
      <c r="O54" s="1205"/>
      <c r="P54" s="1205"/>
      <c r="Q54" s="1205"/>
      <c r="R54" s="1205"/>
      <c r="S54" s="1205"/>
      <c r="T54" s="1205"/>
      <c r="U54" s="1205"/>
      <c r="V54" s="1205"/>
      <c r="W54" s="1205"/>
      <c r="X54" s="1205"/>
      <c r="Y54" s="1205"/>
      <c r="Z54" s="1205"/>
    </row>
    <row r="55" spans="2:26">
      <c r="B55" s="1205"/>
      <c r="C55" s="1206">
        <v>38428</v>
      </c>
      <c r="D55" s="1205">
        <v>5.22</v>
      </c>
      <c r="E55" s="1205">
        <v>5.58</v>
      </c>
      <c r="F55" s="1205">
        <v>5.76</v>
      </c>
      <c r="G55" s="1205">
        <v>5.85</v>
      </c>
      <c r="H55" s="1205">
        <v>6.12</v>
      </c>
      <c r="I55" s="1205">
        <v>3.96</v>
      </c>
      <c r="J55" s="1205">
        <v>4.41</v>
      </c>
      <c r="L55" s="1205"/>
      <c r="M55" s="1206"/>
      <c r="N55" s="1205"/>
      <c r="O55" s="1205"/>
      <c r="P55" s="1205"/>
      <c r="Q55" s="1205"/>
      <c r="R55" s="1205"/>
      <c r="S55" s="1205"/>
      <c r="T55" s="1205"/>
      <c r="U55" s="1205"/>
      <c r="V55" s="1205"/>
      <c r="W55" s="1205"/>
      <c r="X55" s="1205"/>
      <c r="Y55" s="1205"/>
      <c r="Z55" s="1205"/>
    </row>
    <row r="56" spans="2:26">
      <c r="B56" s="1205"/>
      <c r="C56" s="1206">
        <v>38289</v>
      </c>
      <c r="D56" s="1205">
        <v>5.22</v>
      </c>
      <c r="E56" s="1205">
        <v>5.58</v>
      </c>
      <c r="F56" s="1205">
        <v>5.76</v>
      </c>
      <c r="G56" s="1205">
        <v>5.85</v>
      </c>
      <c r="H56" s="1205">
        <v>6.12</v>
      </c>
      <c r="I56" s="1205">
        <v>3.78</v>
      </c>
      <c r="J56" s="1205">
        <v>4.2300000000000004</v>
      </c>
      <c r="L56" s="1205"/>
      <c r="M56" s="1206"/>
      <c r="N56" s="1205"/>
      <c r="O56" s="1205"/>
      <c r="P56" s="1205"/>
      <c r="Q56" s="1205"/>
      <c r="R56" s="1205"/>
      <c r="S56" s="1205"/>
      <c r="T56" s="1205"/>
      <c r="U56" s="1205"/>
      <c r="V56" s="1205"/>
      <c r="W56" s="1205"/>
      <c r="X56" s="1205"/>
      <c r="Y56" s="1205"/>
      <c r="Z56" s="1205"/>
    </row>
    <row r="57" spans="2:26">
      <c r="B57" s="1205"/>
      <c r="C57" s="1206">
        <v>37308</v>
      </c>
      <c r="D57" s="1205">
        <v>5.04</v>
      </c>
      <c r="E57" s="1205">
        <v>5.31</v>
      </c>
      <c r="F57" s="1205">
        <v>5.49</v>
      </c>
      <c r="G57" s="1205">
        <v>5.58</v>
      </c>
      <c r="H57" s="1205">
        <v>5.76</v>
      </c>
      <c r="I57" s="1205">
        <v>3.6</v>
      </c>
      <c r="J57" s="1205">
        <v>4.05</v>
      </c>
      <c r="L57" s="1205"/>
      <c r="M57" s="1206"/>
      <c r="N57" s="1205"/>
      <c r="O57" s="1205"/>
      <c r="P57" s="1205"/>
      <c r="Q57" s="1205"/>
      <c r="R57" s="1205"/>
      <c r="S57" s="1205"/>
      <c r="T57" s="1205"/>
      <c r="U57" s="1205"/>
      <c r="V57" s="1205"/>
      <c r="W57" s="1205"/>
      <c r="X57" s="1205"/>
      <c r="Y57" s="1205"/>
      <c r="Z57" s="1205"/>
    </row>
    <row r="58" spans="2:26">
      <c r="B58" s="1205"/>
      <c r="C58" s="1206">
        <v>36321</v>
      </c>
      <c r="D58" s="1205">
        <v>5.58</v>
      </c>
      <c r="E58" s="1205">
        <v>5.85</v>
      </c>
      <c r="F58" s="1205">
        <v>5.94</v>
      </c>
      <c r="G58" s="1205">
        <v>6.03</v>
      </c>
      <c r="H58" s="1205">
        <v>6.21</v>
      </c>
      <c r="I58" s="1205">
        <v>4.1399999999999997</v>
      </c>
      <c r="J58" s="1205">
        <v>4.59</v>
      </c>
    </row>
    <row r="59" spans="2:26">
      <c r="B59" s="1205"/>
      <c r="C59" s="1206">
        <v>36136</v>
      </c>
      <c r="D59" s="1205">
        <v>6.12</v>
      </c>
      <c r="E59" s="1205">
        <v>6.39</v>
      </c>
      <c r="F59" s="1205">
        <v>6.66</v>
      </c>
      <c r="G59" s="1205">
        <v>7.2</v>
      </c>
      <c r="H59" s="1205">
        <v>7.56</v>
      </c>
      <c r="I59" s="1205">
        <v>0</v>
      </c>
      <c r="J59" s="1205">
        <v>0</v>
      </c>
    </row>
    <row r="60" spans="2:26">
      <c r="B60" s="1205"/>
      <c r="C60" s="1206">
        <v>35977</v>
      </c>
      <c r="D60" s="1205">
        <v>6.57</v>
      </c>
      <c r="E60" s="1205">
        <v>6.93</v>
      </c>
      <c r="F60" s="1205">
        <v>7.11</v>
      </c>
      <c r="G60" s="1205">
        <v>7.65</v>
      </c>
      <c r="H60" s="1205">
        <v>8.01</v>
      </c>
      <c r="I60" s="1205">
        <v>0</v>
      </c>
      <c r="J60" s="1205">
        <v>0</v>
      </c>
    </row>
    <row r="61" spans="2:26">
      <c r="B61" s="1205"/>
      <c r="C61" s="1206">
        <v>35879</v>
      </c>
      <c r="D61" s="1205">
        <v>7.02</v>
      </c>
      <c r="E61" s="1205">
        <v>7.92</v>
      </c>
      <c r="F61" s="1205">
        <v>9</v>
      </c>
      <c r="G61" s="1205">
        <v>9.7200000000000006</v>
      </c>
      <c r="H61" s="1205">
        <v>10.35</v>
      </c>
      <c r="I61" s="1205">
        <v>0</v>
      </c>
      <c r="J61" s="1205">
        <v>0</v>
      </c>
    </row>
    <row r="62" spans="2:26">
      <c r="B62" s="1205"/>
      <c r="C62" s="1206">
        <v>35726</v>
      </c>
      <c r="D62" s="1205">
        <v>7.65</v>
      </c>
      <c r="E62" s="1205">
        <v>8.64</v>
      </c>
      <c r="F62" s="1205">
        <v>9.36</v>
      </c>
      <c r="G62" s="1205">
        <v>9.9</v>
      </c>
      <c r="H62" s="1205">
        <v>10.53</v>
      </c>
      <c r="I62" s="1205">
        <v>0</v>
      </c>
      <c r="J62" s="1205">
        <v>0</v>
      </c>
    </row>
    <row r="63" spans="2:26">
      <c r="B63" s="1205"/>
      <c r="C63" s="1206">
        <v>35300</v>
      </c>
      <c r="D63" s="1205">
        <v>9.18</v>
      </c>
      <c r="E63" s="1205">
        <v>10.08</v>
      </c>
      <c r="F63" s="1205">
        <v>10.98</v>
      </c>
      <c r="G63" s="1205">
        <v>11.7</v>
      </c>
      <c r="H63" s="1205">
        <v>12.42</v>
      </c>
      <c r="I63" s="1205">
        <v>0</v>
      </c>
      <c r="J63" s="1205">
        <v>0</v>
      </c>
    </row>
    <row r="64" spans="2:26">
      <c r="B64" s="1205"/>
      <c r="C64" s="1206">
        <v>35186</v>
      </c>
      <c r="D64" s="1205">
        <v>9.7200000000000006</v>
      </c>
      <c r="E64" s="1205">
        <v>10.98</v>
      </c>
      <c r="F64" s="1205">
        <v>13.14</v>
      </c>
      <c r="G64" s="1205">
        <v>14.94</v>
      </c>
      <c r="H64" s="1205">
        <v>15.12</v>
      </c>
      <c r="I64" s="1205">
        <v>0</v>
      </c>
      <c r="J64" s="1205">
        <v>0</v>
      </c>
    </row>
    <row r="65" spans="2:10">
      <c r="B65" s="1205"/>
      <c r="C65" s="1206">
        <v>34881</v>
      </c>
      <c r="D65" s="1205">
        <v>10.08</v>
      </c>
      <c r="E65" s="1205">
        <v>12.06</v>
      </c>
      <c r="F65" s="1205">
        <v>13.5</v>
      </c>
      <c r="G65" s="1205">
        <v>15.12</v>
      </c>
      <c r="H65" s="1205">
        <v>15.3</v>
      </c>
      <c r="I65" s="1205">
        <v>0</v>
      </c>
      <c r="J65" s="1205">
        <v>0</v>
      </c>
    </row>
    <row r="66" spans="2:10">
      <c r="B66" s="1205"/>
      <c r="C66" s="1206">
        <v>34700</v>
      </c>
      <c r="D66" s="1205">
        <v>9</v>
      </c>
      <c r="E66" s="1205">
        <v>10.98</v>
      </c>
      <c r="F66" s="1205">
        <v>12.96</v>
      </c>
      <c r="G66" s="1205">
        <v>14.58</v>
      </c>
      <c r="H66" s="1205">
        <v>14.76</v>
      </c>
      <c r="I66" s="1205">
        <v>0</v>
      </c>
      <c r="J66" s="1205">
        <v>0</v>
      </c>
    </row>
    <row r="67" spans="2:10">
      <c r="B67" s="1205"/>
      <c r="C67" s="1206">
        <v>34161</v>
      </c>
      <c r="D67" s="1205">
        <v>9</v>
      </c>
      <c r="E67" s="1205">
        <v>10.98</v>
      </c>
      <c r="F67" s="1205">
        <v>12.24</v>
      </c>
      <c r="G67" s="1205">
        <v>13.86</v>
      </c>
      <c r="H67" s="1205">
        <v>14.04</v>
      </c>
      <c r="I67" s="1205">
        <v>0</v>
      </c>
      <c r="J67" s="1205">
        <v>0</v>
      </c>
    </row>
    <row r="68" spans="2:10">
      <c r="B68" s="1205"/>
      <c r="C68" s="1206">
        <v>34104</v>
      </c>
      <c r="D68" s="1205">
        <v>8.82</v>
      </c>
      <c r="E68" s="1205">
        <v>9.36</v>
      </c>
      <c r="F68" s="1205">
        <v>10.8</v>
      </c>
      <c r="G68" s="1205">
        <v>12.06</v>
      </c>
      <c r="H68" s="1205">
        <v>12.24</v>
      </c>
      <c r="I68" s="1205">
        <v>0</v>
      </c>
      <c r="J68" s="1205">
        <v>0</v>
      </c>
    </row>
    <row r="69" spans="2:10">
      <c r="B69" s="1205"/>
      <c r="C69" s="1206">
        <v>33349</v>
      </c>
      <c r="D69" s="1205">
        <v>8.1</v>
      </c>
      <c r="E69" s="1205">
        <v>8.64</v>
      </c>
      <c r="F69" s="1205">
        <v>9</v>
      </c>
      <c r="G69" s="1205">
        <v>9.5399999999999991</v>
      </c>
      <c r="H69" s="1205">
        <v>9.7200000000000006</v>
      </c>
      <c r="I69" s="1205">
        <v>0</v>
      </c>
      <c r="J69" s="1205">
        <v>0</v>
      </c>
    </row>
    <row r="70" spans="2:10">
      <c r="B70" s="1205"/>
      <c r="C70" s="1206">
        <v>33318</v>
      </c>
      <c r="D70" s="1205">
        <v>9</v>
      </c>
      <c r="E70" s="1205">
        <v>10.08</v>
      </c>
      <c r="F70" s="1205">
        <v>10.8</v>
      </c>
      <c r="G70" s="1205">
        <v>11.52</v>
      </c>
      <c r="H70" s="1205">
        <v>11.88</v>
      </c>
      <c r="I70" s="1205" t="s">
        <v>633</v>
      </c>
      <c r="J70" s="1205" t="s">
        <v>633</v>
      </c>
    </row>
    <row r="71" spans="2:10">
      <c r="B71" s="1205"/>
      <c r="C71" s="1206">
        <v>33106</v>
      </c>
      <c r="D71" s="1205">
        <v>8.64</v>
      </c>
      <c r="E71" s="1205">
        <v>9.36</v>
      </c>
      <c r="F71" s="1205">
        <v>10.08</v>
      </c>
      <c r="G71" s="1205">
        <v>10.8</v>
      </c>
      <c r="H71" s="1205">
        <v>11.16</v>
      </c>
      <c r="I71" s="1205">
        <v>0</v>
      </c>
      <c r="J71" s="1205">
        <v>0</v>
      </c>
    </row>
    <row r="72" spans="2:10">
      <c r="B72" s="1205"/>
      <c r="C72" s="1206">
        <v>32540</v>
      </c>
      <c r="D72" s="1205">
        <v>11.34</v>
      </c>
      <c r="E72" s="1205">
        <v>11.34</v>
      </c>
      <c r="F72" s="1205">
        <v>12.78</v>
      </c>
      <c r="G72" s="1205">
        <v>14.4</v>
      </c>
      <c r="H72" s="1205">
        <v>19.260000000000002</v>
      </c>
      <c r="I72" s="1205">
        <v>0</v>
      </c>
      <c r="J72" s="1205">
        <v>0</v>
      </c>
    </row>
    <row r="73" spans="2:10">
      <c r="B73" s="1205"/>
      <c r="C73" s="1206"/>
      <c r="D73" s="1205"/>
      <c r="E73" s="1205"/>
      <c r="F73" s="1205"/>
      <c r="G73" s="1205"/>
      <c r="H73" s="1205"/>
      <c r="I73" s="1205"/>
      <c r="J73" s="1205"/>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208"/>
      <c r="C76" s="1209"/>
      <c r="D76" s="1208"/>
      <c r="E76" s="1208"/>
      <c r="F76" s="1208"/>
      <c r="G76" s="1208"/>
      <c r="H76" s="1208"/>
      <c r="I76" s="1208"/>
      <c r="J76" s="1208"/>
    </row>
    <row r="77" spans="2:10">
      <c r="B77" s="1159"/>
      <c r="C77" s="1159"/>
      <c r="D77" s="1159"/>
      <c r="E77" s="1159"/>
      <c r="F77" s="1159"/>
      <c r="G77" s="1159"/>
      <c r="H77" s="1159"/>
      <c r="I77" s="1159"/>
      <c r="J77" s="1159"/>
    </row>
    <row r="78" spans="2:10">
      <c r="B78" s="1159"/>
      <c r="C78" s="1159"/>
      <c r="D78" s="1159"/>
      <c r="E78" s="1159"/>
      <c r="F78" s="1159"/>
      <c r="G78" s="1159"/>
      <c r="H78" s="1159"/>
      <c r="I78" s="1159"/>
      <c r="J78" s="1159"/>
    </row>
  </sheetData>
  <sheetProtection password="CEE9" sheet="1" objects="1" scenarios="1"/>
  <phoneticPr fontId="136"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tabColor rgb="FFFFC000"/>
    <pageSetUpPr fitToPage="1"/>
  </sheetPr>
  <dimension ref="A1:AD55"/>
  <sheetViews>
    <sheetView topLeftCell="G1" zoomScale="115" zoomScaleNormal="115" zoomScaleSheetLayoutView="70" workbookViewId="0">
      <pane xSplit="3" ySplit="1" topLeftCell="J2" activePane="bottomRight" state="frozen"/>
      <selection activeCell="G1" sqref="G1"/>
      <selection pane="topRight" activeCell="J1" sqref="J1"/>
      <selection pane="bottomLeft" activeCell="G2" sqref="G2"/>
      <selection pane="bottomRight" activeCell="X66" sqref="X66"/>
    </sheetView>
  </sheetViews>
  <sheetFormatPr defaultRowHeight="13.5"/>
  <cols>
    <col min="4" max="4" width="11.625" bestFit="1" customWidth="1"/>
    <col min="6" max="6" width="23.625" bestFit="1" customWidth="1"/>
    <col min="8" max="8" width="9" style="2814"/>
    <col min="9" max="9" width="5.25" style="2814" bestFit="1" customWidth="1"/>
    <col min="10" max="10" width="12.375" style="2814" customWidth="1"/>
    <col min="11" max="11" width="12.375" style="3275" customWidth="1"/>
    <col min="12" max="12" width="12.375" style="2814" customWidth="1"/>
    <col min="13" max="14" width="12.375" style="2814" hidden="1" customWidth="1"/>
    <col min="15" max="16" width="12.5" style="3275" customWidth="1"/>
    <col min="17" max="17" width="12.5" style="3275" hidden="1" customWidth="1"/>
    <col min="18" max="18" width="12.5" style="3275" customWidth="1"/>
    <col min="19" max="19" width="12.5" style="2814" hidden="1" customWidth="1"/>
    <col min="20" max="20" width="13.875" style="2814" customWidth="1"/>
    <col min="21" max="21" width="7.625" style="3275" customWidth="1"/>
    <col min="22" max="22" width="8.625" customWidth="1"/>
    <col min="23" max="23" width="11.625" bestFit="1" customWidth="1"/>
    <col min="24" max="24" width="15.25" bestFit="1" customWidth="1"/>
    <col min="25" max="25" width="16.375" bestFit="1" customWidth="1"/>
  </cols>
  <sheetData>
    <row r="1" spans="8:27">
      <c r="H1" s="3247" t="s">
        <v>3445</v>
      </c>
      <c r="I1" s="3247" t="s">
        <v>3494</v>
      </c>
      <c r="J1" s="3247" t="s">
        <v>3387</v>
      </c>
      <c r="K1" s="3273" t="s">
        <v>3480</v>
      </c>
      <c r="L1" s="1429" t="s">
        <v>3731</v>
      </c>
      <c r="M1" s="1429" t="s">
        <v>3481</v>
      </c>
      <c r="N1" s="1429" t="s">
        <v>3482</v>
      </c>
      <c r="O1" s="3273" t="s">
        <v>3476</v>
      </c>
      <c r="P1" s="3273" t="s">
        <v>3477</v>
      </c>
      <c r="Q1" s="3273" t="s">
        <v>3478</v>
      </c>
      <c r="R1" s="3273" t="s">
        <v>3479</v>
      </c>
      <c r="S1" s="1429" t="s">
        <v>3495</v>
      </c>
      <c r="T1" s="1429" t="s">
        <v>3497</v>
      </c>
      <c r="U1" s="3273"/>
      <c r="V1" s="3244" t="s">
        <v>3496</v>
      </c>
      <c r="W1" s="1405" t="s">
        <v>3732</v>
      </c>
      <c r="X1" s="1405" t="s">
        <v>3733</v>
      </c>
      <c r="Y1" s="1405" t="s">
        <v>3734</v>
      </c>
      <c r="Z1" s="1405" t="s">
        <v>3735</v>
      </c>
      <c r="AA1" s="1405" t="s">
        <v>3736</v>
      </c>
    </row>
    <row r="2" spans="8:27">
      <c r="H2" s="3722">
        <v>98</v>
      </c>
      <c r="I2" s="3247">
        <v>-1</v>
      </c>
      <c r="J2" s="3247">
        <f>房源表及成交价!N8</f>
        <v>253.4</v>
      </c>
      <c r="K2" s="3273">
        <v>3.3</v>
      </c>
      <c r="L2" s="3246">
        <v>3.34</v>
      </c>
      <c r="M2" s="3246">
        <v>18.100000000000001</v>
      </c>
      <c r="N2" s="3246">
        <v>13.72</v>
      </c>
      <c r="O2" s="3273"/>
      <c r="P2" s="3273"/>
      <c r="Q2" s="3273"/>
      <c r="R2" s="3273"/>
      <c r="S2" s="3246"/>
      <c r="T2" s="1429" t="s">
        <v>3728</v>
      </c>
      <c r="U2" s="3273"/>
      <c r="V2" s="3245"/>
    </row>
    <row r="3" spans="8:27">
      <c r="H3" s="3722"/>
      <c r="I3" s="3247" t="s">
        <v>3391</v>
      </c>
      <c r="J3" s="3247">
        <f>房源表及成交价!I8+J4</f>
        <v>194.07</v>
      </c>
      <c r="K3" s="3273">
        <v>3.9</v>
      </c>
      <c r="L3" s="1429" t="s">
        <v>3719</v>
      </c>
      <c r="M3" s="1429">
        <f>3.7+7.6</f>
        <v>11.3</v>
      </c>
      <c r="N3" s="1429">
        <v>13.7</v>
      </c>
      <c r="O3" s="3273"/>
      <c r="P3" s="3273"/>
      <c r="Q3" s="3273"/>
      <c r="R3" s="3273"/>
      <c r="S3" s="3246"/>
      <c r="T3" s="3246"/>
      <c r="U3" s="3273"/>
      <c r="V3" s="3245"/>
    </row>
    <row r="4" spans="8:27" hidden="1">
      <c r="H4" s="3722"/>
      <c r="I4" s="3247">
        <v>2</v>
      </c>
      <c r="J4" s="3247">
        <f>房源表及成交价!J8</f>
        <v>70.760000000000005</v>
      </c>
      <c r="K4" s="3273">
        <v>3.3</v>
      </c>
      <c r="L4" s="3246">
        <v>3.23</v>
      </c>
      <c r="M4" s="1429">
        <f>3.7+7.48</f>
        <v>11.18</v>
      </c>
      <c r="N4" s="1429">
        <f>9.8+2.4</f>
        <v>12.200000000000001</v>
      </c>
      <c r="O4" s="3273"/>
      <c r="P4" s="3273"/>
      <c r="Q4" s="3273"/>
      <c r="R4" s="3273"/>
      <c r="S4" s="3246"/>
      <c r="T4" s="3246"/>
      <c r="U4" s="3273"/>
      <c r="V4" s="3245"/>
    </row>
    <row r="5" spans="8:27">
      <c r="H5" s="3723">
        <v>100</v>
      </c>
      <c r="I5" s="3269">
        <v>-1</v>
      </c>
      <c r="J5" s="3269">
        <f>房源表及成交价!N15</f>
        <v>311.24</v>
      </c>
      <c r="K5" s="3274">
        <v>3.3</v>
      </c>
      <c r="L5" s="3270">
        <v>3.41</v>
      </c>
      <c r="M5" s="3270">
        <v>18.75</v>
      </c>
      <c r="N5" s="3271">
        <f>13.65+2.35</f>
        <v>16</v>
      </c>
      <c r="O5" s="3274"/>
      <c r="P5" s="3274"/>
      <c r="Q5" s="3274"/>
      <c r="R5" s="3274"/>
      <c r="S5" s="3270"/>
      <c r="T5" s="3271" t="s">
        <v>3729</v>
      </c>
      <c r="U5" s="3274"/>
      <c r="V5" s="3272"/>
    </row>
    <row r="6" spans="8:27">
      <c r="H6" s="3723"/>
      <c r="I6" s="3269" t="s">
        <v>3391</v>
      </c>
      <c r="J6" s="3269">
        <f>房源表及成交价!I15</f>
        <v>153.61000000000001</v>
      </c>
      <c r="K6" s="3274">
        <v>4.2</v>
      </c>
      <c r="L6" s="3271" t="s">
        <v>3720</v>
      </c>
      <c r="M6" s="3271">
        <f>3.9+3+5.1</f>
        <v>12</v>
      </c>
      <c r="N6" s="3270">
        <v>14.5</v>
      </c>
      <c r="O6" s="3274"/>
      <c r="P6" s="3274"/>
      <c r="Q6" s="3274"/>
      <c r="R6" s="3274"/>
      <c r="S6" s="3270"/>
      <c r="T6" s="3270"/>
      <c r="U6" s="3274"/>
      <c r="V6" s="3272"/>
    </row>
    <row r="7" spans="8:27" hidden="1">
      <c r="H7" s="3723"/>
      <c r="I7" s="3269">
        <v>2</v>
      </c>
      <c r="J7" s="3269">
        <f>房源表及成交价!J15</f>
        <v>92.47</v>
      </c>
      <c r="K7" s="3274">
        <v>3.4</v>
      </c>
      <c r="L7" s="3270">
        <v>3.23</v>
      </c>
      <c r="M7" s="3271">
        <f>3.9+8.1</f>
        <v>12</v>
      </c>
      <c r="N7" s="3270">
        <v>14.5</v>
      </c>
      <c r="O7" s="3274"/>
      <c r="P7" s="3274"/>
      <c r="Q7" s="3274"/>
      <c r="R7" s="3274"/>
      <c r="S7" s="3270"/>
      <c r="T7" s="3270"/>
      <c r="U7" s="3274"/>
      <c r="V7" s="3272"/>
    </row>
    <row r="8" spans="8:27">
      <c r="H8" s="3721">
        <v>87</v>
      </c>
      <c r="I8" s="3247">
        <v>-1</v>
      </c>
      <c r="J8" s="3247">
        <f>房源表及成交价!N3</f>
        <v>205.8</v>
      </c>
      <c r="K8" s="3273"/>
      <c r="L8" s="3246">
        <v>2.71</v>
      </c>
      <c r="M8" s="3246">
        <v>14.4</v>
      </c>
      <c r="N8" s="3246">
        <v>13.73</v>
      </c>
      <c r="O8" s="3273"/>
      <c r="P8" s="3273"/>
      <c r="Q8" s="3273"/>
      <c r="R8" s="3273"/>
      <c r="S8" s="3246"/>
      <c r="T8" s="1429" t="s">
        <v>3728</v>
      </c>
      <c r="U8" s="3273"/>
      <c r="V8" s="3245"/>
    </row>
    <row r="9" spans="8:27">
      <c r="H9" s="3721"/>
      <c r="I9" s="3247" t="s">
        <v>3391</v>
      </c>
      <c r="J9" s="3247">
        <f>房源表及成交价!I3+J10</f>
        <v>194.07</v>
      </c>
      <c r="K9" s="3273"/>
      <c r="L9" s="3246">
        <v>3.17</v>
      </c>
      <c r="M9" s="1429">
        <f>3.7+7.6</f>
        <v>11.3</v>
      </c>
      <c r="N9" s="3246">
        <v>13.7</v>
      </c>
      <c r="O9" s="3273"/>
      <c r="P9" s="3273"/>
      <c r="Q9" s="3273"/>
      <c r="R9" s="3273"/>
      <c r="S9" s="3246"/>
      <c r="T9" s="3246"/>
      <c r="U9" s="3273"/>
      <c r="V9" s="3245"/>
    </row>
    <row r="10" spans="8:27" hidden="1">
      <c r="H10" s="3721"/>
      <c r="I10" s="3247">
        <v>2</v>
      </c>
      <c r="J10" s="3247">
        <f>房源表及成交价!J3</f>
        <v>70.760000000000005</v>
      </c>
      <c r="K10" s="3273"/>
      <c r="L10" s="3246">
        <v>2.97</v>
      </c>
      <c r="M10" s="1429">
        <f>3.7+7.48</f>
        <v>11.18</v>
      </c>
      <c r="N10" s="1429">
        <f>9.8+2.4</f>
        <v>12.200000000000001</v>
      </c>
      <c r="O10" s="3273"/>
      <c r="P10" s="3273"/>
      <c r="Q10" s="3273"/>
      <c r="R10" s="3273"/>
      <c r="S10" s="3246"/>
      <c r="T10" s="3246"/>
      <c r="U10" s="3273"/>
      <c r="V10" s="3245"/>
    </row>
    <row r="11" spans="8:27">
      <c r="H11" s="3723">
        <v>107</v>
      </c>
      <c r="I11" s="3269">
        <v>-1</v>
      </c>
      <c r="J11" s="3269">
        <f>房源表及成交价!N9</f>
        <v>253.4</v>
      </c>
      <c r="K11" s="3274"/>
      <c r="L11" s="3270">
        <v>3.35</v>
      </c>
      <c r="M11" s="3270">
        <v>18.100000000000001</v>
      </c>
      <c r="N11" s="3270">
        <v>13.73</v>
      </c>
      <c r="O11" s="3274"/>
      <c r="P11" s="3274"/>
      <c r="Q11" s="3274"/>
      <c r="R11" s="3274"/>
      <c r="S11" s="3270"/>
      <c r="T11" s="3271" t="s">
        <v>3728</v>
      </c>
      <c r="U11" s="3274"/>
      <c r="V11" s="3272"/>
    </row>
    <row r="12" spans="8:27">
      <c r="H12" s="3723"/>
      <c r="I12" s="3269" t="s">
        <v>3391</v>
      </c>
      <c r="J12" s="3269">
        <f>房源表及成交价!I9+J13</f>
        <v>194.07</v>
      </c>
      <c r="K12" s="3274"/>
      <c r="L12" s="3271" t="s">
        <v>3721</v>
      </c>
      <c r="M12" s="3270">
        <f>3.7+7.6</f>
        <v>11.3</v>
      </c>
      <c r="N12" s="3270">
        <v>13.7</v>
      </c>
      <c r="O12" s="3274"/>
      <c r="P12" s="3274"/>
      <c r="Q12" s="3274"/>
      <c r="R12" s="3274"/>
      <c r="S12" s="3270"/>
      <c r="T12" s="3270"/>
      <c r="U12" s="3274"/>
      <c r="V12" s="3272"/>
    </row>
    <row r="13" spans="8:27" hidden="1">
      <c r="H13" s="3723"/>
      <c r="I13" s="3269">
        <v>2</v>
      </c>
      <c r="J13" s="3269">
        <f>房源表及成交价!J9</f>
        <v>70.760000000000005</v>
      </c>
      <c r="K13" s="3274"/>
      <c r="L13" s="3270">
        <v>3.22</v>
      </c>
      <c r="M13" s="3270">
        <f>3.7+7.48</f>
        <v>11.18</v>
      </c>
      <c r="N13" s="3270">
        <f>9.8+2.4</f>
        <v>12.200000000000001</v>
      </c>
      <c r="O13" s="3274"/>
      <c r="P13" s="3274"/>
      <c r="Q13" s="3274"/>
      <c r="R13" s="3274"/>
      <c r="S13" s="3270"/>
      <c r="T13" s="3270"/>
      <c r="U13" s="3274"/>
      <c r="V13" s="3272"/>
    </row>
    <row r="14" spans="8:27">
      <c r="H14" s="3722">
        <v>111</v>
      </c>
      <c r="I14" s="3247">
        <v>-1</v>
      </c>
      <c r="J14" s="3247">
        <f>房源表及成交价!N14</f>
        <v>266.26</v>
      </c>
      <c r="K14" s="3273"/>
      <c r="L14" s="3246">
        <v>3.33</v>
      </c>
      <c r="M14" s="3246">
        <f>14.89+5.39</f>
        <v>20.28</v>
      </c>
      <c r="N14" s="3246">
        <v>13.72</v>
      </c>
      <c r="O14" s="3273"/>
      <c r="P14" s="3273"/>
      <c r="Q14" s="3273"/>
      <c r="R14" s="3273"/>
      <c r="S14" s="3246"/>
      <c r="T14" s="1429" t="s">
        <v>3730</v>
      </c>
      <c r="U14" s="3273"/>
      <c r="V14" s="3245"/>
    </row>
    <row r="15" spans="8:27">
      <c r="H15" s="3722"/>
      <c r="I15" s="3247" t="s">
        <v>3391</v>
      </c>
      <c r="J15" s="3247">
        <f>房源表及成交价!I14+J16</f>
        <v>194.07</v>
      </c>
      <c r="K15" s="3273"/>
      <c r="L15" s="1429" t="s">
        <v>3722</v>
      </c>
      <c r="M15" s="3246">
        <f>3.7+8.7</f>
        <v>12.399999999999999</v>
      </c>
      <c r="N15" s="3246">
        <v>13.7</v>
      </c>
      <c r="O15" s="3273"/>
      <c r="P15" s="3273"/>
      <c r="Q15" s="3273"/>
      <c r="R15" s="3273"/>
      <c r="S15" s="3246"/>
      <c r="T15" s="3246"/>
      <c r="U15" s="3273"/>
      <c r="V15" s="3245"/>
    </row>
    <row r="16" spans="8:27" hidden="1">
      <c r="H16" s="3722"/>
      <c r="I16" s="3247">
        <v>2</v>
      </c>
      <c r="J16" s="3247">
        <f>房源表及成交价!J14</f>
        <v>70.760000000000005</v>
      </c>
      <c r="K16" s="3273"/>
      <c r="L16" s="3246">
        <v>3.21</v>
      </c>
      <c r="M16" s="3246">
        <f>3.7+7.48</f>
        <v>11.18</v>
      </c>
      <c r="N16" s="3246">
        <f>9.8+2.4</f>
        <v>12.200000000000001</v>
      </c>
      <c r="O16" s="3273"/>
      <c r="P16" s="3273"/>
      <c r="Q16" s="3273"/>
      <c r="R16" s="3273"/>
      <c r="S16" s="3246"/>
      <c r="T16" s="3246"/>
      <c r="U16" s="3273"/>
      <c r="V16" s="3245"/>
    </row>
    <row r="17" spans="8:28">
      <c r="H17" s="3724">
        <v>31</v>
      </c>
      <c r="I17" s="3269">
        <v>-1</v>
      </c>
      <c r="J17" s="3269">
        <f>房源表及成交价!N17</f>
        <v>451.21</v>
      </c>
      <c r="K17" s="3274">
        <v>3.3</v>
      </c>
      <c r="L17" s="3270">
        <v>3.45</v>
      </c>
      <c r="M17" s="3270">
        <f>13.53+15.12</f>
        <v>28.65</v>
      </c>
      <c r="N17" s="3270">
        <f>14.74</f>
        <v>14.74</v>
      </c>
      <c r="O17" s="3274"/>
      <c r="P17" s="3274"/>
      <c r="Q17" s="3274"/>
      <c r="R17" s="3274"/>
      <c r="S17" s="3270"/>
      <c r="T17" s="3271" t="s">
        <v>3729</v>
      </c>
      <c r="U17" s="3274"/>
      <c r="V17" s="3272"/>
    </row>
    <row r="18" spans="8:28">
      <c r="H18" s="3724"/>
      <c r="I18" s="3269" t="s">
        <v>3391</v>
      </c>
      <c r="J18" s="3269">
        <f>房源表及成交价!I17+J19</f>
        <v>334.24</v>
      </c>
      <c r="K18" s="3274">
        <v>4.2</v>
      </c>
      <c r="L18" s="3271" t="s">
        <v>3723</v>
      </c>
      <c r="M18" s="3270">
        <f>7.9+4.2+4.3</f>
        <v>16.400000000000002</v>
      </c>
      <c r="N18" s="3270">
        <v>13.2</v>
      </c>
      <c r="O18" s="3274"/>
      <c r="P18" s="3274"/>
      <c r="Q18" s="3274"/>
      <c r="R18" s="3274"/>
      <c r="S18" s="3270"/>
      <c r="T18" s="3270"/>
      <c r="U18" s="3274"/>
      <c r="V18" s="3272"/>
    </row>
    <row r="19" spans="8:28" hidden="1">
      <c r="H19" s="3724"/>
      <c r="I19" s="3269">
        <v>2</v>
      </c>
      <c r="J19" s="3269">
        <f>房源表及成交价!J17</f>
        <v>134.57</v>
      </c>
      <c r="K19" s="3274">
        <v>3.4</v>
      </c>
      <c r="L19" s="3270">
        <v>3.3</v>
      </c>
      <c r="M19" s="3270">
        <f>7.9+4.2+4.3</f>
        <v>16.400000000000002</v>
      </c>
      <c r="N19" s="3270">
        <v>13.2</v>
      </c>
      <c r="O19" s="3274"/>
      <c r="P19" s="3274"/>
      <c r="Q19" s="3274"/>
      <c r="R19" s="3274"/>
      <c r="S19" s="3270"/>
      <c r="T19" s="3270"/>
      <c r="U19" s="3274"/>
      <c r="V19" s="3272"/>
    </row>
    <row r="20" spans="8:28">
      <c r="H20" s="3722">
        <v>7</v>
      </c>
      <c r="I20" s="3247">
        <v>-1</v>
      </c>
      <c r="J20" s="3247">
        <f>房源表及成交价!N10</f>
        <v>253.4</v>
      </c>
      <c r="K20" s="3273"/>
      <c r="L20" s="3246">
        <v>3.42</v>
      </c>
      <c r="M20" s="3246">
        <v>18.100000000000001</v>
      </c>
      <c r="N20" s="3246">
        <v>13.73</v>
      </c>
      <c r="O20" s="3273"/>
      <c r="P20" s="3273"/>
      <c r="Q20" s="3273"/>
      <c r="R20" s="3273"/>
      <c r="S20" s="3246"/>
      <c r="T20" s="1429" t="s">
        <v>3728</v>
      </c>
      <c r="U20" s="3273"/>
      <c r="V20" s="3245"/>
    </row>
    <row r="21" spans="8:28">
      <c r="H21" s="3722"/>
      <c r="I21" s="3247" t="s">
        <v>3391</v>
      </c>
      <c r="J21" s="3247">
        <f>房源表及成交价!I10+J22</f>
        <v>194.07</v>
      </c>
      <c r="K21" s="3273"/>
      <c r="L21" s="1429" t="s">
        <v>3719</v>
      </c>
      <c r="M21" s="3246">
        <f>3.7+7.6</f>
        <v>11.3</v>
      </c>
      <c r="N21" s="3246">
        <v>13.7</v>
      </c>
      <c r="O21" s="3273"/>
      <c r="P21" s="3273"/>
      <c r="Q21" s="3273"/>
      <c r="R21" s="3273"/>
      <c r="S21" s="3246"/>
      <c r="T21" s="3246"/>
      <c r="U21" s="3273"/>
      <c r="V21" s="3245"/>
    </row>
    <row r="22" spans="8:28" hidden="1">
      <c r="H22" s="3722"/>
      <c r="I22" s="3247">
        <v>2</v>
      </c>
      <c r="J22" s="3247">
        <f>房源表及成交价!J10</f>
        <v>70.760000000000005</v>
      </c>
      <c r="K22" s="3273"/>
      <c r="L22" s="3246">
        <v>3.22</v>
      </c>
      <c r="M22" s="3246">
        <f>3.7+7.48</f>
        <v>11.18</v>
      </c>
      <c r="N22" s="3246">
        <f>9.8+2.4</f>
        <v>12.200000000000001</v>
      </c>
      <c r="O22" s="3273"/>
      <c r="P22" s="3273"/>
      <c r="Q22" s="3273"/>
      <c r="R22" s="3273"/>
      <c r="S22" s="3246"/>
      <c r="T22" s="3246"/>
      <c r="U22" s="3273"/>
      <c r="V22" s="3245"/>
    </row>
    <row r="23" spans="8:28">
      <c r="H23" s="3723">
        <v>88</v>
      </c>
      <c r="I23" s="3269">
        <v>-1</v>
      </c>
      <c r="J23" s="3269">
        <f>房源表及成交价!N4</f>
        <v>205.8</v>
      </c>
      <c r="K23" s="3274">
        <v>0.9</v>
      </c>
      <c r="L23" s="3270">
        <v>3.35</v>
      </c>
      <c r="M23" s="3270">
        <v>14.4</v>
      </c>
      <c r="N23" s="3270">
        <v>13.73</v>
      </c>
      <c r="O23" s="3274">
        <v>0.8</v>
      </c>
      <c r="P23" s="3274">
        <v>0.7</v>
      </c>
      <c r="Q23" s="3274"/>
      <c r="R23" s="3274">
        <v>0.7</v>
      </c>
      <c r="S23" s="3270"/>
      <c r="T23" s="3271" t="s">
        <v>3728</v>
      </c>
      <c r="U23" s="3274">
        <v>0.8</v>
      </c>
      <c r="V23" s="3272">
        <f>K23*O23*P23*R23*U23</f>
        <v>0.28223999999999999</v>
      </c>
      <c r="W23">
        <f>(V23*J23+V24*J24)/(J23+J24)</f>
        <v>0.63059242253732462</v>
      </c>
      <c r="X23">
        <f>房源表及成交价!R4/房源表及成交价!O4*10000</f>
        <v>28132.217970840524</v>
      </c>
      <c r="Y23">
        <f>X23/W23</f>
        <v>44612.362859744615</v>
      </c>
      <c r="Z23">
        <f>Y23*V23</f>
        <v>12591.39329353432</v>
      </c>
      <c r="AA23">
        <f ca="1">'成本法 (元)-地上'!B3</f>
        <v>21764</v>
      </c>
      <c r="AB23">
        <f ca="1">(Z23-AA23)*J23</f>
        <v>-1887722.460190637</v>
      </c>
    </row>
    <row r="24" spans="8:28">
      <c r="H24" s="3723"/>
      <c r="I24" s="3269" t="s">
        <v>3391</v>
      </c>
      <c r="J24" s="3269">
        <f>房源表及成交价!I4+J25</f>
        <v>194.07</v>
      </c>
      <c r="K24" s="3274">
        <v>1</v>
      </c>
      <c r="L24" s="3271" t="s">
        <v>3720</v>
      </c>
      <c r="M24" s="3270">
        <f>3.7+7.6</f>
        <v>11.3</v>
      </c>
      <c r="N24" s="3270">
        <v>13.7</v>
      </c>
      <c r="O24" s="3274">
        <v>1</v>
      </c>
      <c r="P24" s="3274">
        <v>1</v>
      </c>
      <c r="Q24" s="3274"/>
      <c r="R24" s="3274">
        <v>1</v>
      </c>
      <c r="S24" s="3270"/>
      <c r="T24" s="3270"/>
      <c r="U24" s="3274">
        <v>1</v>
      </c>
      <c r="V24" s="3272">
        <v>1</v>
      </c>
      <c r="Y24">
        <f>Y23*J24</f>
        <v>8657921.2601906378</v>
      </c>
      <c r="Z24">
        <f>Z23*J23</f>
        <v>2591308.7398093631</v>
      </c>
    </row>
    <row r="25" spans="8:28" hidden="1">
      <c r="H25" s="3723"/>
      <c r="I25" s="3269">
        <v>2</v>
      </c>
      <c r="J25" s="3269">
        <f>房源表及成交价!J4</f>
        <v>70.760000000000005</v>
      </c>
      <c r="K25" s="3274">
        <f>ROUND(L25/3.77,2)</f>
        <v>0.86</v>
      </c>
      <c r="L25" s="3270">
        <v>3.23</v>
      </c>
      <c r="M25" s="3270">
        <f>3.7+7.48</f>
        <v>11.18</v>
      </c>
      <c r="N25" s="3270">
        <f>9.8+2.4</f>
        <v>12.200000000000001</v>
      </c>
      <c r="O25" s="3274">
        <v>1.05</v>
      </c>
      <c r="P25" s="3274">
        <v>1</v>
      </c>
      <c r="Q25" s="3274"/>
      <c r="R25" s="3274">
        <v>1</v>
      </c>
      <c r="S25" s="3270"/>
      <c r="T25" s="3270"/>
      <c r="U25" s="3274">
        <v>1.2</v>
      </c>
      <c r="V25" s="3272">
        <f t="shared" ref="V25" si="0">K25+O25+P25+R25+U25</f>
        <v>5.1100000000000003</v>
      </c>
      <c r="W25">
        <f t="shared" ref="W25" si="1">V25*J25</f>
        <v>361.58360000000005</v>
      </c>
    </row>
    <row r="26" spans="8:28">
      <c r="H26" s="3722">
        <v>117</v>
      </c>
      <c r="I26" s="3247">
        <v>-1</v>
      </c>
      <c r="J26" s="3247">
        <f>房源表及成交价!N7</f>
        <v>236</v>
      </c>
      <c r="K26" s="3273"/>
      <c r="L26" s="3246">
        <v>3.36</v>
      </c>
      <c r="M26" s="3246">
        <v>16.7</v>
      </c>
      <c r="N26" s="3246">
        <v>13.73</v>
      </c>
      <c r="O26" s="3273"/>
      <c r="P26" s="3273"/>
      <c r="Q26" s="3273"/>
      <c r="R26" s="3273"/>
      <c r="S26" s="3246"/>
      <c r="T26" s="1429" t="s">
        <v>3730</v>
      </c>
      <c r="U26" s="3273"/>
      <c r="V26" s="3245"/>
    </row>
    <row r="27" spans="8:28">
      <c r="H27" s="3722"/>
      <c r="I27" s="3247" t="s">
        <v>3391</v>
      </c>
      <c r="J27" s="3247">
        <f>房源表及成交价!I7+J28</f>
        <v>194.07</v>
      </c>
      <c r="K27" s="3273"/>
      <c r="L27" s="1429" t="s">
        <v>3720</v>
      </c>
      <c r="M27" s="3246">
        <f>3.7+7.6</f>
        <v>11.3</v>
      </c>
      <c r="N27" s="3246">
        <v>13.7</v>
      </c>
      <c r="O27" s="3273"/>
      <c r="P27" s="3273"/>
      <c r="Q27" s="3273"/>
      <c r="R27" s="3273"/>
      <c r="S27" s="3246"/>
      <c r="T27" s="3246"/>
      <c r="U27" s="3273"/>
      <c r="V27" s="3245"/>
    </row>
    <row r="28" spans="8:28" hidden="1">
      <c r="H28" s="3722"/>
      <c r="I28" s="3247">
        <v>2</v>
      </c>
      <c r="J28" s="3247">
        <f>房源表及成交价!J7</f>
        <v>70.760000000000005</v>
      </c>
      <c r="K28" s="3273"/>
      <c r="L28" s="3246">
        <v>3.19</v>
      </c>
      <c r="M28" s="3246">
        <f>3.7+7.48</f>
        <v>11.18</v>
      </c>
      <c r="N28" s="3246">
        <f>9.8+2.4</f>
        <v>12.200000000000001</v>
      </c>
      <c r="O28" s="3273"/>
      <c r="P28" s="3273"/>
      <c r="Q28" s="3273"/>
      <c r="R28" s="3273"/>
      <c r="S28" s="3246"/>
      <c r="T28" s="3246"/>
      <c r="U28" s="3273"/>
      <c r="V28" s="3245"/>
    </row>
    <row r="29" spans="8:28">
      <c r="H29" s="3723">
        <v>85</v>
      </c>
      <c r="I29" s="3269">
        <v>-1</v>
      </c>
      <c r="J29" s="3269">
        <f>房源表及成交价!N5</f>
        <v>205.8</v>
      </c>
      <c r="K29" s="3274"/>
      <c r="L29" s="3270">
        <v>3.32</v>
      </c>
      <c r="M29" s="3270">
        <v>14.4</v>
      </c>
      <c r="N29" s="3270">
        <v>13.73</v>
      </c>
      <c r="O29" s="3274"/>
      <c r="P29" s="3274"/>
      <c r="Q29" s="3274"/>
      <c r="R29" s="3274"/>
      <c r="S29" s="3270"/>
      <c r="T29" s="3271" t="s">
        <v>3728</v>
      </c>
      <c r="U29" s="3274"/>
      <c r="V29" s="3272"/>
    </row>
    <row r="30" spans="8:28">
      <c r="H30" s="3723"/>
      <c r="I30" s="3269" t="s">
        <v>3391</v>
      </c>
      <c r="J30" s="3269">
        <f>房源表及成交价!I5+J31</f>
        <v>194.07</v>
      </c>
      <c r="K30" s="3274"/>
      <c r="L30" s="3270">
        <v>3.77</v>
      </c>
      <c r="M30" s="3270">
        <f>3.7+7.6</f>
        <v>11.3</v>
      </c>
      <c r="N30" s="3270">
        <v>13.7</v>
      </c>
      <c r="O30" s="3274"/>
      <c r="P30" s="3274"/>
      <c r="Q30" s="3274"/>
      <c r="R30" s="3274"/>
      <c r="S30" s="3270"/>
      <c r="T30" s="3270"/>
      <c r="U30" s="3274"/>
      <c r="V30" s="3272"/>
    </row>
    <row r="31" spans="8:28" hidden="1">
      <c r="H31" s="3723"/>
      <c r="I31" s="3269">
        <v>2</v>
      </c>
      <c r="J31" s="3269">
        <f>房源表及成交价!J5</f>
        <v>70.760000000000005</v>
      </c>
      <c r="K31" s="3274"/>
      <c r="L31" s="3270">
        <v>3.21</v>
      </c>
      <c r="M31" s="3270">
        <f>3.7+7.48</f>
        <v>11.18</v>
      </c>
      <c r="N31" s="3270">
        <f>9.8+2.4</f>
        <v>12.200000000000001</v>
      </c>
      <c r="O31" s="3274"/>
      <c r="P31" s="3274"/>
      <c r="Q31" s="3274"/>
      <c r="R31" s="3274"/>
      <c r="S31" s="3270"/>
      <c r="T31" s="3270"/>
      <c r="U31" s="3274"/>
      <c r="V31" s="3272"/>
    </row>
    <row r="32" spans="8:28">
      <c r="H32" s="3721">
        <v>14</v>
      </c>
      <c r="I32" s="3247">
        <v>-1</v>
      </c>
      <c r="J32" s="3247">
        <f>房源表及成交价!N13</f>
        <v>255.11</v>
      </c>
      <c r="K32" s="3273"/>
      <c r="L32" s="3246">
        <v>3.38</v>
      </c>
      <c r="M32" s="3246">
        <v>18.12</v>
      </c>
      <c r="N32" s="3246">
        <v>13.73</v>
      </c>
      <c r="O32" s="3273"/>
      <c r="P32" s="3273"/>
      <c r="Q32" s="3273"/>
      <c r="R32" s="3273"/>
      <c r="S32" s="3246"/>
      <c r="T32" s="1429" t="s">
        <v>3728</v>
      </c>
      <c r="U32" s="3273"/>
      <c r="V32" s="3245"/>
    </row>
    <row r="33" spans="1:22">
      <c r="H33" s="3721"/>
      <c r="I33" s="3247" t="s">
        <v>3391</v>
      </c>
      <c r="J33" s="3247">
        <f>房源表及成交价!I13+J34</f>
        <v>194.07</v>
      </c>
      <c r="K33" s="3273"/>
      <c r="L33" s="1429" t="s">
        <v>3724</v>
      </c>
      <c r="M33" s="3246">
        <f>3.7+7.6</f>
        <v>11.3</v>
      </c>
      <c r="N33" s="3246">
        <v>13.7</v>
      </c>
      <c r="O33" s="3273"/>
      <c r="P33" s="3273"/>
      <c r="Q33" s="3273"/>
      <c r="R33" s="3273"/>
      <c r="S33" s="3246"/>
      <c r="T33" s="3246"/>
      <c r="U33" s="3273"/>
      <c r="V33" s="3245"/>
    </row>
    <row r="34" spans="1:22" hidden="1">
      <c r="H34" s="3721"/>
      <c r="I34" s="3247">
        <v>2</v>
      </c>
      <c r="J34" s="3247">
        <f>房源表及成交价!J13</f>
        <v>70.760000000000005</v>
      </c>
      <c r="K34" s="3273"/>
      <c r="L34" s="3246">
        <v>3.21</v>
      </c>
      <c r="M34" s="3246">
        <f>3.7+7.48</f>
        <v>11.18</v>
      </c>
      <c r="N34" s="3246">
        <f>9.8+2.4</f>
        <v>12.200000000000001</v>
      </c>
      <c r="O34" s="3273"/>
      <c r="P34" s="3273"/>
      <c r="Q34" s="3273"/>
      <c r="R34" s="3273"/>
      <c r="S34" s="3246"/>
      <c r="T34" s="3246"/>
      <c r="U34" s="3273"/>
      <c r="V34" s="3245"/>
    </row>
    <row r="35" spans="1:22">
      <c r="H35" s="3723">
        <v>86</v>
      </c>
      <c r="I35" s="3269">
        <v>-1</v>
      </c>
      <c r="J35" s="3269">
        <f>房源表及成交价!N6</f>
        <v>205.8</v>
      </c>
      <c r="K35" s="3274"/>
      <c r="L35" s="3270">
        <v>2.97</v>
      </c>
      <c r="M35" s="3270">
        <v>14.4</v>
      </c>
      <c r="N35" s="3270">
        <v>13.73</v>
      </c>
      <c r="O35" s="3274"/>
      <c r="P35" s="3274"/>
      <c r="Q35" s="3274"/>
      <c r="R35" s="3274"/>
      <c r="S35" s="3270"/>
      <c r="T35" s="3271" t="s">
        <v>3728</v>
      </c>
      <c r="U35" s="3274"/>
      <c r="V35" s="3272"/>
    </row>
    <row r="36" spans="1:22">
      <c r="H36" s="3723"/>
      <c r="I36" s="3269" t="s">
        <v>3391</v>
      </c>
      <c r="J36" s="3269">
        <f>房源表及成交价!I6+J37</f>
        <v>194.07</v>
      </c>
      <c r="K36" s="3274"/>
      <c r="L36" s="3270">
        <v>3.24</v>
      </c>
      <c r="M36" s="3270">
        <f>3.7+7.6</f>
        <v>11.3</v>
      </c>
      <c r="N36" s="3270">
        <f>13.7</f>
        <v>13.7</v>
      </c>
      <c r="O36" s="3274"/>
      <c r="P36" s="3274"/>
      <c r="Q36" s="3274"/>
      <c r="R36" s="3274"/>
      <c r="S36" s="3270"/>
      <c r="T36" s="3270"/>
      <c r="U36" s="3274"/>
      <c r="V36" s="3272"/>
    </row>
    <row r="37" spans="1:22" hidden="1">
      <c r="H37" s="3723"/>
      <c r="I37" s="3269">
        <v>2</v>
      </c>
      <c r="J37" s="3269">
        <f>房源表及成交价!J6</f>
        <v>70.760000000000005</v>
      </c>
      <c r="K37" s="3274"/>
      <c r="L37" s="3270">
        <v>2.72</v>
      </c>
      <c r="M37" s="3270">
        <f>3.7+7.48</f>
        <v>11.18</v>
      </c>
      <c r="N37" s="3270">
        <f>9.8+2.4</f>
        <v>12.200000000000001</v>
      </c>
      <c r="O37" s="3274"/>
      <c r="P37" s="3274"/>
      <c r="Q37" s="3274"/>
      <c r="R37" s="3274"/>
      <c r="S37" s="3270"/>
      <c r="T37" s="3270"/>
      <c r="U37" s="3274"/>
      <c r="V37" s="3272"/>
    </row>
    <row r="38" spans="1:22">
      <c r="H38" s="3722">
        <v>80</v>
      </c>
      <c r="I38" s="3247">
        <v>-1</v>
      </c>
      <c r="J38" s="3247">
        <f>房源表及成交价!N2</f>
        <v>203</v>
      </c>
      <c r="K38" s="3273"/>
      <c r="L38" s="3246">
        <v>3.33</v>
      </c>
      <c r="M38" s="3246">
        <v>14.2</v>
      </c>
      <c r="N38" s="3246">
        <v>13.73</v>
      </c>
      <c r="O38" s="3273"/>
      <c r="P38" s="3273"/>
      <c r="Q38" s="3273"/>
      <c r="R38" s="3273"/>
      <c r="S38" s="3246"/>
      <c r="T38" s="1429" t="s">
        <v>3728</v>
      </c>
      <c r="U38" s="3273"/>
      <c r="V38" s="3245"/>
    </row>
    <row r="39" spans="1:22">
      <c r="H39" s="3722"/>
      <c r="I39" s="3247" t="s">
        <v>3391</v>
      </c>
      <c r="J39" s="3247">
        <f>房源表及成交价!I2+J40</f>
        <v>194.07</v>
      </c>
      <c r="K39" s="3273"/>
      <c r="L39" s="1429" t="s">
        <v>3725</v>
      </c>
      <c r="M39" s="3246">
        <f>3.7+7.6</f>
        <v>11.3</v>
      </c>
      <c r="N39" s="3246">
        <v>13.7</v>
      </c>
      <c r="O39" s="3273"/>
      <c r="P39" s="3273"/>
      <c r="Q39" s="3273"/>
      <c r="R39" s="3273"/>
      <c r="S39" s="3246"/>
      <c r="T39" s="3246"/>
      <c r="U39" s="3273"/>
      <c r="V39" s="3245"/>
    </row>
    <row r="40" spans="1:22" hidden="1">
      <c r="H40" s="3722"/>
      <c r="I40" s="3247">
        <v>2</v>
      </c>
      <c r="J40" s="3247">
        <f>房源表及成交价!J2</f>
        <v>70.760000000000005</v>
      </c>
      <c r="K40" s="3273"/>
      <c r="L40" s="3246">
        <v>3.19</v>
      </c>
      <c r="M40" s="3246">
        <f>3.7+7.48</f>
        <v>11.18</v>
      </c>
      <c r="N40" s="3246">
        <f>9.8+2.4</f>
        <v>12.200000000000001</v>
      </c>
      <c r="O40" s="3273"/>
      <c r="P40" s="3273"/>
      <c r="Q40" s="3273"/>
      <c r="R40" s="3273"/>
      <c r="S40" s="3246"/>
      <c r="T40" s="3246"/>
      <c r="U40" s="3273"/>
      <c r="V40" s="3245"/>
    </row>
    <row r="41" spans="1:22">
      <c r="A41">
        <f ca="1">C41-B41</f>
        <v>-4869</v>
      </c>
      <c r="B41">
        <f ca="1">'成本法 (元)-地上'!B3</f>
        <v>21764</v>
      </c>
      <c r="C41">
        <f>ROUND($F$41/$D$44/$E$44*E41*10000,0)</f>
        <v>16895</v>
      </c>
      <c r="D41">
        <f>房源表及成交价!N11</f>
        <v>253.4</v>
      </c>
      <c r="E41" s="1405">
        <v>0.3</v>
      </c>
      <c r="F41">
        <v>1521.02</v>
      </c>
      <c r="H41" s="3723">
        <v>10</v>
      </c>
      <c r="I41" s="3269">
        <v>-1</v>
      </c>
      <c r="J41" s="3269">
        <f>房源表及成交价!N11</f>
        <v>253.4</v>
      </c>
      <c r="K41" s="3274"/>
      <c r="L41" s="3270">
        <v>3.36</v>
      </c>
      <c r="M41" s="3270">
        <v>18.100000000000001</v>
      </c>
      <c r="N41" s="3270">
        <v>13.73</v>
      </c>
      <c r="O41" s="3274"/>
      <c r="P41" s="3274"/>
      <c r="Q41" s="3274"/>
      <c r="R41" s="3274"/>
      <c r="S41" s="3270"/>
      <c r="T41" s="3271" t="s">
        <v>3728</v>
      </c>
      <c r="U41" s="3274"/>
      <c r="V41" s="3272"/>
    </row>
    <row r="42" spans="1:22">
      <c r="A42">
        <f ca="1">A41*D41</f>
        <v>-1233804.6000000001</v>
      </c>
      <c r="C42">
        <f>ROUND($F$41/$D$44/$E$44*E42*10000,0)</f>
        <v>56315</v>
      </c>
      <c r="D42">
        <f>房源表及成交价!L11</f>
        <v>194.07</v>
      </c>
      <c r="E42">
        <v>1</v>
      </c>
      <c r="H42" s="3723"/>
      <c r="I42" s="3269" t="s">
        <v>3391</v>
      </c>
      <c r="J42" s="3269">
        <f>房源表及成交价!I11+J43</f>
        <v>194.07</v>
      </c>
      <c r="K42" s="3274"/>
      <c r="L42" s="3271" t="s">
        <v>3726</v>
      </c>
      <c r="M42" s="3270">
        <f>3.7+7.6</f>
        <v>11.3</v>
      </c>
      <c r="N42" s="3270">
        <f>13.7</f>
        <v>13.7</v>
      </c>
      <c r="O42" s="3274"/>
      <c r="P42" s="3274"/>
      <c r="Q42" s="3274"/>
      <c r="R42" s="3274"/>
      <c r="S42" s="3270"/>
      <c r="T42" s="3270"/>
      <c r="U42" s="3274"/>
      <c r="V42" s="3272"/>
    </row>
    <row r="43" spans="1:22" hidden="1">
      <c r="E43" s="1405"/>
      <c r="H43" s="3723"/>
      <c r="I43" s="3269">
        <v>2</v>
      </c>
      <c r="J43" s="3269">
        <f>房源表及成交价!J11</f>
        <v>70.760000000000005</v>
      </c>
      <c r="K43" s="3274"/>
      <c r="L43" s="3270">
        <v>3.22</v>
      </c>
      <c r="M43" s="3270">
        <f>3.7+7.48</f>
        <v>11.18</v>
      </c>
      <c r="N43" s="3270">
        <f>9.8+2.4</f>
        <v>12.200000000000001</v>
      </c>
      <c r="O43" s="3274"/>
      <c r="P43" s="3274"/>
      <c r="Q43" s="3274"/>
      <c r="R43" s="3274"/>
      <c r="S43" s="3270"/>
      <c r="T43" s="3270"/>
      <c r="U43" s="3274"/>
      <c r="V43" s="3272"/>
    </row>
    <row r="44" spans="1:22">
      <c r="B44">
        <f>C41/C44</f>
        <v>4970.3525594666735</v>
      </c>
      <c r="C44" s="3268">
        <f>F41/D44</f>
        <v>3.3991552506313272</v>
      </c>
      <c r="D44" s="3159">
        <f>SUM(D41:D43)</f>
        <v>447.47</v>
      </c>
      <c r="E44">
        <f>(D41*E41+D42*E42)/D44</f>
        <v>0.60359353699689355</v>
      </c>
      <c r="H44" s="3725">
        <v>8</v>
      </c>
      <c r="I44" s="3247">
        <v>-1</v>
      </c>
      <c r="J44" s="3247">
        <f>房源表及成交价!N12</f>
        <v>253.4</v>
      </c>
      <c r="K44" s="3273">
        <v>3.3</v>
      </c>
      <c r="L44" s="3246">
        <v>3.36</v>
      </c>
      <c r="M44" s="3246">
        <v>18.100000000000001</v>
      </c>
      <c r="N44" s="3246">
        <v>13.73</v>
      </c>
      <c r="O44" s="3273"/>
      <c r="P44" s="3273"/>
      <c r="Q44" s="3273"/>
      <c r="R44" s="3273"/>
      <c r="S44" s="3246"/>
      <c r="T44" s="1429" t="s">
        <v>3729</v>
      </c>
      <c r="U44" s="3273"/>
      <c r="V44" s="3245"/>
    </row>
    <row r="45" spans="1:22">
      <c r="C45">
        <f>C41*D41</f>
        <v>4281193</v>
      </c>
      <c r="H45" s="3725"/>
      <c r="I45" s="3247" t="s">
        <v>3391</v>
      </c>
      <c r="J45" s="3247">
        <f>房源表及成交价!I12+J46</f>
        <v>194.07</v>
      </c>
      <c r="K45" s="3273">
        <v>3.9</v>
      </c>
      <c r="L45" s="3246">
        <v>3.58</v>
      </c>
      <c r="M45" s="3246">
        <f>7.6+3.7</f>
        <v>11.3</v>
      </c>
      <c r="N45" s="3246">
        <v>13.7</v>
      </c>
      <c r="O45" s="3273"/>
      <c r="P45" s="3273"/>
      <c r="Q45" s="3273"/>
      <c r="R45" s="3273"/>
      <c r="S45" s="3246"/>
      <c r="T45" s="3246"/>
      <c r="U45" s="3273"/>
      <c r="V45" s="3245"/>
    </row>
    <row r="46" spans="1:22" hidden="1">
      <c r="C46">
        <f t="shared" ref="C46:C47" si="2">C42*D42</f>
        <v>10929052.049999999</v>
      </c>
      <c r="H46" s="3725"/>
      <c r="I46" s="3247">
        <v>2</v>
      </c>
      <c r="J46" s="3247">
        <f>房源表及成交价!J12</f>
        <v>70.760000000000005</v>
      </c>
      <c r="K46" s="3273">
        <v>3.3</v>
      </c>
      <c r="L46" s="3246">
        <v>3.21</v>
      </c>
      <c r="M46" s="3246">
        <f>8.85+2.45</f>
        <v>11.3</v>
      </c>
      <c r="N46" s="3246">
        <f>2.4+9.8</f>
        <v>12.200000000000001</v>
      </c>
      <c r="O46" s="3273"/>
      <c r="P46" s="3273"/>
      <c r="Q46" s="3273"/>
      <c r="R46" s="3273"/>
      <c r="S46" s="3246"/>
      <c r="T46" s="3246"/>
      <c r="U46" s="3273"/>
      <c r="V46" s="3245"/>
    </row>
    <row r="47" spans="1:22">
      <c r="C47">
        <f t="shared" si="2"/>
        <v>0</v>
      </c>
      <c r="H47" s="3724">
        <v>48</v>
      </c>
      <c r="I47" s="3269">
        <v>-1</v>
      </c>
      <c r="J47" s="3269">
        <f>房源表及成交价!N16</f>
        <v>353.1</v>
      </c>
      <c r="K47" s="3274">
        <v>3.3</v>
      </c>
      <c r="L47" s="3270">
        <v>3.43</v>
      </c>
      <c r="M47" s="3271">
        <f>19.7+7.04</f>
        <v>26.74</v>
      </c>
      <c r="N47" s="3270">
        <f>5.5+8.67+0.67</f>
        <v>14.84</v>
      </c>
      <c r="O47" s="3274"/>
      <c r="P47" s="3274"/>
      <c r="Q47" s="3274"/>
      <c r="R47" s="3274"/>
      <c r="S47" s="3270"/>
      <c r="T47" s="3271" t="s">
        <v>3729</v>
      </c>
      <c r="U47" s="3274"/>
      <c r="V47" s="3272"/>
    </row>
    <row r="48" spans="1:22">
      <c r="H48" s="3724"/>
      <c r="I48" s="3269" t="s">
        <v>3391</v>
      </c>
      <c r="J48" s="3269">
        <f>房源表及成交价!I16+J49</f>
        <v>334.24</v>
      </c>
      <c r="K48" s="3274">
        <v>4.2</v>
      </c>
      <c r="L48" s="3271" t="s">
        <v>3727</v>
      </c>
      <c r="M48" s="3270">
        <f>4.3+4.2+7.9</f>
        <v>16.399999999999999</v>
      </c>
      <c r="N48" s="3270">
        <v>13.2</v>
      </c>
      <c r="O48" s="3274"/>
      <c r="P48" s="3274"/>
      <c r="Q48" s="3274"/>
      <c r="R48" s="3274"/>
      <c r="S48" s="3270"/>
      <c r="T48" s="3270"/>
      <c r="U48" s="3274"/>
      <c r="V48" s="3272"/>
    </row>
    <row r="49" spans="8:30" hidden="1">
      <c r="H49" s="3724"/>
      <c r="I49" s="3269">
        <v>2</v>
      </c>
      <c r="J49" s="3269">
        <f>房源表及成交价!J16</f>
        <v>134.57</v>
      </c>
      <c r="K49" s="3274">
        <v>3.4</v>
      </c>
      <c r="L49" s="3270">
        <v>3.12</v>
      </c>
      <c r="M49" s="3270">
        <f>4.3+4.2+7.9</f>
        <v>16.399999999999999</v>
      </c>
      <c r="N49" s="3270">
        <v>13.2</v>
      </c>
      <c r="O49" s="3274"/>
      <c r="P49" s="3274"/>
      <c r="Q49" s="3274"/>
      <c r="R49" s="3274"/>
      <c r="S49" s="3270"/>
      <c r="T49" s="3270"/>
      <c r="U49" s="3274"/>
      <c r="V49" s="3272"/>
    </row>
    <row r="53" spans="8:30">
      <c r="X53" s="1405" t="s">
        <v>3387</v>
      </c>
      <c r="Y53" s="1405" t="s">
        <v>3737</v>
      </c>
      <c r="Z53" s="1405" t="s">
        <v>3738</v>
      </c>
      <c r="AA53" s="1405" t="s">
        <v>3739</v>
      </c>
      <c r="AB53" s="1405" t="s">
        <v>3740</v>
      </c>
      <c r="AC53" s="1405" t="s">
        <v>3741</v>
      </c>
      <c r="AD53" s="1405" t="s">
        <v>3742</v>
      </c>
    </row>
    <row r="54" spans="8:30">
      <c r="X54">
        <v>1</v>
      </c>
      <c r="Y54">
        <v>100</v>
      </c>
      <c r="Z54">
        <f>Y54-$X$54</f>
        <v>99</v>
      </c>
      <c r="AA54">
        <f t="shared" ref="AA54:AD54" si="3">Z54-$X$54</f>
        <v>98</v>
      </c>
      <c r="AB54">
        <f t="shared" si="3"/>
        <v>97</v>
      </c>
      <c r="AC54">
        <f t="shared" si="3"/>
        <v>96</v>
      </c>
      <c r="AD54">
        <f t="shared" si="3"/>
        <v>95</v>
      </c>
    </row>
    <row r="55" spans="8:30">
      <c r="X55" s="1405" t="s">
        <v>3480</v>
      </c>
      <c r="Y55" s="1405" t="s">
        <v>3743</v>
      </c>
      <c r="Z55" s="1405" t="s">
        <v>3744</v>
      </c>
      <c r="AA55" s="1405" t="s">
        <v>3745</v>
      </c>
      <c r="AB55" s="1405" t="s">
        <v>3746</v>
      </c>
      <c r="AC55" s="1405" t="s">
        <v>3747</v>
      </c>
    </row>
  </sheetData>
  <mergeCells count="16">
    <mergeCell ref="H35:H37"/>
    <mergeCell ref="H38:H40"/>
    <mergeCell ref="H41:H43"/>
    <mergeCell ref="H44:H46"/>
    <mergeCell ref="H47:H49"/>
    <mergeCell ref="H32:H34"/>
    <mergeCell ref="H2:H4"/>
    <mergeCell ref="H5:H7"/>
    <mergeCell ref="H8:H10"/>
    <mergeCell ref="H11:H13"/>
    <mergeCell ref="H14:H16"/>
    <mergeCell ref="H17:H19"/>
    <mergeCell ref="H20:H22"/>
    <mergeCell ref="H23:H25"/>
    <mergeCell ref="H26:H28"/>
    <mergeCell ref="H29:H31"/>
  </mergeCells>
  <phoneticPr fontId="136" type="noConversion"/>
  <pageMargins left="0.70866141732283472" right="0.70866141732283472" top="0.74803149606299213" bottom="0.74803149606299213" header="0.31496062992125984" footer="0.31496062992125984"/>
  <pageSetup paperSize="9" scale="70" fitToHeight="0" orientation="landscape" r:id="rId1"/>
  <rowBreaks count="2" manualBreakCount="2">
    <brk id="10" min="7" max="19" man="1"/>
    <brk id="22" min="7" max="19" man="1"/>
  </row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BS849"/>
  <sheetViews>
    <sheetView zoomScaleNormal="100" workbookViewId="0">
      <pane xSplit="4" ySplit="1" topLeftCell="E2" activePane="bottomRight" state="frozen"/>
      <selection activeCell="P45" sqref="P45"/>
      <selection pane="topRight" activeCell="P45" sqref="P45"/>
      <selection pane="bottomLeft" activeCell="P45" sqref="P45"/>
      <selection pane="bottomRight" activeCell="N8" sqref="D8:N12"/>
    </sheetView>
  </sheetViews>
  <sheetFormatPr defaultColWidth="9" defaultRowHeight="13.5"/>
  <cols>
    <col min="1" max="1" width="4.875" style="3213" customWidth="1"/>
    <col min="2" max="2" width="6.5" style="3213" customWidth="1"/>
    <col min="3" max="3" width="23.625" style="3213" bestFit="1" customWidth="1"/>
    <col min="4" max="4" width="10.875" style="3213" customWidth="1"/>
    <col min="5" max="5" width="11.875" style="3213" customWidth="1"/>
    <col min="6" max="6" width="15" style="3213" bestFit="1" customWidth="1"/>
    <col min="7" max="7" width="9.375" style="3225" customWidth="1"/>
    <col min="8" max="8" width="13.25" style="3233" customWidth="1"/>
    <col min="9" max="10" width="12.5" style="3213" bestFit="1" customWidth="1"/>
    <col min="11" max="11" width="12.125" style="3213" hidden="1" customWidth="1"/>
    <col min="12" max="12" width="11.5" style="3234" customWidth="1"/>
    <col min="13" max="13" width="11.875" style="3234" bestFit="1" customWidth="1"/>
    <col min="14" max="14" width="16.625" style="3213" bestFit="1" customWidth="1"/>
    <col min="15" max="15" width="16.625" style="3235" customWidth="1"/>
    <col min="16" max="16" width="11.625" style="3235" bestFit="1" customWidth="1"/>
    <col min="17" max="17" width="11.625" style="3213" bestFit="1" customWidth="1"/>
    <col min="18" max="18" width="13.5" style="3226" bestFit="1" customWidth="1"/>
    <col min="19" max="19" width="10.5" style="3227" bestFit="1" customWidth="1"/>
    <col min="20" max="20" width="0" style="3213" hidden="1" customWidth="1"/>
    <col min="21" max="21" width="0" style="3228" hidden="1" customWidth="1"/>
    <col min="22" max="22" width="11.75" style="3213" customWidth="1"/>
    <col min="23" max="23" width="0" style="3213" hidden="1" customWidth="1"/>
    <col min="24" max="16384" width="9" style="3213"/>
  </cols>
  <sheetData>
    <row r="1" spans="1:26">
      <c r="A1" s="3207" t="s">
        <v>3442</v>
      </c>
      <c r="B1" s="3207" t="s">
        <v>3443</v>
      </c>
      <c r="C1" s="3207" t="s">
        <v>3444</v>
      </c>
      <c r="D1" s="3207" t="s">
        <v>3445</v>
      </c>
      <c r="E1" s="3207" t="s">
        <v>3446</v>
      </c>
      <c r="F1" s="3207" t="s">
        <v>3447</v>
      </c>
      <c r="G1" s="3208" t="s">
        <v>3416</v>
      </c>
      <c r="H1" s="3207" t="s">
        <v>3448</v>
      </c>
      <c r="I1" s="3207" t="s">
        <v>3449</v>
      </c>
      <c r="J1" s="3207" t="s">
        <v>3450</v>
      </c>
      <c r="K1" s="3207" t="s">
        <v>3451</v>
      </c>
      <c r="L1" s="3207" t="s">
        <v>3452</v>
      </c>
      <c r="M1" s="3207" t="s">
        <v>3508</v>
      </c>
      <c r="N1" s="3207" t="s">
        <v>3453</v>
      </c>
      <c r="O1" s="3207" t="s">
        <v>3454</v>
      </c>
      <c r="P1" s="3209" t="s">
        <v>3455</v>
      </c>
      <c r="Q1" s="3207" t="s">
        <v>3456</v>
      </c>
      <c r="R1" s="3210" t="s">
        <v>3457</v>
      </c>
      <c r="S1" s="3211" t="s">
        <v>3458</v>
      </c>
      <c r="T1" s="3207" t="s">
        <v>3459</v>
      </c>
      <c r="U1" s="3212" t="s">
        <v>3460</v>
      </c>
      <c r="V1" s="3213" t="s">
        <v>3882</v>
      </c>
      <c r="X1" s="3213" t="s">
        <v>3907</v>
      </c>
    </row>
    <row r="2" spans="1:26" s="3243" customFormat="1">
      <c r="A2" s="3208">
        <v>1</v>
      </c>
      <c r="B2" s="3208" t="s">
        <v>3461</v>
      </c>
      <c r="C2" s="3208" t="s">
        <v>3462</v>
      </c>
      <c r="D2" s="3221">
        <v>80</v>
      </c>
      <c r="E2" s="3222">
        <v>101</v>
      </c>
      <c r="F2" s="3208">
        <v>39</v>
      </c>
      <c r="G2" s="3208">
        <v>122.87</v>
      </c>
      <c r="H2" s="3208">
        <v>97.58</v>
      </c>
      <c r="I2" s="3208">
        <v>123.31</v>
      </c>
      <c r="J2" s="3208">
        <v>70.760000000000005</v>
      </c>
      <c r="K2" s="3208"/>
      <c r="L2" s="3208">
        <f t="shared" ref="L2:L17" si="0">I2+J2</f>
        <v>194.07</v>
      </c>
      <c r="M2" s="3208">
        <f t="shared" ref="M2:M17" si="1">ROUND(L2/H2,2)</f>
        <v>1.99</v>
      </c>
      <c r="N2" s="3208">
        <v>203</v>
      </c>
      <c r="O2" s="3208">
        <f>I2+J2+N2+K2</f>
        <v>397.07</v>
      </c>
      <c r="P2" s="3237">
        <v>44578</v>
      </c>
      <c r="Q2" s="3238">
        <v>45174</v>
      </c>
      <c r="R2" s="3239">
        <v>1067.2199000000001</v>
      </c>
      <c r="S2" s="3223">
        <f t="shared" ref="S2:S17" si="2">R2/O2*10000</f>
        <v>26877.374266502131</v>
      </c>
      <c r="T2" s="3349" t="s">
        <v>3463</v>
      </c>
      <c r="U2" s="3212"/>
      <c r="V2" s="3257">
        <f t="shared" ref="V2:V17" si="3">H2/O2</f>
        <v>0.24575011962626236</v>
      </c>
      <c r="W2" s="3208">
        <f t="shared" ref="W2:W17" si="4">ROUND(L2/H2,1)</f>
        <v>2</v>
      </c>
      <c r="X2" s="3243">
        <f>VLOOKUP(D2,房源修正表!D:AK,31,0)/10000</f>
        <v>1.02E-4</v>
      </c>
    </row>
    <row r="3" spans="1:26">
      <c r="A3" s="3208">
        <v>2</v>
      </c>
      <c r="B3" s="3208" t="s">
        <v>3461</v>
      </c>
      <c r="C3" s="3208" t="s">
        <v>3462</v>
      </c>
      <c r="D3" s="3221">
        <v>87</v>
      </c>
      <c r="E3" s="3222">
        <v>101</v>
      </c>
      <c r="F3" s="3222">
        <v>32</v>
      </c>
      <c r="G3" s="3208">
        <v>122.87</v>
      </c>
      <c r="H3" s="3256">
        <v>98.27</v>
      </c>
      <c r="I3" s="3256">
        <v>123.31</v>
      </c>
      <c r="J3" s="3256">
        <v>70.760000000000005</v>
      </c>
      <c r="K3" s="3256"/>
      <c r="L3" s="3256">
        <f t="shared" si="0"/>
        <v>194.07</v>
      </c>
      <c r="M3" s="3256">
        <f t="shared" si="1"/>
        <v>1.97</v>
      </c>
      <c r="N3" s="3256">
        <v>205.8</v>
      </c>
      <c r="O3" s="3208">
        <f>I3+J3+N3</f>
        <v>399.87</v>
      </c>
      <c r="P3" s="3237">
        <v>44526</v>
      </c>
      <c r="Q3" s="3238">
        <v>44783</v>
      </c>
      <c r="R3" s="3239">
        <v>1166.1550999999999</v>
      </c>
      <c r="S3" s="3223">
        <f t="shared" si="2"/>
        <v>29163.355590566931</v>
      </c>
      <c r="T3" s="3349" t="s">
        <v>3463</v>
      </c>
      <c r="U3" s="3212"/>
      <c r="V3" s="3257">
        <f t="shared" si="3"/>
        <v>0.24575487033285817</v>
      </c>
      <c r="W3" s="3208">
        <f t="shared" si="4"/>
        <v>2</v>
      </c>
      <c r="X3" s="3243">
        <f>VLOOKUP(D3,房源修正表!D:AK,31,0)/10000</f>
        <v>1.02E-4</v>
      </c>
      <c r="Y3" s="3243"/>
      <c r="Z3" s="3243"/>
    </row>
    <row r="4" spans="1:26">
      <c r="A4" s="3208">
        <v>3</v>
      </c>
      <c r="B4" s="3208" t="s">
        <v>3461</v>
      </c>
      <c r="C4" s="3208" t="s">
        <v>3462</v>
      </c>
      <c r="D4" s="3221">
        <v>88</v>
      </c>
      <c r="E4" s="3222">
        <v>101</v>
      </c>
      <c r="F4" s="3208">
        <v>31</v>
      </c>
      <c r="G4" s="3208">
        <v>122.87</v>
      </c>
      <c r="H4" s="3332">
        <f>ROUND(O4*$V$2,2)</f>
        <v>98.27</v>
      </c>
      <c r="I4" s="3256">
        <v>123.31</v>
      </c>
      <c r="J4" s="3256">
        <v>70.760000000000005</v>
      </c>
      <c r="K4" s="3256"/>
      <c r="L4" s="3256">
        <f t="shared" si="0"/>
        <v>194.07</v>
      </c>
      <c r="M4" s="3332">
        <f t="shared" si="1"/>
        <v>1.97</v>
      </c>
      <c r="N4" s="3256">
        <v>205.8</v>
      </c>
      <c r="O4" s="3208">
        <f>I4+J4+N4+K4</f>
        <v>399.87</v>
      </c>
      <c r="P4" s="3237">
        <v>44526</v>
      </c>
      <c r="Q4" s="3238">
        <v>45014</v>
      </c>
      <c r="R4" s="3239">
        <v>1124.923</v>
      </c>
      <c r="S4" s="3223">
        <f t="shared" si="2"/>
        <v>28132.217970840524</v>
      </c>
      <c r="T4" s="3349" t="s">
        <v>3463</v>
      </c>
      <c r="U4" s="3212"/>
      <c r="V4" s="3333">
        <f t="shared" si="3"/>
        <v>0.24575487033285817</v>
      </c>
      <c r="W4" s="3208">
        <f t="shared" si="4"/>
        <v>2</v>
      </c>
      <c r="X4" s="3243">
        <f>VLOOKUP(D4,房源修正表!D:AK,31,0)/10000</f>
        <v>1.02E-4</v>
      </c>
      <c r="Y4" s="3243"/>
      <c r="Z4" s="3243"/>
    </row>
    <row r="5" spans="1:26">
      <c r="A5" s="3208">
        <v>4</v>
      </c>
      <c r="B5" s="3208" t="s">
        <v>3461</v>
      </c>
      <c r="C5" s="3208" t="s">
        <v>3462</v>
      </c>
      <c r="D5" s="3221">
        <v>85</v>
      </c>
      <c r="E5" s="3222">
        <v>101</v>
      </c>
      <c r="F5" s="3208">
        <v>34</v>
      </c>
      <c r="G5" s="3208">
        <v>122.87</v>
      </c>
      <c r="H5" s="3256">
        <v>98.27</v>
      </c>
      <c r="I5" s="3256">
        <v>123.31</v>
      </c>
      <c r="J5" s="3256">
        <v>70.760000000000005</v>
      </c>
      <c r="K5" s="3256"/>
      <c r="L5" s="3256">
        <f t="shared" si="0"/>
        <v>194.07</v>
      </c>
      <c r="M5" s="3256">
        <f t="shared" si="1"/>
        <v>1.97</v>
      </c>
      <c r="N5" s="3256">
        <v>205.8</v>
      </c>
      <c r="O5" s="3208">
        <f>I5+J5+N5</f>
        <v>399.87</v>
      </c>
      <c r="P5" s="3237">
        <v>44578</v>
      </c>
      <c r="Q5" s="3238">
        <v>45128</v>
      </c>
      <c r="R5" s="3239">
        <v>1209.0226</v>
      </c>
      <c r="S5" s="3223">
        <f t="shared" si="2"/>
        <v>30235.391502238228</v>
      </c>
      <c r="T5" s="3349" t="s">
        <v>3463</v>
      </c>
      <c r="U5" s="3212"/>
      <c r="V5" s="3257">
        <f t="shared" si="3"/>
        <v>0.24575487033285817</v>
      </c>
      <c r="W5" s="3208">
        <f t="shared" si="4"/>
        <v>2</v>
      </c>
      <c r="X5" s="3243">
        <f>VLOOKUP(D5,房源修正表!D:AK,31,0)/10000</f>
        <v>1.02E-4</v>
      </c>
      <c r="Y5" s="3243"/>
      <c r="Z5" s="3243"/>
    </row>
    <row r="6" spans="1:26" s="3225" customFormat="1">
      <c r="A6" s="3208">
        <v>5</v>
      </c>
      <c r="B6" s="3208" t="s">
        <v>3461</v>
      </c>
      <c r="C6" s="3208" t="s">
        <v>3462</v>
      </c>
      <c r="D6" s="3221">
        <v>86</v>
      </c>
      <c r="E6" s="3222">
        <v>101</v>
      </c>
      <c r="F6" s="3208">
        <v>33</v>
      </c>
      <c r="G6" s="3208">
        <v>122.87</v>
      </c>
      <c r="H6" s="3332">
        <f>ROUND(O6*$V$2,2)</f>
        <v>98.27</v>
      </c>
      <c r="I6" s="3256">
        <v>123.31</v>
      </c>
      <c r="J6" s="3256">
        <v>70.760000000000005</v>
      </c>
      <c r="K6" s="3256"/>
      <c r="L6" s="3256">
        <f t="shared" si="0"/>
        <v>194.07</v>
      </c>
      <c r="M6" s="3332">
        <f t="shared" si="1"/>
        <v>1.97</v>
      </c>
      <c r="N6" s="3256">
        <v>205.8</v>
      </c>
      <c r="O6" s="3208">
        <f>I6+J6+N6</f>
        <v>399.87</v>
      </c>
      <c r="P6" s="3237">
        <v>44526</v>
      </c>
      <c r="Q6" s="3238">
        <v>45162</v>
      </c>
      <c r="R6" s="3239">
        <v>1197.7209</v>
      </c>
      <c r="S6" s="3223">
        <f t="shared" si="2"/>
        <v>29952.757146072476</v>
      </c>
      <c r="T6" s="3349" t="s">
        <v>3463</v>
      </c>
      <c r="U6" s="3212"/>
      <c r="V6" s="3333">
        <f t="shared" si="3"/>
        <v>0.24575487033285817</v>
      </c>
      <c r="W6" s="3208">
        <f t="shared" si="4"/>
        <v>2</v>
      </c>
      <c r="X6" s="3243">
        <f>VLOOKUP(D6,房源修正表!D:AK,31,0)/10000</f>
        <v>1.02E-4</v>
      </c>
      <c r="Y6" s="3243"/>
      <c r="Z6" s="3243"/>
    </row>
    <row r="7" spans="1:26" ht="15" customHeight="1">
      <c r="A7" s="3208">
        <v>6</v>
      </c>
      <c r="B7" s="3208" t="s">
        <v>3461</v>
      </c>
      <c r="C7" s="3208" t="s">
        <v>3462</v>
      </c>
      <c r="D7" s="3221">
        <v>117</v>
      </c>
      <c r="E7" s="3222">
        <v>101</v>
      </c>
      <c r="F7" s="3208">
        <v>11</v>
      </c>
      <c r="G7" s="3208">
        <v>122.87</v>
      </c>
      <c r="H7" s="3334">
        <f>ROUND(O7*$V$2,2)</f>
        <v>105.69</v>
      </c>
      <c r="I7" s="3208">
        <v>123.31</v>
      </c>
      <c r="J7" s="3208">
        <v>70.760000000000005</v>
      </c>
      <c r="K7" s="3208"/>
      <c r="L7" s="3208">
        <f t="shared" si="0"/>
        <v>194.07</v>
      </c>
      <c r="M7" s="3334">
        <f t="shared" si="1"/>
        <v>1.84</v>
      </c>
      <c r="N7" s="3208">
        <v>236</v>
      </c>
      <c r="O7" s="3208">
        <f>I7+J7+N7+K7</f>
        <v>430.07</v>
      </c>
      <c r="P7" s="3237">
        <v>44487</v>
      </c>
      <c r="Q7" s="3238">
        <v>45044</v>
      </c>
      <c r="R7" s="3368">
        <v>1545.0806</v>
      </c>
      <c r="S7" s="3223">
        <f t="shared" si="2"/>
        <v>35926.258516055525</v>
      </c>
      <c r="T7" s="3349" t="s">
        <v>3463</v>
      </c>
      <c r="U7" s="3212"/>
      <c r="V7" s="3333">
        <f t="shared" si="3"/>
        <v>0.24575069174785499</v>
      </c>
      <c r="W7" s="3208">
        <f t="shared" si="4"/>
        <v>1.8</v>
      </c>
      <c r="X7" s="3243">
        <f>VLOOKUP(D7,房源修正表!D:AK,31,0)/10000</f>
        <v>1.02E-4</v>
      </c>
      <c r="Y7" s="3243"/>
      <c r="Z7" s="3368">
        <v>1439.2</v>
      </c>
    </row>
    <row r="8" spans="1:26">
      <c r="A8" s="3255">
        <v>7</v>
      </c>
      <c r="B8" s="3255" t="s">
        <v>3461</v>
      </c>
      <c r="C8" s="3255" t="s">
        <v>3462</v>
      </c>
      <c r="D8" s="3354">
        <v>98</v>
      </c>
      <c r="E8" s="3222">
        <v>101</v>
      </c>
      <c r="F8" s="3222">
        <v>23</v>
      </c>
      <c r="G8" s="3208">
        <v>122.87</v>
      </c>
      <c r="H8" s="3331">
        <f>ROUND(O8*$V$2,2)</f>
        <v>109.97</v>
      </c>
      <c r="I8" s="3255">
        <v>123.31</v>
      </c>
      <c r="J8" s="3255">
        <v>70.760000000000005</v>
      </c>
      <c r="K8" s="3255"/>
      <c r="L8" s="3255">
        <f t="shared" si="0"/>
        <v>194.07</v>
      </c>
      <c r="M8" s="3331">
        <f t="shared" si="1"/>
        <v>1.76</v>
      </c>
      <c r="N8" s="3255">
        <v>253.4</v>
      </c>
      <c r="O8" s="3208">
        <f>I8+J8+N8</f>
        <v>447.47</v>
      </c>
      <c r="P8" s="3237">
        <v>44487</v>
      </c>
      <c r="Q8" s="3238">
        <v>44528</v>
      </c>
      <c r="R8" s="3239">
        <v>1285.1251999999999</v>
      </c>
      <c r="S8" s="3223">
        <f t="shared" si="2"/>
        <v>28719.806914430013</v>
      </c>
      <c r="T8" s="3349" t="s">
        <v>3463</v>
      </c>
      <c r="U8" s="3212" t="s">
        <v>3468</v>
      </c>
      <c r="V8" s="3333">
        <f t="shared" si="3"/>
        <v>0.2457594922564641</v>
      </c>
      <c r="W8" s="3208">
        <f t="shared" si="4"/>
        <v>1.8</v>
      </c>
      <c r="X8" s="3243">
        <f>VLOOKUP(D8,房源修正表!D:AK,31,0)/10000</f>
        <v>1.02E-4</v>
      </c>
      <c r="Y8" s="3243"/>
      <c r="Z8" s="3243"/>
    </row>
    <row r="9" spans="1:26">
      <c r="A9" s="3208">
        <v>8</v>
      </c>
      <c r="B9" s="3208" t="s">
        <v>3461</v>
      </c>
      <c r="C9" s="3208" t="s">
        <v>3462</v>
      </c>
      <c r="D9" s="3221">
        <v>107</v>
      </c>
      <c r="E9" s="3222">
        <v>101</v>
      </c>
      <c r="F9" s="3208">
        <v>18</v>
      </c>
      <c r="G9" s="3208">
        <v>122.87</v>
      </c>
      <c r="H9" s="3255">
        <v>109.97</v>
      </c>
      <c r="I9" s="3255">
        <v>123.31</v>
      </c>
      <c r="J9" s="3255">
        <v>70.760000000000005</v>
      </c>
      <c r="K9" s="3255"/>
      <c r="L9" s="3255">
        <f t="shared" si="0"/>
        <v>194.07</v>
      </c>
      <c r="M9" s="3255">
        <f t="shared" si="1"/>
        <v>1.76</v>
      </c>
      <c r="N9" s="3255">
        <v>253.4</v>
      </c>
      <c r="O9" s="3208">
        <f>I9+J9+N9+K9</f>
        <v>447.47</v>
      </c>
      <c r="P9" s="3237">
        <v>44487</v>
      </c>
      <c r="Q9" s="3238">
        <v>44792</v>
      </c>
      <c r="R9" s="3239">
        <v>1253.2926</v>
      </c>
      <c r="S9" s="3223">
        <f t="shared" si="2"/>
        <v>28008.416206673071</v>
      </c>
      <c r="T9" s="3349" t="s">
        <v>3463</v>
      </c>
      <c r="U9" s="3212"/>
      <c r="V9" s="3257">
        <f t="shared" si="3"/>
        <v>0.2457594922564641</v>
      </c>
      <c r="W9" s="3208">
        <f t="shared" si="4"/>
        <v>1.8</v>
      </c>
      <c r="X9" s="3243">
        <f>VLOOKUP(D9,房源修正表!D:AK,31,0)/10000</f>
        <v>1.02E-4</v>
      </c>
      <c r="Y9" s="3243"/>
      <c r="Z9" s="3243"/>
    </row>
    <row r="10" spans="1:26" s="3225" customFormat="1">
      <c r="A10" s="3208">
        <v>9</v>
      </c>
      <c r="B10" s="3208" t="s">
        <v>3461</v>
      </c>
      <c r="C10" s="3208" t="s">
        <v>3462</v>
      </c>
      <c r="D10" s="3221">
        <v>7</v>
      </c>
      <c r="E10" s="3222">
        <v>101</v>
      </c>
      <c r="F10" s="3208">
        <v>44</v>
      </c>
      <c r="G10" s="3208">
        <v>122.87</v>
      </c>
      <c r="H10" s="3331">
        <f>ROUND(O10*$V$2,2)</f>
        <v>109.97</v>
      </c>
      <c r="I10" s="3255">
        <v>123.31</v>
      </c>
      <c r="J10" s="3255">
        <v>70.760000000000005</v>
      </c>
      <c r="K10" s="3255"/>
      <c r="L10" s="3255">
        <f t="shared" si="0"/>
        <v>194.07</v>
      </c>
      <c r="M10" s="3331">
        <f t="shared" si="1"/>
        <v>1.76</v>
      </c>
      <c r="N10" s="3255">
        <v>253.4</v>
      </c>
      <c r="O10" s="3208">
        <f>I10+J10+N10</f>
        <v>447.47</v>
      </c>
      <c r="P10" s="3237">
        <v>44578</v>
      </c>
      <c r="Q10" s="3238">
        <v>44981</v>
      </c>
      <c r="R10" s="3239">
        <v>1470.7482</v>
      </c>
      <c r="S10" s="3223">
        <f t="shared" si="2"/>
        <v>32868.085011285671</v>
      </c>
      <c r="T10" s="3349" t="s">
        <v>3463</v>
      </c>
      <c r="U10" s="3212"/>
      <c r="V10" s="3333">
        <f t="shared" si="3"/>
        <v>0.2457594922564641</v>
      </c>
      <c r="W10" s="3208">
        <f t="shared" si="4"/>
        <v>1.8</v>
      </c>
      <c r="X10" s="3243">
        <f>VLOOKUP(D10,房源修正表!D:AK,31,0)/10000</f>
        <v>1.02E-4</v>
      </c>
      <c r="Y10" s="3243"/>
      <c r="Z10" s="3243"/>
    </row>
    <row r="11" spans="1:26">
      <c r="A11" s="3208">
        <v>10</v>
      </c>
      <c r="B11" s="3208" t="s">
        <v>3461</v>
      </c>
      <c r="C11" s="3208" t="s">
        <v>3462</v>
      </c>
      <c r="D11" s="3221">
        <v>10</v>
      </c>
      <c r="E11" s="3222">
        <v>101</v>
      </c>
      <c r="F11" s="3208">
        <v>43</v>
      </c>
      <c r="G11" s="3208">
        <v>122.87</v>
      </c>
      <c r="H11" s="3255">
        <v>109.97</v>
      </c>
      <c r="I11" s="3255">
        <v>123.31</v>
      </c>
      <c r="J11" s="3255">
        <v>70.760000000000005</v>
      </c>
      <c r="K11" s="3255"/>
      <c r="L11" s="3255">
        <f t="shared" si="0"/>
        <v>194.07</v>
      </c>
      <c r="M11" s="3255">
        <f t="shared" si="1"/>
        <v>1.76</v>
      </c>
      <c r="N11" s="3255">
        <v>253.4</v>
      </c>
      <c r="O11" s="3208">
        <f>I11+J11+N11+K11</f>
        <v>447.47</v>
      </c>
      <c r="P11" s="3237">
        <v>44578</v>
      </c>
      <c r="Q11" s="3238">
        <v>45320</v>
      </c>
      <c r="R11" s="3239">
        <v>1521.0175999999999</v>
      </c>
      <c r="S11" s="3223">
        <f t="shared" si="2"/>
        <v>33991.498871432719</v>
      </c>
      <c r="T11" s="3349" t="s">
        <v>3463</v>
      </c>
      <c r="U11" s="3212"/>
      <c r="V11" s="3257">
        <f t="shared" si="3"/>
        <v>0.2457594922564641</v>
      </c>
      <c r="W11" s="3208">
        <f t="shared" si="4"/>
        <v>1.8</v>
      </c>
      <c r="X11" s="3243">
        <f>VLOOKUP(D11,房源修正表!D:AK,31,0)/10000</f>
        <v>1.02E-4</v>
      </c>
      <c r="Y11" s="3243"/>
      <c r="Z11" s="3243"/>
    </row>
    <row r="12" spans="1:26" s="3335" customFormat="1">
      <c r="A12" s="3255">
        <v>11</v>
      </c>
      <c r="B12" s="3255" t="s">
        <v>3464</v>
      </c>
      <c r="C12" s="3255" t="s">
        <v>3462</v>
      </c>
      <c r="D12" s="3354">
        <v>8</v>
      </c>
      <c r="E12" s="3222">
        <v>101</v>
      </c>
      <c r="F12" s="3208">
        <v>51</v>
      </c>
      <c r="G12" s="3208">
        <v>122.87</v>
      </c>
      <c r="H12" s="3255">
        <v>109.97</v>
      </c>
      <c r="I12" s="3255">
        <v>123.31</v>
      </c>
      <c r="J12" s="3255">
        <v>70.760000000000005</v>
      </c>
      <c r="K12" s="3255"/>
      <c r="L12" s="3255">
        <f t="shared" si="0"/>
        <v>194.07</v>
      </c>
      <c r="M12" s="3255">
        <f t="shared" si="1"/>
        <v>1.76</v>
      </c>
      <c r="N12" s="3255">
        <v>253.4</v>
      </c>
      <c r="O12" s="3208">
        <f>I12+J12+N12</f>
        <v>447.47</v>
      </c>
      <c r="P12" s="3208"/>
      <c r="Q12" s="3238">
        <v>45446</v>
      </c>
      <c r="R12" s="3239">
        <v>1377.7284999999999</v>
      </c>
      <c r="S12" s="3223">
        <f t="shared" si="2"/>
        <v>30789.293136970075</v>
      </c>
      <c r="T12" s="3349" t="s">
        <v>3463</v>
      </c>
      <c r="U12" s="3212"/>
      <c r="V12" s="3257">
        <f t="shared" si="3"/>
        <v>0.2457594922564641</v>
      </c>
      <c r="W12" s="3208">
        <f t="shared" si="4"/>
        <v>1.8</v>
      </c>
      <c r="X12" s="3243">
        <f>VLOOKUP(D12,房源修正表!D:AK,31,0)/10000</f>
        <v>1.02E-4</v>
      </c>
      <c r="Y12" s="3243"/>
      <c r="Z12" s="3243"/>
    </row>
    <row r="13" spans="1:26">
      <c r="A13" s="3208">
        <v>12</v>
      </c>
      <c r="B13" s="3208" t="s">
        <v>3461</v>
      </c>
      <c r="C13" s="3208" t="s">
        <v>3462</v>
      </c>
      <c r="D13" s="3221">
        <v>14</v>
      </c>
      <c r="E13" s="3222">
        <v>101</v>
      </c>
      <c r="F13" s="3208">
        <v>41</v>
      </c>
      <c r="G13" s="3208">
        <v>122.87</v>
      </c>
      <c r="H13" s="3334">
        <f>ROUND(O13*$V$2,2)</f>
        <v>110.39</v>
      </c>
      <c r="I13" s="3208">
        <v>123.31</v>
      </c>
      <c r="J13" s="3208">
        <v>70.760000000000005</v>
      </c>
      <c r="K13" s="3208"/>
      <c r="L13" s="3208">
        <f t="shared" si="0"/>
        <v>194.07</v>
      </c>
      <c r="M13" s="3334">
        <f t="shared" si="1"/>
        <v>1.76</v>
      </c>
      <c r="N13" s="3208">
        <v>255.11</v>
      </c>
      <c r="O13" s="3208">
        <f>I13+J13+N13+K13</f>
        <v>449.18</v>
      </c>
      <c r="P13" s="3237">
        <v>44578</v>
      </c>
      <c r="Q13" s="3238">
        <v>45156</v>
      </c>
      <c r="R13" s="3239">
        <v>1262.8794</v>
      </c>
      <c r="S13" s="3223">
        <f t="shared" si="2"/>
        <v>28115.21884322543</v>
      </c>
      <c r="T13" s="3349" t="s">
        <v>3463</v>
      </c>
      <c r="U13" s="3224"/>
      <c r="V13" s="3333">
        <f t="shared" si="3"/>
        <v>0.24575893851017408</v>
      </c>
      <c r="W13" s="3208">
        <f t="shared" si="4"/>
        <v>1.8</v>
      </c>
      <c r="X13" s="3243">
        <f>VLOOKUP(D13,房源修正表!D:AK,31,0)/10000</f>
        <v>1.02E-4</v>
      </c>
      <c r="Y13" s="3243"/>
      <c r="Z13" s="3243"/>
    </row>
    <row r="14" spans="1:26" s="3335" customFormat="1">
      <c r="A14" s="3208">
        <v>13</v>
      </c>
      <c r="B14" s="3208" t="s">
        <v>3461</v>
      </c>
      <c r="C14" s="3208" t="s">
        <v>3462</v>
      </c>
      <c r="D14" s="3221">
        <v>111</v>
      </c>
      <c r="E14" s="3222">
        <v>101</v>
      </c>
      <c r="F14" s="3208">
        <v>16</v>
      </c>
      <c r="G14" s="3208">
        <v>122.87</v>
      </c>
      <c r="H14" s="3208">
        <v>113.13</v>
      </c>
      <c r="I14" s="3208">
        <v>123.31</v>
      </c>
      <c r="J14" s="3208">
        <v>70.760000000000005</v>
      </c>
      <c r="K14" s="3208"/>
      <c r="L14" s="3208">
        <f t="shared" si="0"/>
        <v>194.07</v>
      </c>
      <c r="M14" s="3208">
        <f t="shared" si="1"/>
        <v>1.72</v>
      </c>
      <c r="N14" s="3208">
        <v>266.26</v>
      </c>
      <c r="O14" s="3208">
        <f>I14+J14+N14</f>
        <v>460.33</v>
      </c>
      <c r="P14" s="3237">
        <v>44487</v>
      </c>
      <c r="Q14" s="3238">
        <v>44891</v>
      </c>
      <c r="R14" s="3239">
        <v>1263.2236</v>
      </c>
      <c r="S14" s="3223">
        <f t="shared" si="2"/>
        <v>27441.696174483524</v>
      </c>
      <c r="T14" s="3349" t="s">
        <v>3463</v>
      </c>
      <c r="U14" s="3212"/>
      <c r="V14" s="3257">
        <f t="shared" si="3"/>
        <v>0.2457584776138857</v>
      </c>
      <c r="W14" s="3208">
        <f t="shared" si="4"/>
        <v>1.7</v>
      </c>
      <c r="X14" s="3243">
        <f>VLOOKUP(D14,房源修正表!D:AK,31,0)/10000</f>
        <v>1.02E-4</v>
      </c>
      <c r="Y14" s="3243"/>
      <c r="Z14" s="3243"/>
    </row>
    <row r="15" spans="1:26" s="3335" customFormat="1">
      <c r="A15" s="3255">
        <v>14</v>
      </c>
      <c r="B15" s="3255" t="s">
        <v>3464</v>
      </c>
      <c r="C15" s="3255" t="s">
        <v>3462</v>
      </c>
      <c r="D15" s="3354">
        <v>100</v>
      </c>
      <c r="E15" s="3222">
        <v>101</v>
      </c>
      <c r="F15" s="3208">
        <v>122</v>
      </c>
      <c r="G15" s="3208">
        <v>153.27000000000001</v>
      </c>
      <c r="H15" s="3208">
        <v>136.96</v>
      </c>
      <c r="I15" s="3208">
        <v>153.61000000000001</v>
      </c>
      <c r="J15" s="3208">
        <v>92.47</v>
      </c>
      <c r="K15" s="3208"/>
      <c r="L15" s="3208">
        <f t="shared" si="0"/>
        <v>246.08</v>
      </c>
      <c r="M15" s="3208">
        <f t="shared" si="1"/>
        <v>1.8</v>
      </c>
      <c r="N15" s="3208">
        <v>311.24</v>
      </c>
      <c r="O15" s="3208">
        <f>I15+J15+N15</f>
        <v>557.32000000000005</v>
      </c>
      <c r="P15" s="3237">
        <v>44487</v>
      </c>
      <c r="Q15" s="3238">
        <v>44696</v>
      </c>
      <c r="R15" s="3239">
        <v>1812.1902</v>
      </c>
      <c r="S15" s="3223">
        <f t="shared" si="2"/>
        <v>32516.152300294263</v>
      </c>
      <c r="T15" s="3349" t="s">
        <v>3463</v>
      </c>
      <c r="U15" s="3212" t="s">
        <v>3468</v>
      </c>
      <c r="V15" s="3257">
        <f t="shared" si="3"/>
        <v>0.24574750592119429</v>
      </c>
      <c r="W15" s="3208">
        <f t="shared" si="4"/>
        <v>1.8</v>
      </c>
      <c r="X15" s="3243">
        <f>VLOOKUP(D15,房源修正表!D:AK,31,0)/10000</f>
        <v>1.02E-4</v>
      </c>
      <c r="Y15" s="3243"/>
      <c r="Z15" s="3243"/>
    </row>
    <row r="16" spans="1:26">
      <c r="A16" s="3255">
        <v>15</v>
      </c>
      <c r="B16" s="3255" t="s">
        <v>3464</v>
      </c>
      <c r="C16" s="3255" t="s">
        <v>3462</v>
      </c>
      <c r="D16" s="3354">
        <v>48</v>
      </c>
      <c r="E16" s="3222">
        <v>101</v>
      </c>
      <c r="F16" s="3208">
        <v>108</v>
      </c>
      <c r="G16" s="3208">
        <v>199.49</v>
      </c>
      <c r="H16" s="3208">
        <v>168.91</v>
      </c>
      <c r="I16" s="3208">
        <v>199.67</v>
      </c>
      <c r="J16" s="3208">
        <v>134.57</v>
      </c>
      <c r="K16" s="3208"/>
      <c r="L16" s="3208">
        <f t="shared" si="0"/>
        <v>334.24</v>
      </c>
      <c r="M16" s="3208">
        <f t="shared" si="1"/>
        <v>1.98</v>
      </c>
      <c r="N16" s="3208">
        <v>353.1</v>
      </c>
      <c r="O16" s="3208">
        <f>I16+J16+N16</f>
        <v>687.34</v>
      </c>
      <c r="P16" s="3237">
        <v>44698</v>
      </c>
      <c r="Q16" s="3238">
        <v>45585</v>
      </c>
      <c r="R16" s="3239">
        <v>2784.9094</v>
      </c>
      <c r="S16" s="3223">
        <f t="shared" si="2"/>
        <v>40517.202548956848</v>
      </c>
      <c r="T16" s="3225" t="s">
        <v>3463</v>
      </c>
      <c r="U16" s="3228" t="s">
        <v>3465</v>
      </c>
      <c r="V16" s="3257">
        <f t="shared" si="3"/>
        <v>0.24574446416620593</v>
      </c>
      <c r="W16" s="3208">
        <f t="shared" si="4"/>
        <v>2</v>
      </c>
      <c r="X16" s="3243">
        <f>VLOOKUP(D16,房源修正表!D:AK,31,0)/10000</f>
        <v>1.02E-4</v>
      </c>
      <c r="Y16" s="3243"/>
      <c r="Z16" s="3243"/>
    </row>
    <row r="17" spans="1:71">
      <c r="A17" s="3255">
        <v>16</v>
      </c>
      <c r="B17" s="3255" t="s">
        <v>3464</v>
      </c>
      <c r="C17" s="3255" t="s">
        <v>3462</v>
      </c>
      <c r="D17" s="3354">
        <v>31</v>
      </c>
      <c r="E17" s="3222">
        <v>101</v>
      </c>
      <c r="F17" s="3208">
        <v>104</v>
      </c>
      <c r="G17" s="3208">
        <v>199.49</v>
      </c>
      <c r="H17" s="3334">
        <f>ROUND(O17*$V$2,2)</f>
        <v>193.02</v>
      </c>
      <c r="I17" s="3208">
        <v>199.67</v>
      </c>
      <c r="J17" s="3208">
        <v>134.57</v>
      </c>
      <c r="K17" s="3208"/>
      <c r="L17" s="3208">
        <f t="shared" si="0"/>
        <v>334.24</v>
      </c>
      <c r="M17" s="3334">
        <f t="shared" si="1"/>
        <v>1.73</v>
      </c>
      <c r="N17" s="3208">
        <v>451.21</v>
      </c>
      <c r="O17" s="3208">
        <f>I17+J17+N17</f>
        <v>785.45</v>
      </c>
      <c r="P17" s="3237">
        <v>44698</v>
      </c>
      <c r="Q17" s="3238">
        <v>44941</v>
      </c>
      <c r="R17" s="3239">
        <v>2624.7078000000001</v>
      </c>
      <c r="S17" s="3223">
        <f t="shared" si="2"/>
        <v>33416.612133172064</v>
      </c>
      <c r="T17" s="3225" t="s">
        <v>3463</v>
      </c>
      <c r="V17" s="3333">
        <f t="shared" si="3"/>
        <v>0.24574447768794958</v>
      </c>
      <c r="W17" s="3208">
        <f t="shared" si="4"/>
        <v>1.7</v>
      </c>
      <c r="X17" s="3243">
        <f>VLOOKUP(D17,房源修正表!D:AK,31,0)/10000</f>
        <v>1.02E-4</v>
      </c>
      <c r="Y17" s="3243"/>
      <c r="Z17" s="3243"/>
    </row>
    <row r="18" spans="1:71">
      <c r="H18" s="3213"/>
      <c r="L18" s="3213"/>
      <c r="M18" s="3213"/>
      <c r="O18" s="3213">
        <f>SUM(O2:O17)</f>
        <v>7603.5900000000011</v>
      </c>
      <c r="P18" s="3213"/>
      <c r="R18" s="3226">
        <f>SUM(R2:R17)</f>
        <v>23965.944600000003</v>
      </c>
      <c r="Z18" s="3243"/>
    </row>
    <row r="19" spans="1:71">
      <c r="H19" s="3213"/>
      <c r="L19" s="3213"/>
      <c r="M19" s="3213"/>
      <c r="O19" s="3213"/>
      <c r="P19" s="3213"/>
      <c r="Z19" s="3243"/>
    </row>
    <row r="20" spans="1:71">
      <c r="H20" s="3213"/>
      <c r="L20" s="3213"/>
      <c r="M20" s="3213"/>
      <c r="O20" s="3213"/>
      <c r="P20" s="3260">
        <v>67050</v>
      </c>
      <c r="Z20" s="3243"/>
    </row>
    <row r="21" spans="1:71">
      <c r="F21" s="3213" t="s">
        <v>3917</v>
      </c>
      <c r="G21" s="3225">
        <v>3.6</v>
      </c>
      <c r="H21" s="3213" t="s">
        <v>3918</v>
      </c>
      <c r="I21" s="3213">
        <v>3.6</v>
      </c>
      <c r="J21" s="3213">
        <v>64</v>
      </c>
      <c r="L21" s="3213">
        <v>3.1</v>
      </c>
      <c r="M21" s="3213" t="s">
        <v>3919</v>
      </c>
      <c r="N21" s="3213">
        <v>3.6</v>
      </c>
      <c r="O21" s="3213" t="s">
        <v>3920</v>
      </c>
      <c r="P21" s="3213">
        <v>3.9</v>
      </c>
      <c r="Q21" s="3213" t="s">
        <v>3921</v>
      </c>
      <c r="R21" s="3226">
        <v>3.6</v>
      </c>
      <c r="Z21" s="3243"/>
    </row>
    <row r="22" spans="1:71">
      <c r="G22" s="3225">
        <v>3.9</v>
      </c>
      <c r="H22" s="3213"/>
      <c r="I22" s="3213">
        <v>3.9</v>
      </c>
      <c r="L22" s="3213">
        <v>3.9</v>
      </c>
      <c r="M22" s="3213"/>
      <c r="N22" s="3213">
        <v>4.2</v>
      </c>
      <c r="O22" s="3213"/>
      <c r="P22" s="3213">
        <v>4.2</v>
      </c>
      <c r="R22" s="3226">
        <v>3.9</v>
      </c>
    </row>
    <row r="23" spans="1:71">
      <c r="G23" s="3225">
        <v>3.3</v>
      </c>
      <c r="H23" s="3213"/>
      <c r="I23" s="3213">
        <v>3.3</v>
      </c>
      <c r="L23" s="3213">
        <v>3.3</v>
      </c>
      <c r="M23" s="3213"/>
      <c r="N23" s="3213">
        <v>3.4</v>
      </c>
      <c r="O23" s="3213"/>
      <c r="P23" s="3213">
        <v>3.4</v>
      </c>
      <c r="R23" s="3226">
        <v>3.3</v>
      </c>
    </row>
    <row r="24" spans="1:71">
      <c r="H24" s="3213"/>
      <c r="L24" s="3213"/>
      <c r="M24" s="3213"/>
      <c r="O24" s="3213"/>
      <c r="P24" s="3213"/>
    </row>
    <row r="25" spans="1:71">
      <c r="H25" s="3213"/>
      <c r="L25" s="3213"/>
      <c r="M25" s="3213"/>
      <c r="O25" s="3213"/>
      <c r="P25" s="3213"/>
    </row>
    <row r="26" spans="1:71">
      <c r="H26" s="3213"/>
      <c r="L26" s="3213"/>
      <c r="M26" s="3213"/>
      <c r="O26" s="3213"/>
      <c r="P26" s="3213"/>
    </row>
    <row r="27" spans="1:71">
      <c r="H27" s="3213"/>
      <c r="L27" s="3213"/>
      <c r="M27" s="3213"/>
      <c r="O27" s="3213"/>
      <c r="P27" s="3213"/>
    </row>
    <row r="28" spans="1:71">
      <c r="C28" s="3207"/>
      <c r="D28" s="3207"/>
      <c r="E28" s="3207"/>
      <c r="F28" s="3207"/>
      <c r="G28" s="3208"/>
      <c r="H28" s="3207"/>
      <c r="I28" s="3207"/>
      <c r="J28" s="3207"/>
      <c r="K28" s="3207"/>
      <c r="L28" s="3207"/>
      <c r="M28" s="3207"/>
      <c r="N28" s="3207"/>
      <c r="O28" s="3207"/>
      <c r="P28" s="3207"/>
      <c r="Q28" s="3207"/>
    </row>
    <row r="29" spans="1:71" s="3243" customFormat="1">
      <c r="A29" s="3207">
        <v>5</v>
      </c>
      <c r="B29" s="3207" t="s">
        <v>3461</v>
      </c>
      <c r="C29" s="3207" t="s">
        <v>3462</v>
      </c>
      <c r="D29" s="3229">
        <v>125</v>
      </c>
      <c r="E29" s="3215"/>
      <c r="F29" s="3207">
        <v>3</v>
      </c>
      <c r="G29" s="3208">
        <v>122.87</v>
      </c>
      <c r="H29" s="3230"/>
      <c r="I29" s="3207">
        <v>122.99</v>
      </c>
      <c r="J29" s="3207">
        <v>110.96</v>
      </c>
      <c r="K29" s="3207"/>
      <c r="L29" s="3231">
        <f>I29+J29+K29</f>
        <v>233.95</v>
      </c>
      <c r="M29" s="3231"/>
      <c r="N29" s="3207">
        <v>318.67</v>
      </c>
      <c r="O29" s="3232">
        <f>I29+J29+N29+K29</f>
        <v>552.62</v>
      </c>
      <c r="P29" s="3232"/>
      <c r="Q29" s="3207"/>
      <c r="R29" s="3254"/>
      <c r="S29" s="3216"/>
      <c r="T29" s="3207"/>
      <c r="U29" s="3212"/>
    </row>
    <row r="30" spans="1:71" s="3217" customFormat="1">
      <c r="A30" s="3208">
        <v>7</v>
      </c>
      <c r="B30" s="3208"/>
      <c r="C30" s="3208" t="s">
        <v>3462</v>
      </c>
      <c r="D30" s="3221">
        <v>73</v>
      </c>
      <c r="E30" s="3222">
        <v>101</v>
      </c>
      <c r="F30" s="3208">
        <v>77</v>
      </c>
      <c r="G30" s="3241" t="s">
        <v>3483</v>
      </c>
      <c r="H30" s="3208"/>
      <c r="I30" s="3208">
        <v>88.79</v>
      </c>
      <c r="J30" s="3208">
        <v>40.72</v>
      </c>
      <c r="K30" s="3208">
        <v>43.26</v>
      </c>
      <c r="L30" s="3208">
        <f>I30+J30+K30</f>
        <v>172.76999999999998</v>
      </c>
      <c r="M30" s="3208"/>
      <c r="N30" s="3208">
        <v>161.85</v>
      </c>
      <c r="O30" s="3208">
        <f>I30+J30+N30+K30</f>
        <v>334.62</v>
      </c>
      <c r="P30" s="3208"/>
      <c r="Q30" s="3238">
        <v>44521</v>
      </c>
      <c r="R30" s="3242">
        <v>888.56780000000003</v>
      </c>
      <c r="S30" s="3223">
        <f>R30/O30*10000</f>
        <v>26554.53350068735</v>
      </c>
      <c r="T30" s="3208" t="s">
        <v>3466</v>
      </c>
      <c r="U30" s="3224"/>
      <c r="W30" s="3213"/>
      <c r="X30" s="3213"/>
      <c r="Y30" s="3213"/>
      <c r="Z30" s="3213"/>
      <c r="AA30" s="3213"/>
      <c r="AB30" s="3213"/>
      <c r="AC30" s="3213"/>
      <c r="AD30" s="3213"/>
      <c r="AE30" s="3213"/>
      <c r="AF30" s="3213"/>
      <c r="AG30" s="3213"/>
      <c r="AH30" s="3213"/>
      <c r="AI30" s="3213"/>
      <c r="AJ30" s="3213"/>
      <c r="AK30" s="3213"/>
      <c r="AL30" s="3213"/>
      <c r="AM30" s="3213"/>
      <c r="AN30" s="3213"/>
      <c r="AO30" s="3213"/>
      <c r="AP30" s="3213"/>
      <c r="AQ30" s="3213"/>
      <c r="AR30" s="3213"/>
      <c r="AS30" s="3213"/>
      <c r="AT30" s="3213"/>
      <c r="AU30" s="3213"/>
      <c r="AV30" s="3213"/>
      <c r="AW30" s="3213"/>
      <c r="AX30" s="3213"/>
      <c r="AY30" s="3213"/>
      <c r="AZ30" s="3213"/>
      <c r="BA30" s="3213"/>
      <c r="BB30" s="3213"/>
      <c r="BC30" s="3213"/>
      <c r="BD30" s="3213"/>
      <c r="BE30" s="3213"/>
      <c r="BF30" s="3213"/>
      <c r="BG30" s="3213"/>
      <c r="BH30" s="3213"/>
      <c r="BI30" s="3213"/>
      <c r="BJ30" s="3213"/>
      <c r="BK30" s="3213"/>
      <c r="BL30" s="3213"/>
      <c r="BM30" s="3213"/>
      <c r="BN30" s="3213"/>
      <c r="BO30" s="3213"/>
      <c r="BP30" s="3213"/>
      <c r="BQ30" s="3213"/>
      <c r="BR30" s="3213"/>
      <c r="BS30" s="3213"/>
    </row>
    <row r="31" spans="1:71" s="3219" customFormat="1">
      <c r="A31" s="3208">
        <v>8</v>
      </c>
      <c r="B31" s="3208"/>
      <c r="C31" s="3208" t="s">
        <v>3462</v>
      </c>
      <c r="D31" s="3221" t="s">
        <v>3467</v>
      </c>
      <c r="E31" s="3222">
        <v>102</v>
      </c>
      <c r="F31" s="3208">
        <v>77</v>
      </c>
      <c r="G31" s="3253" t="s">
        <v>3483</v>
      </c>
      <c r="H31" s="3208"/>
      <c r="I31" s="3208">
        <v>88.79</v>
      </c>
      <c r="J31" s="3208">
        <v>40.72</v>
      </c>
      <c r="K31" s="3208">
        <v>43.26</v>
      </c>
      <c r="L31" s="3208">
        <f>I31+J31+K31</f>
        <v>172.76999999999998</v>
      </c>
      <c r="M31" s="3208"/>
      <c r="N31" s="3208">
        <v>172.03</v>
      </c>
      <c r="O31" s="3208">
        <f>I31+J31+N31+K31</f>
        <v>344.79999999999995</v>
      </c>
      <c r="P31" s="3208"/>
      <c r="Q31" s="3208"/>
      <c r="R31" s="3242"/>
      <c r="S31" s="3223">
        <f>R31/O31*10000</f>
        <v>0</v>
      </c>
      <c r="T31" s="3208" t="s">
        <v>3466</v>
      </c>
      <c r="U31" s="3224"/>
      <c r="W31" s="3225"/>
      <c r="X31" s="3225"/>
      <c r="Y31" s="3225"/>
      <c r="Z31" s="3225"/>
      <c r="AA31" s="3225"/>
      <c r="AB31" s="3225"/>
      <c r="AC31" s="3225"/>
      <c r="AD31" s="3225"/>
      <c r="AE31" s="3225"/>
      <c r="AF31" s="3225"/>
      <c r="AG31" s="3225"/>
      <c r="AH31" s="3225"/>
      <c r="AI31" s="3225"/>
      <c r="AJ31" s="3225"/>
      <c r="AK31" s="3225"/>
      <c r="AL31" s="3225"/>
      <c r="AM31" s="3225"/>
      <c r="AN31" s="3225"/>
      <c r="AO31" s="3225"/>
      <c r="AP31" s="3225"/>
      <c r="AQ31" s="3225"/>
      <c r="AR31" s="3225"/>
      <c r="AS31" s="3225"/>
      <c r="AT31" s="3225"/>
      <c r="AU31" s="3225"/>
      <c r="AV31" s="3225"/>
      <c r="AW31" s="3225"/>
      <c r="AX31" s="3225"/>
      <c r="AY31" s="3225"/>
      <c r="AZ31" s="3225"/>
      <c r="BA31" s="3225"/>
      <c r="BB31" s="3225"/>
      <c r="BC31" s="3225"/>
      <c r="BD31" s="3225"/>
      <c r="BE31" s="3225"/>
      <c r="BF31" s="3225"/>
      <c r="BG31" s="3225"/>
      <c r="BH31" s="3225"/>
      <c r="BI31" s="3225"/>
      <c r="BJ31" s="3225"/>
      <c r="BK31" s="3225"/>
      <c r="BL31" s="3225"/>
      <c r="BM31" s="3225"/>
      <c r="BN31" s="3225"/>
      <c r="BO31" s="3225"/>
      <c r="BP31" s="3225"/>
      <c r="BQ31" s="3225"/>
      <c r="BR31" s="3225"/>
      <c r="BS31" s="3225"/>
    </row>
    <row r="32" spans="1:71">
      <c r="H32" s="3213"/>
      <c r="L32" s="3213"/>
      <c r="M32" s="3213"/>
      <c r="O32" s="3213"/>
      <c r="P32" s="3213"/>
    </row>
    <row r="33" spans="8:16">
      <c r="H33" s="3213"/>
      <c r="L33" s="3213"/>
      <c r="M33" s="3213"/>
      <c r="O33" s="3213"/>
      <c r="P33" s="3213"/>
    </row>
    <row r="34" spans="8:16">
      <c r="H34" s="3213"/>
      <c r="L34" s="3213"/>
      <c r="M34" s="3213"/>
      <c r="N34" s="3213" t="s">
        <v>3508</v>
      </c>
      <c r="O34" s="3213"/>
      <c r="P34" s="3213"/>
    </row>
    <row r="35" spans="8:16">
      <c r="H35" s="3213"/>
      <c r="L35" s="3213"/>
      <c r="M35" s="3213"/>
      <c r="N35" s="3213">
        <f>33728.08/88992.31</f>
        <v>0.37899993830927642</v>
      </c>
      <c r="O35" s="3213"/>
      <c r="P35" s="3213"/>
    </row>
    <row r="36" spans="8:16">
      <c r="H36" s="3213"/>
      <c r="L36" s="3213"/>
      <c r="M36" s="3213"/>
      <c r="O36" s="3213"/>
      <c r="P36" s="3213"/>
    </row>
    <row r="37" spans="8:16">
      <c r="H37" s="3213"/>
      <c r="L37" s="3213"/>
      <c r="M37" s="3213"/>
      <c r="O37" s="3213"/>
      <c r="P37" s="3213"/>
    </row>
    <row r="38" spans="8:16">
      <c r="H38" s="3213"/>
      <c r="L38" s="3213"/>
      <c r="M38" s="3213"/>
      <c r="O38" s="3213"/>
      <c r="P38" s="3213"/>
    </row>
    <row r="39" spans="8:16">
      <c r="H39" s="3213"/>
      <c r="L39" s="3213"/>
      <c r="M39" s="3213"/>
      <c r="O39" s="3213"/>
      <c r="P39" s="3213"/>
    </row>
    <row r="40" spans="8:16">
      <c r="H40" s="3213"/>
      <c r="L40" s="3213"/>
      <c r="M40" s="3213"/>
      <c r="O40" s="3213"/>
      <c r="P40" s="3213"/>
    </row>
    <row r="41" spans="8:16">
      <c r="H41" s="3213"/>
      <c r="L41" s="3213"/>
      <c r="M41" s="3213"/>
      <c r="O41" s="3213"/>
      <c r="P41" s="3213"/>
    </row>
    <row r="42" spans="8:16">
      <c r="H42" s="3213"/>
      <c r="L42" s="3213"/>
      <c r="M42" s="3213"/>
      <c r="O42" s="3213"/>
      <c r="P42" s="3213"/>
    </row>
    <row r="43" spans="8:16">
      <c r="H43" s="3213"/>
      <c r="L43" s="3213"/>
      <c r="M43" s="3213"/>
      <c r="O43" s="3213"/>
      <c r="P43" s="3213"/>
    </row>
    <row r="44" spans="8:16">
      <c r="H44" s="3213"/>
      <c r="L44" s="3213"/>
      <c r="M44" s="3213"/>
      <c r="O44" s="3213"/>
      <c r="P44" s="3213"/>
    </row>
    <row r="45" spans="8:16">
      <c r="H45" s="3213"/>
      <c r="L45" s="3213"/>
      <c r="M45" s="3213"/>
      <c r="O45" s="3213"/>
      <c r="P45" s="3213"/>
    </row>
    <row r="46" spans="8:16">
      <c r="H46" s="3213"/>
      <c r="L46" s="3213"/>
      <c r="M46" s="3213"/>
      <c r="O46" s="3213"/>
      <c r="P46" s="3213"/>
    </row>
    <row r="47" spans="8:16">
      <c r="H47" s="3213"/>
      <c r="L47" s="3213"/>
      <c r="M47" s="3213"/>
      <c r="O47" s="3213"/>
      <c r="P47" s="3213"/>
    </row>
    <row r="48" spans="8:16">
      <c r="H48" s="3213"/>
      <c r="L48" s="3213"/>
      <c r="M48" s="3213"/>
      <c r="O48" s="3213"/>
      <c r="P48" s="3213"/>
    </row>
    <row r="49" spans="8:16">
      <c r="H49" s="3213"/>
      <c r="L49" s="3213"/>
      <c r="M49" s="3213"/>
      <c r="O49" s="3213"/>
      <c r="P49" s="3213"/>
    </row>
    <row r="50" spans="8:16">
      <c r="H50" s="3213"/>
      <c r="L50" s="3213"/>
      <c r="M50" s="3213"/>
      <c r="O50" s="3213"/>
      <c r="P50" s="3213"/>
    </row>
    <row r="51" spans="8:16">
      <c r="H51" s="3213"/>
      <c r="L51" s="3213"/>
      <c r="M51" s="3213"/>
      <c r="O51" s="3213"/>
      <c r="P51" s="3213"/>
    </row>
    <row r="52" spans="8:16">
      <c r="H52" s="3213"/>
      <c r="L52" s="3213"/>
      <c r="M52" s="3213"/>
      <c r="O52" s="3213"/>
      <c r="P52" s="3213"/>
    </row>
    <row r="53" spans="8:16">
      <c r="H53" s="3213"/>
      <c r="L53" s="3213"/>
      <c r="M53" s="3213"/>
      <c r="O53" s="3213"/>
      <c r="P53" s="3213"/>
    </row>
    <row r="54" spans="8:16">
      <c r="H54" s="3213"/>
      <c r="L54" s="3213"/>
      <c r="M54" s="3213"/>
      <c r="O54" s="3213"/>
      <c r="P54" s="3213"/>
    </row>
    <row r="55" spans="8:16">
      <c r="H55" s="3213"/>
      <c r="L55" s="3213"/>
      <c r="M55" s="3213"/>
      <c r="O55" s="3213"/>
      <c r="P55" s="3213"/>
    </row>
    <row r="56" spans="8:16">
      <c r="H56" s="3213"/>
      <c r="L56" s="3213"/>
      <c r="M56" s="3213"/>
      <c r="O56" s="3213"/>
      <c r="P56" s="3213"/>
    </row>
    <row r="57" spans="8:16">
      <c r="H57" s="3213"/>
      <c r="L57" s="3213"/>
      <c r="M57" s="3213"/>
      <c r="O57" s="3213"/>
      <c r="P57" s="3213"/>
    </row>
    <row r="58" spans="8:16">
      <c r="H58" s="3213"/>
      <c r="L58" s="3213"/>
      <c r="M58" s="3213"/>
      <c r="O58" s="3213"/>
      <c r="P58" s="3213"/>
    </row>
    <row r="59" spans="8:16">
      <c r="H59" s="3213"/>
      <c r="L59" s="3213"/>
      <c r="M59" s="3213"/>
      <c r="O59" s="3213"/>
      <c r="P59" s="3213"/>
    </row>
    <row r="60" spans="8:16">
      <c r="H60" s="3213"/>
      <c r="L60" s="3213"/>
      <c r="M60" s="3213"/>
      <c r="O60" s="3213"/>
      <c r="P60" s="3213"/>
    </row>
    <row r="61" spans="8:16">
      <c r="H61" s="3213"/>
      <c r="L61" s="3213"/>
      <c r="M61" s="3213"/>
      <c r="O61" s="3213"/>
      <c r="P61" s="3213"/>
    </row>
    <row r="62" spans="8:16">
      <c r="H62" s="3213"/>
      <c r="L62" s="3213"/>
      <c r="M62" s="3213"/>
      <c r="O62" s="3213"/>
      <c r="P62" s="3213"/>
    </row>
    <row r="63" spans="8:16">
      <c r="H63" s="3213"/>
      <c r="L63" s="3213"/>
      <c r="M63" s="3213"/>
      <c r="O63" s="3213"/>
      <c r="P63" s="3213"/>
    </row>
    <row r="64" spans="8:16">
      <c r="H64" s="3213"/>
      <c r="L64" s="3213"/>
      <c r="M64" s="3213"/>
      <c r="O64" s="3213"/>
      <c r="P64" s="3213"/>
    </row>
    <row r="65" spans="8:16">
      <c r="H65" s="3213"/>
      <c r="L65" s="3213"/>
      <c r="M65" s="3213"/>
      <c r="O65" s="3213"/>
      <c r="P65" s="3213"/>
    </row>
    <row r="66" spans="8:16">
      <c r="H66" s="3213"/>
      <c r="L66" s="3213"/>
      <c r="M66" s="3213"/>
      <c r="O66" s="3213"/>
      <c r="P66" s="3213"/>
    </row>
    <row r="67" spans="8:16">
      <c r="H67" s="3213"/>
      <c r="L67" s="3213"/>
      <c r="M67" s="3213"/>
      <c r="O67" s="3213"/>
      <c r="P67" s="3213"/>
    </row>
    <row r="68" spans="8:16">
      <c r="H68" s="3213"/>
      <c r="L68" s="3213"/>
      <c r="M68" s="3213"/>
      <c r="O68" s="3213"/>
      <c r="P68" s="3213"/>
    </row>
    <row r="69" spans="8:16">
      <c r="H69" s="3213"/>
      <c r="L69" s="3213"/>
      <c r="M69" s="3213"/>
      <c r="O69" s="3213"/>
      <c r="P69" s="3213"/>
    </row>
    <row r="70" spans="8:16">
      <c r="H70" s="3213"/>
      <c r="L70" s="3213"/>
      <c r="M70" s="3213"/>
      <c r="O70" s="3213"/>
      <c r="P70" s="3213"/>
    </row>
    <row r="71" spans="8:16">
      <c r="H71" s="3213"/>
      <c r="L71" s="3213"/>
      <c r="M71" s="3213"/>
      <c r="O71" s="3213"/>
      <c r="P71" s="3213"/>
    </row>
    <row r="72" spans="8:16">
      <c r="H72" s="3213"/>
      <c r="L72" s="3213"/>
      <c r="M72" s="3213"/>
      <c r="O72" s="3213"/>
      <c r="P72" s="3213"/>
    </row>
    <row r="73" spans="8:16">
      <c r="H73" s="3213"/>
      <c r="L73" s="3213"/>
      <c r="M73" s="3213"/>
      <c r="O73" s="3213"/>
      <c r="P73" s="3213"/>
    </row>
    <row r="74" spans="8:16">
      <c r="H74" s="3213"/>
      <c r="L74" s="3213"/>
      <c r="M74" s="3213"/>
      <c r="O74" s="3213"/>
      <c r="P74" s="3213"/>
    </row>
    <row r="75" spans="8:16">
      <c r="H75" s="3213"/>
      <c r="L75" s="3213"/>
      <c r="M75" s="3213"/>
      <c r="O75" s="3213"/>
      <c r="P75" s="3213"/>
    </row>
    <row r="76" spans="8:16">
      <c r="H76" s="3213"/>
      <c r="L76" s="3213"/>
      <c r="M76" s="3213"/>
      <c r="O76" s="3213"/>
      <c r="P76" s="3213"/>
    </row>
    <row r="77" spans="8:16">
      <c r="H77" s="3213"/>
      <c r="L77" s="3213"/>
      <c r="M77" s="3213"/>
      <c r="O77" s="3213"/>
      <c r="P77" s="3213"/>
    </row>
    <row r="78" spans="8:16">
      <c r="H78" s="3213"/>
      <c r="L78" s="3213"/>
      <c r="M78" s="3213"/>
      <c r="O78" s="3213"/>
      <c r="P78" s="3213"/>
    </row>
    <row r="79" spans="8:16">
      <c r="H79" s="3213"/>
      <c r="L79" s="3213"/>
      <c r="M79" s="3213"/>
      <c r="O79" s="3213"/>
      <c r="P79" s="3213"/>
    </row>
    <row r="80" spans="8:16">
      <c r="H80" s="3213"/>
      <c r="L80" s="3213"/>
      <c r="M80" s="3213"/>
      <c r="O80" s="3213"/>
      <c r="P80" s="3213"/>
    </row>
    <row r="81" spans="8:16">
      <c r="H81" s="3213"/>
      <c r="L81" s="3213"/>
      <c r="M81" s="3213"/>
      <c r="O81" s="3213"/>
      <c r="P81" s="3213"/>
    </row>
    <row r="82" spans="8:16">
      <c r="H82" s="3213"/>
      <c r="L82" s="3213"/>
      <c r="M82" s="3213"/>
      <c r="O82" s="3213"/>
      <c r="P82" s="3213"/>
    </row>
    <row r="83" spans="8:16">
      <c r="H83" s="3213"/>
      <c r="L83" s="3213"/>
      <c r="M83" s="3213"/>
      <c r="O83" s="3213"/>
      <c r="P83" s="3213"/>
    </row>
    <row r="84" spans="8:16">
      <c r="H84" s="3213"/>
      <c r="L84" s="3213"/>
      <c r="M84" s="3213"/>
      <c r="O84" s="3213"/>
      <c r="P84" s="3213"/>
    </row>
    <row r="85" spans="8:16">
      <c r="H85" s="3213"/>
      <c r="L85" s="3213"/>
      <c r="M85" s="3213"/>
      <c r="O85" s="3213"/>
      <c r="P85" s="3213"/>
    </row>
    <row r="86" spans="8:16">
      <c r="H86" s="3213"/>
      <c r="L86" s="3213"/>
      <c r="M86" s="3213"/>
      <c r="O86" s="3213"/>
      <c r="P86" s="3213"/>
    </row>
    <row r="87" spans="8:16">
      <c r="H87" s="3213"/>
      <c r="L87" s="3213"/>
      <c r="M87" s="3213"/>
      <c r="O87" s="3213"/>
      <c r="P87" s="3213"/>
    </row>
    <row r="88" spans="8:16">
      <c r="H88" s="3213"/>
      <c r="L88" s="3213"/>
      <c r="M88" s="3213"/>
      <c r="O88" s="3213"/>
      <c r="P88" s="3213"/>
    </row>
    <row r="89" spans="8:16">
      <c r="H89" s="3213"/>
      <c r="L89" s="3213"/>
      <c r="M89" s="3213"/>
      <c r="O89" s="3213"/>
      <c r="P89" s="3213"/>
    </row>
    <row r="90" spans="8:16">
      <c r="H90" s="3213"/>
      <c r="L90" s="3213"/>
      <c r="M90" s="3213"/>
      <c r="O90" s="3213"/>
      <c r="P90" s="3213"/>
    </row>
    <row r="91" spans="8:16">
      <c r="H91" s="3213"/>
      <c r="L91" s="3213"/>
      <c r="M91" s="3213"/>
      <c r="O91" s="3213"/>
      <c r="P91" s="3213"/>
    </row>
    <row r="92" spans="8:16">
      <c r="H92" s="3213"/>
      <c r="L92" s="3213"/>
      <c r="M92" s="3213"/>
      <c r="O92" s="3213"/>
      <c r="P92" s="3213"/>
    </row>
    <row r="93" spans="8:16">
      <c r="H93" s="3213"/>
      <c r="L93" s="3213"/>
      <c r="M93" s="3213"/>
      <c r="O93" s="3213"/>
      <c r="P93" s="3213"/>
    </row>
    <row r="94" spans="8:16">
      <c r="H94" s="3213"/>
      <c r="L94" s="3213"/>
      <c r="M94" s="3213"/>
      <c r="O94" s="3213"/>
      <c r="P94" s="3213"/>
    </row>
    <row r="95" spans="8:16">
      <c r="H95" s="3213"/>
      <c r="L95" s="3213"/>
      <c r="M95" s="3213"/>
      <c r="O95" s="3213"/>
      <c r="P95" s="3213"/>
    </row>
    <row r="96" spans="8:16">
      <c r="H96" s="3213"/>
      <c r="L96" s="3213"/>
      <c r="M96" s="3213"/>
      <c r="O96" s="3213"/>
      <c r="P96" s="3213"/>
    </row>
    <row r="97" spans="8:16">
      <c r="H97" s="3213"/>
      <c r="L97" s="3213"/>
      <c r="M97" s="3213"/>
      <c r="O97" s="3213"/>
      <c r="P97" s="3213"/>
    </row>
    <row r="98" spans="8:16">
      <c r="H98" s="3213"/>
      <c r="L98" s="3213"/>
      <c r="M98" s="3213"/>
      <c r="O98" s="3213"/>
      <c r="P98" s="3213"/>
    </row>
    <row r="99" spans="8:16">
      <c r="H99" s="3213"/>
      <c r="L99" s="3213"/>
      <c r="M99" s="3213"/>
      <c r="O99" s="3213"/>
      <c r="P99" s="3213"/>
    </row>
    <row r="100" spans="8:16">
      <c r="H100" s="3213"/>
      <c r="L100" s="3213"/>
      <c r="M100" s="3213"/>
      <c r="O100" s="3213"/>
      <c r="P100" s="3213"/>
    </row>
    <row r="101" spans="8:16">
      <c r="H101" s="3213"/>
      <c r="L101" s="3213"/>
      <c r="M101" s="3213"/>
      <c r="O101" s="3213"/>
      <c r="P101" s="3213"/>
    </row>
    <row r="102" spans="8:16">
      <c r="H102" s="3213"/>
      <c r="L102" s="3213"/>
      <c r="M102" s="3213"/>
      <c r="O102" s="3213"/>
      <c r="P102" s="3213"/>
    </row>
    <row r="103" spans="8:16">
      <c r="H103" s="3213"/>
      <c r="L103" s="3213"/>
      <c r="M103" s="3213"/>
      <c r="O103" s="3213"/>
      <c r="P103" s="3213"/>
    </row>
    <row r="104" spans="8:16">
      <c r="H104" s="3213"/>
      <c r="L104" s="3213"/>
      <c r="M104" s="3213"/>
      <c r="O104" s="3213"/>
      <c r="P104" s="3213"/>
    </row>
    <row r="105" spans="8:16">
      <c r="H105" s="3213"/>
      <c r="L105" s="3213"/>
      <c r="M105" s="3213"/>
      <c r="O105" s="3213"/>
      <c r="P105" s="3213"/>
    </row>
    <row r="106" spans="8:16">
      <c r="H106" s="3213"/>
      <c r="L106" s="3213"/>
      <c r="M106" s="3213"/>
      <c r="O106" s="3213"/>
      <c r="P106" s="3213"/>
    </row>
    <row r="107" spans="8:16">
      <c r="H107" s="3213"/>
      <c r="L107" s="3213"/>
      <c r="M107" s="3213"/>
      <c r="O107" s="3213"/>
      <c r="P107" s="3213"/>
    </row>
    <row r="108" spans="8:16">
      <c r="H108" s="3213"/>
      <c r="L108" s="3213"/>
      <c r="M108" s="3213"/>
      <c r="O108" s="3213"/>
      <c r="P108" s="3213"/>
    </row>
    <row r="109" spans="8:16">
      <c r="H109" s="3213"/>
      <c r="L109" s="3213"/>
      <c r="M109" s="3213"/>
      <c r="O109" s="3213"/>
      <c r="P109" s="3213"/>
    </row>
    <row r="110" spans="8:16">
      <c r="H110" s="3213"/>
      <c r="L110" s="3213"/>
      <c r="M110" s="3213"/>
      <c r="O110" s="3213"/>
      <c r="P110" s="3213"/>
    </row>
    <row r="111" spans="8:16">
      <c r="H111" s="3213"/>
      <c r="L111" s="3213"/>
      <c r="M111" s="3213"/>
      <c r="O111" s="3213"/>
      <c r="P111" s="3213"/>
    </row>
    <row r="112" spans="8:16">
      <c r="H112" s="3213"/>
      <c r="L112" s="3213"/>
      <c r="M112" s="3213"/>
      <c r="O112" s="3213"/>
      <c r="P112" s="3213"/>
    </row>
    <row r="113" spans="8:16">
      <c r="H113" s="3213"/>
      <c r="L113" s="3213"/>
      <c r="M113" s="3213"/>
      <c r="O113" s="3213"/>
      <c r="P113" s="3213"/>
    </row>
    <row r="114" spans="8:16">
      <c r="H114" s="3213"/>
      <c r="L114" s="3213"/>
      <c r="M114" s="3213"/>
      <c r="O114" s="3213"/>
      <c r="P114" s="3213"/>
    </row>
    <row r="115" spans="8:16">
      <c r="H115" s="3213"/>
      <c r="L115" s="3213"/>
      <c r="M115" s="3213"/>
      <c r="O115" s="3213"/>
      <c r="P115" s="3213"/>
    </row>
    <row r="116" spans="8:16">
      <c r="H116" s="3213"/>
      <c r="L116" s="3213"/>
      <c r="M116" s="3213"/>
      <c r="O116" s="3213"/>
      <c r="P116" s="3213"/>
    </row>
    <row r="117" spans="8:16">
      <c r="H117" s="3213"/>
      <c r="L117" s="3213"/>
      <c r="M117" s="3213"/>
      <c r="O117" s="3213"/>
      <c r="P117" s="3213"/>
    </row>
    <row r="118" spans="8:16">
      <c r="H118" s="3213"/>
      <c r="L118" s="3213"/>
      <c r="M118" s="3213"/>
      <c r="O118" s="3213"/>
      <c r="P118" s="3213"/>
    </row>
    <row r="119" spans="8:16">
      <c r="H119" s="3213"/>
      <c r="L119" s="3213"/>
      <c r="M119" s="3213"/>
      <c r="O119" s="3213"/>
      <c r="P119" s="3213"/>
    </row>
    <row r="120" spans="8:16">
      <c r="H120" s="3213"/>
      <c r="L120" s="3213"/>
      <c r="M120" s="3213"/>
      <c r="O120" s="3213"/>
      <c r="P120" s="3213"/>
    </row>
    <row r="121" spans="8:16">
      <c r="H121" s="3213"/>
      <c r="L121" s="3213"/>
      <c r="M121" s="3213"/>
      <c r="O121" s="3213"/>
      <c r="P121" s="3213"/>
    </row>
    <row r="122" spans="8:16">
      <c r="H122" s="3213"/>
      <c r="L122" s="3213"/>
      <c r="M122" s="3213"/>
      <c r="O122" s="3213"/>
      <c r="P122" s="3213"/>
    </row>
    <row r="123" spans="8:16">
      <c r="H123" s="3213"/>
      <c r="L123" s="3213"/>
      <c r="M123" s="3213"/>
      <c r="O123" s="3213"/>
      <c r="P123" s="3213"/>
    </row>
    <row r="124" spans="8:16">
      <c r="H124" s="3213"/>
      <c r="L124" s="3213"/>
      <c r="M124" s="3213"/>
      <c r="O124" s="3213"/>
      <c r="P124" s="3213"/>
    </row>
    <row r="125" spans="8:16">
      <c r="H125" s="3213"/>
      <c r="L125" s="3213"/>
      <c r="M125" s="3213"/>
      <c r="O125" s="3213"/>
      <c r="P125" s="3213"/>
    </row>
    <row r="126" spans="8:16">
      <c r="H126" s="3213"/>
      <c r="L126" s="3213"/>
      <c r="M126" s="3213"/>
      <c r="O126" s="3213"/>
      <c r="P126" s="3213"/>
    </row>
    <row r="127" spans="8:16">
      <c r="H127" s="3213"/>
      <c r="L127" s="3213"/>
      <c r="M127" s="3213"/>
      <c r="O127" s="3213"/>
      <c r="P127" s="3213"/>
    </row>
    <row r="128" spans="8:16">
      <c r="H128" s="3213"/>
      <c r="L128" s="3213"/>
      <c r="M128" s="3213"/>
      <c r="O128" s="3213"/>
      <c r="P128" s="3213"/>
    </row>
    <row r="129" spans="8:16">
      <c r="H129" s="3213"/>
      <c r="L129" s="3213"/>
      <c r="M129" s="3213"/>
      <c r="O129" s="3213"/>
      <c r="P129" s="3213"/>
    </row>
    <row r="130" spans="8:16">
      <c r="H130" s="3213"/>
      <c r="L130" s="3213"/>
      <c r="M130" s="3213"/>
      <c r="O130" s="3213"/>
      <c r="P130" s="3213"/>
    </row>
    <row r="131" spans="8:16">
      <c r="H131" s="3213"/>
      <c r="L131" s="3213"/>
      <c r="M131" s="3213"/>
      <c r="O131" s="3213"/>
      <c r="P131" s="3213"/>
    </row>
    <row r="132" spans="8:16">
      <c r="H132" s="3213"/>
      <c r="L132" s="3213"/>
      <c r="M132" s="3213"/>
      <c r="O132" s="3213"/>
      <c r="P132" s="3213"/>
    </row>
    <row r="133" spans="8:16">
      <c r="H133" s="3213"/>
      <c r="L133" s="3213"/>
      <c r="M133" s="3213"/>
      <c r="O133" s="3213"/>
      <c r="P133" s="3213"/>
    </row>
    <row r="134" spans="8:16">
      <c r="H134" s="3213"/>
      <c r="L134" s="3213"/>
      <c r="M134" s="3213"/>
      <c r="O134" s="3213"/>
      <c r="P134" s="3213"/>
    </row>
    <row r="135" spans="8:16">
      <c r="H135" s="3213"/>
      <c r="L135" s="3213"/>
      <c r="M135" s="3213"/>
      <c r="O135" s="3213"/>
      <c r="P135" s="3213"/>
    </row>
    <row r="136" spans="8:16">
      <c r="H136" s="3213"/>
      <c r="L136" s="3213"/>
      <c r="M136" s="3213"/>
      <c r="O136" s="3213"/>
      <c r="P136" s="3213"/>
    </row>
    <row r="137" spans="8:16">
      <c r="H137" s="3213"/>
      <c r="L137" s="3213"/>
      <c r="M137" s="3213"/>
      <c r="O137" s="3213"/>
      <c r="P137" s="3213"/>
    </row>
    <row r="138" spans="8:16">
      <c r="H138" s="3213"/>
      <c r="L138" s="3213"/>
      <c r="M138" s="3213"/>
      <c r="O138" s="3213"/>
      <c r="P138" s="3213"/>
    </row>
    <row r="139" spans="8:16">
      <c r="H139" s="3213"/>
      <c r="L139" s="3213"/>
      <c r="M139" s="3213"/>
      <c r="O139" s="3213"/>
      <c r="P139" s="3213"/>
    </row>
    <row r="140" spans="8:16">
      <c r="H140" s="3213"/>
      <c r="L140" s="3213"/>
      <c r="M140" s="3213"/>
      <c r="O140" s="3213"/>
      <c r="P140" s="3213"/>
    </row>
    <row r="141" spans="8:16">
      <c r="H141" s="3213"/>
      <c r="L141" s="3213"/>
      <c r="M141" s="3213"/>
      <c r="O141" s="3213"/>
      <c r="P141" s="3213"/>
    </row>
    <row r="142" spans="8:16">
      <c r="H142" s="3213"/>
      <c r="L142" s="3213"/>
      <c r="M142" s="3213"/>
      <c r="O142" s="3213"/>
      <c r="P142" s="3213"/>
    </row>
    <row r="143" spans="8:16">
      <c r="H143" s="3213"/>
      <c r="L143" s="3213"/>
      <c r="M143" s="3213"/>
      <c r="O143" s="3213"/>
      <c r="P143" s="3213"/>
    </row>
    <row r="144" spans="8:16">
      <c r="H144" s="3213"/>
      <c r="L144" s="3213"/>
      <c r="M144" s="3213"/>
      <c r="O144" s="3213"/>
      <c r="P144" s="3213"/>
    </row>
    <row r="145" spans="8:16">
      <c r="H145" s="3213"/>
      <c r="L145" s="3213"/>
      <c r="M145" s="3213"/>
      <c r="O145" s="3213"/>
      <c r="P145" s="3213"/>
    </row>
    <row r="146" spans="8:16">
      <c r="H146" s="3213"/>
      <c r="L146" s="3213"/>
      <c r="M146" s="3213"/>
      <c r="O146" s="3213"/>
      <c r="P146" s="3213"/>
    </row>
    <row r="147" spans="8:16">
      <c r="H147" s="3213"/>
      <c r="L147" s="3213"/>
      <c r="M147" s="3213"/>
      <c r="O147" s="3213"/>
      <c r="P147" s="3213"/>
    </row>
    <row r="148" spans="8:16">
      <c r="H148" s="3213"/>
      <c r="L148" s="3213"/>
      <c r="M148" s="3213"/>
      <c r="O148" s="3213"/>
      <c r="P148" s="3213"/>
    </row>
    <row r="149" spans="8:16">
      <c r="H149" s="3213"/>
      <c r="L149" s="3213"/>
      <c r="M149" s="3213"/>
      <c r="O149" s="3213"/>
      <c r="P149" s="3213"/>
    </row>
    <row r="150" spans="8:16">
      <c r="H150" s="3213"/>
      <c r="L150" s="3213"/>
      <c r="M150" s="3213"/>
      <c r="O150" s="3213"/>
      <c r="P150" s="3213"/>
    </row>
    <row r="151" spans="8:16">
      <c r="H151" s="3213"/>
      <c r="L151" s="3213"/>
      <c r="M151" s="3213"/>
      <c r="O151" s="3213"/>
      <c r="P151" s="3213"/>
    </row>
    <row r="152" spans="8:16">
      <c r="H152" s="3213"/>
      <c r="L152" s="3213"/>
      <c r="M152" s="3213"/>
      <c r="O152" s="3213"/>
      <c r="P152" s="3213"/>
    </row>
    <row r="153" spans="8:16">
      <c r="H153" s="3213"/>
      <c r="L153" s="3213"/>
      <c r="M153" s="3213"/>
      <c r="O153" s="3213"/>
      <c r="P153" s="3213"/>
    </row>
    <row r="154" spans="8:16">
      <c r="H154" s="3213"/>
      <c r="L154" s="3213"/>
      <c r="M154" s="3213"/>
      <c r="O154" s="3213"/>
      <c r="P154" s="3213"/>
    </row>
    <row r="155" spans="8:16">
      <c r="H155" s="3213"/>
      <c r="L155" s="3213"/>
      <c r="M155" s="3213"/>
      <c r="O155" s="3213"/>
      <c r="P155" s="3213"/>
    </row>
    <row r="156" spans="8:16">
      <c r="H156" s="3213"/>
      <c r="L156" s="3213"/>
      <c r="M156" s="3213"/>
      <c r="O156" s="3213"/>
      <c r="P156" s="3213"/>
    </row>
    <row r="157" spans="8:16">
      <c r="H157" s="3213"/>
      <c r="L157" s="3213"/>
      <c r="M157" s="3213"/>
      <c r="O157" s="3213"/>
      <c r="P157" s="3213"/>
    </row>
    <row r="158" spans="8:16">
      <c r="H158" s="3213"/>
      <c r="L158" s="3213"/>
      <c r="M158" s="3213"/>
      <c r="O158" s="3213"/>
      <c r="P158" s="3213"/>
    </row>
    <row r="159" spans="8:16">
      <c r="H159" s="3213"/>
      <c r="L159" s="3213"/>
      <c r="M159" s="3213"/>
      <c r="O159" s="3213"/>
      <c r="P159" s="3213"/>
    </row>
    <row r="160" spans="8:16">
      <c r="H160" s="3213"/>
      <c r="L160" s="3213"/>
      <c r="M160" s="3213"/>
      <c r="O160" s="3213"/>
      <c r="P160" s="3213"/>
    </row>
    <row r="161" spans="8:16">
      <c r="H161" s="3213"/>
      <c r="L161" s="3213"/>
      <c r="M161" s="3213"/>
      <c r="O161" s="3213"/>
      <c r="P161" s="3213"/>
    </row>
    <row r="162" spans="8:16">
      <c r="H162" s="3213"/>
      <c r="L162" s="3213"/>
      <c r="M162" s="3213"/>
      <c r="O162" s="3213"/>
      <c r="P162" s="3213"/>
    </row>
    <row r="163" spans="8:16">
      <c r="H163" s="3213"/>
      <c r="L163" s="3213"/>
      <c r="M163" s="3213"/>
      <c r="O163" s="3213"/>
      <c r="P163" s="3213"/>
    </row>
    <row r="164" spans="8:16">
      <c r="H164" s="3213"/>
      <c r="L164" s="3213"/>
      <c r="M164" s="3213"/>
      <c r="O164" s="3213"/>
      <c r="P164" s="3213"/>
    </row>
    <row r="165" spans="8:16">
      <c r="H165" s="3213"/>
      <c r="L165" s="3213"/>
      <c r="M165" s="3213"/>
      <c r="O165" s="3213"/>
      <c r="P165" s="3213"/>
    </row>
    <row r="166" spans="8:16">
      <c r="H166" s="3213"/>
      <c r="L166" s="3213"/>
      <c r="M166" s="3213"/>
      <c r="O166" s="3213"/>
      <c r="P166" s="3213"/>
    </row>
    <row r="167" spans="8:16">
      <c r="H167" s="3213"/>
      <c r="L167" s="3213"/>
      <c r="M167" s="3213"/>
      <c r="O167" s="3213"/>
      <c r="P167" s="3213"/>
    </row>
    <row r="168" spans="8:16">
      <c r="H168" s="3213"/>
      <c r="L168" s="3213"/>
      <c r="M168" s="3213"/>
      <c r="O168" s="3213"/>
      <c r="P168" s="3213"/>
    </row>
    <row r="169" spans="8:16">
      <c r="H169" s="3213"/>
      <c r="L169" s="3213"/>
      <c r="M169" s="3213"/>
      <c r="O169" s="3213"/>
      <c r="P169" s="3213"/>
    </row>
    <row r="170" spans="8:16">
      <c r="H170" s="3213"/>
      <c r="L170" s="3213"/>
      <c r="M170" s="3213"/>
      <c r="O170" s="3213"/>
      <c r="P170" s="3213"/>
    </row>
    <row r="171" spans="8:16">
      <c r="H171" s="3213"/>
      <c r="L171" s="3213"/>
      <c r="M171" s="3213"/>
      <c r="O171" s="3213"/>
      <c r="P171" s="3213"/>
    </row>
    <row r="172" spans="8:16">
      <c r="H172" s="3213"/>
      <c r="L172" s="3213"/>
      <c r="M172" s="3213"/>
      <c r="O172" s="3213"/>
      <c r="P172" s="3213"/>
    </row>
    <row r="173" spans="8:16">
      <c r="H173" s="3213"/>
      <c r="L173" s="3213"/>
      <c r="M173" s="3213"/>
      <c r="O173" s="3213"/>
      <c r="P173" s="3213"/>
    </row>
    <row r="174" spans="8:16">
      <c r="H174" s="3213"/>
      <c r="L174" s="3213"/>
      <c r="M174" s="3213"/>
      <c r="O174" s="3213"/>
      <c r="P174" s="3213"/>
    </row>
    <row r="175" spans="8:16">
      <c r="H175" s="3213"/>
      <c r="L175" s="3213"/>
      <c r="M175" s="3213"/>
      <c r="O175" s="3213"/>
      <c r="P175" s="3213"/>
    </row>
    <row r="176" spans="8:16">
      <c r="H176" s="3213"/>
      <c r="L176" s="3213"/>
      <c r="M176" s="3213"/>
      <c r="O176" s="3213"/>
      <c r="P176" s="3213"/>
    </row>
    <row r="177" spans="8:16">
      <c r="H177" s="3213"/>
      <c r="L177" s="3213"/>
      <c r="M177" s="3213"/>
      <c r="O177" s="3213"/>
      <c r="P177" s="3213"/>
    </row>
    <row r="178" spans="8:16">
      <c r="H178" s="3213"/>
      <c r="L178" s="3213"/>
      <c r="M178" s="3213"/>
      <c r="O178" s="3213"/>
      <c r="P178" s="3213"/>
    </row>
    <row r="179" spans="8:16">
      <c r="H179" s="3213"/>
      <c r="L179" s="3213"/>
      <c r="M179" s="3213"/>
      <c r="O179" s="3213"/>
      <c r="P179" s="3213"/>
    </row>
    <row r="180" spans="8:16">
      <c r="H180" s="3213"/>
      <c r="L180" s="3213"/>
      <c r="M180" s="3213"/>
      <c r="O180" s="3213"/>
      <c r="P180" s="3213"/>
    </row>
    <row r="181" spans="8:16">
      <c r="H181" s="3213"/>
      <c r="L181" s="3213"/>
      <c r="M181" s="3213"/>
      <c r="O181" s="3213"/>
      <c r="P181" s="3213"/>
    </row>
    <row r="182" spans="8:16">
      <c r="H182" s="3213"/>
      <c r="L182" s="3213"/>
      <c r="M182" s="3213"/>
      <c r="O182" s="3213"/>
      <c r="P182" s="3213"/>
    </row>
    <row r="183" spans="8:16">
      <c r="H183" s="3213"/>
      <c r="L183" s="3213"/>
      <c r="M183" s="3213"/>
      <c r="O183" s="3213"/>
      <c r="P183" s="3213"/>
    </row>
    <row r="184" spans="8:16">
      <c r="H184" s="3213"/>
      <c r="L184" s="3213"/>
      <c r="M184" s="3213"/>
      <c r="O184" s="3213"/>
      <c r="P184" s="3213"/>
    </row>
    <row r="185" spans="8:16">
      <c r="H185" s="3213"/>
      <c r="L185" s="3213"/>
      <c r="M185" s="3213"/>
      <c r="O185" s="3213"/>
      <c r="P185" s="3213"/>
    </row>
    <row r="186" spans="8:16">
      <c r="H186" s="3213"/>
      <c r="L186" s="3213"/>
      <c r="M186" s="3213"/>
      <c r="O186" s="3213"/>
      <c r="P186" s="3213"/>
    </row>
    <row r="187" spans="8:16">
      <c r="H187" s="3213"/>
      <c r="L187" s="3213"/>
      <c r="M187" s="3213"/>
      <c r="O187" s="3213"/>
      <c r="P187" s="3213"/>
    </row>
    <row r="188" spans="8:16">
      <c r="H188" s="3213"/>
      <c r="L188" s="3213"/>
      <c r="M188" s="3213"/>
      <c r="O188" s="3213"/>
      <c r="P188" s="3213"/>
    </row>
    <row r="189" spans="8:16">
      <c r="H189" s="3213"/>
      <c r="L189" s="3213"/>
      <c r="M189" s="3213"/>
      <c r="O189" s="3213"/>
      <c r="P189" s="3213"/>
    </row>
    <row r="190" spans="8:16">
      <c r="H190" s="3213"/>
      <c r="L190" s="3213"/>
      <c r="M190" s="3213"/>
      <c r="O190" s="3213"/>
      <c r="P190" s="3213"/>
    </row>
    <row r="191" spans="8:16">
      <c r="H191" s="3213"/>
      <c r="L191" s="3213"/>
      <c r="M191" s="3213"/>
      <c r="O191" s="3213"/>
      <c r="P191" s="3213"/>
    </row>
    <row r="192" spans="8:16">
      <c r="H192" s="3213"/>
      <c r="L192" s="3213"/>
      <c r="M192" s="3213"/>
      <c r="O192" s="3213"/>
      <c r="P192" s="3213"/>
    </row>
    <row r="193" spans="8:16">
      <c r="H193" s="3213"/>
      <c r="L193" s="3213"/>
      <c r="M193" s="3213"/>
      <c r="O193" s="3213"/>
      <c r="P193" s="3213"/>
    </row>
    <row r="194" spans="8:16">
      <c r="H194" s="3213"/>
      <c r="L194" s="3213"/>
      <c r="M194" s="3213"/>
      <c r="O194" s="3213"/>
      <c r="P194" s="3213"/>
    </row>
    <row r="195" spans="8:16">
      <c r="H195" s="3213"/>
      <c r="L195" s="3213"/>
      <c r="M195" s="3213"/>
      <c r="O195" s="3213"/>
      <c r="P195" s="3213"/>
    </row>
    <row r="196" spans="8:16">
      <c r="H196" s="3213"/>
      <c r="L196" s="3213"/>
      <c r="M196" s="3213"/>
      <c r="O196" s="3213"/>
      <c r="P196" s="3213"/>
    </row>
    <row r="197" spans="8:16">
      <c r="H197" s="3213"/>
      <c r="L197" s="3213"/>
      <c r="M197" s="3213"/>
      <c r="O197" s="3213"/>
      <c r="P197" s="3213"/>
    </row>
    <row r="198" spans="8:16">
      <c r="H198" s="3213"/>
      <c r="L198" s="3213"/>
      <c r="M198" s="3213"/>
      <c r="O198" s="3213"/>
      <c r="P198" s="3213"/>
    </row>
    <row r="199" spans="8:16">
      <c r="H199" s="3213"/>
      <c r="L199" s="3213"/>
      <c r="M199" s="3213"/>
      <c r="O199" s="3213"/>
      <c r="P199" s="3213"/>
    </row>
    <row r="200" spans="8:16">
      <c r="H200" s="3213"/>
      <c r="L200" s="3213"/>
      <c r="M200" s="3213"/>
      <c r="O200" s="3213"/>
      <c r="P200" s="3213"/>
    </row>
    <row r="201" spans="8:16">
      <c r="H201" s="3213"/>
      <c r="L201" s="3213"/>
      <c r="M201" s="3213"/>
      <c r="O201" s="3213"/>
      <c r="P201" s="3213"/>
    </row>
    <row r="202" spans="8:16">
      <c r="H202" s="3213"/>
      <c r="L202" s="3213"/>
      <c r="M202" s="3213"/>
      <c r="O202" s="3213"/>
      <c r="P202" s="3213"/>
    </row>
    <row r="203" spans="8:16">
      <c r="H203" s="3213"/>
      <c r="L203" s="3213"/>
      <c r="M203" s="3213"/>
      <c r="O203" s="3213"/>
      <c r="P203" s="3213"/>
    </row>
    <row r="204" spans="8:16">
      <c r="H204" s="3213"/>
      <c r="L204" s="3213"/>
      <c r="M204" s="3213"/>
      <c r="O204" s="3213"/>
      <c r="P204" s="3213"/>
    </row>
    <row r="205" spans="8:16">
      <c r="H205" s="3213"/>
      <c r="L205" s="3213"/>
      <c r="M205" s="3213"/>
      <c r="O205" s="3213"/>
      <c r="P205" s="3213"/>
    </row>
    <row r="206" spans="8:16">
      <c r="H206" s="3213"/>
      <c r="L206" s="3213"/>
      <c r="M206" s="3213"/>
      <c r="O206" s="3213"/>
      <c r="P206" s="3213"/>
    </row>
    <row r="207" spans="8:16">
      <c r="H207" s="3213"/>
      <c r="L207" s="3213"/>
      <c r="M207" s="3213"/>
      <c r="O207" s="3213"/>
      <c r="P207" s="3213"/>
    </row>
    <row r="208" spans="8:16">
      <c r="H208" s="3213"/>
      <c r="L208" s="3213"/>
      <c r="M208" s="3213"/>
      <c r="O208" s="3213"/>
      <c r="P208" s="3213"/>
    </row>
    <row r="209" spans="8:16">
      <c r="H209" s="3213"/>
      <c r="L209" s="3213"/>
      <c r="M209" s="3213"/>
      <c r="O209" s="3213"/>
      <c r="P209" s="3213"/>
    </row>
    <row r="210" spans="8:16">
      <c r="H210" s="3213"/>
      <c r="L210" s="3213"/>
      <c r="M210" s="3213"/>
      <c r="O210" s="3213"/>
      <c r="P210" s="3213"/>
    </row>
    <row r="211" spans="8:16">
      <c r="H211" s="3213"/>
      <c r="L211" s="3213"/>
      <c r="M211" s="3213"/>
      <c r="O211" s="3213"/>
      <c r="P211" s="3213"/>
    </row>
    <row r="212" spans="8:16">
      <c r="H212" s="3213"/>
      <c r="L212" s="3213"/>
      <c r="M212" s="3213"/>
      <c r="O212" s="3213"/>
      <c r="P212" s="3213"/>
    </row>
    <row r="213" spans="8:16">
      <c r="H213" s="3213"/>
      <c r="L213" s="3213"/>
      <c r="M213" s="3213"/>
      <c r="O213" s="3213"/>
      <c r="P213" s="3213"/>
    </row>
    <row r="214" spans="8:16">
      <c r="H214" s="3213"/>
      <c r="L214" s="3213"/>
      <c r="M214" s="3213"/>
      <c r="O214" s="3213"/>
      <c r="P214" s="3213"/>
    </row>
    <row r="215" spans="8:16">
      <c r="H215" s="3213"/>
      <c r="L215" s="3213"/>
      <c r="M215" s="3213"/>
      <c r="O215" s="3213"/>
      <c r="P215" s="3213"/>
    </row>
    <row r="216" spans="8:16">
      <c r="H216" s="3213"/>
      <c r="L216" s="3213"/>
      <c r="M216" s="3213"/>
      <c r="O216" s="3213"/>
      <c r="P216" s="3213"/>
    </row>
    <row r="217" spans="8:16">
      <c r="H217" s="3213"/>
      <c r="L217" s="3213"/>
      <c r="M217" s="3213"/>
      <c r="O217" s="3213"/>
      <c r="P217" s="3213"/>
    </row>
    <row r="218" spans="8:16">
      <c r="H218" s="3213"/>
      <c r="L218" s="3213"/>
      <c r="M218" s="3213"/>
      <c r="O218" s="3213"/>
      <c r="P218" s="3213"/>
    </row>
    <row r="219" spans="8:16">
      <c r="H219" s="3213"/>
      <c r="L219" s="3213"/>
      <c r="M219" s="3213"/>
      <c r="O219" s="3213"/>
      <c r="P219" s="3213"/>
    </row>
    <row r="220" spans="8:16">
      <c r="H220" s="3213"/>
      <c r="L220" s="3213"/>
      <c r="M220" s="3213"/>
      <c r="O220" s="3213"/>
      <c r="P220" s="3213"/>
    </row>
    <row r="221" spans="8:16">
      <c r="H221" s="3213"/>
      <c r="L221" s="3213"/>
      <c r="M221" s="3213"/>
      <c r="O221" s="3213"/>
      <c r="P221" s="3213"/>
    </row>
    <row r="222" spans="8:16">
      <c r="H222" s="3213"/>
      <c r="L222" s="3213"/>
      <c r="M222" s="3213"/>
      <c r="O222" s="3213"/>
      <c r="P222" s="3213"/>
    </row>
    <row r="223" spans="8:16">
      <c r="H223" s="3213"/>
      <c r="L223" s="3213"/>
      <c r="M223" s="3213"/>
      <c r="O223" s="3213"/>
      <c r="P223" s="3213"/>
    </row>
    <row r="224" spans="8:16">
      <c r="H224" s="3213"/>
      <c r="L224" s="3213"/>
      <c r="M224" s="3213"/>
      <c r="O224" s="3213"/>
      <c r="P224" s="3213"/>
    </row>
    <row r="225" spans="8:16">
      <c r="H225" s="3213"/>
      <c r="L225" s="3213"/>
      <c r="M225" s="3213"/>
      <c r="O225" s="3213"/>
      <c r="P225" s="3213"/>
    </row>
    <row r="226" spans="8:16">
      <c r="H226" s="3213"/>
      <c r="L226" s="3213"/>
      <c r="M226" s="3213"/>
      <c r="O226" s="3213"/>
      <c r="P226" s="3213"/>
    </row>
    <row r="227" spans="8:16">
      <c r="H227" s="3213"/>
      <c r="L227" s="3213"/>
      <c r="M227" s="3213"/>
      <c r="O227" s="3213"/>
      <c r="P227" s="3213"/>
    </row>
    <row r="228" spans="8:16">
      <c r="H228" s="3213"/>
      <c r="L228" s="3213"/>
      <c r="M228" s="3213"/>
      <c r="O228" s="3213"/>
      <c r="P228" s="3213"/>
    </row>
    <row r="229" spans="8:16">
      <c r="H229" s="3213"/>
      <c r="L229" s="3213"/>
      <c r="M229" s="3213"/>
      <c r="O229" s="3213"/>
      <c r="P229" s="3213"/>
    </row>
    <row r="230" spans="8:16">
      <c r="H230" s="3213"/>
      <c r="L230" s="3213"/>
      <c r="M230" s="3213"/>
      <c r="O230" s="3213"/>
      <c r="P230" s="3213"/>
    </row>
    <row r="231" spans="8:16">
      <c r="H231" s="3213"/>
      <c r="L231" s="3213"/>
      <c r="M231" s="3213"/>
      <c r="O231" s="3213"/>
      <c r="P231" s="3213"/>
    </row>
    <row r="232" spans="8:16">
      <c r="H232" s="3213"/>
      <c r="L232" s="3213"/>
      <c r="M232" s="3213"/>
      <c r="O232" s="3213"/>
      <c r="P232" s="3213"/>
    </row>
    <row r="233" spans="8:16">
      <c r="H233" s="3213"/>
      <c r="L233" s="3213"/>
      <c r="M233" s="3213"/>
      <c r="O233" s="3213"/>
      <c r="P233" s="3213"/>
    </row>
    <row r="234" spans="8:16">
      <c r="H234" s="3213"/>
      <c r="L234" s="3213"/>
      <c r="M234" s="3213"/>
      <c r="O234" s="3213"/>
      <c r="P234" s="3213"/>
    </row>
    <row r="235" spans="8:16">
      <c r="H235" s="3213"/>
      <c r="L235" s="3213"/>
      <c r="M235" s="3213"/>
      <c r="O235" s="3213"/>
      <c r="P235" s="3213"/>
    </row>
    <row r="236" spans="8:16">
      <c r="H236" s="3213"/>
      <c r="L236" s="3213"/>
      <c r="M236" s="3213"/>
      <c r="O236" s="3213"/>
      <c r="P236" s="3213"/>
    </row>
    <row r="237" spans="8:16">
      <c r="H237" s="3213"/>
      <c r="L237" s="3213"/>
      <c r="M237" s="3213"/>
      <c r="O237" s="3213"/>
      <c r="P237" s="3213"/>
    </row>
    <row r="238" spans="8:16">
      <c r="H238" s="3213"/>
      <c r="L238" s="3213"/>
      <c r="M238" s="3213"/>
      <c r="O238" s="3213"/>
      <c r="P238" s="3213"/>
    </row>
    <row r="239" spans="8:16">
      <c r="H239" s="3213"/>
      <c r="L239" s="3213"/>
      <c r="M239" s="3213"/>
      <c r="O239" s="3213"/>
      <c r="P239" s="3213"/>
    </row>
    <row r="240" spans="8:16">
      <c r="H240" s="3213"/>
      <c r="L240" s="3213"/>
      <c r="M240" s="3213"/>
      <c r="O240" s="3213"/>
      <c r="P240" s="3213"/>
    </row>
    <row r="241" spans="8:16">
      <c r="H241" s="3213"/>
      <c r="L241" s="3213"/>
      <c r="M241" s="3213"/>
      <c r="O241" s="3213"/>
      <c r="P241" s="3213"/>
    </row>
    <row r="242" spans="8:16">
      <c r="H242" s="3213"/>
      <c r="L242" s="3213"/>
      <c r="M242" s="3213"/>
      <c r="O242" s="3213"/>
      <c r="P242" s="3213"/>
    </row>
    <row r="243" spans="8:16">
      <c r="H243" s="3213"/>
      <c r="L243" s="3213"/>
      <c r="M243" s="3213"/>
      <c r="O243" s="3213"/>
      <c r="P243" s="3213"/>
    </row>
    <row r="244" spans="8:16">
      <c r="H244" s="3213"/>
      <c r="L244" s="3213"/>
      <c r="M244" s="3213"/>
      <c r="O244" s="3213"/>
      <c r="P244" s="3213"/>
    </row>
    <row r="245" spans="8:16">
      <c r="H245" s="3213"/>
      <c r="L245" s="3213"/>
      <c r="M245" s="3213"/>
      <c r="O245" s="3213"/>
      <c r="P245" s="3213"/>
    </row>
    <row r="246" spans="8:16">
      <c r="H246" s="3213"/>
      <c r="L246" s="3213"/>
      <c r="M246" s="3213"/>
      <c r="O246" s="3213"/>
      <c r="P246" s="3213"/>
    </row>
    <row r="247" spans="8:16">
      <c r="H247" s="3213"/>
      <c r="L247" s="3213"/>
      <c r="M247" s="3213"/>
      <c r="O247" s="3213"/>
      <c r="P247" s="3213"/>
    </row>
    <row r="248" spans="8:16">
      <c r="H248" s="3213"/>
      <c r="L248" s="3213"/>
      <c r="M248" s="3213"/>
      <c r="O248" s="3213"/>
      <c r="P248" s="3213"/>
    </row>
    <row r="249" spans="8:16">
      <c r="H249" s="3213"/>
      <c r="L249" s="3213"/>
      <c r="M249" s="3213"/>
      <c r="O249" s="3213"/>
      <c r="P249" s="3213"/>
    </row>
    <row r="250" spans="8:16">
      <c r="H250" s="3213"/>
      <c r="L250" s="3213"/>
      <c r="M250" s="3213"/>
      <c r="O250" s="3213"/>
      <c r="P250" s="3213"/>
    </row>
    <row r="251" spans="8:16">
      <c r="H251" s="3213"/>
      <c r="L251" s="3213"/>
      <c r="M251" s="3213"/>
      <c r="O251" s="3213"/>
      <c r="P251" s="3213"/>
    </row>
    <row r="252" spans="8:16">
      <c r="H252" s="3213"/>
      <c r="L252" s="3213"/>
      <c r="M252" s="3213"/>
      <c r="O252" s="3213"/>
      <c r="P252" s="3213"/>
    </row>
    <row r="253" spans="8:16">
      <c r="H253" s="3213"/>
      <c r="L253" s="3213"/>
      <c r="M253" s="3213"/>
      <c r="O253" s="3213"/>
      <c r="P253" s="3213"/>
    </row>
    <row r="254" spans="8:16">
      <c r="H254" s="3213"/>
      <c r="L254" s="3213"/>
      <c r="M254" s="3213"/>
      <c r="O254" s="3213"/>
      <c r="P254" s="3213"/>
    </row>
    <row r="255" spans="8:16">
      <c r="H255" s="3213"/>
      <c r="L255" s="3213"/>
      <c r="M255" s="3213"/>
      <c r="O255" s="3213"/>
      <c r="P255" s="3213"/>
    </row>
    <row r="256" spans="8:16">
      <c r="H256" s="3213"/>
      <c r="L256" s="3213"/>
      <c r="M256" s="3213"/>
      <c r="O256" s="3213"/>
      <c r="P256" s="3213"/>
    </row>
    <row r="257" spans="8:16">
      <c r="H257" s="3213"/>
      <c r="L257" s="3213"/>
      <c r="M257" s="3213"/>
      <c r="O257" s="3213"/>
      <c r="P257" s="3213"/>
    </row>
    <row r="258" spans="8:16">
      <c r="H258" s="3213"/>
      <c r="L258" s="3213"/>
      <c r="M258" s="3213"/>
      <c r="O258" s="3213"/>
      <c r="P258" s="3213"/>
    </row>
    <row r="259" spans="8:16">
      <c r="H259" s="3213"/>
      <c r="L259" s="3213"/>
      <c r="M259" s="3213"/>
      <c r="O259" s="3213"/>
      <c r="P259" s="3213"/>
    </row>
    <row r="260" spans="8:16">
      <c r="H260" s="3213"/>
      <c r="L260" s="3213"/>
      <c r="M260" s="3213"/>
      <c r="O260" s="3213"/>
      <c r="P260" s="3213"/>
    </row>
    <row r="261" spans="8:16">
      <c r="H261" s="3213"/>
      <c r="L261" s="3213"/>
      <c r="M261" s="3213"/>
      <c r="O261" s="3213"/>
      <c r="P261" s="3213"/>
    </row>
    <row r="262" spans="8:16">
      <c r="H262" s="3213"/>
      <c r="L262" s="3213"/>
      <c r="M262" s="3213"/>
      <c r="O262" s="3213"/>
      <c r="P262" s="3213"/>
    </row>
    <row r="263" spans="8:16">
      <c r="H263" s="3213"/>
      <c r="L263" s="3213"/>
      <c r="M263" s="3213"/>
      <c r="O263" s="3213"/>
      <c r="P263" s="3213"/>
    </row>
    <row r="264" spans="8:16">
      <c r="H264" s="3213"/>
      <c r="L264" s="3213"/>
      <c r="M264" s="3213"/>
      <c r="O264" s="3213"/>
      <c r="P264" s="3213"/>
    </row>
    <row r="265" spans="8:16">
      <c r="H265" s="3213"/>
      <c r="L265" s="3213"/>
      <c r="M265" s="3213"/>
      <c r="O265" s="3213"/>
      <c r="P265" s="3213"/>
    </row>
    <row r="266" spans="8:16">
      <c r="H266" s="3213"/>
      <c r="L266" s="3213"/>
      <c r="M266" s="3213"/>
      <c r="O266" s="3213"/>
      <c r="P266" s="3213"/>
    </row>
    <row r="267" spans="8:16">
      <c r="H267" s="3213"/>
      <c r="L267" s="3213"/>
      <c r="M267" s="3213"/>
      <c r="O267" s="3213"/>
      <c r="P267" s="3213"/>
    </row>
    <row r="268" spans="8:16">
      <c r="H268" s="3213"/>
      <c r="L268" s="3213"/>
      <c r="M268" s="3213"/>
      <c r="O268" s="3213"/>
      <c r="P268" s="3213"/>
    </row>
    <row r="269" spans="8:16">
      <c r="H269" s="3213"/>
      <c r="L269" s="3213"/>
      <c r="M269" s="3213"/>
      <c r="O269" s="3213"/>
      <c r="P269" s="3213"/>
    </row>
    <row r="270" spans="8:16">
      <c r="H270" s="3213"/>
      <c r="L270" s="3213"/>
      <c r="M270" s="3213"/>
      <c r="O270" s="3213"/>
      <c r="P270" s="3213"/>
    </row>
    <row r="271" spans="8:16">
      <c r="H271" s="3213"/>
      <c r="L271" s="3213"/>
      <c r="M271" s="3213"/>
      <c r="O271" s="3213"/>
      <c r="P271" s="3213"/>
    </row>
    <row r="272" spans="8:16">
      <c r="H272" s="3213"/>
      <c r="L272" s="3213"/>
      <c r="M272" s="3213"/>
      <c r="O272" s="3213"/>
      <c r="P272" s="3213"/>
    </row>
    <row r="273" spans="8:16">
      <c r="H273" s="3213"/>
      <c r="L273" s="3213"/>
      <c r="M273" s="3213"/>
      <c r="O273" s="3213"/>
      <c r="P273" s="3213"/>
    </row>
    <row r="274" spans="8:16">
      <c r="H274" s="3213"/>
      <c r="L274" s="3213"/>
      <c r="M274" s="3213"/>
      <c r="O274" s="3213"/>
      <c r="P274" s="3213"/>
    </row>
    <row r="275" spans="8:16">
      <c r="H275" s="3213"/>
      <c r="L275" s="3213"/>
      <c r="M275" s="3213"/>
      <c r="O275" s="3213"/>
      <c r="P275" s="3213"/>
    </row>
    <row r="276" spans="8:16">
      <c r="H276" s="3213"/>
      <c r="L276" s="3213"/>
      <c r="M276" s="3213"/>
      <c r="O276" s="3213"/>
      <c r="P276" s="3213"/>
    </row>
    <row r="277" spans="8:16">
      <c r="H277" s="3213"/>
      <c r="L277" s="3213"/>
      <c r="M277" s="3213"/>
      <c r="O277" s="3213"/>
      <c r="P277" s="3213"/>
    </row>
    <row r="278" spans="8:16">
      <c r="H278" s="3213"/>
      <c r="L278" s="3213"/>
      <c r="M278" s="3213"/>
      <c r="O278" s="3213"/>
      <c r="P278" s="3213"/>
    </row>
    <row r="279" spans="8:16">
      <c r="H279" s="3213"/>
      <c r="L279" s="3213"/>
      <c r="M279" s="3213"/>
      <c r="O279" s="3213"/>
      <c r="P279" s="3213"/>
    </row>
    <row r="280" spans="8:16">
      <c r="H280" s="3213"/>
      <c r="L280" s="3213"/>
      <c r="M280" s="3213"/>
      <c r="O280" s="3213"/>
      <c r="P280" s="3213"/>
    </row>
    <row r="281" spans="8:16">
      <c r="H281" s="3213"/>
      <c r="L281" s="3213"/>
      <c r="M281" s="3213"/>
      <c r="O281" s="3213"/>
      <c r="P281" s="3213"/>
    </row>
    <row r="282" spans="8:16">
      <c r="H282" s="3213"/>
      <c r="L282" s="3213"/>
      <c r="M282" s="3213"/>
      <c r="O282" s="3213"/>
      <c r="P282" s="3213"/>
    </row>
    <row r="283" spans="8:16">
      <c r="H283" s="3213"/>
      <c r="L283" s="3213"/>
      <c r="M283" s="3213"/>
      <c r="O283" s="3213"/>
      <c r="P283" s="3213"/>
    </row>
    <row r="284" spans="8:16">
      <c r="H284" s="3213"/>
      <c r="L284" s="3213"/>
      <c r="M284" s="3213"/>
      <c r="O284" s="3213"/>
      <c r="P284" s="3213"/>
    </row>
    <row r="285" spans="8:16">
      <c r="H285" s="3213"/>
      <c r="L285" s="3213"/>
      <c r="M285" s="3213"/>
      <c r="O285" s="3213"/>
      <c r="P285" s="3213"/>
    </row>
    <row r="286" spans="8:16">
      <c r="H286" s="3213"/>
      <c r="L286" s="3213"/>
      <c r="M286" s="3213"/>
      <c r="O286" s="3213"/>
      <c r="P286" s="3213"/>
    </row>
    <row r="287" spans="8:16">
      <c r="H287" s="3213"/>
      <c r="L287" s="3213"/>
      <c r="M287" s="3213"/>
      <c r="O287" s="3213"/>
      <c r="P287" s="3213"/>
    </row>
    <row r="288" spans="8:16">
      <c r="H288" s="3213"/>
      <c r="L288" s="3213"/>
      <c r="M288" s="3213"/>
      <c r="O288" s="3213"/>
      <c r="P288" s="3213"/>
    </row>
    <row r="289" spans="8:16">
      <c r="H289" s="3213"/>
      <c r="L289" s="3213"/>
      <c r="M289" s="3213"/>
      <c r="O289" s="3213"/>
      <c r="P289" s="3213"/>
    </row>
    <row r="290" spans="8:16">
      <c r="H290" s="3213"/>
      <c r="L290" s="3213"/>
      <c r="M290" s="3213"/>
      <c r="O290" s="3213"/>
      <c r="P290" s="3213"/>
    </row>
    <row r="291" spans="8:16">
      <c r="H291" s="3213"/>
      <c r="L291" s="3213"/>
      <c r="M291" s="3213"/>
      <c r="O291" s="3213"/>
      <c r="P291" s="3213"/>
    </row>
    <row r="292" spans="8:16">
      <c r="H292" s="3213"/>
      <c r="L292" s="3213"/>
      <c r="M292" s="3213"/>
      <c r="O292" s="3213"/>
      <c r="P292" s="3213"/>
    </row>
    <row r="293" spans="8:16">
      <c r="H293" s="3213"/>
      <c r="L293" s="3213"/>
      <c r="M293" s="3213"/>
      <c r="O293" s="3213"/>
      <c r="P293" s="3213"/>
    </row>
    <row r="294" spans="8:16">
      <c r="H294" s="3213"/>
      <c r="L294" s="3213"/>
      <c r="M294" s="3213"/>
      <c r="O294" s="3213"/>
      <c r="P294" s="3213"/>
    </row>
    <row r="295" spans="8:16">
      <c r="H295" s="3213"/>
      <c r="L295" s="3213"/>
      <c r="M295" s="3213"/>
      <c r="O295" s="3213"/>
      <c r="P295" s="3213"/>
    </row>
    <row r="296" spans="8:16">
      <c r="H296" s="3213"/>
      <c r="L296" s="3213"/>
      <c r="M296" s="3213"/>
      <c r="O296" s="3213"/>
      <c r="P296" s="3213"/>
    </row>
    <row r="297" spans="8:16">
      <c r="H297" s="3213"/>
      <c r="L297" s="3213"/>
      <c r="M297" s="3213"/>
      <c r="O297" s="3213"/>
      <c r="P297" s="3213"/>
    </row>
    <row r="298" spans="8:16">
      <c r="H298" s="3213"/>
      <c r="L298" s="3213"/>
      <c r="M298" s="3213"/>
      <c r="O298" s="3213"/>
      <c r="P298" s="3213"/>
    </row>
    <row r="299" spans="8:16">
      <c r="H299" s="3213"/>
      <c r="L299" s="3213"/>
      <c r="M299" s="3213"/>
      <c r="O299" s="3213"/>
      <c r="P299" s="3213"/>
    </row>
    <row r="300" spans="8:16">
      <c r="H300" s="3213"/>
      <c r="L300" s="3213"/>
      <c r="M300" s="3213"/>
      <c r="O300" s="3213"/>
      <c r="P300" s="3213"/>
    </row>
    <row r="301" spans="8:16">
      <c r="H301" s="3213"/>
      <c r="L301" s="3213"/>
      <c r="M301" s="3213"/>
      <c r="O301" s="3213"/>
      <c r="P301" s="3213"/>
    </row>
    <row r="302" spans="8:16">
      <c r="H302" s="3213"/>
      <c r="L302" s="3213"/>
      <c r="M302" s="3213"/>
      <c r="O302" s="3213"/>
      <c r="P302" s="3213"/>
    </row>
    <row r="303" spans="8:16">
      <c r="H303" s="3213"/>
      <c r="L303" s="3213"/>
      <c r="M303" s="3213"/>
      <c r="O303" s="3213"/>
      <c r="P303" s="3213"/>
    </row>
    <row r="304" spans="8:16">
      <c r="H304" s="3213"/>
      <c r="L304" s="3213"/>
      <c r="M304" s="3213"/>
      <c r="O304" s="3213"/>
      <c r="P304" s="3213"/>
    </row>
    <row r="305" spans="8:16">
      <c r="H305" s="3213"/>
      <c r="L305" s="3213"/>
      <c r="M305" s="3213"/>
      <c r="O305" s="3213"/>
      <c r="P305" s="3213"/>
    </row>
    <row r="306" spans="8:16">
      <c r="H306" s="3213"/>
      <c r="L306" s="3213"/>
      <c r="M306" s="3213"/>
      <c r="O306" s="3213"/>
      <c r="P306" s="3213"/>
    </row>
    <row r="307" spans="8:16">
      <c r="H307" s="3213"/>
      <c r="L307" s="3213"/>
      <c r="M307" s="3213"/>
      <c r="O307" s="3213"/>
      <c r="P307" s="3213"/>
    </row>
    <row r="308" spans="8:16">
      <c r="H308" s="3213"/>
      <c r="L308" s="3213"/>
      <c r="M308" s="3213"/>
      <c r="O308" s="3213"/>
      <c r="P308" s="3213"/>
    </row>
    <row r="309" spans="8:16">
      <c r="H309" s="3213"/>
      <c r="L309" s="3213"/>
      <c r="M309" s="3213"/>
      <c r="O309" s="3213"/>
      <c r="P309" s="3213"/>
    </row>
    <row r="310" spans="8:16">
      <c r="H310" s="3213"/>
      <c r="L310" s="3213"/>
      <c r="M310" s="3213"/>
      <c r="O310" s="3213"/>
      <c r="P310" s="3213"/>
    </row>
    <row r="311" spans="8:16">
      <c r="H311" s="3213"/>
      <c r="L311" s="3213"/>
      <c r="M311" s="3213"/>
      <c r="O311" s="3213"/>
      <c r="P311" s="3213"/>
    </row>
    <row r="312" spans="8:16">
      <c r="H312" s="3213"/>
      <c r="L312" s="3213"/>
      <c r="M312" s="3213"/>
      <c r="O312" s="3213"/>
      <c r="P312" s="3213"/>
    </row>
    <row r="313" spans="8:16">
      <c r="H313" s="3213"/>
      <c r="L313" s="3213"/>
      <c r="M313" s="3213"/>
      <c r="O313" s="3213"/>
      <c r="P313" s="3213"/>
    </row>
    <row r="314" spans="8:16">
      <c r="H314" s="3213"/>
      <c r="L314" s="3213"/>
      <c r="M314" s="3213"/>
      <c r="O314" s="3213"/>
      <c r="P314" s="3213"/>
    </row>
    <row r="315" spans="8:16">
      <c r="H315" s="3213"/>
      <c r="L315" s="3213"/>
      <c r="M315" s="3213"/>
      <c r="O315" s="3213"/>
      <c r="P315" s="3213"/>
    </row>
    <row r="316" spans="8:16">
      <c r="H316" s="3213"/>
      <c r="L316" s="3213"/>
      <c r="M316" s="3213"/>
      <c r="O316" s="3213"/>
      <c r="P316" s="3213"/>
    </row>
    <row r="317" spans="8:16">
      <c r="H317" s="3213"/>
      <c r="L317" s="3213"/>
      <c r="M317" s="3213"/>
      <c r="O317" s="3213"/>
      <c r="P317" s="3213"/>
    </row>
    <row r="318" spans="8:16">
      <c r="H318" s="3213"/>
      <c r="L318" s="3213"/>
      <c r="M318" s="3213"/>
      <c r="O318" s="3213"/>
      <c r="P318" s="3213"/>
    </row>
    <row r="319" spans="8:16">
      <c r="H319" s="3213"/>
      <c r="L319" s="3213"/>
      <c r="M319" s="3213"/>
      <c r="O319" s="3213"/>
      <c r="P319" s="3213"/>
    </row>
    <row r="320" spans="8:16">
      <c r="H320" s="3213"/>
      <c r="L320" s="3213"/>
      <c r="M320" s="3213"/>
      <c r="O320" s="3213"/>
      <c r="P320" s="3213"/>
    </row>
    <row r="321" spans="8:16">
      <c r="H321" s="3213"/>
      <c r="L321" s="3213"/>
      <c r="M321" s="3213"/>
      <c r="O321" s="3213"/>
      <c r="P321" s="3213"/>
    </row>
    <row r="322" spans="8:16">
      <c r="H322" s="3213"/>
      <c r="L322" s="3213"/>
      <c r="M322" s="3213"/>
      <c r="O322" s="3213"/>
      <c r="P322" s="3213"/>
    </row>
    <row r="323" spans="8:16">
      <c r="H323" s="3213"/>
      <c r="L323" s="3213"/>
      <c r="M323" s="3213"/>
      <c r="O323" s="3213"/>
      <c r="P323" s="3213"/>
    </row>
    <row r="324" spans="8:16">
      <c r="H324" s="3213"/>
      <c r="L324" s="3213"/>
      <c r="M324" s="3213"/>
      <c r="O324" s="3213"/>
      <c r="P324" s="3213"/>
    </row>
    <row r="325" spans="8:16">
      <c r="H325" s="3213"/>
      <c r="L325" s="3213"/>
      <c r="M325" s="3213"/>
      <c r="O325" s="3213"/>
      <c r="P325" s="3213"/>
    </row>
    <row r="326" spans="8:16">
      <c r="H326" s="3213"/>
      <c r="L326" s="3213"/>
      <c r="M326" s="3213"/>
      <c r="O326" s="3213"/>
      <c r="P326" s="3213"/>
    </row>
    <row r="327" spans="8:16">
      <c r="H327" s="3213"/>
      <c r="L327" s="3213"/>
      <c r="M327" s="3213"/>
      <c r="O327" s="3213"/>
      <c r="P327" s="3213"/>
    </row>
    <row r="328" spans="8:16">
      <c r="H328" s="3213"/>
      <c r="L328" s="3213"/>
      <c r="M328" s="3213"/>
      <c r="O328" s="3213"/>
      <c r="P328" s="3213"/>
    </row>
    <row r="329" spans="8:16">
      <c r="H329" s="3213"/>
      <c r="L329" s="3213"/>
      <c r="M329" s="3213"/>
      <c r="O329" s="3213"/>
      <c r="P329" s="3213"/>
    </row>
    <row r="330" spans="8:16">
      <c r="H330" s="3213"/>
      <c r="L330" s="3213"/>
      <c r="M330" s="3213"/>
      <c r="O330" s="3213"/>
      <c r="P330" s="3213"/>
    </row>
    <row r="331" spans="8:16">
      <c r="H331" s="3213"/>
      <c r="L331" s="3213"/>
      <c r="M331" s="3213"/>
      <c r="O331" s="3213"/>
      <c r="P331" s="3213"/>
    </row>
    <row r="332" spans="8:16">
      <c r="H332" s="3213"/>
      <c r="L332" s="3213"/>
      <c r="M332" s="3213"/>
      <c r="O332" s="3213"/>
      <c r="P332" s="3213"/>
    </row>
    <row r="333" spans="8:16">
      <c r="H333" s="3213"/>
      <c r="L333" s="3213"/>
      <c r="M333" s="3213"/>
      <c r="O333" s="3213"/>
      <c r="P333" s="3213"/>
    </row>
    <row r="334" spans="8:16">
      <c r="H334" s="3213"/>
      <c r="L334" s="3213"/>
      <c r="M334" s="3213"/>
      <c r="O334" s="3213"/>
      <c r="P334" s="3213"/>
    </row>
    <row r="335" spans="8:16">
      <c r="H335" s="3213"/>
      <c r="L335" s="3213"/>
      <c r="M335" s="3213"/>
      <c r="O335" s="3213"/>
      <c r="P335" s="3213"/>
    </row>
    <row r="336" spans="8:16">
      <c r="H336" s="3213"/>
      <c r="L336" s="3213"/>
      <c r="M336" s="3213"/>
      <c r="O336" s="3213"/>
      <c r="P336" s="3213"/>
    </row>
    <row r="337" spans="8:16">
      <c r="H337" s="3213"/>
      <c r="L337" s="3213"/>
      <c r="M337" s="3213"/>
      <c r="O337" s="3213"/>
      <c r="P337" s="3213"/>
    </row>
    <row r="338" spans="8:16">
      <c r="H338" s="3213"/>
      <c r="L338" s="3213"/>
      <c r="M338" s="3213"/>
      <c r="O338" s="3213"/>
      <c r="P338" s="3213"/>
    </row>
    <row r="339" spans="8:16">
      <c r="H339" s="3213"/>
      <c r="L339" s="3213"/>
      <c r="M339" s="3213"/>
      <c r="O339" s="3213"/>
      <c r="P339" s="3213"/>
    </row>
    <row r="340" spans="8:16">
      <c r="H340" s="3213"/>
      <c r="L340" s="3213"/>
      <c r="M340" s="3213"/>
      <c r="O340" s="3213"/>
      <c r="P340" s="3213"/>
    </row>
    <row r="341" spans="8:16">
      <c r="H341" s="3213"/>
      <c r="L341" s="3213"/>
      <c r="M341" s="3213"/>
      <c r="O341" s="3213"/>
      <c r="P341" s="3213"/>
    </row>
    <row r="342" spans="8:16">
      <c r="H342" s="3213"/>
      <c r="L342" s="3213"/>
      <c r="M342" s="3213"/>
      <c r="O342" s="3213"/>
      <c r="P342" s="3213"/>
    </row>
    <row r="343" spans="8:16">
      <c r="H343" s="3213"/>
      <c r="L343" s="3213"/>
      <c r="M343" s="3213"/>
      <c r="O343" s="3213"/>
      <c r="P343" s="3213"/>
    </row>
    <row r="344" spans="8:16">
      <c r="H344" s="3213"/>
      <c r="L344" s="3213"/>
      <c r="M344" s="3213"/>
      <c r="O344" s="3213"/>
      <c r="P344" s="3213"/>
    </row>
    <row r="345" spans="8:16">
      <c r="H345" s="3213"/>
      <c r="L345" s="3213"/>
      <c r="M345" s="3213"/>
      <c r="O345" s="3213"/>
      <c r="P345" s="3213"/>
    </row>
    <row r="346" spans="8:16">
      <c r="H346" s="3213"/>
      <c r="L346" s="3213"/>
      <c r="M346" s="3213"/>
      <c r="O346" s="3213"/>
      <c r="P346" s="3213"/>
    </row>
    <row r="347" spans="8:16">
      <c r="H347" s="3213"/>
      <c r="L347" s="3213"/>
      <c r="M347" s="3213"/>
      <c r="O347" s="3213"/>
      <c r="P347" s="3213"/>
    </row>
    <row r="348" spans="8:16">
      <c r="H348" s="3213"/>
      <c r="L348" s="3213"/>
      <c r="M348" s="3213"/>
      <c r="O348" s="3213"/>
      <c r="P348" s="3213"/>
    </row>
    <row r="349" spans="8:16">
      <c r="H349" s="3213"/>
      <c r="L349" s="3213"/>
      <c r="M349" s="3213"/>
      <c r="O349" s="3213"/>
      <c r="P349" s="3213"/>
    </row>
    <row r="350" spans="8:16">
      <c r="H350" s="3213"/>
      <c r="L350" s="3213"/>
      <c r="M350" s="3213"/>
      <c r="O350" s="3213"/>
      <c r="P350" s="3213"/>
    </row>
    <row r="351" spans="8:16">
      <c r="H351" s="3213"/>
      <c r="L351" s="3213"/>
      <c r="M351" s="3213"/>
      <c r="O351" s="3213"/>
      <c r="P351" s="3213"/>
    </row>
    <row r="352" spans="8:16">
      <c r="H352" s="3213"/>
      <c r="L352" s="3213"/>
      <c r="M352" s="3213"/>
      <c r="O352" s="3213"/>
      <c r="P352" s="3213"/>
    </row>
    <row r="353" spans="8:16">
      <c r="H353" s="3213"/>
      <c r="L353" s="3213"/>
      <c r="M353" s="3213"/>
      <c r="O353" s="3213"/>
      <c r="P353" s="3213"/>
    </row>
    <row r="354" spans="8:16">
      <c r="H354" s="3213"/>
      <c r="L354" s="3213"/>
      <c r="M354" s="3213"/>
      <c r="O354" s="3213"/>
      <c r="P354" s="3213"/>
    </row>
    <row r="355" spans="8:16">
      <c r="H355" s="3213"/>
      <c r="L355" s="3213"/>
      <c r="M355" s="3213"/>
      <c r="O355" s="3213"/>
      <c r="P355" s="3213"/>
    </row>
    <row r="356" spans="8:16">
      <c r="H356" s="3213"/>
      <c r="L356" s="3213"/>
      <c r="M356" s="3213"/>
      <c r="O356" s="3213"/>
      <c r="P356" s="3213"/>
    </row>
    <row r="357" spans="8:16">
      <c r="H357" s="3213"/>
      <c r="L357" s="3213"/>
      <c r="M357" s="3213"/>
      <c r="O357" s="3213"/>
      <c r="P357" s="3213"/>
    </row>
    <row r="358" spans="8:16">
      <c r="H358" s="3213"/>
      <c r="L358" s="3213"/>
      <c r="M358" s="3213"/>
      <c r="O358" s="3213"/>
      <c r="P358" s="3213"/>
    </row>
    <row r="359" spans="8:16">
      <c r="H359" s="3213"/>
      <c r="L359" s="3213"/>
      <c r="M359" s="3213"/>
      <c r="O359" s="3213"/>
      <c r="P359" s="3213"/>
    </row>
    <row r="360" spans="8:16">
      <c r="H360" s="3213"/>
      <c r="L360" s="3213"/>
      <c r="M360" s="3213"/>
      <c r="O360" s="3213"/>
      <c r="P360" s="3213"/>
    </row>
    <row r="361" spans="8:16">
      <c r="H361" s="3213"/>
      <c r="L361" s="3213"/>
      <c r="M361" s="3213"/>
      <c r="O361" s="3213"/>
      <c r="P361" s="3213"/>
    </row>
    <row r="362" spans="8:16">
      <c r="H362" s="3213"/>
      <c r="L362" s="3213"/>
      <c r="M362" s="3213"/>
      <c r="O362" s="3213"/>
      <c r="P362" s="3213"/>
    </row>
    <row r="363" spans="8:16">
      <c r="H363" s="3213"/>
      <c r="L363" s="3213"/>
      <c r="M363" s="3213"/>
      <c r="O363" s="3213"/>
      <c r="P363" s="3213"/>
    </row>
    <row r="364" spans="8:16">
      <c r="H364" s="3213"/>
      <c r="L364" s="3213"/>
      <c r="M364" s="3213"/>
      <c r="O364" s="3213"/>
      <c r="P364" s="3213"/>
    </row>
    <row r="365" spans="8:16">
      <c r="H365" s="3213"/>
      <c r="L365" s="3213"/>
      <c r="M365" s="3213"/>
      <c r="O365" s="3213"/>
      <c r="P365" s="3213"/>
    </row>
    <row r="366" spans="8:16">
      <c r="H366" s="3213"/>
      <c r="L366" s="3213"/>
      <c r="M366" s="3213"/>
      <c r="O366" s="3213"/>
      <c r="P366" s="3213"/>
    </row>
    <row r="367" spans="8:16">
      <c r="H367" s="3213"/>
      <c r="L367" s="3213"/>
      <c r="M367" s="3213"/>
      <c r="O367" s="3213"/>
      <c r="P367" s="3213"/>
    </row>
    <row r="368" spans="8:16">
      <c r="H368" s="3213"/>
      <c r="L368" s="3213"/>
      <c r="M368" s="3213"/>
      <c r="O368" s="3213"/>
      <c r="P368" s="3213"/>
    </row>
    <row r="369" spans="8:16">
      <c r="H369" s="3213"/>
      <c r="L369" s="3213"/>
      <c r="M369" s="3213"/>
      <c r="O369" s="3213"/>
      <c r="P369" s="3213"/>
    </row>
    <row r="370" spans="8:16">
      <c r="H370" s="3213"/>
      <c r="L370" s="3213"/>
      <c r="M370" s="3213"/>
      <c r="O370" s="3213"/>
      <c r="P370" s="3213"/>
    </row>
    <row r="371" spans="8:16">
      <c r="H371" s="3213"/>
      <c r="L371" s="3213"/>
      <c r="M371" s="3213"/>
      <c r="O371" s="3213"/>
      <c r="P371" s="3213"/>
    </row>
    <row r="372" spans="8:16">
      <c r="H372" s="3213"/>
      <c r="L372" s="3213"/>
      <c r="M372" s="3213"/>
      <c r="O372" s="3213"/>
      <c r="P372" s="3213"/>
    </row>
    <row r="373" spans="8:16">
      <c r="H373" s="3213"/>
      <c r="L373" s="3213"/>
      <c r="M373" s="3213"/>
      <c r="O373" s="3213"/>
      <c r="P373" s="3213"/>
    </row>
    <row r="374" spans="8:16">
      <c r="H374" s="3213"/>
      <c r="L374" s="3213"/>
      <c r="M374" s="3213"/>
      <c r="O374" s="3213"/>
      <c r="P374" s="3213"/>
    </row>
    <row r="375" spans="8:16">
      <c r="H375" s="3213"/>
      <c r="L375" s="3213"/>
      <c r="M375" s="3213"/>
      <c r="O375" s="3213"/>
      <c r="P375" s="3213"/>
    </row>
    <row r="376" spans="8:16">
      <c r="H376" s="3213"/>
      <c r="L376" s="3213"/>
      <c r="M376" s="3213"/>
      <c r="O376" s="3213"/>
      <c r="P376" s="3213"/>
    </row>
    <row r="377" spans="8:16">
      <c r="H377" s="3213"/>
      <c r="L377" s="3213"/>
      <c r="M377" s="3213"/>
      <c r="O377" s="3213"/>
      <c r="P377" s="3213"/>
    </row>
    <row r="378" spans="8:16">
      <c r="H378" s="3213"/>
      <c r="L378" s="3213"/>
      <c r="M378" s="3213"/>
      <c r="O378" s="3213"/>
      <c r="P378" s="3213"/>
    </row>
    <row r="379" spans="8:16">
      <c r="H379" s="3213"/>
      <c r="L379" s="3213"/>
      <c r="M379" s="3213"/>
      <c r="O379" s="3213"/>
      <c r="P379" s="3213"/>
    </row>
    <row r="380" spans="8:16">
      <c r="H380" s="3213"/>
      <c r="L380" s="3213"/>
      <c r="M380" s="3213"/>
      <c r="O380" s="3213"/>
      <c r="P380" s="3213"/>
    </row>
    <row r="381" spans="8:16">
      <c r="H381" s="3213"/>
      <c r="L381" s="3213"/>
      <c r="M381" s="3213"/>
      <c r="O381" s="3213"/>
      <c r="P381" s="3213"/>
    </row>
    <row r="382" spans="8:16">
      <c r="H382" s="3213"/>
      <c r="L382" s="3213"/>
      <c r="M382" s="3213"/>
      <c r="O382" s="3213"/>
      <c r="P382" s="3213"/>
    </row>
    <row r="383" spans="8:16">
      <c r="H383" s="3213"/>
      <c r="L383" s="3213"/>
      <c r="M383" s="3213"/>
      <c r="O383" s="3213"/>
      <c r="P383" s="3213"/>
    </row>
    <row r="384" spans="8:16">
      <c r="H384" s="3213"/>
      <c r="L384" s="3213"/>
      <c r="M384" s="3213"/>
      <c r="O384" s="3213"/>
      <c r="P384" s="3213"/>
    </row>
    <row r="385" spans="8:16">
      <c r="H385" s="3213"/>
      <c r="L385" s="3213"/>
      <c r="M385" s="3213"/>
      <c r="O385" s="3213"/>
      <c r="P385" s="3213"/>
    </row>
    <row r="386" spans="8:16">
      <c r="H386" s="3213"/>
      <c r="L386" s="3213"/>
      <c r="M386" s="3213"/>
      <c r="O386" s="3213"/>
      <c r="P386" s="3213"/>
    </row>
    <row r="387" spans="8:16">
      <c r="H387" s="3213"/>
      <c r="L387" s="3213"/>
      <c r="M387" s="3213"/>
      <c r="O387" s="3213"/>
      <c r="P387" s="3213"/>
    </row>
    <row r="388" spans="8:16">
      <c r="H388" s="3213"/>
      <c r="L388" s="3213"/>
      <c r="M388" s="3213"/>
      <c r="O388" s="3213"/>
      <c r="P388" s="3213"/>
    </row>
    <row r="389" spans="8:16">
      <c r="H389" s="3213"/>
      <c r="L389" s="3213"/>
      <c r="M389" s="3213"/>
      <c r="O389" s="3213"/>
      <c r="P389" s="3213"/>
    </row>
    <row r="390" spans="8:16">
      <c r="H390" s="3213"/>
      <c r="L390" s="3213"/>
      <c r="M390" s="3213"/>
      <c r="O390" s="3213"/>
      <c r="P390" s="3213"/>
    </row>
    <row r="391" spans="8:16">
      <c r="H391" s="3213"/>
      <c r="L391" s="3213"/>
      <c r="M391" s="3213"/>
      <c r="O391" s="3213"/>
      <c r="P391" s="3213"/>
    </row>
    <row r="392" spans="8:16">
      <c r="H392" s="3213"/>
      <c r="L392" s="3213"/>
      <c r="M392" s="3213"/>
      <c r="O392" s="3213"/>
      <c r="P392" s="3213"/>
    </row>
    <row r="393" spans="8:16">
      <c r="H393" s="3213"/>
      <c r="L393" s="3213"/>
      <c r="M393" s="3213"/>
      <c r="O393" s="3213"/>
      <c r="P393" s="3213"/>
    </row>
    <row r="394" spans="8:16">
      <c r="H394" s="3213"/>
      <c r="L394" s="3213"/>
      <c r="M394" s="3213"/>
      <c r="O394" s="3213"/>
      <c r="P394" s="3213"/>
    </row>
    <row r="395" spans="8:16">
      <c r="H395" s="3213"/>
      <c r="L395" s="3213"/>
      <c r="M395" s="3213"/>
      <c r="O395" s="3213"/>
      <c r="P395" s="3213"/>
    </row>
    <row r="396" spans="8:16">
      <c r="H396" s="3213"/>
      <c r="L396" s="3213"/>
      <c r="M396" s="3213"/>
      <c r="O396" s="3213"/>
      <c r="P396" s="3213"/>
    </row>
    <row r="397" spans="8:16">
      <c r="H397" s="3213"/>
      <c r="L397" s="3213"/>
      <c r="M397" s="3213"/>
      <c r="O397" s="3213"/>
      <c r="P397" s="3213"/>
    </row>
    <row r="398" spans="8:16">
      <c r="H398" s="3213"/>
      <c r="L398" s="3213"/>
      <c r="M398" s="3213"/>
      <c r="O398" s="3213"/>
      <c r="P398" s="3213"/>
    </row>
    <row r="399" spans="8:16">
      <c r="H399" s="3213"/>
      <c r="L399" s="3213"/>
      <c r="M399" s="3213"/>
      <c r="O399" s="3213"/>
      <c r="P399" s="3213"/>
    </row>
    <row r="400" spans="8:16">
      <c r="H400" s="3213"/>
      <c r="L400" s="3213"/>
      <c r="M400" s="3213"/>
      <c r="O400" s="3213"/>
      <c r="P400" s="3213"/>
    </row>
    <row r="401" spans="8:16">
      <c r="H401" s="3213"/>
      <c r="L401" s="3213"/>
      <c r="M401" s="3213"/>
      <c r="O401" s="3213"/>
      <c r="P401" s="3213"/>
    </row>
    <row r="402" spans="8:16">
      <c r="H402" s="3213"/>
      <c r="L402" s="3213"/>
      <c r="M402" s="3213"/>
      <c r="O402" s="3213"/>
      <c r="P402" s="3213"/>
    </row>
    <row r="403" spans="8:16">
      <c r="H403" s="3213"/>
      <c r="L403" s="3213"/>
      <c r="M403" s="3213"/>
      <c r="O403" s="3213"/>
      <c r="P403" s="3213"/>
    </row>
    <row r="404" spans="8:16">
      <c r="H404" s="3213"/>
      <c r="L404" s="3213"/>
      <c r="M404" s="3213"/>
      <c r="O404" s="3213"/>
      <c r="P404" s="3213"/>
    </row>
    <row r="405" spans="8:16">
      <c r="H405" s="3213"/>
      <c r="L405" s="3213"/>
      <c r="M405" s="3213"/>
      <c r="O405" s="3213"/>
      <c r="P405" s="3213"/>
    </row>
    <row r="406" spans="8:16">
      <c r="H406" s="3213"/>
      <c r="L406" s="3213"/>
      <c r="M406" s="3213"/>
      <c r="O406" s="3213"/>
      <c r="P406" s="3213"/>
    </row>
    <row r="407" spans="8:16">
      <c r="H407" s="3213"/>
      <c r="L407" s="3213"/>
      <c r="M407" s="3213"/>
      <c r="O407" s="3213"/>
      <c r="P407" s="3213"/>
    </row>
    <row r="408" spans="8:16">
      <c r="H408" s="3213"/>
      <c r="L408" s="3213"/>
      <c r="M408" s="3213"/>
      <c r="O408" s="3213"/>
      <c r="P408" s="3213"/>
    </row>
    <row r="409" spans="8:16">
      <c r="H409" s="3213"/>
      <c r="L409" s="3213"/>
      <c r="M409" s="3213"/>
      <c r="O409" s="3213"/>
      <c r="P409" s="3213"/>
    </row>
    <row r="410" spans="8:16">
      <c r="H410" s="3213"/>
      <c r="L410" s="3213"/>
      <c r="M410" s="3213"/>
      <c r="O410" s="3213"/>
      <c r="P410" s="3213"/>
    </row>
    <row r="411" spans="8:16">
      <c r="H411" s="3213"/>
      <c r="L411" s="3213"/>
      <c r="M411" s="3213"/>
      <c r="O411" s="3213"/>
      <c r="P411" s="3213"/>
    </row>
    <row r="412" spans="8:16">
      <c r="H412" s="3213"/>
      <c r="L412" s="3213"/>
      <c r="M412" s="3213"/>
      <c r="O412" s="3213"/>
      <c r="P412" s="3213"/>
    </row>
    <row r="413" spans="8:16">
      <c r="H413" s="3213"/>
      <c r="L413" s="3213"/>
      <c r="M413" s="3213"/>
      <c r="O413" s="3213"/>
      <c r="P413" s="3213"/>
    </row>
    <row r="414" spans="8:16">
      <c r="H414" s="3213"/>
      <c r="L414" s="3213"/>
      <c r="M414" s="3213"/>
      <c r="O414" s="3213"/>
      <c r="P414" s="3213"/>
    </row>
    <row r="415" spans="8:16">
      <c r="H415" s="3213"/>
      <c r="L415" s="3213"/>
      <c r="M415" s="3213"/>
      <c r="O415" s="3213"/>
      <c r="P415" s="3213"/>
    </row>
    <row r="416" spans="8:16">
      <c r="H416" s="3213"/>
      <c r="L416" s="3213"/>
      <c r="M416" s="3213"/>
      <c r="O416" s="3213"/>
      <c r="P416" s="3213"/>
    </row>
    <row r="417" spans="8:16">
      <c r="H417" s="3213"/>
      <c r="L417" s="3213"/>
      <c r="M417" s="3213"/>
      <c r="O417" s="3213"/>
      <c r="P417" s="3213"/>
    </row>
    <row r="418" spans="8:16">
      <c r="H418" s="3213"/>
      <c r="L418" s="3213"/>
      <c r="M418" s="3213"/>
      <c r="O418" s="3213"/>
      <c r="P418" s="3213"/>
    </row>
    <row r="419" spans="8:16">
      <c r="H419" s="3213"/>
      <c r="L419" s="3213"/>
      <c r="M419" s="3213"/>
      <c r="O419" s="3213"/>
      <c r="P419" s="3213"/>
    </row>
    <row r="420" spans="8:16">
      <c r="H420" s="3213"/>
      <c r="L420" s="3213"/>
      <c r="M420" s="3213"/>
      <c r="O420" s="3213"/>
      <c r="P420" s="3213"/>
    </row>
    <row r="421" spans="8:16">
      <c r="H421" s="3213"/>
      <c r="L421" s="3213"/>
      <c r="M421" s="3213"/>
      <c r="O421" s="3213"/>
      <c r="P421" s="3213"/>
    </row>
    <row r="422" spans="8:16">
      <c r="H422" s="3213"/>
      <c r="L422" s="3213"/>
      <c r="M422" s="3213"/>
      <c r="O422" s="3213"/>
      <c r="P422" s="3213"/>
    </row>
    <row r="423" spans="8:16">
      <c r="H423" s="3213"/>
      <c r="L423" s="3213"/>
      <c r="M423" s="3213"/>
      <c r="O423" s="3213"/>
      <c r="P423" s="3213"/>
    </row>
    <row r="424" spans="8:16">
      <c r="H424" s="3213"/>
      <c r="L424" s="3213"/>
      <c r="M424" s="3213"/>
      <c r="O424" s="3213"/>
      <c r="P424" s="3213"/>
    </row>
    <row r="425" spans="8:16">
      <c r="H425" s="3213"/>
      <c r="L425" s="3213"/>
      <c r="M425" s="3213"/>
      <c r="O425" s="3213"/>
      <c r="P425" s="3213"/>
    </row>
    <row r="426" spans="8:16">
      <c r="H426" s="3213"/>
      <c r="L426" s="3213"/>
      <c r="M426" s="3213"/>
      <c r="O426" s="3213"/>
      <c r="P426" s="3213"/>
    </row>
    <row r="427" spans="8:16">
      <c r="H427" s="3213"/>
      <c r="L427" s="3213"/>
      <c r="M427" s="3213"/>
      <c r="O427" s="3213"/>
      <c r="P427" s="3213"/>
    </row>
    <row r="428" spans="8:16">
      <c r="H428" s="3213"/>
      <c r="L428" s="3213"/>
      <c r="M428" s="3213"/>
      <c r="O428" s="3213"/>
      <c r="P428" s="3213"/>
    </row>
    <row r="429" spans="8:16">
      <c r="H429" s="3213"/>
      <c r="L429" s="3213"/>
      <c r="M429" s="3213"/>
      <c r="O429" s="3213"/>
      <c r="P429" s="3213"/>
    </row>
    <row r="430" spans="8:16">
      <c r="H430" s="3213"/>
      <c r="L430" s="3213"/>
      <c r="M430" s="3213"/>
      <c r="O430" s="3213"/>
      <c r="P430" s="3213"/>
    </row>
    <row r="431" spans="8:16">
      <c r="H431" s="3213"/>
      <c r="L431" s="3213"/>
      <c r="M431" s="3213"/>
      <c r="O431" s="3213"/>
      <c r="P431" s="3213"/>
    </row>
    <row r="432" spans="8:16">
      <c r="H432" s="3213"/>
      <c r="L432" s="3213"/>
      <c r="M432" s="3213"/>
      <c r="O432" s="3213"/>
      <c r="P432" s="3213"/>
    </row>
    <row r="433" spans="8:16">
      <c r="H433" s="3213"/>
      <c r="L433" s="3213"/>
      <c r="M433" s="3213"/>
      <c r="O433" s="3213"/>
      <c r="P433" s="3213"/>
    </row>
    <row r="434" spans="8:16">
      <c r="H434" s="3213"/>
      <c r="L434" s="3213"/>
      <c r="M434" s="3213"/>
      <c r="O434" s="3213"/>
      <c r="P434" s="3213"/>
    </row>
    <row r="435" spans="8:16">
      <c r="H435" s="3213"/>
      <c r="L435" s="3213"/>
      <c r="M435" s="3213"/>
      <c r="O435" s="3213"/>
      <c r="P435" s="3213"/>
    </row>
    <row r="436" spans="8:16">
      <c r="H436" s="3213"/>
      <c r="L436" s="3213"/>
      <c r="M436" s="3213"/>
      <c r="O436" s="3213"/>
      <c r="P436" s="3213"/>
    </row>
    <row r="437" spans="8:16">
      <c r="H437" s="3213"/>
      <c r="L437" s="3213"/>
      <c r="M437" s="3213"/>
      <c r="O437" s="3213"/>
      <c r="P437" s="3213"/>
    </row>
    <row r="438" spans="8:16">
      <c r="H438" s="3213"/>
      <c r="L438" s="3213"/>
      <c r="M438" s="3213"/>
      <c r="O438" s="3213"/>
      <c r="P438" s="3213"/>
    </row>
    <row r="439" spans="8:16">
      <c r="H439" s="3213"/>
      <c r="L439" s="3213"/>
      <c r="M439" s="3213"/>
      <c r="O439" s="3213"/>
      <c r="P439" s="3213"/>
    </row>
    <row r="440" spans="8:16">
      <c r="H440" s="3213"/>
      <c r="L440" s="3213"/>
      <c r="M440" s="3213"/>
      <c r="O440" s="3213"/>
      <c r="P440" s="3213"/>
    </row>
    <row r="441" spans="8:16">
      <c r="H441" s="3213"/>
      <c r="L441" s="3213"/>
      <c r="M441" s="3213"/>
      <c r="O441" s="3213"/>
      <c r="P441" s="3213"/>
    </row>
    <row r="442" spans="8:16">
      <c r="H442" s="3213"/>
      <c r="L442" s="3213"/>
      <c r="M442" s="3213"/>
      <c r="O442" s="3213"/>
      <c r="P442" s="3213"/>
    </row>
    <row r="443" spans="8:16">
      <c r="H443" s="3213"/>
      <c r="L443" s="3213"/>
      <c r="M443" s="3213"/>
      <c r="O443" s="3213"/>
      <c r="P443" s="3213"/>
    </row>
    <row r="444" spans="8:16">
      <c r="H444" s="3213"/>
      <c r="L444" s="3213"/>
      <c r="M444" s="3213"/>
      <c r="O444" s="3213"/>
      <c r="P444" s="3213"/>
    </row>
    <row r="445" spans="8:16">
      <c r="H445" s="3213"/>
      <c r="L445" s="3213"/>
      <c r="M445" s="3213"/>
      <c r="O445" s="3213"/>
      <c r="P445" s="3213"/>
    </row>
    <row r="446" spans="8:16">
      <c r="H446" s="3213"/>
      <c r="L446" s="3213"/>
      <c r="M446" s="3213"/>
      <c r="O446" s="3213"/>
      <c r="P446" s="3213"/>
    </row>
    <row r="447" spans="8:16">
      <c r="H447" s="3213"/>
      <c r="L447" s="3213"/>
      <c r="M447" s="3213"/>
      <c r="O447" s="3213"/>
      <c r="P447" s="3213"/>
    </row>
    <row r="448" spans="8:16">
      <c r="H448" s="3213"/>
      <c r="L448" s="3213"/>
      <c r="M448" s="3213"/>
      <c r="O448" s="3213"/>
      <c r="P448" s="3213"/>
    </row>
    <row r="449" spans="8:16">
      <c r="H449" s="3213"/>
      <c r="L449" s="3213"/>
      <c r="M449" s="3213"/>
      <c r="O449" s="3213"/>
      <c r="P449" s="3213"/>
    </row>
    <row r="450" spans="8:16">
      <c r="H450" s="3213"/>
      <c r="L450" s="3213"/>
      <c r="M450" s="3213"/>
      <c r="O450" s="3213"/>
      <c r="P450" s="3213"/>
    </row>
    <row r="451" spans="8:16">
      <c r="H451" s="3213"/>
      <c r="L451" s="3213"/>
      <c r="M451" s="3213"/>
      <c r="O451" s="3213"/>
      <c r="P451" s="3213"/>
    </row>
    <row r="452" spans="8:16">
      <c r="H452" s="3213"/>
      <c r="L452" s="3213"/>
      <c r="M452" s="3213"/>
      <c r="O452" s="3213"/>
      <c r="P452" s="3213"/>
    </row>
    <row r="453" spans="8:16">
      <c r="H453" s="3213"/>
      <c r="L453" s="3213"/>
      <c r="M453" s="3213"/>
      <c r="O453" s="3213"/>
      <c r="P453" s="3213"/>
    </row>
    <row r="454" spans="8:16">
      <c r="H454" s="3213"/>
      <c r="L454" s="3213"/>
      <c r="M454" s="3213"/>
      <c r="O454" s="3213"/>
      <c r="P454" s="3213"/>
    </row>
    <row r="455" spans="8:16">
      <c r="H455" s="3213"/>
      <c r="L455" s="3213"/>
      <c r="M455" s="3213"/>
      <c r="O455" s="3213"/>
      <c r="P455" s="3213"/>
    </row>
    <row r="456" spans="8:16">
      <c r="H456" s="3213"/>
      <c r="L456" s="3213"/>
      <c r="M456" s="3213"/>
      <c r="O456" s="3213"/>
      <c r="P456" s="3213"/>
    </row>
    <row r="457" spans="8:16">
      <c r="H457" s="3213"/>
      <c r="L457" s="3213"/>
      <c r="M457" s="3213"/>
      <c r="O457" s="3213"/>
      <c r="P457" s="3213"/>
    </row>
    <row r="458" spans="8:16">
      <c r="H458" s="3213"/>
      <c r="L458" s="3213"/>
      <c r="M458" s="3213"/>
      <c r="O458" s="3213"/>
      <c r="P458" s="3213"/>
    </row>
    <row r="459" spans="8:16">
      <c r="H459" s="3213"/>
      <c r="L459" s="3213"/>
      <c r="M459" s="3213"/>
      <c r="O459" s="3213"/>
      <c r="P459" s="3213"/>
    </row>
    <row r="460" spans="8:16">
      <c r="H460" s="3213"/>
      <c r="L460" s="3213"/>
      <c r="M460" s="3213"/>
      <c r="O460" s="3213"/>
      <c r="P460" s="3213"/>
    </row>
    <row r="461" spans="8:16">
      <c r="H461" s="3213"/>
      <c r="L461" s="3213"/>
      <c r="M461" s="3213"/>
      <c r="O461" s="3213"/>
      <c r="P461" s="3213"/>
    </row>
    <row r="462" spans="8:16">
      <c r="H462" s="3213"/>
      <c r="L462" s="3213"/>
      <c r="M462" s="3213"/>
      <c r="O462" s="3213"/>
      <c r="P462" s="3213"/>
    </row>
    <row r="463" spans="8:16">
      <c r="H463" s="3213"/>
      <c r="L463" s="3213"/>
      <c r="M463" s="3213"/>
      <c r="O463" s="3213"/>
      <c r="P463" s="3213"/>
    </row>
    <row r="464" spans="8:16">
      <c r="H464" s="3213"/>
      <c r="L464" s="3213"/>
      <c r="M464" s="3213"/>
      <c r="O464" s="3213"/>
      <c r="P464" s="3213"/>
    </row>
    <row r="465" spans="8:16">
      <c r="H465" s="3213"/>
      <c r="L465" s="3213"/>
      <c r="M465" s="3213"/>
      <c r="O465" s="3213"/>
      <c r="P465" s="3213"/>
    </row>
    <row r="466" spans="8:16">
      <c r="H466" s="3213"/>
      <c r="L466" s="3213"/>
      <c r="M466" s="3213"/>
      <c r="O466" s="3213"/>
      <c r="P466" s="3213"/>
    </row>
    <row r="467" spans="8:16">
      <c r="H467" s="3213"/>
      <c r="L467" s="3213"/>
      <c r="M467" s="3213"/>
      <c r="O467" s="3213"/>
      <c r="P467" s="3213"/>
    </row>
    <row r="468" spans="8:16">
      <c r="H468" s="3213"/>
      <c r="L468" s="3213"/>
      <c r="M468" s="3213"/>
      <c r="O468" s="3213"/>
      <c r="P468" s="3213"/>
    </row>
    <row r="469" spans="8:16">
      <c r="H469" s="3213"/>
      <c r="L469" s="3213"/>
      <c r="M469" s="3213"/>
      <c r="O469" s="3213"/>
      <c r="P469" s="3213"/>
    </row>
    <row r="470" spans="8:16">
      <c r="H470" s="3213"/>
      <c r="L470" s="3213"/>
      <c r="M470" s="3213"/>
      <c r="O470" s="3213"/>
      <c r="P470" s="3213"/>
    </row>
    <row r="471" spans="8:16">
      <c r="H471" s="3213"/>
      <c r="L471" s="3213"/>
      <c r="M471" s="3213"/>
      <c r="O471" s="3213"/>
      <c r="P471" s="3213"/>
    </row>
    <row r="472" spans="8:16">
      <c r="H472" s="3213"/>
      <c r="L472" s="3213"/>
      <c r="M472" s="3213"/>
      <c r="O472" s="3213"/>
      <c r="P472" s="3213"/>
    </row>
    <row r="473" spans="8:16">
      <c r="H473" s="3213"/>
      <c r="L473" s="3213"/>
      <c r="M473" s="3213"/>
      <c r="O473" s="3213"/>
      <c r="P473" s="3213"/>
    </row>
    <row r="474" spans="8:16">
      <c r="H474" s="3213"/>
      <c r="L474" s="3213"/>
      <c r="M474" s="3213"/>
      <c r="O474" s="3213"/>
      <c r="P474" s="3213"/>
    </row>
    <row r="475" spans="8:16">
      <c r="H475" s="3213"/>
      <c r="L475" s="3213"/>
      <c r="M475" s="3213"/>
      <c r="O475" s="3213"/>
      <c r="P475" s="3213"/>
    </row>
    <row r="476" spans="8:16">
      <c r="H476" s="3213"/>
      <c r="L476" s="3213"/>
      <c r="M476" s="3213"/>
      <c r="O476" s="3213"/>
      <c r="P476" s="3213"/>
    </row>
    <row r="477" spans="8:16">
      <c r="H477" s="3213"/>
      <c r="L477" s="3213"/>
      <c r="M477" s="3213"/>
      <c r="O477" s="3213"/>
      <c r="P477" s="3213"/>
    </row>
    <row r="478" spans="8:16">
      <c r="H478" s="3213"/>
      <c r="L478" s="3213"/>
      <c r="M478" s="3213"/>
      <c r="O478" s="3213"/>
      <c r="P478" s="3213"/>
    </row>
    <row r="479" spans="8:16">
      <c r="H479" s="3213"/>
      <c r="L479" s="3213"/>
      <c r="M479" s="3213"/>
      <c r="O479" s="3213"/>
      <c r="P479" s="3213"/>
    </row>
    <row r="480" spans="8:16">
      <c r="H480" s="3213"/>
      <c r="L480" s="3213"/>
      <c r="M480" s="3213"/>
      <c r="O480" s="3213"/>
      <c r="P480" s="3213"/>
    </row>
    <row r="481" spans="8:16">
      <c r="H481" s="3213"/>
      <c r="L481" s="3213"/>
      <c r="M481" s="3213"/>
      <c r="O481" s="3213"/>
      <c r="P481" s="3213"/>
    </row>
    <row r="482" spans="8:16">
      <c r="H482" s="3213"/>
      <c r="L482" s="3213"/>
      <c r="M482" s="3213"/>
      <c r="O482" s="3213"/>
      <c r="P482" s="3213"/>
    </row>
    <row r="483" spans="8:16">
      <c r="H483" s="3213"/>
      <c r="L483" s="3213"/>
      <c r="M483" s="3213"/>
      <c r="O483" s="3213"/>
      <c r="P483" s="3213"/>
    </row>
    <row r="484" spans="8:16">
      <c r="H484" s="3213"/>
      <c r="L484" s="3213"/>
      <c r="M484" s="3213"/>
      <c r="O484" s="3213"/>
      <c r="P484" s="3213"/>
    </row>
    <row r="485" spans="8:16">
      <c r="H485" s="3213"/>
      <c r="L485" s="3213"/>
      <c r="M485" s="3213"/>
      <c r="O485" s="3213"/>
      <c r="P485" s="3213"/>
    </row>
    <row r="486" spans="8:16">
      <c r="H486" s="3213"/>
      <c r="L486" s="3213"/>
      <c r="M486" s="3213"/>
      <c r="O486" s="3213"/>
      <c r="P486" s="3213"/>
    </row>
    <row r="487" spans="8:16">
      <c r="H487" s="3213"/>
      <c r="L487" s="3213"/>
      <c r="M487" s="3213"/>
      <c r="O487" s="3213"/>
      <c r="P487" s="3213"/>
    </row>
    <row r="488" spans="8:16">
      <c r="H488" s="3213"/>
      <c r="L488" s="3213"/>
      <c r="M488" s="3213"/>
      <c r="O488" s="3213"/>
      <c r="P488" s="3213"/>
    </row>
    <row r="489" spans="8:16">
      <c r="H489" s="3213"/>
      <c r="L489" s="3213"/>
      <c r="M489" s="3213"/>
      <c r="O489" s="3213"/>
      <c r="P489" s="3213"/>
    </row>
    <row r="490" spans="8:16">
      <c r="H490" s="3213"/>
      <c r="L490" s="3213"/>
      <c r="M490" s="3213"/>
      <c r="O490" s="3213"/>
      <c r="P490" s="3213"/>
    </row>
    <row r="491" spans="8:16">
      <c r="H491" s="3213"/>
      <c r="L491" s="3213"/>
      <c r="M491" s="3213"/>
      <c r="O491" s="3213"/>
      <c r="P491" s="3213"/>
    </row>
    <row r="492" spans="8:16">
      <c r="H492" s="3213"/>
      <c r="L492" s="3213"/>
      <c r="M492" s="3213"/>
      <c r="O492" s="3213"/>
      <c r="P492" s="3213"/>
    </row>
    <row r="493" spans="8:16">
      <c r="H493" s="3213"/>
      <c r="L493" s="3213"/>
      <c r="M493" s="3213"/>
      <c r="O493" s="3213"/>
      <c r="P493" s="3213"/>
    </row>
    <row r="494" spans="8:16">
      <c r="H494" s="3213"/>
      <c r="L494" s="3213"/>
      <c r="M494" s="3213"/>
      <c r="O494" s="3213"/>
      <c r="P494" s="3213"/>
    </row>
    <row r="495" spans="8:16">
      <c r="H495" s="3213"/>
      <c r="L495" s="3213"/>
      <c r="M495" s="3213"/>
      <c r="O495" s="3213"/>
      <c r="P495" s="3213"/>
    </row>
    <row r="496" spans="8:16">
      <c r="H496" s="3213"/>
      <c r="L496" s="3213"/>
      <c r="M496" s="3213"/>
      <c r="O496" s="3213"/>
      <c r="P496" s="3213"/>
    </row>
    <row r="497" spans="8:16">
      <c r="H497" s="3213"/>
      <c r="L497" s="3213"/>
      <c r="M497" s="3213"/>
      <c r="O497" s="3213"/>
      <c r="P497" s="3213"/>
    </row>
    <row r="498" spans="8:16">
      <c r="H498" s="3213"/>
      <c r="L498" s="3213"/>
      <c r="M498" s="3213"/>
      <c r="O498" s="3213"/>
      <c r="P498" s="3213"/>
    </row>
    <row r="499" spans="8:16">
      <c r="H499" s="3213"/>
      <c r="L499" s="3213"/>
      <c r="M499" s="3213"/>
      <c r="O499" s="3213"/>
      <c r="P499" s="3213"/>
    </row>
    <row r="500" spans="8:16">
      <c r="H500" s="3213"/>
      <c r="L500" s="3213"/>
      <c r="M500" s="3213"/>
      <c r="O500" s="3213"/>
      <c r="P500" s="3213"/>
    </row>
    <row r="501" spans="8:16">
      <c r="H501" s="3213"/>
      <c r="L501" s="3213"/>
      <c r="M501" s="3213"/>
      <c r="O501" s="3213"/>
      <c r="P501" s="3213"/>
    </row>
    <row r="502" spans="8:16">
      <c r="H502" s="3213"/>
      <c r="L502" s="3213"/>
      <c r="M502" s="3213"/>
      <c r="O502" s="3213"/>
      <c r="P502" s="3213"/>
    </row>
    <row r="503" spans="8:16">
      <c r="H503" s="3213"/>
      <c r="L503" s="3213"/>
      <c r="M503" s="3213"/>
      <c r="O503" s="3213"/>
      <c r="P503" s="3213"/>
    </row>
    <row r="504" spans="8:16">
      <c r="H504" s="3213"/>
      <c r="L504" s="3213"/>
      <c r="M504" s="3213"/>
      <c r="O504" s="3213"/>
      <c r="P504" s="3213"/>
    </row>
    <row r="505" spans="8:16">
      <c r="H505" s="3213"/>
      <c r="L505" s="3213"/>
      <c r="M505" s="3213"/>
      <c r="O505" s="3213"/>
      <c r="P505" s="3213"/>
    </row>
    <row r="506" spans="8:16">
      <c r="H506" s="3213"/>
      <c r="L506" s="3213"/>
      <c r="M506" s="3213"/>
      <c r="O506" s="3213"/>
      <c r="P506" s="3213"/>
    </row>
    <row r="507" spans="8:16">
      <c r="H507" s="3213"/>
      <c r="L507" s="3213"/>
      <c r="M507" s="3213"/>
      <c r="O507" s="3213"/>
      <c r="P507" s="3213"/>
    </row>
    <row r="508" spans="8:16">
      <c r="H508" s="3213"/>
      <c r="L508" s="3213"/>
      <c r="M508" s="3213"/>
      <c r="O508" s="3213"/>
      <c r="P508" s="3213"/>
    </row>
    <row r="509" spans="8:16">
      <c r="H509" s="3213"/>
      <c r="L509" s="3213"/>
      <c r="M509" s="3213"/>
      <c r="O509" s="3213"/>
      <c r="P509" s="3213"/>
    </row>
    <row r="510" spans="8:16">
      <c r="H510" s="3213"/>
      <c r="L510" s="3213"/>
      <c r="M510" s="3213"/>
      <c r="O510" s="3213"/>
      <c r="P510" s="3213"/>
    </row>
    <row r="511" spans="8:16">
      <c r="H511" s="3213"/>
      <c r="L511" s="3213"/>
      <c r="M511" s="3213"/>
      <c r="O511" s="3213"/>
      <c r="P511" s="3213"/>
    </row>
    <row r="512" spans="8:16">
      <c r="H512" s="3213"/>
      <c r="L512" s="3213"/>
      <c r="M512" s="3213"/>
      <c r="O512" s="3213"/>
      <c r="P512" s="3213"/>
    </row>
    <row r="513" spans="8:16">
      <c r="H513" s="3213"/>
      <c r="L513" s="3213"/>
      <c r="M513" s="3213"/>
      <c r="O513" s="3213"/>
      <c r="P513" s="3213"/>
    </row>
    <row r="514" spans="8:16">
      <c r="H514" s="3213"/>
      <c r="L514" s="3213"/>
      <c r="M514" s="3213"/>
      <c r="O514" s="3213"/>
      <c r="P514" s="3213"/>
    </row>
    <row r="515" spans="8:16">
      <c r="H515" s="3213"/>
      <c r="L515" s="3213"/>
      <c r="M515" s="3213"/>
      <c r="O515" s="3213"/>
      <c r="P515" s="3213"/>
    </row>
    <row r="516" spans="8:16">
      <c r="H516" s="3213"/>
      <c r="L516" s="3213"/>
      <c r="M516" s="3213"/>
      <c r="O516" s="3213"/>
      <c r="P516" s="3213"/>
    </row>
    <row r="517" spans="8:16">
      <c r="H517" s="3213"/>
      <c r="L517" s="3213"/>
      <c r="M517" s="3213"/>
      <c r="O517" s="3213"/>
      <c r="P517" s="3213"/>
    </row>
    <row r="518" spans="8:16">
      <c r="H518" s="3213"/>
      <c r="L518" s="3213"/>
      <c r="M518" s="3213"/>
      <c r="O518" s="3213"/>
      <c r="P518" s="3213"/>
    </row>
    <row r="519" spans="8:16">
      <c r="H519" s="3213"/>
      <c r="L519" s="3213"/>
      <c r="M519" s="3213"/>
      <c r="O519" s="3213"/>
      <c r="P519" s="3213"/>
    </row>
    <row r="520" spans="8:16">
      <c r="H520" s="3213"/>
      <c r="L520" s="3213"/>
      <c r="M520" s="3213"/>
      <c r="O520" s="3213"/>
      <c r="P520" s="3213"/>
    </row>
    <row r="521" spans="8:16">
      <c r="H521" s="3213"/>
      <c r="L521" s="3213"/>
      <c r="M521" s="3213"/>
      <c r="O521" s="3213"/>
      <c r="P521" s="3213"/>
    </row>
    <row r="522" spans="8:16">
      <c r="H522" s="3213"/>
      <c r="L522" s="3213"/>
      <c r="M522" s="3213"/>
      <c r="O522" s="3213"/>
      <c r="P522" s="3213"/>
    </row>
    <row r="523" spans="8:16">
      <c r="H523" s="3213"/>
      <c r="L523" s="3213"/>
      <c r="M523" s="3213"/>
      <c r="O523" s="3213"/>
      <c r="P523" s="3213"/>
    </row>
    <row r="524" spans="8:16">
      <c r="H524" s="3213"/>
      <c r="L524" s="3213"/>
      <c r="M524" s="3213"/>
      <c r="O524" s="3213"/>
      <c r="P524" s="3213"/>
    </row>
    <row r="525" spans="8:16">
      <c r="H525" s="3213"/>
      <c r="L525" s="3213"/>
      <c r="M525" s="3213"/>
      <c r="O525" s="3213"/>
      <c r="P525" s="3213"/>
    </row>
    <row r="526" spans="8:16">
      <c r="H526" s="3213"/>
      <c r="L526" s="3213"/>
      <c r="M526" s="3213"/>
      <c r="O526" s="3213"/>
      <c r="P526" s="3213"/>
    </row>
    <row r="527" spans="8:16">
      <c r="H527" s="3213"/>
      <c r="L527" s="3213"/>
      <c r="M527" s="3213"/>
      <c r="O527" s="3213"/>
      <c r="P527" s="3213"/>
    </row>
    <row r="528" spans="8:16">
      <c r="H528" s="3213"/>
      <c r="L528" s="3213"/>
      <c r="M528" s="3213"/>
      <c r="O528" s="3213"/>
      <c r="P528" s="3213"/>
    </row>
    <row r="529" spans="8:16">
      <c r="H529" s="3213"/>
      <c r="L529" s="3213"/>
      <c r="M529" s="3213"/>
      <c r="O529" s="3213"/>
      <c r="P529" s="3213"/>
    </row>
    <row r="530" spans="8:16">
      <c r="H530" s="3213"/>
      <c r="L530" s="3213"/>
      <c r="M530" s="3213"/>
      <c r="O530" s="3213"/>
      <c r="P530" s="3213"/>
    </row>
    <row r="531" spans="8:16">
      <c r="H531" s="3213"/>
      <c r="L531" s="3213"/>
      <c r="M531" s="3213"/>
      <c r="O531" s="3213"/>
      <c r="P531" s="3213"/>
    </row>
    <row r="532" spans="8:16">
      <c r="H532" s="3213"/>
      <c r="L532" s="3213"/>
      <c r="M532" s="3213"/>
      <c r="O532" s="3213"/>
      <c r="P532" s="3213"/>
    </row>
    <row r="533" spans="8:16">
      <c r="H533" s="3213"/>
      <c r="L533" s="3213"/>
      <c r="M533" s="3213"/>
      <c r="O533" s="3213"/>
      <c r="P533" s="3213"/>
    </row>
    <row r="534" spans="8:16">
      <c r="H534" s="3213"/>
      <c r="L534" s="3213"/>
      <c r="M534" s="3213"/>
      <c r="O534" s="3213"/>
      <c r="P534" s="3213"/>
    </row>
    <row r="535" spans="8:16">
      <c r="H535" s="3213"/>
      <c r="L535" s="3213"/>
      <c r="M535" s="3213"/>
      <c r="O535" s="3213"/>
      <c r="P535" s="3213"/>
    </row>
    <row r="536" spans="8:16">
      <c r="H536" s="3213"/>
      <c r="L536" s="3213"/>
      <c r="M536" s="3213"/>
      <c r="O536" s="3213"/>
      <c r="P536" s="3213"/>
    </row>
    <row r="537" spans="8:16">
      <c r="H537" s="3213"/>
      <c r="L537" s="3213"/>
      <c r="M537" s="3213"/>
      <c r="O537" s="3213"/>
      <c r="P537" s="3213"/>
    </row>
    <row r="538" spans="8:16">
      <c r="H538" s="3213"/>
      <c r="L538" s="3213"/>
      <c r="M538" s="3213"/>
      <c r="O538" s="3213"/>
      <c r="P538" s="3213"/>
    </row>
    <row r="539" spans="8:16">
      <c r="H539" s="3213"/>
      <c r="L539" s="3213"/>
      <c r="M539" s="3213"/>
      <c r="O539" s="3213"/>
      <c r="P539" s="3213"/>
    </row>
    <row r="540" spans="8:16">
      <c r="H540" s="3213"/>
      <c r="L540" s="3213"/>
      <c r="M540" s="3213"/>
      <c r="O540" s="3213"/>
      <c r="P540" s="3213"/>
    </row>
    <row r="541" spans="8:16">
      <c r="H541" s="3213"/>
      <c r="L541" s="3213"/>
      <c r="M541" s="3213"/>
      <c r="O541" s="3213"/>
      <c r="P541" s="3213"/>
    </row>
    <row r="542" spans="8:16">
      <c r="H542" s="3213"/>
      <c r="L542" s="3213"/>
      <c r="M542" s="3213"/>
      <c r="O542" s="3213"/>
      <c r="P542" s="3213"/>
    </row>
    <row r="543" spans="8:16">
      <c r="H543" s="3213"/>
      <c r="L543" s="3213"/>
      <c r="M543" s="3213"/>
      <c r="O543" s="3213"/>
      <c r="P543" s="3213"/>
    </row>
    <row r="544" spans="8:16">
      <c r="H544" s="3213"/>
      <c r="L544" s="3213"/>
      <c r="M544" s="3213"/>
      <c r="O544" s="3213"/>
      <c r="P544" s="3213"/>
    </row>
    <row r="545" spans="8:16">
      <c r="H545" s="3213"/>
      <c r="L545" s="3213"/>
      <c r="M545" s="3213"/>
      <c r="O545" s="3213"/>
      <c r="P545" s="3213"/>
    </row>
    <row r="546" spans="8:16">
      <c r="H546" s="3213"/>
      <c r="L546" s="3213"/>
      <c r="M546" s="3213"/>
      <c r="O546" s="3213"/>
      <c r="P546" s="3213"/>
    </row>
    <row r="547" spans="8:16">
      <c r="H547" s="3213"/>
      <c r="L547" s="3213"/>
      <c r="M547" s="3213"/>
      <c r="O547" s="3213"/>
      <c r="P547" s="3213"/>
    </row>
    <row r="548" spans="8:16">
      <c r="H548" s="3213"/>
      <c r="L548" s="3213"/>
      <c r="M548" s="3213"/>
      <c r="O548" s="3213"/>
      <c r="P548" s="3213"/>
    </row>
    <row r="549" spans="8:16">
      <c r="H549" s="3213"/>
      <c r="L549" s="3213"/>
      <c r="M549" s="3213"/>
      <c r="O549" s="3213"/>
      <c r="P549" s="3213"/>
    </row>
    <row r="550" spans="8:16">
      <c r="H550" s="3213"/>
      <c r="L550" s="3213"/>
      <c r="M550" s="3213"/>
      <c r="O550" s="3213"/>
      <c r="P550" s="3213"/>
    </row>
    <row r="551" spans="8:16">
      <c r="H551" s="3213"/>
      <c r="L551" s="3213"/>
      <c r="M551" s="3213"/>
      <c r="O551" s="3213"/>
      <c r="P551" s="3213"/>
    </row>
    <row r="552" spans="8:16">
      <c r="H552" s="3213"/>
      <c r="L552" s="3213"/>
      <c r="M552" s="3213"/>
      <c r="O552" s="3213"/>
      <c r="P552" s="3213"/>
    </row>
    <row r="553" spans="8:16">
      <c r="H553" s="3213"/>
      <c r="L553" s="3213"/>
      <c r="M553" s="3213"/>
      <c r="O553" s="3213"/>
      <c r="P553" s="3213"/>
    </row>
    <row r="554" spans="8:16">
      <c r="H554" s="3213"/>
      <c r="L554" s="3213"/>
      <c r="M554" s="3213"/>
      <c r="O554" s="3213"/>
      <c r="P554" s="3213"/>
    </row>
    <row r="555" spans="8:16">
      <c r="H555" s="3213"/>
      <c r="L555" s="3213"/>
      <c r="M555" s="3213"/>
      <c r="O555" s="3213"/>
      <c r="P555" s="3213"/>
    </row>
    <row r="556" spans="8:16">
      <c r="H556" s="3213"/>
      <c r="L556" s="3213"/>
      <c r="M556" s="3213"/>
      <c r="O556" s="3213"/>
      <c r="P556" s="3213"/>
    </row>
    <row r="557" spans="8:16">
      <c r="H557" s="3213"/>
      <c r="L557" s="3213"/>
      <c r="M557" s="3213"/>
      <c r="O557" s="3213"/>
      <c r="P557" s="3213"/>
    </row>
    <row r="558" spans="8:16">
      <c r="H558" s="3213"/>
      <c r="L558" s="3213"/>
      <c r="M558" s="3213"/>
      <c r="O558" s="3213"/>
      <c r="P558" s="3213"/>
    </row>
    <row r="559" spans="8:16">
      <c r="H559" s="3213"/>
      <c r="L559" s="3213"/>
      <c r="M559" s="3213"/>
      <c r="O559" s="3213"/>
      <c r="P559" s="3213"/>
    </row>
    <row r="560" spans="8:16">
      <c r="H560" s="3213"/>
      <c r="L560" s="3213"/>
      <c r="M560" s="3213"/>
      <c r="O560" s="3213"/>
      <c r="P560" s="3213"/>
    </row>
    <row r="561" spans="8:16">
      <c r="H561" s="3213"/>
      <c r="L561" s="3213"/>
      <c r="M561" s="3213"/>
      <c r="O561" s="3213"/>
      <c r="P561" s="3213"/>
    </row>
    <row r="562" spans="8:16">
      <c r="H562" s="3213"/>
      <c r="L562" s="3213"/>
      <c r="M562" s="3213"/>
      <c r="O562" s="3213"/>
      <c r="P562" s="3213"/>
    </row>
    <row r="563" spans="8:16">
      <c r="H563" s="3213"/>
      <c r="L563" s="3213"/>
      <c r="M563" s="3213"/>
      <c r="O563" s="3213"/>
      <c r="P563" s="3213"/>
    </row>
    <row r="564" spans="8:16">
      <c r="H564" s="3213"/>
      <c r="L564" s="3213"/>
      <c r="M564" s="3213"/>
      <c r="O564" s="3213"/>
      <c r="P564" s="3213"/>
    </row>
    <row r="565" spans="8:16">
      <c r="H565" s="3213"/>
      <c r="L565" s="3213"/>
      <c r="M565" s="3213"/>
      <c r="O565" s="3213"/>
      <c r="P565" s="3213"/>
    </row>
    <row r="566" spans="8:16">
      <c r="H566" s="3213"/>
      <c r="L566" s="3213"/>
      <c r="M566" s="3213"/>
      <c r="O566" s="3213"/>
      <c r="P566" s="3213"/>
    </row>
    <row r="567" spans="8:16">
      <c r="H567" s="3213"/>
      <c r="L567" s="3213"/>
      <c r="M567" s="3213"/>
      <c r="O567" s="3213"/>
      <c r="P567" s="3213"/>
    </row>
    <row r="568" spans="8:16">
      <c r="H568" s="3213"/>
      <c r="L568" s="3213"/>
      <c r="M568" s="3213"/>
      <c r="O568" s="3213"/>
      <c r="P568" s="3213"/>
    </row>
    <row r="569" spans="8:16">
      <c r="H569" s="3213"/>
      <c r="L569" s="3213"/>
      <c r="M569" s="3213"/>
      <c r="O569" s="3213"/>
      <c r="P569" s="3213"/>
    </row>
    <row r="570" spans="8:16">
      <c r="H570" s="3213"/>
      <c r="L570" s="3213"/>
      <c r="M570" s="3213"/>
      <c r="O570" s="3213"/>
      <c r="P570" s="3213"/>
    </row>
    <row r="571" spans="8:16">
      <c r="H571" s="3213"/>
      <c r="L571" s="3213"/>
      <c r="M571" s="3213"/>
      <c r="O571" s="3213"/>
      <c r="P571" s="3213"/>
    </row>
    <row r="572" spans="8:16">
      <c r="H572" s="3213"/>
      <c r="L572" s="3213"/>
      <c r="M572" s="3213"/>
      <c r="O572" s="3213"/>
      <c r="P572" s="3213"/>
    </row>
    <row r="573" spans="8:16">
      <c r="H573" s="3213"/>
      <c r="L573" s="3213"/>
      <c r="M573" s="3213"/>
      <c r="O573" s="3213"/>
      <c r="P573" s="3213"/>
    </row>
    <row r="574" spans="8:16">
      <c r="H574" s="3213"/>
      <c r="L574" s="3213"/>
      <c r="M574" s="3213"/>
      <c r="O574" s="3213"/>
      <c r="P574" s="3213"/>
    </row>
    <row r="575" spans="8:16">
      <c r="H575" s="3213"/>
      <c r="L575" s="3213"/>
      <c r="M575" s="3213"/>
      <c r="O575" s="3213"/>
      <c r="P575" s="3213"/>
    </row>
    <row r="576" spans="8:16">
      <c r="H576" s="3213"/>
      <c r="L576" s="3213"/>
      <c r="M576" s="3213"/>
      <c r="O576" s="3213"/>
      <c r="P576" s="3213"/>
    </row>
    <row r="577" spans="8:16">
      <c r="H577" s="3213"/>
      <c r="L577" s="3213"/>
      <c r="M577" s="3213"/>
      <c r="O577" s="3213"/>
      <c r="P577" s="3213"/>
    </row>
    <row r="578" spans="8:16">
      <c r="H578" s="3213"/>
      <c r="L578" s="3213"/>
      <c r="M578" s="3213"/>
      <c r="O578" s="3213"/>
      <c r="P578" s="3213"/>
    </row>
    <row r="579" spans="8:16">
      <c r="H579" s="3213"/>
      <c r="L579" s="3213"/>
      <c r="M579" s="3213"/>
      <c r="O579" s="3213"/>
      <c r="P579" s="3213"/>
    </row>
    <row r="580" spans="8:16">
      <c r="H580" s="3213"/>
      <c r="L580" s="3213"/>
      <c r="M580" s="3213"/>
      <c r="O580" s="3213"/>
      <c r="P580" s="3213"/>
    </row>
    <row r="581" spans="8:16">
      <c r="H581" s="3213"/>
      <c r="L581" s="3213"/>
      <c r="M581" s="3213"/>
      <c r="O581" s="3213"/>
      <c r="P581" s="3213"/>
    </row>
    <row r="582" spans="8:16">
      <c r="H582" s="3213"/>
      <c r="L582" s="3213"/>
      <c r="M582" s="3213"/>
      <c r="O582" s="3213"/>
      <c r="P582" s="3213"/>
    </row>
    <row r="583" spans="8:16">
      <c r="H583" s="3213"/>
      <c r="L583" s="3213"/>
      <c r="M583" s="3213"/>
      <c r="O583" s="3213"/>
      <c r="P583" s="3213"/>
    </row>
    <row r="584" spans="8:16">
      <c r="H584" s="3213"/>
      <c r="L584" s="3213"/>
      <c r="M584" s="3213"/>
      <c r="O584" s="3213"/>
      <c r="P584" s="3213"/>
    </row>
    <row r="585" spans="8:16">
      <c r="H585" s="3213"/>
      <c r="L585" s="3213"/>
      <c r="M585" s="3213"/>
      <c r="O585" s="3213"/>
      <c r="P585" s="3213"/>
    </row>
    <row r="586" spans="8:16">
      <c r="H586" s="3213"/>
      <c r="L586" s="3213"/>
      <c r="M586" s="3213"/>
      <c r="O586" s="3213"/>
      <c r="P586" s="3213"/>
    </row>
    <row r="587" spans="8:16">
      <c r="H587" s="3213"/>
      <c r="L587" s="3213"/>
      <c r="M587" s="3213"/>
      <c r="O587" s="3213"/>
      <c r="P587" s="3213"/>
    </row>
    <row r="588" spans="8:16">
      <c r="H588" s="3213"/>
      <c r="L588" s="3213"/>
      <c r="M588" s="3213"/>
      <c r="O588" s="3213"/>
      <c r="P588" s="3213"/>
    </row>
    <row r="589" spans="8:16">
      <c r="H589" s="3213"/>
      <c r="L589" s="3213"/>
      <c r="M589" s="3213"/>
      <c r="O589" s="3213"/>
      <c r="P589" s="3213"/>
    </row>
    <row r="590" spans="8:16">
      <c r="H590" s="3213"/>
      <c r="L590" s="3213"/>
      <c r="M590" s="3213"/>
      <c r="O590" s="3213"/>
      <c r="P590" s="3213"/>
    </row>
    <row r="591" spans="8:16">
      <c r="H591" s="3213"/>
      <c r="L591" s="3213"/>
      <c r="M591" s="3213"/>
      <c r="O591" s="3213"/>
      <c r="P591" s="3213"/>
    </row>
    <row r="592" spans="8:16">
      <c r="H592" s="3213"/>
      <c r="L592" s="3213"/>
      <c r="M592" s="3213"/>
      <c r="O592" s="3213"/>
      <c r="P592" s="3213"/>
    </row>
    <row r="593" spans="8:16">
      <c r="H593" s="3213"/>
      <c r="L593" s="3213"/>
      <c r="M593" s="3213"/>
      <c r="O593" s="3213"/>
      <c r="P593" s="3213"/>
    </row>
    <row r="594" spans="8:16">
      <c r="H594" s="3213"/>
      <c r="L594" s="3213"/>
      <c r="M594" s="3213"/>
      <c r="O594" s="3213"/>
      <c r="P594" s="3213"/>
    </row>
    <row r="595" spans="8:16">
      <c r="H595" s="3213"/>
      <c r="L595" s="3213"/>
      <c r="M595" s="3213"/>
      <c r="O595" s="3213"/>
      <c r="P595" s="3213"/>
    </row>
    <row r="596" spans="8:16">
      <c r="H596" s="3213"/>
      <c r="L596" s="3213"/>
      <c r="M596" s="3213"/>
      <c r="O596" s="3213"/>
      <c r="P596" s="3213"/>
    </row>
    <row r="597" spans="8:16">
      <c r="H597" s="3213"/>
      <c r="L597" s="3213"/>
      <c r="M597" s="3213"/>
      <c r="O597" s="3213"/>
      <c r="P597" s="3213"/>
    </row>
    <row r="598" spans="8:16">
      <c r="H598" s="3213"/>
      <c r="L598" s="3213"/>
      <c r="M598" s="3213"/>
      <c r="O598" s="3213"/>
      <c r="P598" s="3213"/>
    </row>
    <row r="599" spans="8:16">
      <c r="H599" s="3213"/>
      <c r="L599" s="3213"/>
      <c r="M599" s="3213"/>
      <c r="O599" s="3213"/>
      <c r="P599" s="3213"/>
    </row>
    <row r="600" spans="8:16">
      <c r="H600" s="3213"/>
      <c r="L600" s="3213"/>
      <c r="M600" s="3213"/>
      <c r="O600" s="3213"/>
      <c r="P600" s="3213"/>
    </row>
    <row r="601" spans="8:16">
      <c r="H601" s="3213"/>
      <c r="L601" s="3213"/>
      <c r="M601" s="3213"/>
      <c r="O601" s="3213"/>
      <c r="P601" s="3213"/>
    </row>
    <row r="602" spans="8:16">
      <c r="H602" s="3213"/>
      <c r="L602" s="3213"/>
      <c r="M602" s="3213"/>
      <c r="O602" s="3213"/>
      <c r="P602" s="3213"/>
    </row>
    <row r="603" spans="8:16">
      <c r="H603" s="3213"/>
      <c r="L603" s="3213"/>
      <c r="M603" s="3213"/>
      <c r="O603" s="3213"/>
      <c r="P603" s="3213"/>
    </row>
    <row r="604" spans="8:16">
      <c r="H604" s="3213"/>
      <c r="L604" s="3213"/>
      <c r="M604" s="3213"/>
      <c r="O604" s="3213"/>
      <c r="P604" s="3213"/>
    </row>
    <row r="605" spans="8:16">
      <c r="H605" s="3213"/>
      <c r="L605" s="3213"/>
      <c r="M605" s="3213"/>
      <c r="O605" s="3213"/>
      <c r="P605" s="3213"/>
    </row>
    <row r="606" spans="8:16">
      <c r="H606" s="3213"/>
      <c r="L606" s="3213"/>
      <c r="M606" s="3213"/>
      <c r="O606" s="3213"/>
      <c r="P606" s="3213"/>
    </row>
    <row r="607" spans="8:16">
      <c r="H607" s="3213"/>
      <c r="L607" s="3213"/>
      <c r="M607" s="3213"/>
      <c r="O607" s="3213"/>
      <c r="P607" s="3213"/>
    </row>
    <row r="608" spans="8:16">
      <c r="H608" s="3213"/>
      <c r="L608" s="3213"/>
      <c r="M608" s="3213"/>
      <c r="O608" s="3213"/>
      <c r="P608" s="3213"/>
    </row>
    <row r="609" spans="8:16">
      <c r="H609" s="3213"/>
      <c r="L609" s="3213"/>
      <c r="M609" s="3213"/>
      <c r="O609" s="3213"/>
      <c r="P609" s="3213"/>
    </row>
    <row r="610" spans="8:16">
      <c r="H610" s="3213"/>
      <c r="L610" s="3213"/>
      <c r="M610" s="3213"/>
      <c r="O610" s="3213"/>
      <c r="P610" s="3213"/>
    </row>
    <row r="611" spans="8:16">
      <c r="H611" s="3213"/>
      <c r="L611" s="3213"/>
      <c r="M611" s="3213"/>
      <c r="O611" s="3213"/>
      <c r="P611" s="3213"/>
    </row>
    <row r="612" spans="8:16">
      <c r="H612" s="3213"/>
      <c r="L612" s="3213"/>
      <c r="M612" s="3213"/>
      <c r="O612" s="3213"/>
      <c r="P612" s="3213"/>
    </row>
    <row r="613" spans="8:16">
      <c r="H613" s="3213"/>
      <c r="L613" s="3213"/>
      <c r="M613" s="3213"/>
      <c r="O613" s="3213"/>
      <c r="P613" s="3213"/>
    </row>
    <row r="614" spans="8:16">
      <c r="H614" s="3213"/>
      <c r="L614" s="3213"/>
      <c r="M614" s="3213"/>
      <c r="O614" s="3213"/>
      <c r="P614" s="3213"/>
    </row>
    <row r="615" spans="8:16">
      <c r="H615" s="3213"/>
      <c r="L615" s="3213"/>
      <c r="M615" s="3213"/>
      <c r="O615" s="3213"/>
      <c r="P615" s="3213"/>
    </row>
    <row r="616" spans="8:16">
      <c r="H616" s="3213"/>
      <c r="L616" s="3213"/>
      <c r="M616" s="3213"/>
      <c r="O616" s="3213"/>
      <c r="P616" s="3213"/>
    </row>
    <row r="617" spans="8:16">
      <c r="H617" s="3213"/>
      <c r="L617" s="3213"/>
      <c r="M617" s="3213"/>
      <c r="O617" s="3213"/>
      <c r="P617" s="3213"/>
    </row>
    <row r="618" spans="8:16">
      <c r="H618" s="3213"/>
      <c r="L618" s="3213"/>
      <c r="M618" s="3213"/>
      <c r="O618" s="3213"/>
      <c r="P618" s="3213"/>
    </row>
    <row r="619" spans="8:16">
      <c r="H619" s="3213"/>
      <c r="L619" s="3213"/>
      <c r="M619" s="3213"/>
      <c r="O619" s="3213"/>
      <c r="P619" s="3213"/>
    </row>
    <row r="620" spans="8:16">
      <c r="H620" s="3213"/>
      <c r="L620" s="3213"/>
      <c r="M620" s="3213"/>
      <c r="O620" s="3213"/>
      <c r="P620" s="3213"/>
    </row>
    <row r="621" spans="8:16">
      <c r="H621" s="3213"/>
      <c r="L621" s="3213"/>
      <c r="M621" s="3213"/>
      <c r="O621" s="3213"/>
      <c r="P621" s="3213"/>
    </row>
    <row r="622" spans="8:16">
      <c r="H622" s="3213"/>
      <c r="L622" s="3213"/>
      <c r="M622" s="3213"/>
      <c r="O622" s="3213"/>
      <c r="P622" s="3213"/>
    </row>
    <row r="623" spans="8:16">
      <c r="H623" s="3213"/>
      <c r="L623" s="3213"/>
      <c r="M623" s="3213"/>
      <c r="O623" s="3213"/>
      <c r="P623" s="3213"/>
    </row>
    <row r="624" spans="8:16">
      <c r="H624" s="3213"/>
      <c r="L624" s="3213"/>
      <c r="M624" s="3213"/>
      <c r="O624" s="3213"/>
      <c r="P624" s="3213"/>
    </row>
    <row r="625" spans="8:16">
      <c r="H625" s="3213"/>
      <c r="L625" s="3213"/>
      <c r="M625" s="3213"/>
      <c r="O625" s="3213"/>
      <c r="P625" s="3213"/>
    </row>
    <row r="626" spans="8:16">
      <c r="H626" s="3213"/>
      <c r="L626" s="3213"/>
      <c r="M626" s="3213"/>
      <c r="O626" s="3213"/>
      <c r="P626" s="3213"/>
    </row>
    <row r="627" spans="8:16">
      <c r="H627" s="3213"/>
      <c r="L627" s="3213"/>
      <c r="M627" s="3213"/>
      <c r="O627" s="3213"/>
      <c r="P627" s="3213"/>
    </row>
    <row r="628" spans="8:16">
      <c r="H628" s="3213"/>
      <c r="L628" s="3213"/>
      <c r="M628" s="3213"/>
      <c r="O628" s="3213"/>
      <c r="P628" s="3213"/>
    </row>
    <row r="629" spans="8:16">
      <c r="H629" s="3213"/>
      <c r="L629" s="3213"/>
      <c r="M629" s="3213"/>
      <c r="O629" s="3213"/>
      <c r="P629" s="3213"/>
    </row>
    <row r="630" spans="8:16">
      <c r="H630" s="3213"/>
      <c r="L630" s="3213"/>
      <c r="M630" s="3213"/>
      <c r="O630" s="3213"/>
      <c r="P630" s="3213"/>
    </row>
    <row r="631" spans="8:16">
      <c r="H631" s="3213"/>
      <c r="L631" s="3213"/>
      <c r="M631" s="3213"/>
      <c r="O631" s="3213"/>
      <c r="P631" s="3213"/>
    </row>
    <row r="632" spans="8:16">
      <c r="H632" s="3213"/>
      <c r="L632" s="3213"/>
      <c r="M632" s="3213"/>
      <c r="O632" s="3213"/>
      <c r="P632" s="3213"/>
    </row>
    <row r="633" spans="8:16">
      <c r="H633" s="3213"/>
      <c r="L633" s="3213"/>
      <c r="M633" s="3213"/>
      <c r="O633" s="3213"/>
      <c r="P633" s="3213"/>
    </row>
    <row r="634" spans="8:16">
      <c r="H634" s="3213"/>
      <c r="L634" s="3213"/>
      <c r="M634" s="3213"/>
      <c r="O634" s="3213"/>
      <c r="P634" s="3213"/>
    </row>
    <row r="635" spans="8:16">
      <c r="H635" s="3213"/>
      <c r="L635" s="3213"/>
      <c r="M635" s="3213"/>
      <c r="O635" s="3213"/>
      <c r="P635" s="3213"/>
    </row>
    <row r="636" spans="8:16">
      <c r="H636" s="3213"/>
      <c r="L636" s="3213"/>
      <c r="M636" s="3213"/>
      <c r="O636" s="3213"/>
      <c r="P636" s="3213"/>
    </row>
    <row r="637" spans="8:16">
      <c r="H637" s="3213"/>
      <c r="L637" s="3213"/>
      <c r="M637" s="3213"/>
      <c r="O637" s="3213"/>
      <c r="P637" s="3213"/>
    </row>
    <row r="638" spans="8:16">
      <c r="H638" s="3213"/>
      <c r="L638" s="3213"/>
      <c r="M638" s="3213"/>
      <c r="O638" s="3213"/>
      <c r="P638" s="3213"/>
    </row>
    <row r="639" spans="8:16">
      <c r="H639" s="3213"/>
      <c r="L639" s="3213"/>
      <c r="M639" s="3213"/>
      <c r="O639" s="3213"/>
      <c r="P639" s="3213"/>
    </row>
    <row r="640" spans="8:16">
      <c r="H640" s="3213"/>
      <c r="L640" s="3213"/>
      <c r="M640" s="3213"/>
      <c r="O640" s="3213"/>
      <c r="P640" s="3213"/>
    </row>
    <row r="641" spans="8:16">
      <c r="H641" s="3213"/>
      <c r="L641" s="3213"/>
      <c r="M641" s="3213"/>
      <c r="O641" s="3213"/>
      <c r="P641" s="3213"/>
    </row>
    <row r="642" spans="8:16">
      <c r="H642" s="3213"/>
      <c r="L642" s="3213"/>
      <c r="M642" s="3213"/>
      <c r="O642" s="3213"/>
      <c r="P642" s="3213"/>
    </row>
    <row r="643" spans="8:16">
      <c r="H643" s="3213"/>
      <c r="L643" s="3213"/>
      <c r="M643" s="3213"/>
      <c r="O643" s="3213"/>
      <c r="P643" s="3213"/>
    </row>
    <row r="644" spans="8:16">
      <c r="H644" s="3213"/>
      <c r="L644" s="3213"/>
      <c r="M644" s="3213"/>
      <c r="O644" s="3213"/>
      <c r="P644" s="3213"/>
    </row>
    <row r="645" spans="8:16">
      <c r="H645" s="3213"/>
      <c r="L645" s="3213"/>
      <c r="M645" s="3213"/>
      <c r="O645" s="3213"/>
      <c r="P645" s="3213"/>
    </row>
    <row r="646" spans="8:16">
      <c r="H646" s="3213"/>
      <c r="L646" s="3213"/>
      <c r="M646" s="3213"/>
      <c r="O646" s="3213"/>
      <c r="P646" s="3213"/>
    </row>
    <row r="647" spans="8:16">
      <c r="H647" s="3213"/>
      <c r="L647" s="3213"/>
      <c r="M647" s="3213"/>
      <c r="O647" s="3213"/>
      <c r="P647" s="3213"/>
    </row>
    <row r="648" spans="8:16">
      <c r="H648" s="3213"/>
      <c r="L648" s="3213"/>
      <c r="M648" s="3213"/>
      <c r="O648" s="3213"/>
      <c r="P648" s="3213"/>
    </row>
    <row r="649" spans="8:16">
      <c r="H649" s="3213"/>
      <c r="L649" s="3213"/>
      <c r="M649" s="3213"/>
      <c r="O649" s="3213"/>
      <c r="P649" s="3213"/>
    </row>
    <row r="650" spans="8:16">
      <c r="H650" s="3213"/>
      <c r="L650" s="3213"/>
      <c r="M650" s="3213"/>
      <c r="O650" s="3213"/>
      <c r="P650" s="3213"/>
    </row>
    <row r="651" spans="8:16">
      <c r="H651" s="3213"/>
      <c r="L651" s="3213"/>
      <c r="M651" s="3213"/>
      <c r="O651" s="3213"/>
      <c r="P651" s="3213"/>
    </row>
    <row r="652" spans="8:16">
      <c r="H652" s="3213"/>
      <c r="L652" s="3213"/>
      <c r="M652" s="3213"/>
      <c r="O652" s="3213"/>
      <c r="P652" s="3213"/>
    </row>
    <row r="653" spans="8:16">
      <c r="H653" s="3213"/>
      <c r="L653" s="3213"/>
      <c r="M653" s="3213"/>
      <c r="O653" s="3213"/>
      <c r="P653" s="3213"/>
    </row>
    <row r="654" spans="8:16">
      <c r="H654" s="3213"/>
      <c r="L654" s="3213"/>
      <c r="M654" s="3213"/>
      <c r="O654" s="3213"/>
      <c r="P654" s="3213"/>
    </row>
    <row r="655" spans="8:16">
      <c r="H655" s="3213"/>
      <c r="L655" s="3213"/>
      <c r="M655" s="3213"/>
      <c r="O655" s="3213"/>
      <c r="P655" s="3213"/>
    </row>
    <row r="656" spans="8:16">
      <c r="H656" s="3213"/>
      <c r="L656" s="3213"/>
      <c r="M656" s="3213"/>
      <c r="O656" s="3213"/>
      <c r="P656" s="3213"/>
    </row>
    <row r="657" spans="8:16">
      <c r="H657" s="3213"/>
      <c r="L657" s="3213"/>
      <c r="M657" s="3213"/>
      <c r="O657" s="3213"/>
      <c r="P657" s="3213"/>
    </row>
    <row r="658" spans="8:16">
      <c r="H658" s="3213"/>
      <c r="L658" s="3213"/>
      <c r="M658" s="3213"/>
      <c r="O658" s="3213"/>
      <c r="P658" s="3213"/>
    </row>
    <row r="659" spans="8:16">
      <c r="H659" s="3213"/>
      <c r="L659" s="3213"/>
      <c r="M659" s="3213"/>
      <c r="O659" s="3213"/>
      <c r="P659" s="3213"/>
    </row>
    <row r="660" spans="8:16">
      <c r="H660" s="3213"/>
      <c r="L660" s="3213"/>
      <c r="M660" s="3213"/>
      <c r="O660" s="3213"/>
      <c r="P660" s="3213"/>
    </row>
    <row r="661" spans="8:16">
      <c r="H661" s="3213"/>
      <c r="L661" s="3213"/>
      <c r="M661" s="3213"/>
      <c r="O661" s="3213"/>
      <c r="P661" s="3213"/>
    </row>
    <row r="662" spans="8:16">
      <c r="H662" s="3213"/>
      <c r="L662" s="3213"/>
      <c r="M662" s="3213"/>
      <c r="O662" s="3213"/>
      <c r="P662" s="3213"/>
    </row>
    <row r="663" spans="8:16">
      <c r="H663" s="3213"/>
      <c r="L663" s="3213"/>
      <c r="M663" s="3213"/>
      <c r="O663" s="3213"/>
      <c r="P663" s="3213"/>
    </row>
    <row r="664" spans="8:16">
      <c r="H664" s="3213"/>
      <c r="L664" s="3213"/>
      <c r="M664" s="3213"/>
      <c r="O664" s="3213"/>
      <c r="P664" s="3213"/>
    </row>
    <row r="665" spans="8:16">
      <c r="H665" s="3213"/>
      <c r="L665" s="3213"/>
      <c r="M665" s="3213"/>
      <c r="O665" s="3213"/>
      <c r="P665" s="3213"/>
    </row>
    <row r="666" spans="8:16">
      <c r="H666" s="3213"/>
      <c r="L666" s="3213"/>
      <c r="M666" s="3213"/>
      <c r="O666" s="3213"/>
      <c r="P666" s="3213"/>
    </row>
    <row r="667" spans="8:16">
      <c r="H667" s="3213"/>
      <c r="L667" s="3213"/>
      <c r="M667" s="3213"/>
      <c r="O667" s="3213"/>
      <c r="P667" s="3213"/>
    </row>
    <row r="668" spans="8:16">
      <c r="H668" s="3213"/>
      <c r="L668" s="3213"/>
      <c r="M668" s="3213"/>
      <c r="O668" s="3213"/>
      <c r="P668" s="3213"/>
    </row>
    <row r="669" spans="8:16">
      <c r="H669" s="3213"/>
      <c r="L669" s="3213"/>
      <c r="M669" s="3213"/>
      <c r="O669" s="3213"/>
      <c r="P669" s="3213"/>
    </row>
    <row r="670" spans="8:16">
      <c r="H670" s="3213"/>
      <c r="L670" s="3213"/>
      <c r="M670" s="3213"/>
      <c r="O670" s="3213"/>
      <c r="P670" s="3213"/>
    </row>
    <row r="671" spans="8:16">
      <c r="H671" s="3213"/>
      <c r="L671" s="3213"/>
      <c r="M671" s="3213"/>
      <c r="O671" s="3213"/>
      <c r="P671" s="3213"/>
    </row>
    <row r="672" spans="8:16">
      <c r="H672" s="3213"/>
      <c r="L672" s="3213"/>
      <c r="M672" s="3213"/>
      <c r="O672" s="3213"/>
      <c r="P672" s="3213"/>
    </row>
    <row r="673" spans="8:16">
      <c r="H673" s="3213"/>
      <c r="L673" s="3213"/>
      <c r="M673" s="3213"/>
      <c r="O673" s="3213"/>
      <c r="P673" s="3213"/>
    </row>
    <row r="674" spans="8:16">
      <c r="H674" s="3213"/>
      <c r="L674" s="3213"/>
      <c r="M674" s="3213"/>
      <c r="O674" s="3213"/>
      <c r="P674" s="3213"/>
    </row>
    <row r="675" spans="8:16">
      <c r="H675" s="3213"/>
      <c r="L675" s="3213"/>
      <c r="M675" s="3213"/>
      <c r="O675" s="3213"/>
      <c r="P675" s="3213"/>
    </row>
    <row r="676" spans="8:16">
      <c r="H676" s="3213"/>
      <c r="L676" s="3213"/>
      <c r="M676" s="3213"/>
      <c r="O676" s="3213"/>
      <c r="P676" s="3213"/>
    </row>
    <row r="677" spans="8:16">
      <c r="H677" s="3213"/>
      <c r="L677" s="3213"/>
      <c r="M677" s="3213"/>
      <c r="O677" s="3213"/>
      <c r="P677" s="3213"/>
    </row>
    <row r="678" spans="8:16">
      <c r="H678" s="3213"/>
      <c r="L678" s="3213"/>
      <c r="M678" s="3213"/>
      <c r="O678" s="3213"/>
      <c r="P678" s="3213"/>
    </row>
    <row r="679" spans="8:16">
      <c r="H679" s="3213"/>
      <c r="L679" s="3213"/>
      <c r="M679" s="3213"/>
      <c r="O679" s="3213"/>
      <c r="P679" s="3213"/>
    </row>
    <row r="680" spans="8:16">
      <c r="H680" s="3213"/>
      <c r="L680" s="3213"/>
      <c r="M680" s="3213"/>
      <c r="O680" s="3213"/>
      <c r="P680" s="3213"/>
    </row>
    <row r="681" spans="8:16">
      <c r="H681" s="3213"/>
      <c r="L681" s="3213"/>
      <c r="M681" s="3213"/>
      <c r="O681" s="3213"/>
      <c r="P681" s="3213"/>
    </row>
    <row r="682" spans="8:16">
      <c r="H682" s="3213"/>
      <c r="L682" s="3213"/>
      <c r="M682" s="3213"/>
      <c r="O682" s="3213"/>
      <c r="P682" s="3213"/>
    </row>
    <row r="683" spans="8:16">
      <c r="H683" s="3213"/>
      <c r="L683" s="3213"/>
      <c r="M683" s="3213"/>
      <c r="O683" s="3213"/>
      <c r="P683" s="3213"/>
    </row>
    <row r="684" spans="8:16">
      <c r="H684" s="3213"/>
      <c r="L684" s="3213"/>
      <c r="M684" s="3213"/>
      <c r="O684" s="3213"/>
      <c r="P684" s="3213"/>
    </row>
    <row r="685" spans="8:16">
      <c r="H685" s="3213"/>
      <c r="L685" s="3213"/>
      <c r="M685" s="3213"/>
      <c r="O685" s="3213"/>
      <c r="P685" s="3213"/>
    </row>
    <row r="686" spans="8:16">
      <c r="H686" s="3213"/>
      <c r="L686" s="3213"/>
      <c r="M686" s="3213"/>
      <c r="O686" s="3213"/>
      <c r="P686" s="3213"/>
    </row>
    <row r="687" spans="8:16">
      <c r="H687" s="3213"/>
      <c r="L687" s="3213"/>
      <c r="M687" s="3213"/>
      <c r="O687" s="3213"/>
      <c r="P687" s="3213"/>
    </row>
    <row r="688" spans="8:16">
      <c r="H688" s="3213"/>
      <c r="L688" s="3213"/>
      <c r="M688" s="3213"/>
      <c r="O688" s="3213"/>
      <c r="P688" s="3213"/>
    </row>
    <row r="689" spans="8:16">
      <c r="H689" s="3213"/>
      <c r="L689" s="3213"/>
      <c r="M689" s="3213"/>
      <c r="O689" s="3213"/>
      <c r="P689" s="3213"/>
    </row>
    <row r="690" spans="8:16">
      <c r="H690" s="3213"/>
      <c r="L690" s="3213"/>
      <c r="M690" s="3213"/>
      <c r="O690" s="3213"/>
      <c r="P690" s="3213"/>
    </row>
    <row r="691" spans="8:16">
      <c r="H691" s="3213"/>
      <c r="L691" s="3213"/>
      <c r="M691" s="3213"/>
      <c r="O691" s="3213"/>
      <c r="P691" s="3213"/>
    </row>
    <row r="692" spans="8:16">
      <c r="H692" s="3213"/>
      <c r="L692" s="3213"/>
      <c r="M692" s="3213"/>
      <c r="O692" s="3213"/>
      <c r="P692" s="3213"/>
    </row>
    <row r="693" spans="8:16">
      <c r="H693" s="3213"/>
      <c r="L693" s="3213"/>
      <c r="M693" s="3213"/>
      <c r="O693" s="3213"/>
      <c r="P693" s="3213"/>
    </row>
    <row r="694" spans="8:16">
      <c r="H694" s="3213"/>
      <c r="L694" s="3213"/>
      <c r="M694" s="3213"/>
      <c r="O694" s="3213"/>
      <c r="P694" s="3213"/>
    </row>
    <row r="695" spans="8:16">
      <c r="H695" s="3213"/>
      <c r="L695" s="3213"/>
      <c r="M695" s="3213"/>
      <c r="O695" s="3213"/>
      <c r="P695" s="3213"/>
    </row>
    <row r="696" spans="8:16">
      <c r="H696" s="3213"/>
      <c r="L696" s="3213"/>
      <c r="M696" s="3213"/>
      <c r="O696" s="3213"/>
      <c r="P696" s="3213"/>
    </row>
    <row r="697" spans="8:16">
      <c r="H697" s="3213"/>
      <c r="L697" s="3213"/>
      <c r="M697" s="3213"/>
      <c r="O697" s="3213"/>
      <c r="P697" s="3213"/>
    </row>
    <row r="698" spans="8:16">
      <c r="H698" s="3213"/>
      <c r="L698" s="3213"/>
      <c r="M698" s="3213"/>
      <c r="O698" s="3213"/>
      <c r="P698" s="3213"/>
    </row>
    <row r="699" spans="8:16">
      <c r="H699" s="3213"/>
      <c r="L699" s="3213"/>
      <c r="M699" s="3213"/>
      <c r="O699" s="3213"/>
      <c r="P699" s="3213"/>
    </row>
    <row r="700" spans="8:16">
      <c r="H700" s="3213"/>
      <c r="L700" s="3213"/>
      <c r="M700" s="3213"/>
      <c r="O700" s="3213"/>
      <c r="P700" s="3213"/>
    </row>
    <row r="701" spans="8:16">
      <c r="H701" s="3213"/>
      <c r="L701" s="3213"/>
      <c r="M701" s="3213"/>
      <c r="O701" s="3213"/>
      <c r="P701" s="3213"/>
    </row>
    <row r="702" spans="8:16">
      <c r="H702" s="3213"/>
      <c r="L702" s="3213"/>
      <c r="M702" s="3213"/>
      <c r="O702" s="3213"/>
      <c r="P702" s="3213"/>
    </row>
    <row r="703" spans="8:16">
      <c r="H703" s="3213"/>
      <c r="L703" s="3213"/>
      <c r="M703" s="3213"/>
      <c r="O703" s="3213"/>
      <c r="P703" s="3213"/>
    </row>
    <row r="704" spans="8:16">
      <c r="H704" s="3213"/>
      <c r="L704" s="3213"/>
      <c r="M704" s="3213"/>
      <c r="O704" s="3213"/>
      <c r="P704" s="3213"/>
    </row>
    <row r="705" spans="8:16">
      <c r="H705" s="3213"/>
      <c r="L705" s="3213"/>
      <c r="M705" s="3213"/>
      <c r="O705" s="3213"/>
      <c r="P705" s="3213"/>
    </row>
    <row r="706" spans="8:16">
      <c r="H706" s="3213"/>
      <c r="L706" s="3213"/>
      <c r="M706" s="3213"/>
      <c r="O706" s="3213"/>
      <c r="P706" s="3213"/>
    </row>
    <row r="707" spans="8:16">
      <c r="H707" s="3213"/>
      <c r="L707" s="3213"/>
      <c r="M707" s="3213"/>
      <c r="O707" s="3213"/>
      <c r="P707" s="3213"/>
    </row>
    <row r="708" spans="8:16">
      <c r="H708" s="3213"/>
      <c r="L708" s="3213"/>
      <c r="M708" s="3213"/>
      <c r="O708" s="3213"/>
      <c r="P708" s="3213"/>
    </row>
    <row r="709" spans="8:16">
      <c r="H709" s="3213"/>
      <c r="L709" s="3213"/>
      <c r="M709" s="3213"/>
      <c r="O709" s="3213"/>
      <c r="P709" s="3213"/>
    </row>
    <row r="710" spans="8:16">
      <c r="H710" s="3213"/>
      <c r="L710" s="3213"/>
      <c r="M710" s="3213"/>
      <c r="O710" s="3213"/>
      <c r="P710" s="3213"/>
    </row>
    <row r="711" spans="8:16">
      <c r="H711" s="3213"/>
      <c r="L711" s="3213"/>
      <c r="M711" s="3213"/>
      <c r="O711" s="3213"/>
      <c r="P711" s="3213"/>
    </row>
    <row r="712" spans="8:16">
      <c r="H712" s="3213"/>
      <c r="L712" s="3213"/>
      <c r="M712" s="3213"/>
      <c r="O712" s="3213"/>
      <c r="P712" s="3213"/>
    </row>
    <row r="713" spans="8:16">
      <c r="H713" s="3213"/>
      <c r="L713" s="3213"/>
      <c r="M713" s="3213"/>
      <c r="O713" s="3213"/>
      <c r="P713" s="3213"/>
    </row>
    <row r="714" spans="8:16">
      <c r="H714" s="3213"/>
      <c r="L714" s="3213"/>
      <c r="M714" s="3213"/>
      <c r="O714" s="3213"/>
      <c r="P714" s="3213"/>
    </row>
    <row r="715" spans="8:16">
      <c r="H715" s="3213"/>
      <c r="L715" s="3213"/>
      <c r="M715" s="3213"/>
      <c r="O715" s="3213"/>
      <c r="P715" s="3213"/>
    </row>
    <row r="716" spans="8:16">
      <c r="H716" s="3213"/>
      <c r="L716" s="3213"/>
      <c r="M716" s="3213"/>
      <c r="O716" s="3213"/>
      <c r="P716" s="3213"/>
    </row>
    <row r="717" spans="8:16">
      <c r="H717" s="3213"/>
      <c r="L717" s="3213"/>
      <c r="M717" s="3213"/>
      <c r="O717" s="3213"/>
      <c r="P717" s="3213"/>
    </row>
    <row r="718" spans="8:16">
      <c r="H718" s="3213"/>
      <c r="L718" s="3213"/>
      <c r="M718" s="3213"/>
      <c r="O718" s="3213"/>
      <c r="P718" s="3213"/>
    </row>
    <row r="719" spans="8:16">
      <c r="H719" s="3213"/>
      <c r="L719" s="3213"/>
      <c r="M719" s="3213"/>
      <c r="O719" s="3213"/>
      <c r="P719" s="3213"/>
    </row>
    <row r="720" spans="8:16">
      <c r="H720" s="3213"/>
      <c r="L720" s="3213"/>
      <c r="M720" s="3213"/>
      <c r="O720" s="3213"/>
      <c r="P720" s="3213"/>
    </row>
    <row r="721" spans="8:16">
      <c r="H721" s="3213"/>
      <c r="L721" s="3213"/>
      <c r="M721" s="3213"/>
      <c r="O721" s="3213"/>
      <c r="P721" s="3213"/>
    </row>
    <row r="722" spans="8:16">
      <c r="H722" s="3213"/>
      <c r="L722" s="3213"/>
      <c r="M722" s="3213"/>
      <c r="O722" s="3213"/>
      <c r="P722" s="3213"/>
    </row>
    <row r="723" spans="8:16">
      <c r="H723" s="3213"/>
      <c r="L723" s="3213"/>
      <c r="M723" s="3213"/>
      <c r="O723" s="3213"/>
      <c r="P723" s="3213"/>
    </row>
    <row r="724" spans="8:16">
      <c r="H724" s="3213"/>
      <c r="L724" s="3213"/>
      <c r="M724" s="3213"/>
      <c r="O724" s="3213"/>
      <c r="P724" s="3213"/>
    </row>
    <row r="725" spans="8:16">
      <c r="H725" s="3213"/>
      <c r="L725" s="3213"/>
      <c r="M725" s="3213"/>
      <c r="O725" s="3213"/>
      <c r="P725" s="3213"/>
    </row>
    <row r="726" spans="8:16">
      <c r="H726" s="3213"/>
      <c r="L726" s="3213"/>
      <c r="M726" s="3213"/>
      <c r="O726" s="3213"/>
      <c r="P726" s="3213"/>
    </row>
    <row r="727" spans="8:16">
      <c r="H727" s="3213"/>
      <c r="L727" s="3213"/>
      <c r="M727" s="3213"/>
      <c r="O727" s="3213"/>
      <c r="P727" s="3213"/>
    </row>
    <row r="728" spans="8:16">
      <c r="H728" s="3213"/>
      <c r="L728" s="3213"/>
      <c r="M728" s="3213"/>
      <c r="O728" s="3213"/>
      <c r="P728" s="3213"/>
    </row>
    <row r="729" spans="8:16">
      <c r="H729" s="3213"/>
      <c r="L729" s="3213"/>
      <c r="M729" s="3213"/>
      <c r="O729" s="3213"/>
      <c r="P729" s="3213"/>
    </row>
    <row r="730" spans="8:16">
      <c r="H730" s="3213"/>
      <c r="L730" s="3213"/>
      <c r="M730" s="3213"/>
      <c r="O730" s="3213"/>
      <c r="P730" s="3213"/>
    </row>
    <row r="731" spans="8:16">
      <c r="H731" s="3213"/>
      <c r="L731" s="3213"/>
      <c r="M731" s="3213"/>
      <c r="O731" s="3213"/>
      <c r="P731" s="3213"/>
    </row>
    <row r="732" spans="8:16">
      <c r="H732" s="3213"/>
      <c r="L732" s="3213"/>
      <c r="M732" s="3213"/>
      <c r="O732" s="3213"/>
      <c r="P732" s="3213"/>
    </row>
    <row r="733" spans="8:16">
      <c r="H733" s="3213"/>
      <c r="L733" s="3213"/>
      <c r="M733" s="3213"/>
      <c r="O733" s="3213"/>
      <c r="P733" s="3213"/>
    </row>
    <row r="734" spans="8:16">
      <c r="H734" s="3213"/>
      <c r="L734" s="3213"/>
      <c r="M734" s="3213"/>
      <c r="O734" s="3213"/>
      <c r="P734" s="3213"/>
    </row>
    <row r="735" spans="8:16">
      <c r="H735" s="3213"/>
      <c r="L735" s="3213"/>
      <c r="M735" s="3213"/>
      <c r="O735" s="3213"/>
      <c r="P735" s="3213"/>
    </row>
    <row r="736" spans="8:16">
      <c r="H736" s="3213"/>
      <c r="L736" s="3213"/>
      <c r="M736" s="3213"/>
      <c r="O736" s="3213"/>
      <c r="P736" s="3213"/>
    </row>
    <row r="737" spans="8:16">
      <c r="H737" s="3213"/>
      <c r="L737" s="3213"/>
      <c r="M737" s="3213"/>
      <c r="O737" s="3213"/>
      <c r="P737" s="3213"/>
    </row>
    <row r="738" spans="8:16">
      <c r="H738" s="3213"/>
      <c r="L738" s="3213"/>
      <c r="M738" s="3213"/>
      <c r="O738" s="3213"/>
      <c r="P738" s="3213"/>
    </row>
    <row r="739" spans="8:16">
      <c r="H739" s="3213"/>
      <c r="L739" s="3213"/>
      <c r="M739" s="3213"/>
      <c r="O739" s="3213"/>
      <c r="P739" s="3213"/>
    </row>
    <row r="740" spans="8:16">
      <c r="H740" s="3213"/>
      <c r="L740" s="3213"/>
      <c r="M740" s="3213"/>
      <c r="O740" s="3213"/>
      <c r="P740" s="3213"/>
    </row>
    <row r="741" spans="8:16">
      <c r="H741" s="3213"/>
      <c r="L741" s="3213"/>
      <c r="M741" s="3213"/>
      <c r="O741" s="3213"/>
      <c r="P741" s="3213"/>
    </row>
    <row r="742" spans="8:16">
      <c r="H742" s="3213"/>
      <c r="L742" s="3213"/>
      <c r="M742" s="3213"/>
      <c r="O742" s="3213"/>
      <c r="P742" s="3213"/>
    </row>
    <row r="743" spans="8:16">
      <c r="H743" s="3213"/>
      <c r="L743" s="3213"/>
      <c r="M743" s="3213"/>
      <c r="O743" s="3213"/>
      <c r="P743" s="3213"/>
    </row>
    <row r="744" spans="8:16">
      <c r="H744" s="3213"/>
      <c r="L744" s="3213"/>
      <c r="M744" s="3213"/>
      <c r="O744" s="3213"/>
      <c r="P744" s="3213"/>
    </row>
    <row r="745" spans="8:16">
      <c r="H745" s="3213"/>
      <c r="L745" s="3213"/>
      <c r="M745" s="3213"/>
      <c r="O745" s="3213"/>
      <c r="P745" s="3213"/>
    </row>
    <row r="746" spans="8:16">
      <c r="H746" s="3213"/>
      <c r="L746" s="3213"/>
      <c r="M746" s="3213"/>
      <c r="O746" s="3213"/>
      <c r="P746" s="3213"/>
    </row>
    <row r="747" spans="8:16">
      <c r="H747" s="3213"/>
      <c r="L747" s="3213"/>
      <c r="M747" s="3213"/>
      <c r="O747" s="3213"/>
      <c r="P747" s="3213"/>
    </row>
    <row r="748" spans="8:16">
      <c r="H748" s="3213"/>
      <c r="L748" s="3213"/>
      <c r="M748" s="3213"/>
      <c r="O748" s="3213"/>
      <c r="P748" s="3213"/>
    </row>
    <row r="749" spans="8:16">
      <c r="H749" s="3213"/>
      <c r="L749" s="3213"/>
      <c r="M749" s="3213"/>
      <c r="O749" s="3213"/>
      <c r="P749" s="3213"/>
    </row>
    <row r="750" spans="8:16">
      <c r="H750" s="3213"/>
      <c r="L750" s="3213"/>
      <c r="M750" s="3213"/>
      <c r="O750" s="3213"/>
      <c r="P750" s="3213"/>
    </row>
    <row r="751" spans="8:16">
      <c r="H751" s="3213"/>
      <c r="L751" s="3213"/>
      <c r="M751" s="3213"/>
      <c r="O751" s="3213"/>
      <c r="P751" s="3213"/>
    </row>
    <row r="752" spans="8:16">
      <c r="H752" s="3213"/>
      <c r="L752" s="3213"/>
      <c r="M752" s="3213"/>
      <c r="O752" s="3213"/>
      <c r="P752" s="3213"/>
    </row>
    <row r="753" spans="8:16">
      <c r="H753" s="3213"/>
      <c r="L753" s="3213"/>
      <c r="M753" s="3213"/>
      <c r="O753" s="3213"/>
      <c r="P753" s="3213"/>
    </row>
    <row r="754" spans="8:16">
      <c r="H754" s="3213"/>
      <c r="L754" s="3213"/>
      <c r="M754" s="3213"/>
      <c r="O754" s="3213"/>
      <c r="P754" s="3213"/>
    </row>
    <row r="755" spans="8:16">
      <c r="H755" s="3213"/>
      <c r="L755" s="3213"/>
      <c r="M755" s="3213"/>
      <c r="O755" s="3213"/>
      <c r="P755" s="3213"/>
    </row>
    <row r="756" spans="8:16">
      <c r="H756" s="3213"/>
      <c r="L756" s="3213"/>
      <c r="M756" s="3213"/>
      <c r="O756" s="3213"/>
      <c r="P756" s="3213"/>
    </row>
    <row r="757" spans="8:16">
      <c r="H757" s="3213"/>
      <c r="L757" s="3213"/>
      <c r="M757" s="3213"/>
      <c r="O757" s="3213"/>
      <c r="P757" s="3213"/>
    </row>
    <row r="758" spans="8:16">
      <c r="H758" s="3213"/>
      <c r="L758" s="3213"/>
      <c r="M758" s="3213"/>
      <c r="O758" s="3213"/>
      <c r="P758" s="3213"/>
    </row>
    <row r="759" spans="8:16">
      <c r="H759" s="3213"/>
      <c r="L759" s="3213"/>
      <c r="M759" s="3213"/>
      <c r="O759" s="3213"/>
      <c r="P759" s="3213"/>
    </row>
    <row r="760" spans="8:16">
      <c r="H760" s="3213"/>
      <c r="L760" s="3213"/>
      <c r="M760" s="3213"/>
      <c r="O760" s="3213"/>
      <c r="P760" s="3213"/>
    </row>
    <row r="761" spans="8:16">
      <c r="H761" s="3213"/>
      <c r="L761" s="3213"/>
      <c r="M761" s="3213"/>
      <c r="O761" s="3213"/>
      <c r="P761" s="3213"/>
    </row>
    <row r="762" spans="8:16">
      <c r="H762" s="3213"/>
      <c r="L762" s="3213"/>
      <c r="M762" s="3213"/>
      <c r="O762" s="3213"/>
      <c r="P762" s="3213"/>
    </row>
    <row r="763" spans="8:16">
      <c r="H763" s="3213"/>
      <c r="L763" s="3213"/>
      <c r="M763" s="3213"/>
      <c r="O763" s="3213"/>
      <c r="P763" s="3213"/>
    </row>
    <row r="764" spans="8:16">
      <c r="H764" s="3213"/>
      <c r="L764" s="3213"/>
      <c r="M764" s="3213"/>
      <c r="O764" s="3213"/>
      <c r="P764" s="3213"/>
    </row>
    <row r="765" spans="8:16">
      <c r="H765" s="3213"/>
      <c r="L765" s="3213"/>
      <c r="M765" s="3213"/>
      <c r="O765" s="3213"/>
      <c r="P765" s="3213"/>
    </row>
    <row r="766" spans="8:16">
      <c r="H766" s="3213"/>
      <c r="L766" s="3213"/>
      <c r="M766" s="3213"/>
      <c r="O766" s="3213"/>
      <c r="P766" s="3213"/>
    </row>
    <row r="767" spans="8:16">
      <c r="H767" s="3213"/>
      <c r="L767" s="3213"/>
      <c r="M767" s="3213"/>
      <c r="O767" s="3213"/>
      <c r="P767" s="3213"/>
    </row>
    <row r="768" spans="8:16">
      <c r="H768" s="3213"/>
      <c r="L768" s="3213"/>
      <c r="M768" s="3213"/>
      <c r="O768" s="3213"/>
      <c r="P768" s="3213"/>
    </row>
    <row r="769" spans="8:16">
      <c r="H769" s="3213"/>
      <c r="L769" s="3213"/>
      <c r="M769" s="3213"/>
      <c r="O769" s="3213"/>
      <c r="P769" s="3213"/>
    </row>
    <row r="770" spans="8:16">
      <c r="H770" s="3213"/>
      <c r="L770" s="3213"/>
      <c r="M770" s="3213"/>
      <c r="O770" s="3213"/>
      <c r="P770" s="3213"/>
    </row>
    <row r="771" spans="8:16">
      <c r="H771" s="3213"/>
      <c r="L771" s="3213"/>
      <c r="M771" s="3213"/>
      <c r="O771" s="3213"/>
      <c r="P771" s="3213"/>
    </row>
    <row r="772" spans="8:16">
      <c r="H772" s="3213"/>
      <c r="L772" s="3213"/>
      <c r="M772" s="3213"/>
      <c r="O772" s="3213"/>
      <c r="P772" s="3213"/>
    </row>
    <row r="773" spans="8:16">
      <c r="H773" s="3213"/>
      <c r="L773" s="3213"/>
      <c r="M773" s="3213"/>
      <c r="O773" s="3213"/>
      <c r="P773" s="3213"/>
    </row>
    <row r="774" spans="8:16">
      <c r="H774" s="3213"/>
      <c r="L774" s="3213"/>
      <c r="M774" s="3213"/>
      <c r="O774" s="3213"/>
      <c r="P774" s="3213"/>
    </row>
    <row r="775" spans="8:16">
      <c r="H775" s="3213"/>
      <c r="L775" s="3213"/>
      <c r="M775" s="3213"/>
      <c r="O775" s="3213"/>
      <c r="P775" s="3213"/>
    </row>
    <row r="776" spans="8:16">
      <c r="H776" s="3213"/>
      <c r="L776" s="3213"/>
      <c r="M776" s="3213"/>
      <c r="O776" s="3213"/>
      <c r="P776" s="3213"/>
    </row>
    <row r="777" spans="8:16">
      <c r="H777" s="3213"/>
      <c r="L777" s="3213"/>
      <c r="M777" s="3213"/>
      <c r="O777" s="3213"/>
      <c r="P777" s="3213"/>
    </row>
    <row r="778" spans="8:16">
      <c r="H778" s="3213"/>
      <c r="L778" s="3213"/>
      <c r="M778" s="3213"/>
      <c r="O778" s="3213"/>
      <c r="P778" s="3213"/>
    </row>
    <row r="779" spans="8:16">
      <c r="H779" s="3213"/>
      <c r="L779" s="3213"/>
      <c r="M779" s="3213"/>
      <c r="O779" s="3213"/>
      <c r="P779" s="3213"/>
    </row>
    <row r="780" spans="8:16">
      <c r="H780" s="3213"/>
      <c r="L780" s="3213"/>
      <c r="M780" s="3213"/>
      <c r="O780" s="3213"/>
      <c r="P780" s="3213"/>
    </row>
    <row r="781" spans="8:16">
      <c r="H781" s="3213"/>
      <c r="L781" s="3213"/>
      <c r="M781" s="3213"/>
      <c r="O781" s="3213"/>
      <c r="P781" s="3213"/>
    </row>
    <row r="782" spans="8:16">
      <c r="H782" s="3213"/>
      <c r="L782" s="3213"/>
      <c r="M782" s="3213"/>
      <c r="O782" s="3213"/>
      <c r="P782" s="3213"/>
    </row>
    <row r="783" spans="8:16">
      <c r="H783" s="3213"/>
      <c r="L783" s="3213"/>
      <c r="M783" s="3213"/>
      <c r="O783" s="3213"/>
      <c r="P783" s="3213"/>
    </row>
    <row r="784" spans="8:16">
      <c r="H784" s="3213"/>
      <c r="L784" s="3213"/>
      <c r="M784" s="3213"/>
      <c r="O784" s="3213"/>
      <c r="P784" s="3213"/>
    </row>
    <row r="785" spans="8:16">
      <c r="H785" s="3213"/>
      <c r="L785" s="3213"/>
      <c r="M785" s="3213"/>
      <c r="O785" s="3213"/>
      <c r="P785" s="3213"/>
    </row>
    <row r="786" spans="8:16">
      <c r="H786" s="3213"/>
      <c r="L786" s="3213"/>
      <c r="M786" s="3213"/>
      <c r="O786" s="3213"/>
      <c r="P786" s="3213"/>
    </row>
    <row r="787" spans="8:16">
      <c r="H787" s="3213"/>
      <c r="L787" s="3213"/>
      <c r="M787" s="3213"/>
      <c r="O787" s="3213"/>
      <c r="P787" s="3213"/>
    </row>
    <row r="788" spans="8:16">
      <c r="H788" s="3213"/>
      <c r="L788" s="3213"/>
      <c r="M788" s="3213"/>
      <c r="O788" s="3213"/>
      <c r="P788" s="3213"/>
    </row>
    <row r="789" spans="8:16">
      <c r="H789" s="3213"/>
      <c r="L789" s="3213"/>
      <c r="M789" s="3213"/>
      <c r="O789" s="3213"/>
      <c r="P789" s="3213"/>
    </row>
    <row r="790" spans="8:16">
      <c r="H790" s="3213"/>
      <c r="L790" s="3213"/>
      <c r="M790" s="3213"/>
      <c r="O790" s="3213"/>
      <c r="P790" s="3213"/>
    </row>
    <row r="791" spans="8:16">
      <c r="H791" s="3213"/>
      <c r="L791" s="3213"/>
      <c r="M791" s="3213"/>
      <c r="O791" s="3213"/>
      <c r="P791" s="3213"/>
    </row>
    <row r="792" spans="8:16">
      <c r="H792" s="3213"/>
      <c r="L792" s="3213"/>
      <c r="M792" s="3213"/>
      <c r="O792" s="3213"/>
      <c r="P792" s="3213"/>
    </row>
    <row r="793" spans="8:16">
      <c r="H793" s="3213"/>
      <c r="L793" s="3213"/>
      <c r="M793" s="3213"/>
      <c r="O793" s="3213"/>
      <c r="P793" s="3213"/>
    </row>
    <row r="794" spans="8:16">
      <c r="H794" s="3213"/>
      <c r="L794" s="3213"/>
      <c r="M794" s="3213"/>
      <c r="O794" s="3213"/>
      <c r="P794" s="3213"/>
    </row>
    <row r="795" spans="8:16">
      <c r="H795" s="3213"/>
      <c r="L795" s="3213"/>
      <c r="M795" s="3213"/>
      <c r="O795" s="3213"/>
      <c r="P795" s="3213"/>
    </row>
    <row r="796" spans="8:16">
      <c r="H796" s="3213"/>
      <c r="L796" s="3213"/>
      <c r="M796" s="3213"/>
      <c r="O796" s="3213"/>
      <c r="P796" s="3213"/>
    </row>
    <row r="797" spans="8:16">
      <c r="H797" s="3213"/>
      <c r="L797" s="3213"/>
      <c r="M797" s="3213"/>
      <c r="O797" s="3213"/>
      <c r="P797" s="3213"/>
    </row>
    <row r="798" spans="8:16">
      <c r="H798" s="3213"/>
      <c r="L798" s="3213"/>
      <c r="M798" s="3213"/>
      <c r="O798" s="3213"/>
      <c r="P798" s="3213"/>
    </row>
    <row r="799" spans="8:16">
      <c r="H799" s="3213"/>
      <c r="L799" s="3213"/>
      <c r="M799" s="3213"/>
      <c r="O799" s="3213"/>
      <c r="P799" s="3213"/>
    </row>
    <row r="800" spans="8:16">
      <c r="H800" s="3213"/>
      <c r="L800" s="3213"/>
      <c r="M800" s="3213"/>
      <c r="O800" s="3213"/>
      <c r="P800" s="3213"/>
    </row>
    <row r="801" spans="8:16">
      <c r="H801" s="3213"/>
      <c r="L801" s="3213"/>
      <c r="M801" s="3213"/>
      <c r="O801" s="3213"/>
      <c r="P801" s="3213"/>
    </row>
    <row r="802" spans="8:16">
      <c r="H802" s="3213"/>
      <c r="L802" s="3213"/>
      <c r="M802" s="3213"/>
      <c r="O802" s="3213"/>
      <c r="P802" s="3213"/>
    </row>
    <row r="803" spans="8:16">
      <c r="H803" s="3213"/>
      <c r="L803" s="3213"/>
      <c r="M803" s="3213"/>
      <c r="O803" s="3213"/>
      <c r="P803" s="3213"/>
    </row>
    <row r="804" spans="8:16">
      <c r="H804" s="3213"/>
      <c r="L804" s="3213"/>
      <c r="M804" s="3213"/>
      <c r="O804" s="3213"/>
      <c r="P804" s="3213"/>
    </row>
    <row r="805" spans="8:16">
      <c r="H805" s="3213"/>
      <c r="L805" s="3213"/>
      <c r="M805" s="3213"/>
      <c r="O805" s="3213"/>
      <c r="P805" s="3213"/>
    </row>
    <row r="806" spans="8:16">
      <c r="H806" s="3213"/>
      <c r="L806" s="3213"/>
      <c r="M806" s="3213"/>
      <c r="O806" s="3213"/>
      <c r="P806" s="3213"/>
    </row>
    <row r="807" spans="8:16">
      <c r="H807" s="3213"/>
      <c r="L807" s="3213"/>
      <c r="M807" s="3213"/>
      <c r="O807" s="3213"/>
      <c r="P807" s="3213"/>
    </row>
    <row r="808" spans="8:16">
      <c r="H808" s="3213"/>
      <c r="L808" s="3213"/>
      <c r="M808" s="3213"/>
      <c r="O808" s="3213"/>
      <c r="P808" s="3213"/>
    </row>
    <row r="809" spans="8:16">
      <c r="H809" s="3213"/>
      <c r="L809" s="3213"/>
      <c r="M809" s="3213"/>
      <c r="O809" s="3213"/>
      <c r="P809" s="3213"/>
    </row>
    <row r="810" spans="8:16">
      <c r="H810" s="3213"/>
      <c r="L810" s="3213"/>
      <c r="M810" s="3213"/>
      <c r="O810" s="3213"/>
      <c r="P810" s="3213"/>
    </row>
    <row r="811" spans="8:16">
      <c r="H811" s="3213"/>
      <c r="L811" s="3213"/>
      <c r="M811" s="3213"/>
      <c r="O811" s="3213"/>
      <c r="P811" s="3213"/>
    </row>
    <row r="812" spans="8:16">
      <c r="H812" s="3213"/>
      <c r="L812" s="3213"/>
      <c r="M812" s="3213"/>
      <c r="O812" s="3213"/>
      <c r="P812" s="3213"/>
    </row>
    <row r="813" spans="8:16">
      <c r="H813" s="3213"/>
      <c r="L813" s="3213"/>
      <c r="M813" s="3213"/>
      <c r="O813" s="3213"/>
      <c r="P813" s="3213"/>
    </row>
    <row r="814" spans="8:16">
      <c r="H814" s="3213"/>
      <c r="L814" s="3213"/>
      <c r="M814" s="3213"/>
      <c r="O814" s="3213"/>
      <c r="P814" s="3213"/>
    </row>
    <row r="815" spans="8:16">
      <c r="H815" s="3213"/>
      <c r="L815" s="3213"/>
      <c r="M815" s="3213"/>
      <c r="O815" s="3213"/>
      <c r="P815" s="3213"/>
    </row>
    <row r="816" spans="8:16">
      <c r="H816" s="3213"/>
      <c r="L816" s="3213"/>
      <c r="M816" s="3213"/>
      <c r="O816" s="3213"/>
      <c r="P816" s="3213"/>
    </row>
    <row r="817" spans="8:16">
      <c r="H817" s="3213"/>
      <c r="L817" s="3213"/>
      <c r="M817" s="3213"/>
      <c r="O817" s="3213"/>
      <c r="P817" s="3213"/>
    </row>
    <row r="818" spans="8:16">
      <c r="H818" s="3213"/>
      <c r="L818" s="3213"/>
      <c r="M818" s="3213"/>
      <c r="O818" s="3213"/>
      <c r="P818" s="3213"/>
    </row>
    <row r="819" spans="8:16">
      <c r="H819" s="3213"/>
      <c r="L819" s="3213"/>
      <c r="M819" s="3213"/>
      <c r="O819" s="3213"/>
      <c r="P819" s="3213"/>
    </row>
    <row r="820" spans="8:16">
      <c r="H820" s="3213"/>
      <c r="L820" s="3213"/>
      <c r="M820" s="3213"/>
      <c r="O820" s="3213"/>
      <c r="P820" s="3213"/>
    </row>
    <row r="821" spans="8:16">
      <c r="H821" s="3213"/>
      <c r="L821" s="3213"/>
      <c r="M821" s="3213"/>
      <c r="O821" s="3213"/>
      <c r="P821" s="3213"/>
    </row>
    <row r="822" spans="8:16">
      <c r="H822" s="3213"/>
      <c r="L822" s="3213"/>
      <c r="M822" s="3213"/>
      <c r="O822" s="3213"/>
      <c r="P822" s="3213"/>
    </row>
    <row r="823" spans="8:16">
      <c r="H823" s="3213"/>
      <c r="L823" s="3213"/>
      <c r="M823" s="3213"/>
      <c r="O823" s="3213"/>
      <c r="P823" s="3213"/>
    </row>
    <row r="824" spans="8:16">
      <c r="H824" s="3213"/>
      <c r="L824" s="3213"/>
      <c r="M824" s="3213"/>
      <c r="O824" s="3213"/>
      <c r="P824" s="3213"/>
    </row>
    <row r="825" spans="8:16">
      <c r="H825" s="3213"/>
      <c r="L825" s="3213"/>
      <c r="M825" s="3213"/>
      <c r="O825" s="3213"/>
      <c r="P825" s="3213"/>
    </row>
    <row r="826" spans="8:16">
      <c r="H826" s="3213"/>
      <c r="L826" s="3213"/>
      <c r="M826" s="3213"/>
      <c r="O826" s="3213"/>
      <c r="P826" s="3213"/>
    </row>
    <row r="827" spans="8:16">
      <c r="H827" s="3213"/>
      <c r="L827" s="3213"/>
      <c r="M827" s="3213"/>
      <c r="O827" s="3213"/>
      <c r="P827" s="3213"/>
    </row>
    <row r="828" spans="8:16">
      <c r="H828" s="3213"/>
      <c r="L828" s="3213"/>
      <c r="M828" s="3213"/>
      <c r="O828" s="3213"/>
      <c r="P828" s="3213"/>
    </row>
    <row r="829" spans="8:16">
      <c r="H829" s="3213"/>
      <c r="L829" s="3213"/>
      <c r="M829" s="3213"/>
      <c r="O829" s="3213"/>
      <c r="P829" s="3213"/>
    </row>
    <row r="830" spans="8:16">
      <c r="H830" s="3213"/>
      <c r="L830" s="3213"/>
      <c r="M830" s="3213"/>
      <c r="O830" s="3213"/>
      <c r="P830" s="3213"/>
    </row>
    <row r="831" spans="8:16">
      <c r="H831" s="3213"/>
      <c r="L831" s="3213"/>
      <c r="M831" s="3213"/>
      <c r="O831" s="3213"/>
      <c r="P831" s="3213"/>
    </row>
    <row r="832" spans="8:16">
      <c r="H832" s="3213"/>
      <c r="L832" s="3213"/>
      <c r="M832" s="3213"/>
      <c r="O832" s="3213"/>
      <c r="P832" s="3213"/>
    </row>
    <row r="833" spans="8:16">
      <c r="H833" s="3213"/>
      <c r="L833" s="3213"/>
      <c r="M833" s="3213"/>
      <c r="O833" s="3213"/>
      <c r="P833" s="3213"/>
    </row>
    <row r="834" spans="8:16">
      <c r="H834" s="3213"/>
      <c r="L834" s="3213"/>
      <c r="M834" s="3213"/>
      <c r="O834" s="3213"/>
      <c r="P834" s="3213"/>
    </row>
    <row r="835" spans="8:16">
      <c r="H835" s="3213"/>
      <c r="L835" s="3213"/>
      <c r="M835" s="3213"/>
      <c r="O835" s="3213"/>
      <c r="P835" s="3213"/>
    </row>
    <row r="836" spans="8:16">
      <c r="H836" s="3213"/>
      <c r="L836" s="3213"/>
      <c r="M836" s="3213"/>
      <c r="O836" s="3213"/>
      <c r="P836" s="3213"/>
    </row>
    <row r="837" spans="8:16">
      <c r="H837" s="3213"/>
      <c r="L837" s="3213"/>
      <c r="M837" s="3213"/>
      <c r="O837" s="3213"/>
      <c r="P837" s="3213"/>
    </row>
    <row r="838" spans="8:16">
      <c r="H838" s="3213"/>
      <c r="L838" s="3213"/>
      <c r="M838" s="3213"/>
      <c r="O838" s="3213"/>
      <c r="P838" s="3213"/>
    </row>
    <row r="839" spans="8:16">
      <c r="H839" s="3213"/>
      <c r="L839" s="3213"/>
      <c r="M839" s="3213"/>
      <c r="O839" s="3213"/>
      <c r="P839" s="3213"/>
    </row>
    <row r="840" spans="8:16">
      <c r="H840" s="3213"/>
      <c r="L840" s="3213"/>
      <c r="M840" s="3213"/>
      <c r="O840" s="3213"/>
      <c r="P840" s="3213"/>
    </row>
    <row r="841" spans="8:16">
      <c r="H841" s="3213"/>
      <c r="L841" s="3213"/>
      <c r="M841" s="3213"/>
      <c r="O841" s="3213"/>
      <c r="P841" s="3213"/>
    </row>
    <row r="842" spans="8:16">
      <c r="H842" s="3213"/>
      <c r="L842" s="3213"/>
      <c r="M842" s="3213"/>
      <c r="O842" s="3213"/>
      <c r="P842" s="3213"/>
    </row>
    <row r="843" spans="8:16">
      <c r="H843" s="3213"/>
      <c r="L843" s="3213"/>
      <c r="M843" s="3213"/>
      <c r="O843" s="3213"/>
      <c r="P843" s="3213"/>
    </row>
    <row r="844" spans="8:16">
      <c r="H844" s="3213"/>
      <c r="L844" s="3213"/>
      <c r="M844" s="3213"/>
      <c r="O844" s="3213"/>
      <c r="P844" s="3213"/>
    </row>
    <row r="845" spans="8:16">
      <c r="H845" s="3213"/>
      <c r="L845" s="3213"/>
      <c r="M845" s="3213"/>
      <c r="O845" s="3213"/>
      <c r="P845" s="3213"/>
    </row>
    <row r="846" spans="8:16">
      <c r="H846" s="3213"/>
      <c r="L846" s="3213"/>
      <c r="M846" s="3213"/>
      <c r="O846" s="3213"/>
      <c r="P846" s="3213"/>
    </row>
    <row r="847" spans="8:16">
      <c r="H847" s="3213"/>
      <c r="L847" s="3213"/>
      <c r="M847" s="3213"/>
      <c r="O847" s="3213"/>
      <c r="P847" s="3213"/>
    </row>
    <row r="848" spans="8:16">
      <c r="H848" s="3213"/>
      <c r="L848" s="3213"/>
      <c r="M848" s="3213"/>
      <c r="O848" s="3213"/>
      <c r="P848" s="3213"/>
    </row>
    <row r="849" spans="8:16">
      <c r="H849" s="3213"/>
      <c r="L849" s="3213"/>
      <c r="M849" s="3213"/>
      <c r="O849" s="3213"/>
      <c r="P849" s="3213"/>
    </row>
  </sheetData>
  <autoFilter ref="A1:U15" xr:uid="{00000000-0009-0000-0000-000033000000}"/>
  <sortState xmlns:xlrd2="http://schemas.microsoft.com/office/spreadsheetml/2017/richdata2" ref="A1:BS849">
    <sortCondition ref="N2:N849"/>
  </sortState>
  <phoneticPr fontId="136" type="noConversion"/>
  <pageMargins left="0.7" right="0.7" top="0.75" bottom="0.75" header="0.3" footer="0.3"/>
  <pageSetup paperSize="9" orientation="portrait"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tabColor rgb="FF7030A0"/>
  </sheetPr>
  <dimension ref="A1:AO89"/>
  <sheetViews>
    <sheetView tabSelected="1" zoomScale="130" zoomScaleNormal="130" workbookViewId="0">
      <pane xSplit="6" ySplit="1" topLeftCell="AF2" activePane="bottomRight" state="frozen"/>
      <selection pane="topRight" activeCell="H1" sqref="H1"/>
      <selection pane="bottomLeft" activeCell="A2" sqref="A2"/>
      <selection pane="bottomRight" activeCell="G35" sqref="G35:G37"/>
    </sheetView>
  </sheetViews>
  <sheetFormatPr defaultRowHeight="13.5"/>
  <cols>
    <col min="1" max="3" width="0" hidden="1" customWidth="1"/>
    <col min="5" max="5" width="8.125" style="3198" customWidth="1"/>
    <col min="6" max="6" width="6.25" customWidth="1"/>
    <col min="7" max="7" width="9.25" bestFit="1" customWidth="1"/>
    <col min="8" max="8" width="9" style="3198" hidden="1" customWidth="1"/>
    <col min="9" max="9" width="9" customWidth="1"/>
    <col min="10" max="10" width="10.5" hidden="1" customWidth="1"/>
    <col min="11" max="11" width="9" style="3198" customWidth="1"/>
    <col min="12" max="12" width="9" hidden="1" customWidth="1"/>
    <col min="13" max="13" width="9" style="3283" hidden="1" customWidth="1"/>
    <col min="14" max="14" width="9" style="3283"/>
    <col min="15" max="15" width="9" style="3198"/>
    <col min="16" max="16" width="16.25" style="3286" bestFit="1" customWidth="1"/>
    <col min="17" max="17" width="9" style="3198"/>
    <col min="18" max="18" width="9" style="3286" bestFit="1" customWidth="1"/>
    <col min="19" max="19" width="9" style="3198"/>
    <col min="20" max="20" width="9" style="3286" bestFit="1"/>
    <col min="21" max="21" width="9" style="3198"/>
    <col min="22" max="22" width="12.125" style="3357" hidden="1" customWidth="1"/>
    <col min="23" max="23" width="0" style="3362" hidden="1" customWidth="1"/>
    <col min="24" max="24" width="9" style="3198"/>
    <col min="25" max="25" width="9" hidden="1" customWidth="1"/>
    <col min="29" max="29" width="11.375" bestFit="1" customWidth="1"/>
    <col min="30" max="30" width="9" style="3286"/>
    <col min="31" max="31" width="0" hidden="1" customWidth="1"/>
    <col min="32" max="32" width="9" style="3293"/>
    <col min="33" max="33" width="8.75" style="3293"/>
    <col min="34" max="34" width="9" style="3293"/>
    <col min="35" max="35" width="8.75" style="3293"/>
    <col min="36" max="36" width="9" style="3293"/>
    <col min="38" max="38" width="9" style="3250"/>
  </cols>
  <sheetData>
    <row r="1" spans="1:41" ht="27">
      <c r="D1" s="3247" t="s">
        <v>3445</v>
      </c>
      <c r="E1" s="3366" t="s">
        <v>3934</v>
      </c>
      <c r="F1" s="3247" t="s">
        <v>3494</v>
      </c>
      <c r="G1" s="3247" t="s">
        <v>3387</v>
      </c>
      <c r="H1" s="3281" t="s">
        <v>3761</v>
      </c>
      <c r="I1" s="1429" t="s">
        <v>3480</v>
      </c>
      <c r="J1" s="1429" t="s">
        <v>3718</v>
      </c>
      <c r="K1" s="3281" t="s">
        <v>3757</v>
      </c>
      <c r="L1" s="1429" t="s">
        <v>3481</v>
      </c>
      <c r="M1" s="3277" t="s">
        <v>3482</v>
      </c>
      <c r="N1" s="3277" t="s">
        <v>3476</v>
      </c>
      <c r="O1" s="3281" t="s">
        <v>3778</v>
      </c>
      <c r="P1" s="3277" t="s">
        <v>3477</v>
      </c>
      <c r="Q1" s="3281" t="s">
        <v>3779</v>
      </c>
      <c r="R1" s="3277" t="s">
        <v>3935</v>
      </c>
      <c r="S1" s="3281" t="s">
        <v>3780</v>
      </c>
      <c r="T1" s="3277" t="s">
        <v>3913</v>
      </c>
      <c r="U1" s="3281" t="s">
        <v>3914</v>
      </c>
      <c r="V1" s="3355" t="s">
        <v>3912</v>
      </c>
      <c r="W1" s="3356" t="s">
        <v>3915</v>
      </c>
      <c r="X1" s="3273" t="s">
        <v>3781</v>
      </c>
      <c r="Y1" s="3280" t="s">
        <v>3732</v>
      </c>
      <c r="Z1" s="3280" t="s">
        <v>3760</v>
      </c>
      <c r="AA1" s="3280" t="s">
        <v>3758</v>
      </c>
      <c r="AB1" s="3280" t="s">
        <v>3759</v>
      </c>
      <c r="AC1" s="3280" t="s">
        <v>3783</v>
      </c>
      <c r="AD1" s="3280" t="s">
        <v>3891</v>
      </c>
      <c r="AE1" s="3280" t="s">
        <v>3508</v>
      </c>
      <c r="AF1" s="3348" t="s">
        <v>3933</v>
      </c>
      <c r="AG1" s="3365" t="s">
        <v>3930</v>
      </c>
      <c r="AH1" s="3365" t="s">
        <v>3931</v>
      </c>
      <c r="AI1" s="3348" t="s">
        <v>3932</v>
      </c>
      <c r="AJ1" s="3348" t="s">
        <v>3888</v>
      </c>
      <c r="AK1" s="3280" t="s">
        <v>3889</v>
      </c>
      <c r="AL1" s="3343" t="s">
        <v>3890</v>
      </c>
      <c r="AN1" s="3280"/>
      <c r="AO1" s="3280"/>
    </row>
    <row r="2" spans="1:41" hidden="1">
      <c r="A2" s="3277">
        <v>3.33</v>
      </c>
      <c r="B2" s="3277" t="s">
        <v>3728</v>
      </c>
      <c r="D2" s="3721">
        <v>80</v>
      </c>
      <c r="E2" s="3273">
        <v>100</v>
      </c>
      <c r="F2" s="3276">
        <v>-1</v>
      </c>
      <c r="G2" s="3276">
        <f>房源表及成交价!N2</f>
        <v>203</v>
      </c>
      <c r="H2" s="3281">
        <v>100</v>
      </c>
      <c r="I2" s="3277">
        <v>3.6</v>
      </c>
      <c r="J2" s="3277">
        <v>3.33</v>
      </c>
      <c r="K2" s="3281">
        <f t="shared" ref="K2:K9" si="0">IF(I2&lt;=3.3,97,IF(I2&lt;=3.3,98,IF(I2&lt;=3.6,99,IF(I2&lt;=3.9,100,101))))</f>
        <v>99</v>
      </c>
      <c r="L2" s="3277">
        <v>14.2</v>
      </c>
      <c r="M2" s="3277">
        <v>13.73</v>
      </c>
      <c r="N2" s="3277" t="s">
        <v>3908</v>
      </c>
      <c r="O2" s="3281">
        <f t="shared" ref="O2:O49" si="1">VLOOKUP(N2,$N$63:$O$66,2,0)</f>
        <v>85</v>
      </c>
      <c r="P2" s="3286" t="s">
        <v>3774</v>
      </c>
      <c r="Q2" s="3281">
        <f t="shared" ref="Q2:Q49" si="2">VLOOKUP(P2,$P$63:$Q$65,2,0)</f>
        <v>80</v>
      </c>
      <c r="R2" s="3286" t="s">
        <v>3776</v>
      </c>
      <c r="S2" s="3281">
        <f t="shared" ref="S2:S49" si="3">VLOOKUP(R2,$R$63:$S$64,2,0)</f>
        <v>90</v>
      </c>
      <c r="T2" s="3286" t="s">
        <v>3897</v>
      </c>
      <c r="U2" s="3281">
        <f t="shared" ref="U2:U49" si="4">VLOOKUP(T2,$T$63:$U$67,2,0)</f>
        <v>70</v>
      </c>
      <c r="V2" s="3357" t="s">
        <v>3896</v>
      </c>
      <c r="W2" s="3356">
        <f t="shared" ref="W2:W49" si="5">VLOOKUP(V2,$V$63:$W$67,2,0)</f>
        <v>100</v>
      </c>
      <c r="X2" s="3273">
        <f>ROUND(E2/100*K2/100*O2/100*Q2/100*S2/100*U2/100*W2/100,4)</f>
        <v>0.42409999999999998</v>
      </c>
      <c r="Y2" s="3286" t="e">
        <f>ROUND(I2/100*L2/100*P2/100*R2/100*T2/100*X2/100,4)</f>
        <v>#VALUE!</v>
      </c>
      <c r="Z2" s="3726">
        <f>G2+G3+G4</f>
        <v>397.07</v>
      </c>
      <c r="AA2" s="3726">
        <f>房源表及成交价!R2</f>
        <v>1067.2199000000001</v>
      </c>
      <c r="AB2" s="3726">
        <f>ROUND(AA2/Z2*10000,0)</f>
        <v>26877</v>
      </c>
      <c r="AC2" s="3281">
        <f>ROUND(AC3*X2,0)</f>
        <v>15886</v>
      </c>
      <c r="AD2" s="3286">
        <f>ROUND(AC2*G2/10000,2)</f>
        <v>322.49</v>
      </c>
      <c r="AE2" s="3726">
        <v>1</v>
      </c>
      <c r="AF2" s="3726">
        <f ca="1">VLOOKUP(AE2,标定地价!$O$16:$R$19,4,0)</f>
        <v>6822</v>
      </c>
      <c r="AG2" s="3726">
        <v>1.01</v>
      </c>
      <c r="AH2" s="3726">
        <v>1.02</v>
      </c>
      <c r="AI2" s="3726">
        <f ca="1">ROUND(AF2*AG2*AH2,0)</f>
        <v>7028</v>
      </c>
      <c r="AJ2" s="3726">
        <f ca="1">AC2-AI2</f>
        <v>8858</v>
      </c>
      <c r="AK2" s="3726">
        <f ca="1">AJ2*G2</f>
        <v>1798174</v>
      </c>
      <c r="AL2" s="3729">
        <f ca="1">ROUND(AK2/AA2/10000,4)</f>
        <v>0.16850000000000001</v>
      </c>
      <c r="AN2" s="3726">
        <v>1797971</v>
      </c>
      <c r="AO2" s="3726">
        <f ca="1">AK2-AN2</f>
        <v>203</v>
      </c>
    </row>
    <row r="3" spans="1:41" hidden="1">
      <c r="A3" s="3277" t="s">
        <v>3748</v>
      </c>
      <c r="B3" s="3277"/>
      <c r="D3" s="3721"/>
      <c r="E3" s="3273">
        <v>100</v>
      </c>
      <c r="F3" s="3276">
        <v>1</v>
      </c>
      <c r="G3" s="3276">
        <f>房源表及成交价!I2</f>
        <v>123.31</v>
      </c>
      <c r="H3" s="3281">
        <v>100</v>
      </c>
      <c r="I3" s="3277">
        <v>3.9</v>
      </c>
      <c r="J3" s="3277">
        <v>3.79</v>
      </c>
      <c r="K3" s="3281">
        <f t="shared" si="0"/>
        <v>100</v>
      </c>
      <c r="L3" s="3277">
        <f>3.7+7.6</f>
        <v>11.3</v>
      </c>
      <c r="M3" s="3277">
        <v>13.7</v>
      </c>
      <c r="N3" s="3277" t="s">
        <v>3770</v>
      </c>
      <c r="O3" s="3281">
        <f t="shared" si="1"/>
        <v>100</v>
      </c>
      <c r="P3" s="3277" t="s">
        <v>3775</v>
      </c>
      <c r="Q3" s="3281">
        <f t="shared" si="2"/>
        <v>100</v>
      </c>
      <c r="R3" s="3277" t="s">
        <v>3777</v>
      </c>
      <c r="S3" s="3281">
        <f t="shared" si="3"/>
        <v>100</v>
      </c>
      <c r="T3" s="3277" t="s">
        <v>3894</v>
      </c>
      <c r="U3" s="3281">
        <f t="shared" si="4"/>
        <v>100</v>
      </c>
      <c r="V3" s="3355" t="s">
        <v>3893</v>
      </c>
      <c r="W3" s="3356">
        <f t="shared" si="5"/>
        <v>100</v>
      </c>
      <c r="X3" s="3273">
        <f t="shared" ref="X3:X49" si="6">ROUND(E3/100*K3/100*O3/100*Q3/100*S3/100*U3/100,4)</f>
        <v>1</v>
      </c>
      <c r="Y3" s="3277" t="e">
        <f>ROUND(I3/100*L3/100*P3/100*R3/100*T3/100*X3/100,4)</f>
        <v>#VALUE!</v>
      </c>
      <c r="Z3" s="3727"/>
      <c r="AA3" s="3727"/>
      <c r="AB3" s="3727"/>
      <c r="AC3" s="3276">
        <f>ROUND(AA2*10000/(X2*G2+X3*G3+X4*G4),0)</f>
        <v>37459</v>
      </c>
      <c r="AD3" s="3277">
        <f t="shared" ref="AD3:AD49" si="7">ROUND(AC3*G3/10000,2)</f>
        <v>461.91</v>
      </c>
      <c r="AE3" s="3727"/>
      <c r="AF3" s="3727"/>
      <c r="AG3" s="3727"/>
      <c r="AH3" s="3727"/>
      <c r="AI3" s="3727"/>
      <c r="AJ3" s="3727"/>
      <c r="AK3" s="3727"/>
      <c r="AL3" s="3730"/>
      <c r="AN3" s="3727"/>
      <c r="AO3" s="3727"/>
    </row>
    <row r="4" spans="1:41" hidden="1">
      <c r="A4" s="3277">
        <v>3.19</v>
      </c>
      <c r="B4" s="3277"/>
      <c r="D4" s="3721"/>
      <c r="E4" s="3273">
        <v>100</v>
      </c>
      <c r="F4" s="3276">
        <v>2</v>
      </c>
      <c r="G4" s="3276">
        <f>房源表及成交价!J2</f>
        <v>70.760000000000005</v>
      </c>
      <c r="H4" s="3281">
        <v>100</v>
      </c>
      <c r="I4" s="3277">
        <v>3.3</v>
      </c>
      <c r="J4" s="3277">
        <v>3.19</v>
      </c>
      <c r="K4" s="3382">
        <v>97</v>
      </c>
      <c r="L4" s="3277">
        <f>3.7+7.48</f>
        <v>11.18</v>
      </c>
      <c r="M4" s="3277">
        <f>9.8+2.4</f>
        <v>12.200000000000001</v>
      </c>
      <c r="N4" s="3277" t="s">
        <v>3770</v>
      </c>
      <c r="O4" s="3382">
        <f t="shared" si="1"/>
        <v>100</v>
      </c>
      <c r="P4" s="3277" t="s">
        <v>3775</v>
      </c>
      <c r="Q4" s="3382">
        <f t="shared" si="2"/>
        <v>100</v>
      </c>
      <c r="R4" s="3277" t="s">
        <v>3777</v>
      </c>
      <c r="S4" s="3382">
        <f t="shared" si="3"/>
        <v>100</v>
      </c>
      <c r="T4" s="3277" t="s">
        <v>3892</v>
      </c>
      <c r="U4" s="3382">
        <f t="shared" si="4"/>
        <v>110</v>
      </c>
      <c r="V4" s="3355" t="s">
        <v>3895</v>
      </c>
      <c r="W4" s="3356">
        <f t="shared" si="5"/>
        <v>100</v>
      </c>
      <c r="X4" s="3273">
        <f t="shared" si="6"/>
        <v>1.0669999999999999</v>
      </c>
      <c r="Y4" s="3277" t="e">
        <f>ROUND(I4/100*L4/100*P4/100*R4/100*T4/100*X4/100,4)</f>
        <v>#VALUE!</v>
      </c>
      <c r="Z4" s="3728"/>
      <c r="AA4" s="3728"/>
      <c r="AB4" s="3728"/>
      <c r="AC4" s="3276">
        <f>ROUND(AC3*X4,0)</f>
        <v>39969</v>
      </c>
      <c r="AD4" s="3277">
        <f t="shared" si="7"/>
        <v>282.82</v>
      </c>
      <c r="AE4" s="3728"/>
      <c r="AF4" s="3728"/>
      <c r="AG4" s="3728"/>
      <c r="AH4" s="3728"/>
      <c r="AI4" s="3728"/>
      <c r="AJ4" s="3728"/>
      <c r="AK4" s="3728"/>
      <c r="AL4" s="3731"/>
      <c r="AN4" s="3728"/>
      <c r="AO4" s="3728"/>
    </row>
    <row r="5" spans="1:41" hidden="1">
      <c r="A5" s="3279">
        <v>2.71</v>
      </c>
      <c r="B5" s="3279" t="s">
        <v>3728</v>
      </c>
      <c r="D5" s="3732">
        <v>87</v>
      </c>
      <c r="E5" s="3274">
        <v>100</v>
      </c>
      <c r="F5" s="3278">
        <v>-1</v>
      </c>
      <c r="G5" s="3278">
        <f>房源表及成交价!N3</f>
        <v>205.8</v>
      </c>
      <c r="H5" s="3282">
        <v>100</v>
      </c>
      <c r="I5" s="3279">
        <v>3.6</v>
      </c>
      <c r="J5" s="3279">
        <v>2.71</v>
      </c>
      <c r="K5" s="3282">
        <f t="shared" si="0"/>
        <v>99</v>
      </c>
      <c r="L5" s="3279">
        <v>14.4</v>
      </c>
      <c r="M5" s="3279">
        <v>13.73</v>
      </c>
      <c r="N5" s="3279" t="s">
        <v>3908</v>
      </c>
      <c r="O5" s="3282">
        <f t="shared" si="1"/>
        <v>85</v>
      </c>
      <c r="P5" s="3279" t="s">
        <v>3774</v>
      </c>
      <c r="Q5" s="3282">
        <f t="shared" si="2"/>
        <v>80</v>
      </c>
      <c r="R5" s="3279" t="s">
        <v>3776</v>
      </c>
      <c r="S5" s="3282">
        <f t="shared" si="3"/>
        <v>90</v>
      </c>
      <c r="T5" s="3279" t="s">
        <v>3897</v>
      </c>
      <c r="U5" s="3282">
        <f t="shared" si="4"/>
        <v>70</v>
      </c>
      <c r="V5" s="3355" t="s">
        <v>3916</v>
      </c>
      <c r="W5" s="3356">
        <f t="shared" si="5"/>
        <v>100</v>
      </c>
      <c r="X5" s="3274">
        <f t="shared" si="6"/>
        <v>0.42409999999999998</v>
      </c>
      <c r="Y5" s="3726">
        <f t="shared" ref="Y5" si="8">ROUND((X5*G5+X6*G6+X7*G7)/Z5,4)</f>
        <v>0.71550000000000002</v>
      </c>
      <c r="Z5" s="3726">
        <f>G5+G6+G7</f>
        <v>399.87</v>
      </c>
      <c r="AA5" s="3726">
        <f>房源表及成交价!R3</f>
        <v>1166.1550999999999</v>
      </c>
      <c r="AB5" s="3726">
        <f t="shared" ref="AB5" si="9">ROUND(AA5/Z5*10000,0)</f>
        <v>29163</v>
      </c>
      <c r="AC5" s="3282">
        <f>ROUND(AC6*X5,0)</f>
        <v>17287</v>
      </c>
      <c r="AD5" s="3279">
        <f t="shared" si="7"/>
        <v>355.77</v>
      </c>
      <c r="AE5" s="3726">
        <v>1</v>
      </c>
      <c r="AF5" s="3726">
        <f ca="1">VLOOKUP(AE5,标定地价!$O$16:$R$19,4,0)</f>
        <v>6822</v>
      </c>
      <c r="AG5" s="3726">
        <f>$AG$2</f>
        <v>1.01</v>
      </c>
      <c r="AH5" s="3726">
        <v>1.02</v>
      </c>
      <c r="AI5" s="3726">
        <f t="shared" ref="AI5" ca="1" si="10">ROUND(AF5*AG5*AH5,0)</f>
        <v>7028</v>
      </c>
      <c r="AJ5" s="3726">
        <f t="shared" ref="AJ5" ca="1" si="11">AC5-AI5</f>
        <v>10259</v>
      </c>
      <c r="AK5" s="3726">
        <f t="shared" ref="AK5:AK47" ca="1" si="12">AJ5*G5</f>
        <v>2111302.2000000002</v>
      </c>
      <c r="AL5" s="3729">
        <f ca="1">ROUND(AK5/AA5/10000,4)</f>
        <v>0.18099999999999999</v>
      </c>
      <c r="AN5" s="3726">
        <v>2111096.4</v>
      </c>
      <c r="AO5" s="3726">
        <f t="shared" ref="AO5" ca="1" si="13">AK5-AN5</f>
        <v>205.8000000002794</v>
      </c>
    </row>
    <row r="6" spans="1:41" hidden="1">
      <c r="A6" s="3279">
        <v>3.17</v>
      </c>
      <c r="B6" s="3279"/>
      <c r="D6" s="3732"/>
      <c r="E6" s="3274">
        <v>100</v>
      </c>
      <c r="F6" s="3278">
        <v>1</v>
      </c>
      <c r="G6" s="3278">
        <f>房源表及成交价!I3</f>
        <v>123.31</v>
      </c>
      <c r="H6" s="3282">
        <v>100</v>
      </c>
      <c r="I6" s="3279">
        <v>3.9</v>
      </c>
      <c r="J6" s="3279">
        <v>3.17</v>
      </c>
      <c r="K6" s="3282">
        <f t="shared" si="0"/>
        <v>100</v>
      </c>
      <c r="L6" s="3279">
        <f>3.7+7.6</f>
        <v>11.3</v>
      </c>
      <c r="M6" s="3279">
        <v>13.7</v>
      </c>
      <c r="N6" s="3279" t="s">
        <v>3770</v>
      </c>
      <c r="O6" s="3282">
        <f t="shared" si="1"/>
        <v>100</v>
      </c>
      <c r="P6" s="3279" t="s">
        <v>3775</v>
      </c>
      <c r="Q6" s="3282">
        <f t="shared" si="2"/>
        <v>100</v>
      </c>
      <c r="R6" s="3279" t="s">
        <v>3777</v>
      </c>
      <c r="S6" s="3282">
        <f t="shared" si="3"/>
        <v>100</v>
      </c>
      <c r="T6" s="3279" t="s">
        <v>3894</v>
      </c>
      <c r="U6" s="3282">
        <f t="shared" si="4"/>
        <v>100</v>
      </c>
      <c r="V6" s="3355" t="s">
        <v>3892</v>
      </c>
      <c r="W6" s="3356">
        <f t="shared" si="5"/>
        <v>100</v>
      </c>
      <c r="X6" s="3274">
        <f t="shared" si="6"/>
        <v>1</v>
      </c>
      <c r="Y6" s="3727"/>
      <c r="Z6" s="3727"/>
      <c r="AA6" s="3727"/>
      <c r="AB6" s="3727"/>
      <c r="AC6" s="3279">
        <f>ROUND(AA5*10000/(X5*G5+X6*G6+X7*G7),0)</f>
        <v>40762</v>
      </c>
      <c r="AD6" s="3279">
        <f t="shared" si="7"/>
        <v>502.64</v>
      </c>
      <c r="AE6" s="3727"/>
      <c r="AF6" s="3727"/>
      <c r="AG6" s="3727"/>
      <c r="AH6" s="3727"/>
      <c r="AI6" s="3727"/>
      <c r="AJ6" s="3727"/>
      <c r="AK6" s="3727"/>
      <c r="AL6" s="3730"/>
      <c r="AN6" s="3727"/>
      <c r="AO6" s="3727"/>
    </row>
    <row r="7" spans="1:41" hidden="1">
      <c r="A7" s="3279">
        <v>2.97</v>
      </c>
      <c r="B7" s="3279"/>
      <c r="D7" s="3732"/>
      <c r="E7" s="3274">
        <v>100</v>
      </c>
      <c r="F7" s="3278">
        <v>2</v>
      </c>
      <c r="G7" s="3278">
        <f>房源表及成交价!J3</f>
        <v>70.760000000000005</v>
      </c>
      <c r="H7" s="3282">
        <v>100</v>
      </c>
      <c r="I7" s="3279">
        <v>3.3</v>
      </c>
      <c r="J7" s="3279">
        <v>2.97</v>
      </c>
      <c r="K7" s="3382">
        <v>97</v>
      </c>
      <c r="L7" s="3279">
        <f>3.7+7.48</f>
        <v>11.18</v>
      </c>
      <c r="M7" s="3279">
        <f>9.8+2.4</f>
        <v>12.200000000000001</v>
      </c>
      <c r="N7" s="3279" t="s">
        <v>3770</v>
      </c>
      <c r="O7" s="3382">
        <f t="shared" si="1"/>
        <v>100</v>
      </c>
      <c r="P7" s="3279" t="s">
        <v>3775</v>
      </c>
      <c r="Q7" s="3382">
        <f t="shared" si="2"/>
        <v>100</v>
      </c>
      <c r="R7" s="3279" t="s">
        <v>3777</v>
      </c>
      <c r="S7" s="3382">
        <f t="shared" si="3"/>
        <v>100</v>
      </c>
      <c r="T7" s="3279" t="s">
        <v>3892</v>
      </c>
      <c r="U7" s="3382">
        <f t="shared" si="4"/>
        <v>110</v>
      </c>
      <c r="V7" s="3355" t="s">
        <v>3894</v>
      </c>
      <c r="W7" s="3356">
        <f t="shared" si="5"/>
        <v>100</v>
      </c>
      <c r="X7" s="3274">
        <f t="shared" si="6"/>
        <v>1.0669999999999999</v>
      </c>
      <c r="Y7" s="3728"/>
      <c r="Z7" s="3728"/>
      <c r="AA7" s="3728"/>
      <c r="AB7" s="3728"/>
      <c r="AC7" s="3278">
        <f>ROUND(AC6*X7,0)</f>
        <v>43493</v>
      </c>
      <c r="AD7" s="3279">
        <f t="shared" si="7"/>
        <v>307.76</v>
      </c>
      <c r="AE7" s="3728"/>
      <c r="AF7" s="3728"/>
      <c r="AG7" s="3728"/>
      <c r="AH7" s="3728"/>
      <c r="AI7" s="3728"/>
      <c r="AJ7" s="3728"/>
      <c r="AK7" s="3728"/>
      <c r="AL7" s="3731"/>
      <c r="AN7" s="3728"/>
      <c r="AO7" s="3728"/>
    </row>
    <row r="8" spans="1:41" hidden="1">
      <c r="A8" s="3277">
        <v>3.35</v>
      </c>
      <c r="B8" s="3277" t="s">
        <v>3728</v>
      </c>
      <c r="D8" s="3721">
        <v>88</v>
      </c>
      <c r="E8" s="3273">
        <v>100</v>
      </c>
      <c r="F8" s="3276">
        <v>-1</v>
      </c>
      <c r="G8" s="3276">
        <f>房源表及成交价!N4</f>
        <v>205.8</v>
      </c>
      <c r="H8" s="3281">
        <v>100</v>
      </c>
      <c r="I8" s="3277">
        <v>3.6</v>
      </c>
      <c r="J8" s="3277">
        <v>3.35</v>
      </c>
      <c r="K8" s="3281">
        <f>IF(I8&lt;=3,97,IF(I8&lt;=3.3,98,IF(I8&lt;=3.6,99,IF(I8&lt;=3.9,100,101))))</f>
        <v>99</v>
      </c>
      <c r="L8" s="3277">
        <v>14.4</v>
      </c>
      <c r="M8" s="3277">
        <v>13.73</v>
      </c>
      <c r="N8" s="3277" t="s">
        <v>3908</v>
      </c>
      <c r="O8" s="3281">
        <f t="shared" si="1"/>
        <v>85</v>
      </c>
      <c r="P8" s="3286" t="s">
        <v>3774</v>
      </c>
      <c r="Q8" s="3281">
        <f t="shared" si="2"/>
        <v>80</v>
      </c>
      <c r="R8" s="3286" t="s">
        <v>3776</v>
      </c>
      <c r="S8" s="3281">
        <f t="shared" si="3"/>
        <v>90</v>
      </c>
      <c r="T8" s="3286" t="s">
        <v>3897</v>
      </c>
      <c r="U8" s="3281">
        <f t="shared" si="4"/>
        <v>70</v>
      </c>
      <c r="V8" s="3357" t="s">
        <v>3916</v>
      </c>
      <c r="W8" s="3356">
        <f t="shared" si="5"/>
        <v>100</v>
      </c>
      <c r="X8" s="3273">
        <f t="shared" si="6"/>
        <v>0.42409999999999998</v>
      </c>
      <c r="Y8" s="3726">
        <f>ROUND((X8*G8+X9*G9+X10*G10)/Z8,4)</f>
        <v>0.71550000000000002</v>
      </c>
      <c r="Z8" s="3726">
        <f t="shared" ref="Z8" si="14">G8+G9+G10</f>
        <v>399.87</v>
      </c>
      <c r="AA8" s="3726">
        <f>房源表及成交价!R4</f>
        <v>1124.923</v>
      </c>
      <c r="AB8" s="3726">
        <f t="shared" ref="AB8" si="15">ROUND(AA8/Z8*10000,0)</f>
        <v>28132</v>
      </c>
      <c r="AC8" s="3281">
        <f>ROUND(AC9*X8,0)</f>
        <v>16676</v>
      </c>
      <c r="AD8" s="3286">
        <f t="shared" si="7"/>
        <v>343.19</v>
      </c>
      <c r="AE8" s="3726">
        <v>1</v>
      </c>
      <c r="AF8" s="3726">
        <f ca="1">VLOOKUP(AE8,标定地价!$O$16:$R$19,4,0)</f>
        <v>6822</v>
      </c>
      <c r="AG8" s="3726">
        <f t="shared" ref="AG8" si="16">$AG$2</f>
        <v>1.01</v>
      </c>
      <c r="AH8" s="3726">
        <v>1.02</v>
      </c>
      <c r="AI8" s="3726">
        <f t="shared" ref="AI8" ca="1" si="17">ROUND(AF8*AG8*AH8,0)</f>
        <v>7028</v>
      </c>
      <c r="AJ8" s="3726">
        <f t="shared" ref="AJ8" ca="1" si="18">AC8-AI8</f>
        <v>9648</v>
      </c>
      <c r="AK8" s="3726">
        <f t="shared" ca="1" si="12"/>
        <v>1985558.4000000001</v>
      </c>
      <c r="AL8" s="3729">
        <f t="shared" ref="AL8" ca="1" si="19">ROUND(AK8/AA8/10000,4)</f>
        <v>0.17649999999999999</v>
      </c>
      <c r="AN8" s="3726">
        <v>1985352.6</v>
      </c>
      <c r="AO8" s="3726">
        <f t="shared" ref="AO8" ca="1" si="20">AK8-AN8</f>
        <v>205.80000000004657</v>
      </c>
    </row>
    <row r="9" spans="1:41" hidden="1">
      <c r="A9" s="3277" t="s">
        <v>3749</v>
      </c>
      <c r="B9" s="3277"/>
      <c r="D9" s="3721"/>
      <c r="E9" s="3273">
        <v>100</v>
      </c>
      <c r="F9" s="3276">
        <v>1</v>
      </c>
      <c r="G9" s="3276">
        <f>房源表及成交价!I4</f>
        <v>123.31</v>
      </c>
      <c r="H9" s="3281">
        <v>100</v>
      </c>
      <c r="I9" s="3277">
        <v>3.9</v>
      </c>
      <c r="J9" s="3277">
        <v>3.77</v>
      </c>
      <c r="K9" s="3281">
        <f t="shared" si="0"/>
        <v>100</v>
      </c>
      <c r="L9" s="3277">
        <f>3.7+7.6</f>
        <v>11.3</v>
      </c>
      <c r="M9" s="3277">
        <v>13.7</v>
      </c>
      <c r="N9" s="3277" t="s">
        <v>3770</v>
      </c>
      <c r="O9" s="3281">
        <f t="shared" si="1"/>
        <v>100</v>
      </c>
      <c r="P9" s="3277" t="s">
        <v>3775</v>
      </c>
      <c r="Q9" s="3281">
        <f t="shared" si="2"/>
        <v>100</v>
      </c>
      <c r="R9" s="3277" t="s">
        <v>3777</v>
      </c>
      <c r="S9" s="3281">
        <f t="shared" si="3"/>
        <v>100</v>
      </c>
      <c r="T9" s="3277" t="s">
        <v>3894</v>
      </c>
      <c r="U9" s="3281">
        <f t="shared" si="4"/>
        <v>100</v>
      </c>
      <c r="V9" s="3355" t="s">
        <v>3892</v>
      </c>
      <c r="W9" s="3356">
        <f t="shared" si="5"/>
        <v>100</v>
      </c>
      <c r="X9" s="3273">
        <f t="shared" si="6"/>
        <v>1</v>
      </c>
      <c r="Y9" s="3727"/>
      <c r="Z9" s="3727"/>
      <c r="AA9" s="3727"/>
      <c r="AB9" s="3727"/>
      <c r="AC9" s="3276">
        <f>ROUND(AA8*10000/(X8*G8+X9*G9+X10*G10),0)</f>
        <v>39321</v>
      </c>
      <c r="AD9" s="3277">
        <f t="shared" si="7"/>
        <v>484.87</v>
      </c>
      <c r="AE9" s="3727"/>
      <c r="AF9" s="3727"/>
      <c r="AG9" s="3727"/>
      <c r="AH9" s="3727"/>
      <c r="AI9" s="3727"/>
      <c r="AJ9" s="3727"/>
      <c r="AK9" s="3727"/>
      <c r="AL9" s="3730"/>
      <c r="AN9" s="3727"/>
      <c r="AO9" s="3727"/>
    </row>
    <row r="10" spans="1:41" hidden="1">
      <c r="A10" s="3277">
        <v>3.23</v>
      </c>
      <c r="B10" s="3277"/>
      <c r="D10" s="3721"/>
      <c r="E10" s="3273">
        <v>100</v>
      </c>
      <c r="F10" s="3276">
        <v>2</v>
      </c>
      <c r="G10" s="3276">
        <f>房源表及成交价!J4</f>
        <v>70.760000000000005</v>
      </c>
      <c r="H10" s="3281">
        <v>100</v>
      </c>
      <c r="I10" s="3277">
        <v>3.3</v>
      </c>
      <c r="J10" s="3277">
        <v>3.23</v>
      </c>
      <c r="K10" s="3382">
        <v>97</v>
      </c>
      <c r="L10" s="3277">
        <f>3.7+7.48</f>
        <v>11.18</v>
      </c>
      <c r="M10" s="3277">
        <f>9.8+2.4</f>
        <v>12.200000000000001</v>
      </c>
      <c r="N10" s="3277" t="s">
        <v>3770</v>
      </c>
      <c r="O10" s="3382">
        <f t="shared" si="1"/>
        <v>100</v>
      </c>
      <c r="P10" s="3277" t="s">
        <v>3775</v>
      </c>
      <c r="Q10" s="3382">
        <f t="shared" si="2"/>
        <v>100</v>
      </c>
      <c r="R10" s="3277" t="s">
        <v>3777</v>
      </c>
      <c r="S10" s="3382">
        <f t="shared" si="3"/>
        <v>100</v>
      </c>
      <c r="T10" s="3277" t="s">
        <v>3892</v>
      </c>
      <c r="U10" s="3382">
        <f t="shared" si="4"/>
        <v>110</v>
      </c>
      <c r="V10" s="3355" t="s">
        <v>3894</v>
      </c>
      <c r="W10" s="3356">
        <f t="shared" si="5"/>
        <v>100</v>
      </c>
      <c r="X10" s="3273">
        <f t="shared" si="6"/>
        <v>1.0669999999999999</v>
      </c>
      <c r="Y10" s="3728"/>
      <c r="Z10" s="3728"/>
      <c r="AA10" s="3728"/>
      <c r="AB10" s="3728"/>
      <c r="AC10" s="3276">
        <f>ROUND(AC9*X10,0)</f>
        <v>41956</v>
      </c>
      <c r="AD10" s="3277">
        <f t="shared" si="7"/>
        <v>296.88</v>
      </c>
      <c r="AE10" s="3728"/>
      <c r="AF10" s="3728"/>
      <c r="AG10" s="3728"/>
      <c r="AH10" s="3728"/>
      <c r="AI10" s="3728"/>
      <c r="AJ10" s="3728"/>
      <c r="AK10" s="3728"/>
      <c r="AL10" s="3731"/>
      <c r="AN10" s="3728"/>
      <c r="AO10" s="3728"/>
    </row>
    <row r="11" spans="1:41" hidden="1">
      <c r="A11" s="3279">
        <v>3.32</v>
      </c>
      <c r="B11" s="3279" t="s">
        <v>3728</v>
      </c>
      <c r="D11" s="3732">
        <v>85</v>
      </c>
      <c r="E11" s="3274">
        <v>100</v>
      </c>
      <c r="F11" s="3278">
        <v>-1</v>
      </c>
      <c r="G11" s="3278">
        <f>房源表及成交价!N5</f>
        <v>205.8</v>
      </c>
      <c r="H11" s="3282">
        <v>100</v>
      </c>
      <c r="I11" s="3279">
        <v>3.6</v>
      </c>
      <c r="J11" s="3279">
        <v>3.32</v>
      </c>
      <c r="K11" s="3282">
        <f>IF(I11&lt;=3,97,IF(I11&lt;=3.3,98,IF(I11&lt;=3.6,99,IF(I11&lt;=3.9,100,101))))</f>
        <v>99</v>
      </c>
      <c r="L11" s="3279">
        <v>14.4</v>
      </c>
      <c r="M11" s="3279">
        <v>13.73</v>
      </c>
      <c r="N11" s="3279" t="s">
        <v>3908</v>
      </c>
      <c r="O11" s="3282">
        <f t="shared" si="1"/>
        <v>85</v>
      </c>
      <c r="P11" s="3279" t="s">
        <v>3774</v>
      </c>
      <c r="Q11" s="3282">
        <f t="shared" si="2"/>
        <v>80</v>
      </c>
      <c r="R11" s="3279" t="s">
        <v>3776</v>
      </c>
      <c r="S11" s="3282">
        <f t="shared" si="3"/>
        <v>90</v>
      </c>
      <c r="T11" s="3279" t="s">
        <v>3897</v>
      </c>
      <c r="U11" s="3282">
        <f t="shared" si="4"/>
        <v>70</v>
      </c>
      <c r="V11" s="3355" t="s">
        <v>3916</v>
      </c>
      <c r="W11" s="3356">
        <f t="shared" si="5"/>
        <v>100</v>
      </c>
      <c r="X11" s="3274">
        <f t="shared" si="6"/>
        <v>0.42409999999999998</v>
      </c>
      <c r="Y11" s="3726">
        <f t="shared" ref="Y11" si="21">ROUND((X11*G11+X12*G12+X13*G13)/Z11,4)</f>
        <v>0.71550000000000002</v>
      </c>
      <c r="Z11" s="3726">
        <f t="shared" ref="Z11" si="22">G11+G12+G13</f>
        <v>399.87</v>
      </c>
      <c r="AA11" s="3726">
        <f>房源表及成交价!R5</f>
        <v>1209.0226</v>
      </c>
      <c r="AB11" s="3726">
        <f t="shared" ref="AB11" si="23">ROUND(AA11/Z11*10000,0)</f>
        <v>30235</v>
      </c>
      <c r="AC11" s="3282">
        <f>ROUND(AC12*X11,0)</f>
        <v>17922</v>
      </c>
      <c r="AD11" s="3279">
        <f t="shared" si="7"/>
        <v>368.83</v>
      </c>
      <c r="AE11" s="3726">
        <v>1</v>
      </c>
      <c r="AF11" s="3726">
        <f ca="1">VLOOKUP(AE11,标定地价!$O$16:$R$19,4,0)</f>
        <v>6822</v>
      </c>
      <c r="AG11" s="3726">
        <f t="shared" ref="AG11" si="24">$AG$2</f>
        <v>1.01</v>
      </c>
      <c r="AH11" s="3726">
        <v>1.02</v>
      </c>
      <c r="AI11" s="3726">
        <f t="shared" ref="AI11" ca="1" si="25">ROUND(AF11*AG11*AH11,0)</f>
        <v>7028</v>
      </c>
      <c r="AJ11" s="3726">
        <f t="shared" ref="AJ11" ca="1" si="26">AC11-AI11</f>
        <v>10894</v>
      </c>
      <c r="AK11" s="3726">
        <f t="shared" ca="1" si="12"/>
        <v>2241985.2000000002</v>
      </c>
      <c r="AL11" s="3729">
        <f t="shared" ref="AL11" ca="1" si="27">ROUND(AK11/AA11/10000,4)</f>
        <v>0.18540000000000001</v>
      </c>
      <c r="AN11" s="3726">
        <v>2241779.4</v>
      </c>
      <c r="AO11" s="3726">
        <f t="shared" ref="AO11" ca="1" si="28">AK11-AN11</f>
        <v>205.8000000002794</v>
      </c>
    </row>
    <row r="12" spans="1:41" hidden="1">
      <c r="A12" s="3279">
        <v>3.77</v>
      </c>
      <c r="B12" s="3279"/>
      <c r="D12" s="3732"/>
      <c r="E12" s="3274">
        <v>100</v>
      </c>
      <c r="F12" s="3278">
        <v>1</v>
      </c>
      <c r="G12" s="3278">
        <f>房源表及成交价!I5</f>
        <v>123.31</v>
      </c>
      <c r="H12" s="3282">
        <v>100</v>
      </c>
      <c r="I12" s="3279">
        <v>3.9</v>
      </c>
      <c r="J12" s="3279">
        <v>3.77</v>
      </c>
      <c r="K12" s="3282">
        <f>IF(I12&lt;=3,97,IF(I12&lt;=3.3,98,IF(I12&lt;=3.6,99,IF(I12&lt;=3.9,100,101))))</f>
        <v>100</v>
      </c>
      <c r="L12" s="3279">
        <f>3.7+7.6</f>
        <v>11.3</v>
      </c>
      <c r="M12" s="3279">
        <v>13.7</v>
      </c>
      <c r="N12" s="3279" t="s">
        <v>3770</v>
      </c>
      <c r="O12" s="3282">
        <f t="shared" si="1"/>
        <v>100</v>
      </c>
      <c r="P12" s="3279" t="s">
        <v>3775</v>
      </c>
      <c r="Q12" s="3282">
        <f t="shared" si="2"/>
        <v>100</v>
      </c>
      <c r="R12" s="3279" t="s">
        <v>3777</v>
      </c>
      <c r="S12" s="3282">
        <f t="shared" si="3"/>
        <v>100</v>
      </c>
      <c r="T12" s="3279" t="s">
        <v>3894</v>
      </c>
      <c r="U12" s="3282">
        <f t="shared" si="4"/>
        <v>100</v>
      </c>
      <c r="V12" s="3355" t="s">
        <v>3892</v>
      </c>
      <c r="W12" s="3356">
        <f t="shared" si="5"/>
        <v>100</v>
      </c>
      <c r="X12" s="3274">
        <f t="shared" si="6"/>
        <v>1</v>
      </c>
      <c r="Y12" s="3727"/>
      <c r="Z12" s="3727"/>
      <c r="AA12" s="3727"/>
      <c r="AB12" s="3727"/>
      <c r="AC12" s="3279">
        <f>ROUND(AA11*10000/(X11*G11+X12*G12+X13*G13),0)</f>
        <v>42260</v>
      </c>
      <c r="AD12" s="3279">
        <f t="shared" si="7"/>
        <v>521.11</v>
      </c>
      <c r="AE12" s="3727"/>
      <c r="AF12" s="3727"/>
      <c r="AG12" s="3727"/>
      <c r="AH12" s="3727"/>
      <c r="AI12" s="3727"/>
      <c r="AJ12" s="3727"/>
      <c r="AK12" s="3727"/>
      <c r="AL12" s="3730"/>
      <c r="AN12" s="3727"/>
      <c r="AO12" s="3727"/>
    </row>
    <row r="13" spans="1:41" hidden="1">
      <c r="A13" s="3279">
        <v>3.21</v>
      </c>
      <c r="B13" s="3279"/>
      <c r="D13" s="3732"/>
      <c r="E13" s="3274">
        <v>100</v>
      </c>
      <c r="F13" s="3278">
        <v>2</v>
      </c>
      <c r="G13" s="3278">
        <f>房源表及成交价!J5</f>
        <v>70.760000000000005</v>
      </c>
      <c r="H13" s="3282">
        <v>100</v>
      </c>
      <c r="I13" s="3279">
        <v>3.3</v>
      </c>
      <c r="J13" s="3279">
        <v>3.21</v>
      </c>
      <c r="K13" s="3382">
        <v>97</v>
      </c>
      <c r="L13" s="3279">
        <f>3.7+7.48</f>
        <v>11.18</v>
      </c>
      <c r="M13" s="3279">
        <f>9.8+2.4</f>
        <v>12.200000000000001</v>
      </c>
      <c r="N13" s="3279" t="s">
        <v>3770</v>
      </c>
      <c r="O13" s="3382">
        <f t="shared" si="1"/>
        <v>100</v>
      </c>
      <c r="P13" s="3279" t="s">
        <v>3775</v>
      </c>
      <c r="Q13" s="3382">
        <f t="shared" si="2"/>
        <v>100</v>
      </c>
      <c r="R13" s="3279" t="s">
        <v>3777</v>
      </c>
      <c r="S13" s="3382">
        <f t="shared" si="3"/>
        <v>100</v>
      </c>
      <c r="T13" s="3279" t="s">
        <v>3892</v>
      </c>
      <c r="U13" s="3382">
        <f t="shared" si="4"/>
        <v>110</v>
      </c>
      <c r="V13" s="3355" t="s">
        <v>3894</v>
      </c>
      <c r="W13" s="3356">
        <f t="shared" si="5"/>
        <v>100</v>
      </c>
      <c r="X13" s="3274">
        <f>ROUND(E13/100*K13/100*O13/100*Q13/100*S13/100*U13/100,4)</f>
        <v>1.0669999999999999</v>
      </c>
      <c r="Y13" s="3728"/>
      <c r="Z13" s="3728"/>
      <c r="AA13" s="3728"/>
      <c r="AB13" s="3728"/>
      <c r="AC13" s="3278">
        <f>ROUND(AC12*X13,0)</f>
        <v>45091</v>
      </c>
      <c r="AD13" s="3279">
        <f t="shared" si="7"/>
        <v>319.06</v>
      </c>
      <c r="AE13" s="3728"/>
      <c r="AF13" s="3728"/>
      <c r="AG13" s="3728"/>
      <c r="AH13" s="3728"/>
      <c r="AI13" s="3728"/>
      <c r="AJ13" s="3728"/>
      <c r="AK13" s="3728"/>
      <c r="AL13" s="3731"/>
      <c r="AN13" s="3728"/>
      <c r="AO13" s="3728"/>
    </row>
    <row r="14" spans="1:41" hidden="1">
      <c r="A14" s="3277">
        <v>2.97</v>
      </c>
      <c r="B14" s="3277" t="s">
        <v>3728</v>
      </c>
      <c r="D14" s="3721">
        <v>86</v>
      </c>
      <c r="E14" s="3273">
        <v>100</v>
      </c>
      <c r="F14" s="3276">
        <v>-1</v>
      </c>
      <c r="G14" s="3276">
        <f>房源表及成交价!N6</f>
        <v>205.8</v>
      </c>
      <c r="H14" s="3281">
        <v>100</v>
      </c>
      <c r="I14" s="3277">
        <v>3.6</v>
      </c>
      <c r="J14" s="3277">
        <v>2.97</v>
      </c>
      <c r="K14" s="3281">
        <f>IF(I14&lt;=3,97,IF(I14&lt;=3.3,98,IF(I14&lt;=3.6,99,IF(I14&lt;=3.9,100,101))))</f>
        <v>99</v>
      </c>
      <c r="L14" s="3277">
        <v>14.4</v>
      </c>
      <c r="M14" s="3277">
        <v>13.73</v>
      </c>
      <c r="N14" s="3277" t="s">
        <v>3908</v>
      </c>
      <c r="O14" s="3281">
        <f t="shared" si="1"/>
        <v>85</v>
      </c>
      <c r="P14" s="3286" t="s">
        <v>3774</v>
      </c>
      <c r="Q14" s="3281">
        <f t="shared" si="2"/>
        <v>80</v>
      </c>
      <c r="R14" s="3286" t="s">
        <v>3776</v>
      </c>
      <c r="S14" s="3281">
        <f t="shared" si="3"/>
        <v>90</v>
      </c>
      <c r="T14" s="3286" t="s">
        <v>3897</v>
      </c>
      <c r="U14" s="3281">
        <f t="shared" si="4"/>
        <v>70</v>
      </c>
      <c r="V14" s="3357" t="s">
        <v>3916</v>
      </c>
      <c r="W14" s="3356">
        <f t="shared" si="5"/>
        <v>100</v>
      </c>
      <c r="X14" s="3273">
        <f t="shared" si="6"/>
        <v>0.42409999999999998</v>
      </c>
      <c r="Y14" s="3726">
        <f t="shared" ref="Y14" si="29">ROUND((X14*G14+X15*G15+X16*G16)/Z14,4)</f>
        <v>0.71550000000000002</v>
      </c>
      <c r="Z14" s="3726">
        <f t="shared" ref="Z14:Z47" si="30">G14+G15+G16</f>
        <v>399.87</v>
      </c>
      <c r="AA14" s="3726">
        <f>房源表及成交价!R6</f>
        <v>1197.7209</v>
      </c>
      <c r="AB14" s="3726">
        <f t="shared" ref="AB14" si="31">ROUND(AA14/Z14*10000,0)</f>
        <v>29953</v>
      </c>
      <c r="AC14" s="3281">
        <f>ROUND(AC15*X14,0)</f>
        <v>17755</v>
      </c>
      <c r="AD14" s="3286">
        <f t="shared" si="7"/>
        <v>365.4</v>
      </c>
      <c r="AE14" s="3726">
        <v>1</v>
      </c>
      <c r="AF14" s="3726">
        <f ca="1">VLOOKUP(AE14,标定地价!$O$16:$R$19,4,0)</f>
        <v>6822</v>
      </c>
      <c r="AG14" s="3726">
        <f t="shared" ref="AG14" si="32">$AG$2</f>
        <v>1.01</v>
      </c>
      <c r="AH14" s="3726">
        <v>1.02</v>
      </c>
      <c r="AI14" s="3726">
        <f t="shared" ref="AI14" ca="1" si="33">ROUND(AF14*AG14*AH14,0)</f>
        <v>7028</v>
      </c>
      <c r="AJ14" s="3726">
        <f t="shared" ref="AJ14" ca="1" si="34">AC14-AI14</f>
        <v>10727</v>
      </c>
      <c r="AK14" s="3726">
        <f t="shared" ca="1" si="12"/>
        <v>2207616.6</v>
      </c>
      <c r="AL14" s="3729">
        <f t="shared" ref="AL14" ca="1" si="35">ROUND(AK14/AA14/10000,4)</f>
        <v>0.18429999999999999</v>
      </c>
      <c r="AN14" s="3726">
        <v>2207410.8000000003</v>
      </c>
      <c r="AO14" s="3726">
        <f t="shared" ref="AO14" ca="1" si="36">AK14-AN14</f>
        <v>205.79999999981374</v>
      </c>
    </row>
    <row r="15" spans="1:41" hidden="1">
      <c r="A15" s="3277">
        <v>3.24</v>
      </c>
      <c r="B15" s="3277"/>
      <c r="D15" s="3721"/>
      <c r="E15" s="3273">
        <v>100</v>
      </c>
      <c r="F15" s="3276">
        <v>1</v>
      </c>
      <c r="G15" s="3276">
        <f>房源表及成交价!I6</f>
        <v>123.31</v>
      </c>
      <c r="H15" s="3281">
        <v>100</v>
      </c>
      <c r="I15" s="3277">
        <v>3.9</v>
      </c>
      <c r="J15" s="3277">
        <v>3.24</v>
      </c>
      <c r="K15" s="3281">
        <f>IF(I15&lt;=3,97,IF(I15&lt;=3.3,98,IF(I15&lt;=3.6,99,IF(I15&lt;=3.9,100,101))))</f>
        <v>100</v>
      </c>
      <c r="L15" s="3277">
        <f>3.7+7.6</f>
        <v>11.3</v>
      </c>
      <c r="M15" s="3277">
        <f>13.7</f>
        <v>13.7</v>
      </c>
      <c r="N15" s="3277" t="s">
        <v>3770</v>
      </c>
      <c r="O15" s="3281">
        <f t="shared" si="1"/>
        <v>100</v>
      </c>
      <c r="P15" s="3277" t="s">
        <v>3775</v>
      </c>
      <c r="Q15" s="3281">
        <f t="shared" si="2"/>
        <v>100</v>
      </c>
      <c r="R15" s="3277" t="s">
        <v>3777</v>
      </c>
      <c r="S15" s="3281">
        <f t="shared" si="3"/>
        <v>100</v>
      </c>
      <c r="T15" s="3277" t="s">
        <v>3894</v>
      </c>
      <c r="U15" s="3281">
        <f t="shared" si="4"/>
        <v>100</v>
      </c>
      <c r="V15" s="3355" t="s">
        <v>3892</v>
      </c>
      <c r="W15" s="3356">
        <f t="shared" si="5"/>
        <v>100</v>
      </c>
      <c r="X15" s="3273">
        <f t="shared" si="6"/>
        <v>1</v>
      </c>
      <c r="Y15" s="3727"/>
      <c r="Z15" s="3727"/>
      <c r="AA15" s="3727"/>
      <c r="AB15" s="3727"/>
      <c r="AC15" s="3276">
        <f>ROUND(AA14*10000/(X14*G14+X15*G15+X16*G16),0)</f>
        <v>41865</v>
      </c>
      <c r="AD15" s="3277">
        <f t="shared" si="7"/>
        <v>516.24</v>
      </c>
      <c r="AE15" s="3727"/>
      <c r="AF15" s="3727"/>
      <c r="AG15" s="3727"/>
      <c r="AH15" s="3727"/>
      <c r="AI15" s="3727"/>
      <c r="AJ15" s="3727"/>
      <c r="AK15" s="3727"/>
      <c r="AL15" s="3730"/>
      <c r="AN15" s="3727"/>
      <c r="AO15" s="3727"/>
    </row>
    <row r="16" spans="1:41" hidden="1">
      <c r="A16" s="3277">
        <v>2.72</v>
      </c>
      <c r="B16" s="3277"/>
      <c r="D16" s="3721"/>
      <c r="E16" s="3273">
        <v>100</v>
      </c>
      <c r="F16" s="3276">
        <v>2</v>
      </c>
      <c r="G16" s="3276">
        <f>房源表及成交价!J6</f>
        <v>70.760000000000005</v>
      </c>
      <c r="H16" s="3281">
        <v>100</v>
      </c>
      <c r="I16" s="3277">
        <v>3.3</v>
      </c>
      <c r="J16" s="3277">
        <v>2.72</v>
      </c>
      <c r="K16" s="3382">
        <v>97</v>
      </c>
      <c r="L16" s="3277">
        <f>3.7+7.48</f>
        <v>11.18</v>
      </c>
      <c r="M16" s="3277">
        <f>9.8+2.4</f>
        <v>12.200000000000001</v>
      </c>
      <c r="N16" s="3277" t="s">
        <v>3770</v>
      </c>
      <c r="O16" s="3382">
        <f t="shared" si="1"/>
        <v>100</v>
      </c>
      <c r="P16" s="3277" t="s">
        <v>3775</v>
      </c>
      <c r="Q16" s="3382">
        <f t="shared" si="2"/>
        <v>100</v>
      </c>
      <c r="R16" s="3277" t="s">
        <v>3777</v>
      </c>
      <c r="S16" s="3382">
        <f t="shared" si="3"/>
        <v>100</v>
      </c>
      <c r="T16" s="3277" t="s">
        <v>3892</v>
      </c>
      <c r="U16" s="3382">
        <f t="shared" si="4"/>
        <v>110</v>
      </c>
      <c r="V16" s="3355" t="s">
        <v>3894</v>
      </c>
      <c r="W16" s="3356">
        <f t="shared" si="5"/>
        <v>100</v>
      </c>
      <c r="X16" s="3273">
        <f t="shared" si="6"/>
        <v>1.0669999999999999</v>
      </c>
      <c r="Y16" s="3728"/>
      <c r="Z16" s="3728"/>
      <c r="AA16" s="3728"/>
      <c r="AB16" s="3728"/>
      <c r="AC16" s="3276">
        <f>ROUND(AC15*X16,0)</f>
        <v>44670</v>
      </c>
      <c r="AD16" s="3277">
        <f t="shared" si="7"/>
        <v>316.08</v>
      </c>
      <c r="AE16" s="3728"/>
      <c r="AF16" s="3728"/>
      <c r="AG16" s="3728"/>
      <c r="AH16" s="3728"/>
      <c r="AI16" s="3728"/>
      <c r="AJ16" s="3728"/>
      <c r="AK16" s="3728"/>
      <c r="AL16" s="3731"/>
      <c r="AN16" s="3728"/>
      <c r="AO16" s="3728"/>
    </row>
    <row r="17" spans="1:41" hidden="1">
      <c r="A17" s="3279">
        <v>3.36</v>
      </c>
      <c r="B17" s="3279" t="s">
        <v>3730</v>
      </c>
      <c r="D17" s="3732">
        <v>117</v>
      </c>
      <c r="E17" s="3274">
        <v>100</v>
      </c>
      <c r="F17" s="3278">
        <v>-1</v>
      </c>
      <c r="G17" s="3278">
        <f>房源表及成交价!N7</f>
        <v>236</v>
      </c>
      <c r="H17" s="3282">
        <v>100</v>
      </c>
      <c r="I17" s="3279">
        <v>3.6</v>
      </c>
      <c r="J17" s="3279">
        <v>3.36</v>
      </c>
      <c r="K17" s="3282">
        <f>IF(I17&lt;=3,97,IF(I17&lt;=3.3,98,IF(I17&lt;=3.6,99,IF(I17&lt;=3.9,100,101))))</f>
        <v>99</v>
      </c>
      <c r="L17" s="3279">
        <v>16.7</v>
      </c>
      <c r="M17" s="3279">
        <v>13.73</v>
      </c>
      <c r="N17" s="3279" t="s">
        <v>3908</v>
      </c>
      <c r="O17" s="3282">
        <f t="shared" si="1"/>
        <v>85</v>
      </c>
      <c r="P17" s="3279" t="s">
        <v>3774</v>
      </c>
      <c r="Q17" s="3282">
        <f t="shared" si="2"/>
        <v>80</v>
      </c>
      <c r="R17" s="3279" t="s">
        <v>3776</v>
      </c>
      <c r="S17" s="3282">
        <f t="shared" si="3"/>
        <v>90</v>
      </c>
      <c r="T17" s="3279" t="s">
        <v>3897</v>
      </c>
      <c r="U17" s="3282">
        <f t="shared" si="4"/>
        <v>70</v>
      </c>
      <c r="V17" s="3355" t="s">
        <v>3916</v>
      </c>
      <c r="W17" s="3356">
        <f t="shared" si="5"/>
        <v>100</v>
      </c>
      <c r="X17" s="3274">
        <f t="shared" si="6"/>
        <v>0.42409999999999998</v>
      </c>
      <c r="Y17" s="3726">
        <f t="shared" ref="Y17" si="37">ROUND((X17*G17+X18*G18+X19*G19)/Z17,4)</f>
        <v>0.69499999999999995</v>
      </c>
      <c r="Z17" s="3726">
        <f t="shared" si="30"/>
        <v>430.07</v>
      </c>
      <c r="AA17" s="3726">
        <f>房源表及成交价!R7</f>
        <v>1545.0806</v>
      </c>
      <c r="AB17" s="3726">
        <f t="shared" ref="AB17" si="38">ROUND(AA17/Z17*10000,0)</f>
        <v>35926</v>
      </c>
      <c r="AC17" s="3282">
        <f>ROUND(AC18*X17,0)</f>
        <v>21923</v>
      </c>
      <c r="AD17" s="3279">
        <f t="shared" si="7"/>
        <v>517.38</v>
      </c>
      <c r="AE17" s="3726">
        <v>1</v>
      </c>
      <c r="AF17" s="3726">
        <f ca="1">VLOOKUP(AE17,标定地价!$O$16:$R$19,4,0)</f>
        <v>6822</v>
      </c>
      <c r="AG17" s="3726">
        <f t="shared" ref="AG17" si="39">$AG$2</f>
        <v>1.01</v>
      </c>
      <c r="AH17" s="3726">
        <v>1.02</v>
      </c>
      <c r="AI17" s="3726">
        <f t="shared" ref="AI17" ca="1" si="40">ROUND(AF17*AG17*AH17,0)</f>
        <v>7028</v>
      </c>
      <c r="AJ17" s="3726">
        <f t="shared" ref="AJ17" ca="1" si="41">AC17-AI17</f>
        <v>14895</v>
      </c>
      <c r="AK17" s="3726">
        <f t="shared" ca="1" si="12"/>
        <v>3515220</v>
      </c>
      <c r="AL17" s="3729">
        <f t="shared" ref="AL17" ca="1" si="42">ROUND(AK17/AA17/10000,4)</f>
        <v>0.22750000000000001</v>
      </c>
      <c r="AN17" s="3726">
        <v>3514984</v>
      </c>
      <c r="AO17" s="3726">
        <f t="shared" ref="AO17" ca="1" si="43">AK17-AN17</f>
        <v>236</v>
      </c>
    </row>
    <row r="18" spans="1:41" hidden="1">
      <c r="A18" s="3279" t="s">
        <v>3749</v>
      </c>
      <c r="B18" s="3279"/>
      <c r="D18" s="3732"/>
      <c r="E18" s="3274">
        <v>100</v>
      </c>
      <c r="F18" s="3278">
        <v>1</v>
      </c>
      <c r="G18" s="3278">
        <f>房源表及成交价!I7</f>
        <v>123.31</v>
      </c>
      <c r="H18" s="3282">
        <v>100</v>
      </c>
      <c r="I18" s="3279">
        <v>3.9</v>
      </c>
      <c r="J18" s="3279">
        <v>3.77</v>
      </c>
      <c r="K18" s="3282">
        <f>IF(I18&lt;=3,97,IF(I18&lt;=3.3,98,IF(I18&lt;=3.6,99,IF(I18&lt;=3.9,100,101))))</f>
        <v>100</v>
      </c>
      <c r="L18" s="3279">
        <f>3.7+7.6</f>
        <v>11.3</v>
      </c>
      <c r="M18" s="3279">
        <v>13.7</v>
      </c>
      <c r="N18" s="3279" t="s">
        <v>3770</v>
      </c>
      <c r="O18" s="3282">
        <f t="shared" si="1"/>
        <v>100</v>
      </c>
      <c r="P18" s="3279" t="s">
        <v>3775</v>
      </c>
      <c r="Q18" s="3282">
        <f t="shared" si="2"/>
        <v>100</v>
      </c>
      <c r="R18" s="3279" t="s">
        <v>3777</v>
      </c>
      <c r="S18" s="3282">
        <f t="shared" si="3"/>
        <v>100</v>
      </c>
      <c r="T18" s="3279" t="s">
        <v>3894</v>
      </c>
      <c r="U18" s="3282">
        <f t="shared" si="4"/>
        <v>100</v>
      </c>
      <c r="V18" s="3355" t="s">
        <v>3892</v>
      </c>
      <c r="W18" s="3356">
        <f t="shared" si="5"/>
        <v>100</v>
      </c>
      <c r="X18" s="3274">
        <f t="shared" si="6"/>
        <v>1</v>
      </c>
      <c r="Y18" s="3727"/>
      <c r="Z18" s="3727"/>
      <c r="AA18" s="3727"/>
      <c r="AB18" s="3727"/>
      <c r="AC18" s="3279">
        <f>ROUND(AA17*10000/(X17*G17+X18*G18+X19*G19),0)</f>
        <v>51692</v>
      </c>
      <c r="AD18" s="3279">
        <f t="shared" si="7"/>
        <v>637.41</v>
      </c>
      <c r="AE18" s="3727"/>
      <c r="AF18" s="3727"/>
      <c r="AG18" s="3727"/>
      <c r="AH18" s="3727"/>
      <c r="AI18" s="3727"/>
      <c r="AJ18" s="3727"/>
      <c r="AK18" s="3727"/>
      <c r="AL18" s="3730"/>
      <c r="AN18" s="3727"/>
      <c r="AO18" s="3727"/>
    </row>
    <row r="19" spans="1:41" hidden="1">
      <c r="A19" s="3279">
        <v>3.19</v>
      </c>
      <c r="B19" s="3279"/>
      <c r="D19" s="3732"/>
      <c r="E19" s="3274">
        <v>100</v>
      </c>
      <c r="F19" s="3278">
        <v>2</v>
      </c>
      <c r="G19" s="3278">
        <f>房源表及成交价!J7</f>
        <v>70.760000000000005</v>
      </c>
      <c r="H19" s="3282">
        <v>100</v>
      </c>
      <c r="I19" s="3279">
        <v>3.3</v>
      </c>
      <c r="J19" s="3279">
        <v>3.19</v>
      </c>
      <c r="K19" s="3382">
        <v>97</v>
      </c>
      <c r="L19" s="3279">
        <f>3.7+7.48</f>
        <v>11.18</v>
      </c>
      <c r="M19" s="3279">
        <f>9.8+2.4</f>
        <v>12.200000000000001</v>
      </c>
      <c r="N19" s="3279" t="s">
        <v>3770</v>
      </c>
      <c r="O19" s="3382">
        <f t="shared" si="1"/>
        <v>100</v>
      </c>
      <c r="P19" s="3279" t="s">
        <v>3775</v>
      </c>
      <c r="Q19" s="3382">
        <f t="shared" si="2"/>
        <v>100</v>
      </c>
      <c r="R19" s="3279" t="s">
        <v>3777</v>
      </c>
      <c r="S19" s="3382">
        <f t="shared" si="3"/>
        <v>100</v>
      </c>
      <c r="T19" s="3279" t="s">
        <v>3892</v>
      </c>
      <c r="U19" s="3382">
        <f t="shared" si="4"/>
        <v>110</v>
      </c>
      <c r="V19" s="3355" t="s">
        <v>3894</v>
      </c>
      <c r="W19" s="3356">
        <f t="shared" si="5"/>
        <v>100</v>
      </c>
      <c r="X19" s="3274">
        <f t="shared" si="6"/>
        <v>1.0669999999999999</v>
      </c>
      <c r="Y19" s="3728"/>
      <c r="Z19" s="3728"/>
      <c r="AA19" s="3728"/>
      <c r="AB19" s="3728"/>
      <c r="AC19" s="3278">
        <f>ROUND(AC18*X19,0)</f>
        <v>55155</v>
      </c>
      <c r="AD19" s="3279">
        <f t="shared" si="7"/>
        <v>390.28</v>
      </c>
      <c r="AE19" s="3728"/>
      <c r="AF19" s="3728"/>
      <c r="AG19" s="3728"/>
      <c r="AH19" s="3728"/>
      <c r="AI19" s="3728"/>
      <c r="AJ19" s="3728"/>
      <c r="AK19" s="3728"/>
      <c r="AL19" s="3731"/>
      <c r="AN19" s="3728"/>
      <c r="AO19" s="3728"/>
    </row>
    <row r="20" spans="1:41" hidden="1">
      <c r="A20" s="3277">
        <v>3.34</v>
      </c>
      <c r="B20" s="3277" t="s">
        <v>3728</v>
      </c>
      <c r="D20" s="3721">
        <v>98</v>
      </c>
      <c r="E20" s="3273">
        <v>100</v>
      </c>
      <c r="F20" s="3276">
        <v>-1</v>
      </c>
      <c r="G20" s="3276">
        <f>房源表及成交价!N8</f>
        <v>253.4</v>
      </c>
      <c r="H20" s="3281">
        <v>100</v>
      </c>
      <c r="I20" s="3277">
        <v>3.6</v>
      </c>
      <c r="J20" s="3277">
        <v>3.34</v>
      </c>
      <c r="K20" s="3281">
        <f>IF(I20&lt;=3,97,IF(I20&lt;=3.3,98,IF(I20&lt;=3.6,99,IF(I20&lt;=3.9,100,101))))</f>
        <v>99</v>
      </c>
      <c r="L20" s="3277">
        <v>18.100000000000001</v>
      </c>
      <c r="M20" s="3277">
        <v>13.72</v>
      </c>
      <c r="N20" s="3277" t="s">
        <v>3908</v>
      </c>
      <c r="O20" s="3281">
        <f t="shared" si="1"/>
        <v>85</v>
      </c>
      <c r="P20" s="3286" t="s">
        <v>3774</v>
      </c>
      <c r="Q20" s="3281">
        <f t="shared" si="2"/>
        <v>80</v>
      </c>
      <c r="R20" s="3286" t="s">
        <v>3776</v>
      </c>
      <c r="S20" s="3281">
        <f t="shared" si="3"/>
        <v>90</v>
      </c>
      <c r="T20" s="3286" t="s">
        <v>3897</v>
      </c>
      <c r="U20" s="3281">
        <f t="shared" si="4"/>
        <v>70</v>
      </c>
      <c r="V20" s="3357" t="s">
        <v>3916</v>
      </c>
      <c r="W20" s="3356">
        <f t="shared" si="5"/>
        <v>100</v>
      </c>
      <c r="X20" s="3273">
        <f t="shared" si="6"/>
        <v>0.42409999999999998</v>
      </c>
      <c r="Y20" s="3726">
        <f t="shared" ref="Y20" si="44">ROUND((X20*G20+X21*G21+X22*G22)/Z20,4)</f>
        <v>0.6845</v>
      </c>
      <c r="Z20" s="3726">
        <f t="shared" si="30"/>
        <v>447.47</v>
      </c>
      <c r="AA20" s="3726">
        <f>房源表及成交价!R8</f>
        <v>1285.1251999999999</v>
      </c>
      <c r="AB20" s="3726">
        <f t="shared" ref="AB20" si="45">ROUND(AA20/Z20*10000,0)</f>
        <v>28720</v>
      </c>
      <c r="AC20" s="3281">
        <f>ROUND(AC21*X20,0)</f>
        <v>17795</v>
      </c>
      <c r="AD20" s="3286">
        <f t="shared" si="7"/>
        <v>450.93</v>
      </c>
      <c r="AE20" s="3726">
        <v>1</v>
      </c>
      <c r="AF20" s="3726">
        <f ca="1">VLOOKUP(AE20,标定地价!$O$16:$R$19,4,0)</f>
        <v>6822</v>
      </c>
      <c r="AG20" s="3726">
        <f t="shared" ref="AG20" si="46">$AG$2</f>
        <v>1.01</v>
      </c>
      <c r="AH20" s="3726">
        <v>1.02</v>
      </c>
      <c r="AI20" s="3726">
        <f t="shared" ref="AI20" ca="1" si="47">ROUND(AF20*AG20*AH20,0)</f>
        <v>7028</v>
      </c>
      <c r="AJ20" s="3726">
        <f t="shared" ref="AJ20" ca="1" si="48">AC20-AI20</f>
        <v>10767</v>
      </c>
      <c r="AK20" s="3726">
        <f t="shared" ca="1" si="12"/>
        <v>2728357.8000000003</v>
      </c>
      <c r="AL20" s="3729">
        <f t="shared" ref="AL20" ca="1" si="49">ROUND(AK20/AA20/10000,4)</f>
        <v>0.21229999999999999</v>
      </c>
      <c r="AN20" s="3726">
        <v>2728104.4</v>
      </c>
      <c r="AO20" s="3726">
        <f t="shared" ref="AO20" ca="1" si="50">AK20-AN20</f>
        <v>253.40000000037253</v>
      </c>
    </row>
    <row r="21" spans="1:41" hidden="1">
      <c r="A21" s="3277" t="s">
        <v>3750</v>
      </c>
      <c r="B21" s="3277"/>
      <c r="D21" s="3721"/>
      <c r="E21" s="3273">
        <v>100</v>
      </c>
      <c r="F21" s="3276">
        <v>1</v>
      </c>
      <c r="G21" s="3276">
        <f>房源表及成交价!I8</f>
        <v>123.31</v>
      </c>
      <c r="H21" s="3281">
        <v>100</v>
      </c>
      <c r="I21" s="3277">
        <v>3.9</v>
      </c>
      <c r="J21" s="3277">
        <v>3.78</v>
      </c>
      <c r="K21" s="3281">
        <f>IF(I21&lt;=3,97,IF(I21&lt;=3.3,98,IF(I21&lt;=3.6,99,IF(I21&lt;=3.9,100,101))))</f>
        <v>100</v>
      </c>
      <c r="L21" s="3277">
        <f>3.7+7.6</f>
        <v>11.3</v>
      </c>
      <c r="M21" s="3277">
        <v>13.7</v>
      </c>
      <c r="N21" s="3277" t="s">
        <v>3770</v>
      </c>
      <c r="O21" s="3281">
        <f t="shared" si="1"/>
        <v>100</v>
      </c>
      <c r="P21" s="3277" t="s">
        <v>3775</v>
      </c>
      <c r="Q21" s="3281">
        <f t="shared" si="2"/>
        <v>100</v>
      </c>
      <c r="R21" s="3277" t="s">
        <v>3777</v>
      </c>
      <c r="S21" s="3281">
        <f t="shared" si="3"/>
        <v>100</v>
      </c>
      <c r="T21" s="3277" t="s">
        <v>3894</v>
      </c>
      <c r="U21" s="3281">
        <f t="shared" si="4"/>
        <v>100</v>
      </c>
      <c r="V21" s="3355" t="s">
        <v>3892</v>
      </c>
      <c r="W21" s="3356">
        <f t="shared" si="5"/>
        <v>100</v>
      </c>
      <c r="X21" s="3273">
        <f t="shared" si="6"/>
        <v>1</v>
      </c>
      <c r="Y21" s="3727"/>
      <c r="Z21" s="3727"/>
      <c r="AA21" s="3727"/>
      <c r="AB21" s="3727"/>
      <c r="AC21" s="3276">
        <f>ROUND(AA20*10000/(X20*G20+X21*G21+X22*G22),0)</f>
        <v>41959</v>
      </c>
      <c r="AD21" s="3277">
        <f t="shared" si="7"/>
        <v>517.4</v>
      </c>
      <c r="AE21" s="3727"/>
      <c r="AF21" s="3727"/>
      <c r="AG21" s="3727"/>
      <c r="AH21" s="3727"/>
      <c r="AI21" s="3727"/>
      <c r="AJ21" s="3727"/>
      <c r="AK21" s="3727"/>
      <c r="AL21" s="3730"/>
      <c r="AN21" s="3727"/>
      <c r="AO21" s="3727"/>
    </row>
    <row r="22" spans="1:41" hidden="1">
      <c r="A22" s="3277">
        <v>3.23</v>
      </c>
      <c r="B22" s="3277"/>
      <c r="D22" s="3721"/>
      <c r="E22" s="3273">
        <v>100</v>
      </c>
      <c r="F22" s="3276">
        <v>2</v>
      </c>
      <c r="G22" s="3276">
        <f>房源表及成交价!J8</f>
        <v>70.760000000000005</v>
      </c>
      <c r="H22" s="3281">
        <v>100</v>
      </c>
      <c r="I22" s="3277">
        <v>3.3</v>
      </c>
      <c r="J22" s="3277">
        <v>3.23</v>
      </c>
      <c r="K22" s="3382">
        <v>97</v>
      </c>
      <c r="L22" s="3277">
        <f>3.7+7.48</f>
        <v>11.18</v>
      </c>
      <c r="M22" s="3277">
        <f>9.8+2.4</f>
        <v>12.200000000000001</v>
      </c>
      <c r="N22" s="3277" t="s">
        <v>3770</v>
      </c>
      <c r="O22" s="3382">
        <f t="shared" si="1"/>
        <v>100</v>
      </c>
      <c r="P22" s="3277" t="s">
        <v>3775</v>
      </c>
      <c r="Q22" s="3382">
        <f t="shared" si="2"/>
        <v>100</v>
      </c>
      <c r="R22" s="3277" t="s">
        <v>3777</v>
      </c>
      <c r="S22" s="3382">
        <f t="shared" si="3"/>
        <v>100</v>
      </c>
      <c r="T22" s="3277" t="s">
        <v>3892</v>
      </c>
      <c r="U22" s="3382">
        <f t="shared" si="4"/>
        <v>110</v>
      </c>
      <c r="V22" s="3355" t="s">
        <v>3894</v>
      </c>
      <c r="W22" s="3356">
        <f t="shared" si="5"/>
        <v>100</v>
      </c>
      <c r="X22" s="3273">
        <f t="shared" si="6"/>
        <v>1.0669999999999999</v>
      </c>
      <c r="Y22" s="3728"/>
      <c r="Z22" s="3728"/>
      <c r="AA22" s="3728"/>
      <c r="AB22" s="3728"/>
      <c r="AC22" s="3276">
        <f t="shared" ref="AC22" si="51">ROUND(AC21*X22,0)</f>
        <v>44770</v>
      </c>
      <c r="AD22" s="3277">
        <f t="shared" si="7"/>
        <v>316.79000000000002</v>
      </c>
      <c r="AE22" s="3728"/>
      <c r="AF22" s="3728"/>
      <c r="AG22" s="3728"/>
      <c r="AH22" s="3728"/>
      <c r="AI22" s="3728"/>
      <c r="AJ22" s="3728"/>
      <c r="AK22" s="3728"/>
      <c r="AL22" s="3731"/>
      <c r="AN22" s="3728"/>
      <c r="AO22" s="3728"/>
    </row>
    <row r="23" spans="1:41" hidden="1">
      <c r="A23" s="3279">
        <v>3.35</v>
      </c>
      <c r="B23" s="3279" t="s">
        <v>3728</v>
      </c>
      <c r="D23" s="3732">
        <v>107</v>
      </c>
      <c r="E23" s="3274">
        <v>100</v>
      </c>
      <c r="F23" s="3278">
        <v>-1</v>
      </c>
      <c r="G23" s="3278">
        <f>房源表及成交价!N9</f>
        <v>253.4</v>
      </c>
      <c r="H23" s="3282">
        <v>100</v>
      </c>
      <c r="I23" s="3279">
        <v>3.6</v>
      </c>
      <c r="J23" s="3279">
        <v>3.35</v>
      </c>
      <c r="K23" s="3282">
        <f>IF(I23&lt;=3,97,IF(I23&lt;=3.3,98,IF(I23&lt;=3.6,99,IF(I23&lt;=3.9,100,101))))</f>
        <v>99</v>
      </c>
      <c r="L23" s="3279">
        <v>18.100000000000001</v>
      </c>
      <c r="M23" s="3279">
        <v>13.73</v>
      </c>
      <c r="N23" s="3279" t="s">
        <v>3908</v>
      </c>
      <c r="O23" s="3282">
        <f t="shared" si="1"/>
        <v>85</v>
      </c>
      <c r="P23" s="3279" t="s">
        <v>3774</v>
      </c>
      <c r="Q23" s="3282">
        <f t="shared" si="2"/>
        <v>80</v>
      </c>
      <c r="R23" s="3279" t="s">
        <v>3776</v>
      </c>
      <c r="S23" s="3282">
        <f t="shared" si="3"/>
        <v>90</v>
      </c>
      <c r="T23" s="3279" t="s">
        <v>3897</v>
      </c>
      <c r="U23" s="3282">
        <f t="shared" si="4"/>
        <v>70</v>
      </c>
      <c r="V23" s="3355" t="s">
        <v>3916</v>
      </c>
      <c r="W23" s="3356">
        <f t="shared" si="5"/>
        <v>100</v>
      </c>
      <c r="X23" s="3274">
        <f t="shared" si="6"/>
        <v>0.42409999999999998</v>
      </c>
      <c r="Y23" s="3726">
        <f t="shared" ref="Y23" si="52">ROUND((X23*G23+X24*G24+X25*G25)/Z23,4)</f>
        <v>0.6845</v>
      </c>
      <c r="Z23" s="3726">
        <f t="shared" si="30"/>
        <v>447.47</v>
      </c>
      <c r="AA23" s="3726">
        <f>房源表及成交价!R9</f>
        <v>1253.2926</v>
      </c>
      <c r="AB23" s="3726">
        <f t="shared" ref="AB23" si="53">ROUND(AA23/Z23*10000,0)</f>
        <v>28008</v>
      </c>
      <c r="AC23" s="3282">
        <f>ROUND(AC24*X23,0)</f>
        <v>17354</v>
      </c>
      <c r="AD23" s="3279">
        <f t="shared" si="7"/>
        <v>439.75</v>
      </c>
      <c r="AE23" s="3726">
        <v>1</v>
      </c>
      <c r="AF23" s="3726">
        <f ca="1">VLOOKUP(AE23,标定地价!$O$16:$R$19,4,0)</f>
        <v>6822</v>
      </c>
      <c r="AG23" s="3726">
        <f t="shared" ref="AG23" si="54">$AG$2</f>
        <v>1.01</v>
      </c>
      <c r="AH23" s="3726">
        <v>1.02</v>
      </c>
      <c r="AI23" s="3726">
        <f t="shared" ref="AI23" ca="1" si="55">ROUND(AF23*AG23*AH23,0)</f>
        <v>7028</v>
      </c>
      <c r="AJ23" s="3726">
        <f t="shared" ref="AJ23" ca="1" si="56">AC23-AI23</f>
        <v>10326</v>
      </c>
      <c r="AK23" s="3726">
        <f t="shared" ca="1" si="12"/>
        <v>2616608.4</v>
      </c>
      <c r="AL23" s="3729">
        <f t="shared" ref="AL23" ca="1" si="57">ROUND(AK23/AA23/10000,4)</f>
        <v>0.20880000000000001</v>
      </c>
      <c r="AN23" s="3726">
        <v>2616355</v>
      </c>
      <c r="AO23" s="3726">
        <f t="shared" ref="AO23" ca="1" si="58">AK23-AN23</f>
        <v>253.39999999990687</v>
      </c>
    </row>
    <row r="24" spans="1:41" hidden="1">
      <c r="A24" s="3279" t="s">
        <v>3751</v>
      </c>
      <c r="B24" s="3279"/>
      <c r="D24" s="3732"/>
      <c r="E24" s="3274">
        <v>100</v>
      </c>
      <c r="F24" s="3278">
        <v>1</v>
      </c>
      <c r="G24" s="3278">
        <f>房源表及成交价!I9</f>
        <v>123.31</v>
      </c>
      <c r="H24" s="3282">
        <v>100</v>
      </c>
      <c r="I24" s="3279">
        <v>3.9</v>
      </c>
      <c r="J24" s="3279">
        <v>3.75</v>
      </c>
      <c r="K24" s="3282">
        <f>IF(I24&lt;=3,97,IF(I24&lt;=3.3,98,IF(I24&lt;=3.6,99,IF(I24&lt;=3.9,100,101))))</f>
        <v>100</v>
      </c>
      <c r="L24" s="3279">
        <f>3.7+7.6</f>
        <v>11.3</v>
      </c>
      <c r="M24" s="3279">
        <v>13.7</v>
      </c>
      <c r="N24" s="3279" t="s">
        <v>3770</v>
      </c>
      <c r="O24" s="3282">
        <f t="shared" si="1"/>
        <v>100</v>
      </c>
      <c r="P24" s="3279" t="s">
        <v>3775</v>
      </c>
      <c r="Q24" s="3282">
        <f t="shared" si="2"/>
        <v>100</v>
      </c>
      <c r="R24" s="3279" t="s">
        <v>3777</v>
      </c>
      <c r="S24" s="3282">
        <f t="shared" si="3"/>
        <v>100</v>
      </c>
      <c r="T24" s="3279" t="s">
        <v>3894</v>
      </c>
      <c r="U24" s="3282">
        <f t="shared" si="4"/>
        <v>100</v>
      </c>
      <c r="V24" s="3355" t="s">
        <v>3892</v>
      </c>
      <c r="W24" s="3356">
        <f t="shared" si="5"/>
        <v>100</v>
      </c>
      <c r="X24" s="3274">
        <f t="shared" si="6"/>
        <v>1</v>
      </c>
      <c r="Y24" s="3727"/>
      <c r="Z24" s="3727"/>
      <c r="AA24" s="3727"/>
      <c r="AB24" s="3727"/>
      <c r="AC24" s="3279">
        <f>ROUND(AA23*10000/(X23*G23+X24*G24+X25*G25),0)</f>
        <v>40920</v>
      </c>
      <c r="AD24" s="3279">
        <f t="shared" si="7"/>
        <v>504.58</v>
      </c>
      <c r="AE24" s="3727"/>
      <c r="AF24" s="3727"/>
      <c r="AG24" s="3727"/>
      <c r="AH24" s="3727"/>
      <c r="AI24" s="3727"/>
      <c r="AJ24" s="3727"/>
      <c r="AK24" s="3727"/>
      <c r="AL24" s="3730"/>
      <c r="AN24" s="3727"/>
      <c r="AO24" s="3727"/>
    </row>
    <row r="25" spans="1:41" hidden="1">
      <c r="A25" s="3279">
        <v>3.22</v>
      </c>
      <c r="B25" s="3279"/>
      <c r="D25" s="3732"/>
      <c r="E25" s="3274">
        <v>100</v>
      </c>
      <c r="F25" s="3278">
        <v>2</v>
      </c>
      <c r="G25" s="3278">
        <f>房源表及成交价!J9</f>
        <v>70.760000000000005</v>
      </c>
      <c r="H25" s="3282">
        <v>100</v>
      </c>
      <c r="I25" s="3279">
        <v>3.3</v>
      </c>
      <c r="J25" s="3279">
        <v>3.22</v>
      </c>
      <c r="K25" s="3282">
        <v>97</v>
      </c>
      <c r="L25" s="3279">
        <f>3.7+7.48</f>
        <v>11.18</v>
      </c>
      <c r="M25" s="3279">
        <f>9.8+2.4</f>
        <v>12.200000000000001</v>
      </c>
      <c r="N25" s="3279" t="s">
        <v>3770</v>
      </c>
      <c r="O25" s="3282">
        <f t="shared" si="1"/>
        <v>100</v>
      </c>
      <c r="P25" s="3279" t="s">
        <v>3775</v>
      </c>
      <c r="Q25" s="3282">
        <f t="shared" si="2"/>
        <v>100</v>
      </c>
      <c r="R25" s="3279" t="s">
        <v>3777</v>
      </c>
      <c r="S25" s="3282">
        <f t="shared" si="3"/>
        <v>100</v>
      </c>
      <c r="T25" s="3279" t="s">
        <v>3892</v>
      </c>
      <c r="U25" s="3282">
        <f t="shared" si="4"/>
        <v>110</v>
      </c>
      <c r="V25" s="3355" t="s">
        <v>3894</v>
      </c>
      <c r="W25" s="3356">
        <f t="shared" si="5"/>
        <v>100</v>
      </c>
      <c r="X25" s="3274">
        <f t="shared" si="6"/>
        <v>1.0669999999999999</v>
      </c>
      <c r="Y25" s="3728"/>
      <c r="Z25" s="3728"/>
      <c r="AA25" s="3728"/>
      <c r="AB25" s="3728"/>
      <c r="AC25" s="3278">
        <f>ROUND(AC24*X25,0)</f>
        <v>43662</v>
      </c>
      <c r="AD25" s="3279">
        <f t="shared" si="7"/>
        <v>308.95</v>
      </c>
      <c r="AE25" s="3728"/>
      <c r="AF25" s="3728"/>
      <c r="AG25" s="3728"/>
      <c r="AH25" s="3728"/>
      <c r="AI25" s="3728"/>
      <c r="AJ25" s="3728"/>
      <c r="AK25" s="3728"/>
      <c r="AL25" s="3731"/>
      <c r="AN25" s="3728"/>
      <c r="AO25" s="3728"/>
    </row>
    <row r="26" spans="1:41" hidden="1">
      <c r="A26" s="3277">
        <v>3.42</v>
      </c>
      <c r="B26" s="3277" t="s">
        <v>3728</v>
      </c>
      <c r="D26" s="3721">
        <v>7</v>
      </c>
      <c r="E26" s="3273">
        <v>100</v>
      </c>
      <c r="F26" s="3276">
        <v>-1</v>
      </c>
      <c r="G26" s="3276">
        <f>房源表及成交价!N10</f>
        <v>253.4</v>
      </c>
      <c r="H26" s="3281">
        <v>100</v>
      </c>
      <c r="I26" s="3277">
        <v>3.6</v>
      </c>
      <c r="J26" s="3277">
        <v>3.42</v>
      </c>
      <c r="K26" s="3281">
        <f>IF(I26&lt;=3,97,IF(I26&lt;=3.3,98,IF(I26&lt;=3.6,99,IF(I26&lt;=3.9,100,101))))</f>
        <v>99</v>
      </c>
      <c r="L26" s="3277">
        <v>18.100000000000001</v>
      </c>
      <c r="M26" s="3277">
        <v>13.73</v>
      </c>
      <c r="N26" s="3277" t="s">
        <v>3908</v>
      </c>
      <c r="O26" s="3281">
        <f t="shared" si="1"/>
        <v>85</v>
      </c>
      <c r="P26" s="3286" t="s">
        <v>3774</v>
      </c>
      <c r="Q26" s="3281">
        <f t="shared" si="2"/>
        <v>80</v>
      </c>
      <c r="R26" s="3286" t="s">
        <v>3776</v>
      </c>
      <c r="S26" s="3281">
        <f t="shared" si="3"/>
        <v>90</v>
      </c>
      <c r="T26" s="3286" t="s">
        <v>3897</v>
      </c>
      <c r="U26" s="3281">
        <f t="shared" si="4"/>
        <v>70</v>
      </c>
      <c r="V26" s="3357" t="s">
        <v>3916</v>
      </c>
      <c r="W26" s="3356">
        <f t="shared" si="5"/>
        <v>100</v>
      </c>
      <c r="X26" s="3273">
        <f t="shared" si="6"/>
        <v>0.42409999999999998</v>
      </c>
      <c r="Y26" s="3726">
        <f t="shared" ref="Y26" si="59">ROUND((X26*G26+X27*G27+X28*G28)/Z26,4)</f>
        <v>0.6845</v>
      </c>
      <c r="Z26" s="3726">
        <f t="shared" si="30"/>
        <v>447.47</v>
      </c>
      <c r="AA26" s="3726">
        <f>房源表及成交价!R10</f>
        <v>1470.7482</v>
      </c>
      <c r="AB26" s="3726">
        <f t="shared" ref="AB26" si="60">ROUND(AA26/Z26*10000,0)</f>
        <v>32868</v>
      </c>
      <c r="AC26" s="3281">
        <f>ROUND(AC27*X26,0)</f>
        <v>20365</v>
      </c>
      <c r="AD26" s="3286">
        <f t="shared" si="7"/>
        <v>516.04999999999995</v>
      </c>
      <c r="AE26" s="3726">
        <v>1</v>
      </c>
      <c r="AF26" s="3726">
        <f ca="1">VLOOKUP(AE26,标定地价!$O$16:$R$19,4,0)</f>
        <v>6822</v>
      </c>
      <c r="AG26" s="3726">
        <f t="shared" ref="AG26" si="61">$AG$2</f>
        <v>1.01</v>
      </c>
      <c r="AH26" s="3726">
        <v>1.02</v>
      </c>
      <c r="AI26" s="3726">
        <f t="shared" ref="AI26" ca="1" si="62">ROUND(AF26*AG26*AH26,0)</f>
        <v>7028</v>
      </c>
      <c r="AJ26" s="3726">
        <f t="shared" ref="AJ26" ca="1" si="63">AC26-AI26</f>
        <v>13337</v>
      </c>
      <c r="AK26" s="3726">
        <f ca="1">AJ26*G26</f>
        <v>3379595.8000000003</v>
      </c>
      <c r="AL26" s="3729">
        <f t="shared" ref="AL26" ca="1" si="64">ROUND(AK26/AA26/10000,4)</f>
        <v>0.2298</v>
      </c>
      <c r="AN26" s="3726">
        <v>3379342.4</v>
      </c>
      <c r="AO26" s="3726">
        <f t="shared" ref="AO26" ca="1" si="65">AK26-AN26</f>
        <v>253.40000000037253</v>
      </c>
    </row>
    <row r="27" spans="1:41" hidden="1">
      <c r="A27" s="3277" t="s">
        <v>3750</v>
      </c>
      <c r="B27" s="3277"/>
      <c r="D27" s="3721"/>
      <c r="E27" s="3273">
        <v>100</v>
      </c>
      <c r="F27" s="3276">
        <v>1</v>
      </c>
      <c r="G27" s="3276">
        <f>房源表及成交价!I10</f>
        <v>123.31</v>
      </c>
      <c r="H27" s="3281">
        <v>100</v>
      </c>
      <c r="I27" s="3277">
        <v>3.9</v>
      </c>
      <c r="J27" s="3277">
        <v>3.78</v>
      </c>
      <c r="K27" s="3281">
        <f>IF(I27&lt;=3,97,IF(I27&lt;=3.3,98,IF(I27&lt;=3.6,99,IF(I27&lt;=3.9,100,101))))</f>
        <v>100</v>
      </c>
      <c r="L27" s="3277">
        <f>3.7+7.6</f>
        <v>11.3</v>
      </c>
      <c r="M27" s="3277">
        <v>13.7</v>
      </c>
      <c r="N27" s="3277" t="s">
        <v>3770</v>
      </c>
      <c r="O27" s="3281">
        <f t="shared" si="1"/>
        <v>100</v>
      </c>
      <c r="P27" s="3277" t="s">
        <v>3775</v>
      </c>
      <c r="Q27" s="3281">
        <f t="shared" si="2"/>
        <v>100</v>
      </c>
      <c r="R27" s="3277" t="s">
        <v>3777</v>
      </c>
      <c r="S27" s="3281">
        <f t="shared" si="3"/>
        <v>100</v>
      </c>
      <c r="T27" s="3277" t="s">
        <v>3894</v>
      </c>
      <c r="U27" s="3281">
        <f t="shared" si="4"/>
        <v>100</v>
      </c>
      <c r="V27" s="3355" t="s">
        <v>3892</v>
      </c>
      <c r="W27" s="3356">
        <f t="shared" si="5"/>
        <v>100</v>
      </c>
      <c r="X27" s="3273">
        <f t="shared" si="6"/>
        <v>1</v>
      </c>
      <c r="Y27" s="3727"/>
      <c r="Z27" s="3727"/>
      <c r="AA27" s="3727"/>
      <c r="AB27" s="3727"/>
      <c r="AC27" s="3276">
        <f>ROUND(AA26*10000/(X26*G26+X27*G27+X28*G28),0)</f>
        <v>48020</v>
      </c>
      <c r="AD27" s="3277">
        <f t="shared" si="7"/>
        <v>592.13</v>
      </c>
      <c r="AE27" s="3727"/>
      <c r="AF27" s="3727"/>
      <c r="AG27" s="3727"/>
      <c r="AH27" s="3727"/>
      <c r="AI27" s="3727"/>
      <c r="AJ27" s="3727"/>
      <c r="AK27" s="3727"/>
      <c r="AL27" s="3730"/>
      <c r="AN27" s="3727"/>
      <c r="AO27" s="3727"/>
    </row>
    <row r="28" spans="1:41" hidden="1">
      <c r="A28" s="3277">
        <v>3.22</v>
      </c>
      <c r="B28" s="3277"/>
      <c r="D28" s="3721"/>
      <c r="E28" s="3273">
        <v>100</v>
      </c>
      <c r="F28" s="3276">
        <v>2</v>
      </c>
      <c r="G28" s="3276">
        <f>房源表及成交价!J10</f>
        <v>70.760000000000005</v>
      </c>
      <c r="H28" s="3281">
        <v>100</v>
      </c>
      <c r="I28" s="3277">
        <v>3.3</v>
      </c>
      <c r="J28" s="3277">
        <v>3.22</v>
      </c>
      <c r="K28" s="3382">
        <v>97</v>
      </c>
      <c r="L28" s="3277">
        <f>3.7+7.48</f>
        <v>11.18</v>
      </c>
      <c r="M28" s="3277">
        <f>9.8+2.4</f>
        <v>12.200000000000001</v>
      </c>
      <c r="N28" s="3277" t="s">
        <v>3770</v>
      </c>
      <c r="O28" s="3382">
        <f t="shared" si="1"/>
        <v>100</v>
      </c>
      <c r="P28" s="3277" t="s">
        <v>3775</v>
      </c>
      <c r="Q28" s="3382">
        <f t="shared" si="2"/>
        <v>100</v>
      </c>
      <c r="R28" s="3277" t="s">
        <v>3777</v>
      </c>
      <c r="S28" s="3382">
        <f t="shared" si="3"/>
        <v>100</v>
      </c>
      <c r="T28" s="3277" t="s">
        <v>3892</v>
      </c>
      <c r="U28" s="3382">
        <f t="shared" si="4"/>
        <v>110</v>
      </c>
      <c r="V28" s="3355" t="s">
        <v>3894</v>
      </c>
      <c r="W28" s="3356">
        <f t="shared" si="5"/>
        <v>100</v>
      </c>
      <c r="X28" s="3273">
        <f t="shared" si="6"/>
        <v>1.0669999999999999</v>
      </c>
      <c r="Y28" s="3728"/>
      <c r="Z28" s="3728"/>
      <c r="AA28" s="3728"/>
      <c r="AB28" s="3728"/>
      <c r="AC28" s="3276">
        <f>ROUND(AC27*X28,0)</f>
        <v>51237</v>
      </c>
      <c r="AD28" s="3277">
        <f t="shared" si="7"/>
        <v>362.55</v>
      </c>
      <c r="AE28" s="3728"/>
      <c r="AF28" s="3728"/>
      <c r="AG28" s="3728"/>
      <c r="AH28" s="3728"/>
      <c r="AI28" s="3728"/>
      <c r="AJ28" s="3728"/>
      <c r="AK28" s="3728"/>
      <c r="AL28" s="3731"/>
      <c r="AN28" s="3728"/>
      <c r="AO28" s="3728"/>
    </row>
    <row r="29" spans="1:41" hidden="1">
      <c r="A29" s="3279">
        <v>3.36</v>
      </c>
      <c r="B29" s="3279" t="s">
        <v>3728</v>
      </c>
      <c r="D29" s="3732">
        <v>10</v>
      </c>
      <c r="E29" s="3274">
        <v>100</v>
      </c>
      <c r="F29" s="3278">
        <v>-1</v>
      </c>
      <c r="G29" s="3278">
        <f>房源表及成交价!N11</f>
        <v>253.4</v>
      </c>
      <c r="H29" s="3282">
        <v>100</v>
      </c>
      <c r="I29" s="3279">
        <v>3.6</v>
      </c>
      <c r="J29" s="3279">
        <v>3.36</v>
      </c>
      <c r="K29" s="3282">
        <f>IF(I29&lt;=3,97,IF(I29&lt;=3.3,98,IF(I29&lt;=3.6,99,IF(I29&lt;=3.9,100,101))))</f>
        <v>99</v>
      </c>
      <c r="L29" s="3279">
        <v>18.100000000000001</v>
      </c>
      <c r="M29" s="3279">
        <v>13.73</v>
      </c>
      <c r="N29" s="3279" t="s">
        <v>3908</v>
      </c>
      <c r="O29" s="3282">
        <f t="shared" si="1"/>
        <v>85</v>
      </c>
      <c r="P29" s="3279" t="s">
        <v>3774</v>
      </c>
      <c r="Q29" s="3282">
        <f t="shared" si="2"/>
        <v>80</v>
      </c>
      <c r="R29" s="3279" t="s">
        <v>3776</v>
      </c>
      <c r="S29" s="3282">
        <f t="shared" si="3"/>
        <v>90</v>
      </c>
      <c r="T29" s="3279" t="s">
        <v>3897</v>
      </c>
      <c r="U29" s="3282">
        <f t="shared" si="4"/>
        <v>70</v>
      </c>
      <c r="V29" s="3355" t="s">
        <v>3916</v>
      </c>
      <c r="W29" s="3356">
        <f t="shared" si="5"/>
        <v>100</v>
      </c>
      <c r="X29" s="3274">
        <f t="shared" si="6"/>
        <v>0.42409999999999998</v>
      </c>
      <c r="Y29" s="3726">
        <f t="shared" ref="Y29" si="66">ROUND((X29*G29+X30*G30+X31*G31)/Z29,4)</f>
        <v>0.6845</v>
      </c>
      <c r="Z29" s="3726">
        <f t="shared" si="30"/>
        <v>447.47</v>
      </c>
      <c r="AA29" s="3726">
        <f>房源表及成交价!R11</f>
        <v>1521.0175999999999</v>
      </c>
      <c r="AB29" s="3726">
        <f t="shared" ref="AB29" si="67">ROUND(AA29/Z29*10000,0)</f>
        <v>33991</v>
      </c>
      <c r="AC29" s="3282">
        <f>ROUND(AC30*X29,0)</f>
        <v>21061</v>
      </c>
      <c r="AD29" s="3279">
        <f t="shared" si="7"/>
        <v>533.69000000000005</v>
      </c>
      <c r="AE29" s="3726">
        <v>1</v>
      </c>
      <c r="AF29" s="3726">
        <f ca="1">VLOOKUP(AE29,标定地价!$O$16:$R$19,4,0)</f>
        <v>6822</v>
      </c>
      <c r="AG29" s="3726">
        <f t="shared" ref="AG29" si="68">$AG$2</f>
        <v>1.01</v>
      </c>
      <c r="AH29" s="3726">
        <v>1.02</v>
      </c>
      <c r="AI29" s="3726">
        <f t="shared" ref="AI29" ca="1" si="69">ROUND(AF29*AG29*AH29,0)</f>
        <v>7028</v>
      </c>
      <c r="AJ29" s="3726">
        <f t="shared" ref="AJ29" ca="1" si="70">AC29-AI29</f>
        <v>14033</v>
      </c>
      <c r="AK29" s="3726">
        <f t="shared" ca="1" si="12"/>
        <v>3555962.2</v>
      </c>
      <c r="AL29" s="3729">
        <f t="shared" ref="AL29" ca="1" si="71">ROUND(AK29/AA29/10000,4)</f>
        <v>0.23380000000000001</v>
      </c>
      <c r="AN29" s="3726">
        <v>3555708.8000000003</v>
      </c>
      <c r="AO29" s="3726">
        <f t="shared" ref="AO29" ca="1" si="72">AK29-AN29</f>
        <v>253.39999999990687</v>
      </c>
    </row>
    <row r="30" spans="1:41" hidden="1">
      <c r="A30" s="3279" t="s">
        <v>3752</v>
      </c>
      <c r="B30" s="3279"/>
      <c r="D30" s="3732"/>
      <c r="E30" s="3274">
        <v>100</v>
      </c>
      <c r="F30" s="3278">
        <v>1</v>
      </c>
      <c r="G30" s="3278">
        <f>房源表及成交价!I11</f>
        <v>123.31</v>
      </c>
      <c r="H30" s="3282">
        <v>100</v>
      </c>
      <c r="I30" s="3279">
        <v>3.9</v>
      </c>
      <c r="J30" s="3279">
        <v>3.78</v>
      </c>
      <c r="K30" s="3282">
        <f>IF(I30&lt;=3,97,IF(I30&lt;=3.3,98,IF(I30&lt;=3.6,99,IF(I30&lt;=3.9,100,101))))</f>
        <v>100</v>
      </c>
      <c r="L30" s="3279">
        <f>3.7+7.6</f>
        <v>11.3</v>
      </c>
      <c r="M30" s="3279">
        <f>13.7</f>
        <v>13.7</v>
      </c>
      <c r="N30" s="3279" t="s">
        <v>3770</v>
      </c>
      <c r="O30" s="3282">
        <f t="shared" si="1"/>
        <v>100</v>
      </c>
      <c r="P30" s="3279" t="s">
        <v>3775</v>
      </c>
      <c r="Q30" s="3282">
        <f t="shared" si="2"/>
        <v>100</v>
      </c>
      <c r="R30" s="3279" t="s">
        <v>3777</v>
      </c>
      <c r="S30" s="3282">
        <f t="shared" si="3"/>
        <v>100</v>
      </c>
      <c r="T30" s="3279" t="s">
        <v>3894</v>
      </c>
      <c r="U30" s="3282">
        <f t="shared" si="4"/>
        <v>100</v>
      </c>
      <c r="V30" s="3355" t="s">
        <v>3892</v>
      </c>
      <c r="W30" s="3356">
        <f t="shared" si="5"/>
        <v>100</v>
      </c>
      <c r="X30" s="3274">
        <f t="shared" si="6"/>
        <v>1</v>
      </c>
      <c r="Y30" s="3727"/>
      <c r="Z30" s="3727"/>
      <c r="AA30" s="3727"/>
      <c r="AB30" s="3727"/>
      <c r="AC30" s="3279">
        <f>ROUND(AA29*10000/(X29*G29+X30*G30+X31*G31),0)</f>
        <v>49661</v>
      </c>
      <c r="AD30" s="3279">
        <f t="shared" si="7"/>
        <v>612.37</v>
      </c>
      <c r="AE30" s="3727"/>
      <c r="AF30" s="3727"/>
      <c r="AG30" s="3727"/>
      <c r="AH30" s="3727"/>
      <c r="AI30" s="3727"/>
      <c r="AJ30" s="3727"/>
      <c r="AK30" s="3727"/>
      <c r="AL30" s="3730"/>
      <c r="AN30" s="3727"/>
      <c r="AO30" s="3727"/>
    </row>
    <row r="31" spans="1:41" hidden="1">
      <c r="A31" s="3279">
        <v>3.22</v>
      </c>
      <c r="B31" s="3279"/>
      <c r="D31" s="3732"/>
      <c r="E31" s="3274">
        <v>100</v>
      </c>
      <c r="F31" s="3278">
        <v>2</v>
      </c>
      <c r="G31" s="3278">
        <f>房源表及成交价!J11</f>
        <v>70.760000000000005</v>
      </c>
      <c r="H31" s="3282">
        <v>100</v>
      </c>
      <c r="I31" s="3279">
        <v>3.3</v>
      </c>
      <c r="J31" s="3279">
        <v>3.22</v>
      </c>
      <c r="K31" s="3382">
        <v>97</v>
      </c>
      <c r="L31" s="3279">
        <f>3.7+7.48</f>
        <v>11.18</v>
      </c>
      <c r="M31" s="3279">
        <f>9.8+2.4</f>
        <v>12.200000000000001</v>
      </c>
      <c r="N31" s="3279" t="s">
        <v>3770</v>
      </c>
      <c r="O31" s="3382">
        <f t="shared" si="1"/>
        <v>100</v>
      </c>
      <c r="P31" s="3279" t="s">
        <v>3775</v>
      </c>
      <c r="Q31" s="3382">
        <f t="shared" si="2"/>
        <v>100</v>
      </c>
      <c r="R31" s="3279" t="s">
        <v>3777</v>
      </c>
      <c r="S31" s="3382">
        <f t="shared" si="3"/>
        <v>100</v>
      </c>
      <c r="T31" s="3279" t="s">
        <v>3892</v>
      </c>
      <c r="U31" s="3382">
        <f t="shared" si="4"/>
        <v>110</v>
      </c>
      <c r="V31" s="3355" t="s">
        <v>3894</v>
      </c>
      <c r="W31" s="3356">
        <f t="shared" si="5"/>
        <v>100</v>
      </c>
      <c r="X31" s="3274">
        <f t="shared" si="6"/>
        <v>1.0669999999999999</v>
      </c>
      <c r="Y31" s="3728"/>
      <c r="Z31" s="3728"/>
      <c r="AA31" s="3728"/>
      <c r="AB31" s="3728"/>
      <c r="AC31" s="3278">
        <f>ROUND(AC30*X31,0)</f>
        <v>52988</v>
      </c>
      <c r="AD31" s="3279">
        <f t="shared" si="7"/>
        <v>374.94</v>
      </c>
      <c r="AE31" s="3728"/>
      <c r="AF31" s="3728"/>
      <c r="AG31" s="3728"/>
      <c r="AH31" s="3728"/>
      <c r="AI31" s="3728"/>
      <c r="AJ31" s="3728"/>
      <c r="AK31" s="3728"/>
      <c r="AL31" s="3731"/>
      <c r="AN31" s="3728"/>
      <c r="AO31" s="3728"/>
    </row>
    <row r="32" spans="1:41" hidden="1">
      <c r="A32" s="3277">
        <v>3.36</v>
      </c>
      <c r="B32" s="3277" t="s">
        <v>3729</v>
      </c>
      <c r="D32" s="3721">
        <v>8</v>
      </c>
      <c r="E32" s="3273">
        <v>100</v>
      </c>
      <c r="F32" s="3276">
        <v>-1</v>
      </c>
      <c r="G32" s="3276">
        <f>房源表及成交价!N12</f>
        <v>253.4</v>
      </c>
      <c r="H32" s="3281">
        <v>100</v>
      </c>
      <c r="I32" s="3277">
        <v>3.6</v>
      </c>
      <c r="J32" s="3277">
        <v>3.36</v>
      </c>
      <c r="K32" s="3281">
        <f>IF(I32&lt;=3,97,IF(I32&lt;=3.3,98,IF(I32&lt;=3.6,99,IF(I32&lt;=3.9,100,101))))</f>
        <v>99</v>
      </c>
      <c r="L32" s="3277">
        <v>18.100000000000001</v>
      </c>
      <c r="M32" s="3277">
        <v>13.73</v>
      </c>
      <c r="N32" s="3277" t="s">
        <v>3908</v>
      </c>
      <c r="O32" s="3281">
        <f t="shared" si="1"/>
        <v>85</v>
      </c>
      <c r="P32" s="3286" t="s">
        <v>3774</v>
      </c>
      <c r="Q32" s="3281">
        <f t="shared" si="2"/>
        <v>80</v>
      </c>
      <c r="R32" s="3286" t="s">
        <v>3776</v>
      </c>
      <c r="S32" s="3281">
        <f t="shared" si="3"/>
        <v>90</v>
      </c>
      <c r="T32" s="3286" t="s">
        <v>3897</v>
      </c>
      <c r="U32" s="3281">
        <f t="shared" si="4"/>
        <v>70</v>
      </c>
      <c r="V32" s="3357" t="s">
        <v>3916</v>
      </c>
      <c r="W32" s="3356">
        <f t="shared" si="5"/>
        <v>100</v>
      </c>
      <c r="X32" s="3273">
        <f t="shared" si="6"/>
        <v>0.42409999999999998</v>
      </c>
      <c r="Y32" s="3726">
        <f t="shared" ref="Y32" si="73">ROUND((X32*G32+X33*G33+X34*G34)/Z32,4)</f>
        <v>0.6845</v>
      </c>
      <c r="Z32" s="3726">
        <f t="shared" si="30"/>
        <v>447.47</v>
      </c>
      <c r="AA32" s="3726">
        <f>房源表及成交价!R12</f>
        <v>1377.7284999999999</v>
      </c>
      <c r="AB32" s="3726">
        <f t="shared" ref="AB32" si="74">ROUND(AA32/Z32*10000,0)</f>
        <v>30789</v>
      </c>
      <c r="AC32" s="3281">
        <f>ROUND(AC33*X32,0)</f>
        <v>19077</v>
      </c>
      <c r="AD32" s="3286">
        <f t="shared" si="7"/>
        <v>483.41</v>
      </c>
      <c r="AE32" s="3726">
        <v>1</v>
      </c>
      <c r="AF32" s="3726">
        <f ca="1">VLOOKUP(AE32,标定地价!$O$16:$R$19,4,0)</f>
        <v>6822</v>
      </c>
      <c r="AG32" s="3726">
        <f t="shared" ref="AG32" si="75">$AG$2</f>
        <v>1.01</v>
      </c>
      <c r="AH32" s="3726">
        <v>1.02</v>
      </c>
      <c r="AI32" s="3726">
        <f t="shared" ref="AI32" ca="1" si="76">ROUND(AF32*AG32*AH32,0)</f>
        <v>7028</v>
      </c>
      <c r="AJ32" s="3726">
        <f t="shared" ref="AJ32" ca="1" si="77">AC32-AI32</f>
        <v>12049</v>
      </c>
      <c r="AK32" s="3726">
        <f t="shared" ca="1" si="12"/>
        <v>3053216.6</v>
      </c>
      <c r="AL32" s="3729">
        <f t="shared" ref="AL32" ca="1" si="78">ROUND(AK32/AA32/10000,4)</f>
        <v>0.22159999999999999</v>
      </c>
      <c r="AN32" s="3726">
        <v>3052963.2</v>
      </c>
      <c r="AO32" s="3726">
        <f t="shared" ref="AO32" ca="1" si="79">AK32-AN32</f>
        <v>253.39999999990687</v>
      </c>
    </row>
    <row r="33" spans="1:41" hidden="1">
      <c r="A33" s="3277">
        <v>3.58</v>
      </c>
      <c r="B33" s="3277"/>
      <c r="D33" s="3721"/>
      <c r="E33" s="3273">
        <v>100</v>
      </c>
      <c r="F33" s="3276">
        <v>1</v>
      </c>
      <c r="G33" s="3276">
        <f>房源表及成交价!I12</f>
        <v>123.31</v>
      </c>
      <c r="H33" s="3281">
        <v>100</v>
      </c>
      <c r="I33" s="3277">
        <v>3.9</v>
      </c>
      <c r="J33" s="3277">
        <v>3.58</v>
      </c>
      <c r="K33" s="3281">
        <f>IF(I33&lt;=3,97,IF(I33&lt;=3.3,98,IF(I33&lt;=3.6,99,IF(I33&lt;=3.9,100,101))))</f>
        <v>100</v>
      </c>
      <c r="L33" s="3277">
        <f>7.6+3.7</f>
        <v>11.3</v>
      </c>
      <c r="M33" s="3277">
        <v>13.7</v>
      </c>
      <c r="N33" s="3277" t="s">
        <v>3770</v>
      </c>
      <c r="O33" s="3281">
        <f t="shared" si="1"/>
        <v>100</v>
      </c>
      <c r="P33" s="3277" t="s">
        <v>3775</v>
      </c>
      <c r="Q33" s="3281">
        <f t="shared" si="2"/>
        <v>100</v>
      </c>
      <c r="R33" s="3277" t="s">
        <v>3777</v>
      </c>
      <c r="S33" s="3281">
        <f t="shared" si="3"/>
        <v>100</v>
      </c>
      <c r="T33" s="3277" t="s">
        <v>3894</v>
      </c>
      <c r="U33" s="3281">
        <f t="shared" si="4"/>
        <v>100</v>
      </c>
      <c r="V33" s="3355" t="s">
        <v>3892</v>
      </c>
      <c r="W33" s="3356">
        <f t="shared" si="5"/>
        <v>100</v>
      </c>
      <c r="X33" s="3273">
        <f t="shared" si="6"/>
        <v>1</v>
      </c>
      <c r="Y33" s="3727"/>
      <c r="Z33" s="3727"/>
      <c r="AA33" s="3727"/>
      <c r="AB33" s="3727"/>
      <c r="AC33" s="3276">
        <f>ROUND(AA32*10000/(X32*G32+X33*G33+X34*G34),0)</f>
        <v>44983</v>
      </c>
      <c r="AD33" s="3277">
        <f t="shared" si="7"/>
        <v>554.69000000000005</v>
      </c>
      <c r="AE33" s="3727"/>
      <c r="AF33" s="3727"/>
      <c r="AG33" s="3727"/>
      <c r="AH33" s="3727"/>
      <c r="AI33" s="3727"/>
      <c r="AJ33" s="3727"/>
      <c r="AK33" s="3727"/>
      <c r="AL33" s="3730"/>
      <c r="AN33" s="3727"/>
      <c r="AO33" s="3727"/>
    </row>
    <row r="34" spans="1:41" hidden="1">
      <c r="A34" s="3277">
        <v>3.21</v>
      </c>
      <c r="B34" s="3277"/>
      <c r="D34" s="3721"/>
      <c r="E34" s="3273">
        <v>100</v>
      </c>
      <c r="F34" s="3276">
        <v>2</v>
      </c>
      <c r="G34" s="3276">
        <f>房源表及成交价!J12</f>
        <v>70.760000000000005</v>
      </c>
      <c r="H34" s="3281">
        <v>100</v>
      </c>
      <c r="I34" s="3277">
        <v>3.3</v>
      </c>
      <c r="J34" s="3277">
        <v>3.21</v>
      </c>
      <c r="K34" s="3382">
        <v>97</v>
      </c>
      <c r="L34" s="3277">
        <f>8.85+2.45</f>
        <v>11.3</v>
      </c>
      <c r="M34" s="3277">
        <f>2.4+9.8</f>
        <v>12.200000000000001</v>
      </c>
      <c r="N34" s="3277" t="s">
        <v>3770</v>
      </c>
      <c r="O34" s="3382">
        <f t="shared" si="1"/>
        <v>100</v>
      </c>
      <c r="P34" s="3277" t="s">
        <v>3775</v>
      </c>
      <c r="Q34" s="3382">
        <f t="shared" si="2"/>
        <v>100</v>
      </c>
      <c r="R34" s="3277" t="s">
        <v>3777</v>
      </c>
      <c r="S34" s="3382">
        <f t="shared" si="3"/>
        <v>100</v>
      </c>
      <c r="T34" s="3277" t="s">
        <v>3892</v>
      </c>
      <c r="U34" s="3382">
        <f t="shared" si="4"/>
        <v>110</v>
      </c>
      <c r="V34" s="3355" t="s">
        <v>3894</v>
      </c>
      <c r="W34" s="3356">
        <f t="shared" si="5"/>
        <v>100</v>
      </c>
      <c r="X34" s="3273">
        <f t="shared" si="6"/>
        <v>1.0669999999999999</v>
      </c>
      <c r="Y34" s="3728"/>
      <c r="Z34" s="3728"/>
      <c r="AA34" s="3728"/>
      <c r="AB34" s="3728"/>
      <c r="AC34" s="3276">
        <f t="shared" ref="AC34" si="80">ROUND(AC33*X34,0)</f>
        <v>47997</v>
      </c>
      <c r="AD34" s="3277">
        <f t="shared" si="7"/>
        <v>339.63</v>
      </c>
      <c r="AE34" s="3728"/>
      <c r="AF34" s="3728"/>
      <c r="AG34" s="3728"/>
      <c r="AH34" s="3728"/>
      <c r="AI34" s="3728"/>
      <c r="AJ34" s="3728"/>
      <c r="AK34" s="3728"/>
      <c r="AL34" s="3731"/>
      <c r="AN34" s="3728"/>
      <c r="AO34" s="3728"/>
    </row>
    <row r="35" spans="1:41">
      <c r="A35" s="3279">
        <v>3.38</v>
      </c>
      <c r="B35" s="3279" t="s">
        <v>3728</v>
      </c>
      <c r="D35" s="3732">
        <v>14</v>
      </c>
      <c r="E35" s="3274">
        <v>100</v>
      </c>
      <c r="F35" s="3278">
        <v>-1</v>
      </c>
      <c r="G35" s="3278">
        <f>房源表及成交价!N13</f>
        <v>255.11</v>
      </c>
      <c r="H35" s="3282">
        <v>100</v>
      </c>
      <c r="I35" s="3279">
        <v>3.6</v>
      </c>
      <c r="J35" s="3279">
        <v>3.38</v>
      </c>
      <c r="K35" s="3282">
        <f>IF(I35&lt;=3,97,IF(I35&lt;=3.3,98,IF(I35&lt;=3.6,99,IF(I35&lt;=3.9,100,101))))</f>
        <v>99</v>
      </c>
      <c r="L35" s="3279">
        <v>18.12</v>
      </c>
      <c r="M35" s="3279">
        <v>13.73</v>
      </c>
      <c r="N35" s="3279" t="s">
        <v>3908</v>
      </c>
      <c r="O35" s="3282">
        <f t="shared" si="1"/>
        <v>85</v>
      </c>
      <c r="P35" s="3279" t="s">
        <v>3774</v>
      </c>
      <c r="Q35" s="3282">
        <f t="shared" si="2"/>
        <v>80</v>
      </c>
      <c r="R35" s="3279" t="s">
        <v>3776</v>
      </c>
      <c r="S35" s="3282">
        <f t="shared" si="3"/>
        <v>90</v>
      </c>
      <c r="T35" s="3279" t="s">
        <v>3897</v>
      </c>
      <c r="U35" s="3282">
        <f t="shared" si="4"/>
        <v>70</v>
      </c>
      <c r="V35" s="3355" t="s">
        <v>3916</v>
      </c>
      <c r="W35" s="3356">
        <f t="shared" si="5"/>
        <v>100</v>
      </c>
      <c r="X35" s="3274">
        <f t="shared" si="6"/>
        <v>0.42409999999999998</v>
      </c>
      <c r="Y35" s="3726">
        <f t="shared" ref="Y35" si="81">ROUND((X35*G35+X36*G36+X37*G37)/Z35,4)</f>
        <v>0.6835</v>
      </c>
      <c r="Z35" s="3726">
        <f t="shared" si="30"/>
        <v>449.18</v>
      </c>
      <c r="AA35" s="3726">
        <f>房源表及成交价!R13</f>
        <v>1262.8794</v>
      </c>
      <c r="AB35" s="3726">
        <f t="shared" ref="AB35" si="82">ROUND(AA35/Z35*10000,0)</f>
        <v>28115</v>
      </c>
      <c r="AC35" s="3282">
        <f>ROUND(AC36*X35,0)</f>
        <v>17446</v>
      </c>
      <c r="AD35" s="3279">
        <f t="shared" si="7"/>
        <v>445.06</v>
      </c>
      <c r="AE35" s="3726">
        <v>1</v>
      </c>
      <c r="AF35" s="3726">
        <f ca="1">VLOOKUP(AE35,标定地价!$O$16:$R$19,4,0)</f>
        <v>6822</v>
      </c>
      <c r="AG35" s="3726">
        <f t="shared" ref="AG35" si="83">$AG$2</f>
        <v>1.01</v>
      </c>
      <c r="AH35" s="3726">
        <v>1.02</v>
      </c>
      <c r="AI35" s="3726">
        <f t="shared" ref="AI35" ca="1" si="84">ROUND(AF35*AG35*AH35,0)</f>
        <v>7028</v>
      </c>
      <c r="AJ35" s="3726">
        <f t="shared" ref="AJ35" ca="1" si="85">AC35-AI35</f>
        <v>10418</v>
      </c>
      <c r="AK35" s="3726">
        <f t="shared" ca="1" si="12"/>
        <v>2657735.98</v>
      </c>
      <c r="AL35" s="3729">
        <f t="shared" ref="AL35" ca="1" si="86">ROUND(AK35/AA35/10000,4)</f>
        <v>0.21049999999999999</v>
      </c>
      <c r="AN35" s="3726">
        <v>2657480.87</v>
      </c>
      <c r="AO35" s="3726">
        <f t="shared" ref="AO35" ca="1" si="87">AK35-AN35</f>
        <v>255.10999999986961</v>
      </c>
    </row>
    <row r="36" spans="1:41">
      <c r="A36" s="3279" t="s">
        <v>3753</v>
      </c>
      <c r="B36" s="3279"/>
      <c r="D36" s="3732"/>
      <c r="E36" s="3274">
        <v>100</v>
      </c>
      <c r="F36" s="3278">
        <v>1</v>
      </c>
      <c r="G36" s="3278">
        <f>房源表及成交价!I13</f>
        <v>123.31</v>
      </c>
      <c r="H36" s="3282">
        <v>100</v>
      </c>
      <c r="I36" s="3279">
        <v>3.9</v>
      </c>
      <c r="J36" s="3279">
        <v>3.77</v>
      </c>
      <c r="K36" s="3282">
        <f>IF(I36&lt;=3,97,IF(I36&lt;=3.3,98,IF(I36&lt;=3.6,99,IF(I36&lt;=3.9,100,101))))</f>
        <v>100</v>
      </c>
      <c r="L36" s="3279">
        <f>3.7+7.6</f>
        <v>11.3</v>
      </c>
      <c r="M36" s="3279">
        <v>13.7</v>
      </c>
      <c r="N36" s="3279" t="s">
        <v>3770</v>
      </c>
      <c r="O36" s="3282">
        <f t="shared" si="1"/>
        <v>100</v>
      </c>
      <c r="P36" s="3279" t="s">
        <v>3775</v>
      </c>
      <c r="Q36" s="3282">
        <f t="shared" si="2"/>
        <v>100</v>
      </c>
      <c r="R36" s="3279" t="s">
        <v>3777</v>
      </c>
      <c r="S36" s="3282">
        <f t="shared" si="3"/>
        <v>100</v>
      </c>
      <c r="T36" s="3279" t="s">
        <v>3894</v>
      </c>
      <c r="U36" s="3282">
        <f t="shared" si="4"/>
        <v>100</v>
      </c>
      <c r="V36" s="3355" t="s">
        <v>3892</v>
      </c>
      <c r="W36" s="3356">
        <f t="shared" si="5"/>
        <v>100</v>
      </c>
      <c r="X36" s="3274">
        <f t="shared" si="6"/>
        <v>1</v>
      </c>
      <c r="Y36" s="3727"/>
      <c r="Z36" s="3727"/>
      <c r="AA36" s="3727"/>
      <c r="AB36" s="3727"/>
      <c r="AC36" s="3279">
        <f>ROUND(AA35*10000/(X35*G35+X36*G36+X37*G37),0)</f>
        <v>41136</v>
      </c>
      <c r="AD36" s="3279">
        <f t="shared" si="7"/>
        <v>507.25</v>
      </c>
      <c r="AE36" s="3727"/>
      <c r="AF36" s="3727"/>
      <c r="AG36" s="3727"/>
      <c r="AH36" s="3727"/>
      <c r="AI36" s="3727"/>
      <c r="AJ36" s="3727"/>
      <c r="AK36" s="3727"/>
      <c r="AL36" s="3730"/>
      <c r="AM36">
        <f ca="1">ROUND(AK35/10000,1)</f>
        <v>265.8</v>
      </c>
      <c r="AN36" s="3727"/>
      <c r="AO36" s="3727"/>
    </row>
    <row r="37" spans="1:41">
      <c r="A37" s="3279">
        <v>3.21</v>
      </c>
      <c r="B37" s="3279"/>
      <c r="D37" s="3732"/>
      <c r="E37" s="3274">
        <v>100</v>
      </c>
      <c r="F37" s="3278">
        <v>2</v>
      </c>
      <c r="G37" s="3278">
        <f>房源表及成交价!J13</f>
        <v>70.760000000000005</v>
      </c>
      <c r="H37" s="3282">
        <v>100</v>
      </c>
      <c r="I37" s="3279">
        <v>3.3</v>
      </c>
      <c r="J37" s="3279">
        <v>3.21</v>
      </c>
      <c r="K37" s="3282">
        <v>97</v>
      </c>
      <c r="L37" s="3279">
        <f>3.7+7.48</f>
        <v>11.18</v>
      </c>
      <c r="M37" s="3279">
        <f>9.8+2.4</f>
        <v>12.200000000000001</v>
      </c>
      <c r="N37" s="3279" t="s">
        <v>3770</v>
      </c>
      <c r="O37" s="3282">
        <f t="shared" si="1"/>
        <v>100</v>
      </c>
      <c r="P37" s="3279" t="s">
        <v>3775</v>
      </c>
      <c r="Q37" s="3282">
        <f t="shared" si="2"/>
        <v>100</v>
      </c>
      <c r="R37" s="3279" t="s">
        <v>3777</v>
      </c>
      <c r="S37" s="3282">
        <f t="shared" si="3"/>
        <v>100</v>
      </c>
      <c r="T37" s="3279" t="s">
        <v>3892</v>
      </c>
      <c r="U37" s="3282">
        <f t="shared" si="4"/>
        <v>110</v>
      </c>
      <c r="V37" s="3355" t="s">
        <v>3894</v>
      </c>
      <c r="W37" s="3356">
        <f t="shared" si="5"/>
        <v>100</v>
      </c>
      <c r="X37" s="3274">
        <f t="shared" si="6"/>
        <v>1.0669999999999999</v>
      </c>
      <c r="Y37" s="3728"/>
      <c r="Z37" s="3728"/>
      <c r="AA37" s="3728"/>
      <c r="AB37" s="3728"/>
      <c r="AC37" s="3278">
        <f>ROUND(AC36*X37,0)</f>
        <v>43892</v>
      </c>
      <c r="AD37" s="3279">
        <f t="shared" si="7"/>
        <v>310.58</v>
      </c>
      <c r="AE37" s="3728"/>
      <c r="AF37" s="3728"/>
      <c r="AG37" s="3728"/>
      <c r="AH37" s="3728"/>
      <c r="AI37" s="3728"/>
      <c r="AJ37" s="3728"/>
      <c r="AK37" s="3728"/>
      <c r="AL37" s="3731"/>
      <c r="AN37" s="3728"/>
      <c r="AO37" s="3728"/>
    </row>
    <row r="38" spans="1:41" hidden="1">
      <c r="A38" s="3277">
        <v>3.33</v>
      </c>
      <c r="B38" s="3277" t="s">
        <v>3730</v>
      </c>
      <c r="D38" s="3721">
        <v>111</v>
      </c>
      <c r="E38" s="3273">
        <v>100</v>
      </c>
      <c r="F38" s="3276">
        <v>-1</v>
      </c>
      <c r="G38" s="3276">
        <f>房源表及成交价!N14</f>
        <v>266.26</v>
      </c>
      <c r="H38" s="3281">
        <v>100</v>
      </c>
      <c r="I38" s="3277">
        <v>3.6</v>
      </c>
      <c r="J38" s="3277">
        <v>3.33</v>
      </c>
      <c r="K38" s="3281">
        <f>IF(I38&lt;=3,97,IF(I38&lt;=3.3,98,IF(I38&lt;=3.6,99,IF(I38&lt;=3.9,100,101))))</f>
        <v>99</v>
      </c>
      <c r="L38" s="3277">
        <f>14.89+5.39</f>
        <v>20.28</v>
      </c>
      <c r="M38" s="3277">
        <v>13.72</v>
      </c>
      <c r="N38" s="3277" t="s">
        <v>3908</v>
      </c>
      <c r="O38" s="3281">
        <f t="shared" si="1"/>
        <v>85</v>
      </c>
      <c r="P38" s="3286" t="s">
        <v>3774</v>
      </c>
      <c r="Q38" s="3281">
        <f t="shared" si="2"/>
        <v>80</v>
      </c>
      <c r="R38" s="3286" t="s">
        <v>3776</v>
      </c>
      <c r="S38" s="3281">
        <f t="shared" si="3"/>
        <v>90</v>
      </c>
      <c r="T38" s="3286" t="s">
        <v>3897</v>
      </c>
      <c r="U38" s="3281">
        <f t="shared" si="4"/>
        <v>70</v>
      </c>
      <c r="V38" s="3357" t="s">
        <v>3916</v>
      </c>
      <c r="W38" s="3356">
        <f t="shared" si="5"/>
        <v>100</v>
      </c>
      <c r="X38" s="3273">
        <f t="shared" si="6"/>
        <v>0.42409999999999998</v>
      </c>
      <c r="Y38" s="3726">
        <f t="shared" ref="Y38" si="88">ROUND((X38*G38+X39*G39+X40*G40)/Z38,4)</f>
        <v>0.67720000000000002</v>
      </c>
      <c r="Z38" s="3726">
        <f t="shared" si="30"/>
        <v>460.33</v>
      </c>
      <c r="AA38" s="3726">
        <f>房源表及成交价!R14</f>
        <v>1263.2236</v>
      </c>
      <c r="AB38" s="3726">
        <f t="shared" ref="AB38" si="89">ROUND(AA38/Z38*10000,0)</f>
        <v>27442</v>
      </c>
      <c r="AC38" s="3281">
        <f>ROUND(AC39*X38,0)</f>
        <v>17186</v>
      </c>
      <c r="AD38" s="3286">
        <f t="shared" si="7"/>
        <v>457.59</v>
      </c>
      <c r="AE38" s="3726">
        <v>1</v>
      </c>
      <c r="AF38" s="3726">
        <f ca="1">VLOOKUP(AE38,标定地价!$O$16:$R$19,4,0)</f>
        <v>6822</v>
      </c>
      <c r="AG38" s="3726">
        <f t="shared" ref="AG38" si="90">$AG$2</f>
        <v>1.01</v>
      </c>
      <c r="AH38" s="3726">
        <v>1.02</v>
      </c>
      <c r="AI38" s="3726">
        <f t="shared" ref="AI38" ca="1" si="91">ROUND(AF38*AG38*AH38,0)</f>
        <v>7028</v>
      </c>
      <c r="AJ38" s="3726">
        <f t="shared" ref="AJ38" ca="1" si="92">AC38-AI38</f>
        <v>10158</v>
      </c>
      <c r="AK38" s="3726">
        <f t="shared" ca="1" si="12"/>
        <v>2704669.08</v>
      </c>
      <c r="AL38" s="3729">
        <f t="shared" ref="AL38" ca="1" si="93">ROUND(AK38/AA38/10000,4)</f>
        <v>0.21410000000000001</v>
      </c>
      <c r="AN38" s="3726">
        <v>2704402.82</v>
      </c>
      <c r="AO38" s="3726">
        <f t="shared" ref="AO38" ca="1" si="94">AK38-AN38</f>
        <v>266.26000000024214</v>
      </c>
    </row>
    <row r="39" spans="1:41" hidden="1">
      <c r="A39" s="3277" t="s">
        <v>3754</v>
      </c>
      <c r="B39" s="3277"/>
      <c r="D39" s="3721"/>
      <c r="E39" s="3273">
        <v>100</v>
      </c>
      <c r="F39" s="3276">
        <v>1</v>
      </c>
      <c r="G39" s="3276">
        <f>房源表及成交价!I14</f>
        <v>123.31</v>
      </c>
      <c r="H39" s="3281">
        <v>100</v>
      </c>
      <c r="I39" s="3277">
        <v>3.9</v>
      </c>
      <c r="J39" s="3277">
        <v>3.75</v>
      </c>
      <c r="K39" s="3281">
        <f>IF(I39&lt;=3,97,IF(I39&lt;=3.3,98,IF(I39&lt;=3.6,99,IF(I39&lt;=3.9,100,101))))</f>
        <v>100</v>
      </c>
      <c r="L39" s="3277">
        <f>3.7+8.7</f>
        <v>12.399999999999999</v>
      </c>
      <c r="M39" s="3277">
        <v>13.7</v>
      </c>
      <c r="N39" s="3277" t="s">
        <v>3770</v>
      </c>
      <c r="O39" s="3281">
        <f t="shared" si="1"/>
        <v>100</v>
      </c>
      <c r="P39" s="3277" t="s">
        <v>3775</v>
      </c>
      <c r="Q39" s="3281">
        <f t="shared" si="2"/>
        <v>100</v>
      </c>
      <c r="R39" s="3277" t="s">
        <v>3777</v>
      </c>
      <c r="S39" s="3281">
        <f t="shared" si="3"/>
        <v>100</v>
      </c>
      <c r="T39" s="3277" t="s">
        <v>3894</v>
      </c>
      <c r="U39" s="3281">
        <f t="shared" si="4"/>
        <v>100</v>
      </c>
      <c r="V39" s="3355" t="s">
        <v>3892</v>
      </c>
      <c r="W39" s="3356">
        <f t="shared" si="5"/>
        <v>100</v>
      </c>
      <c r="X39" s="3273">
        <f t="shared" si="6"/>
        <v>1</v>
      </c>
      <c r="Y39" s="3727"/>
      <c r="Z39" s="3727"/>
      <c r="AA39" s="3727"/>
      <c r="AB39" s="3727"/>
      <c r="AC39" s="3276">
        <f>ROUND(AA38*10000/(X38*G38+X39*G39+X40*G40),0)</f>
        <v>40523</v>
      </c>
      <c r="AD39" s="3277">
        <f t="shared" si="7"/>
        <v>499.69</v>
      </c>
      <c r="AE39" s="3727"/>
      <c r="AF39" s="3727"/>
      <c r="AG39" s="3727"/>
      <c r="AH39" s="3727"/>
      <c r="AI39" s="3727"/>
      <c r="AJ39" s="3727"/>
      <c r="AK39" s="3727"/>
      <c r="AL39" s="3730"/>
      <c r="AN39" s="3727"/>
      <c r="AO39" s="3727"/>
    </row>
    <row r="40" spans="1:41" hidden="1">
      <c r="A40" s="3277">
        <v>3.21</v>
      </c>
      <c r="B40" s="3277"/>
      <c r="D40" s="3721"/>
      <c r="E40" s="3273">
        <v>100</v>
      </c>
      <c r="F40" s="3276">
        <v>2</v>
      </c>
      <c r="G40" s="3276">
        <f>房源表及成交价!J14</f>
        <v>70.760000000000005</v>
      </c>
      <c r="H40" s="3281">
        <v>100</v>
      </c>
      <c r="I40" s="3277">
        <v>3.3</v>
      </c>
      <c r="J40" s="3277">
        <v>3.21</v>
      </c>
      <c r="K40" s="3382">
        <v>97</v>
      </c>
      <c r="L40" s="3277">
        <f>3.7+7.48</f>
        <v>11.18</v>
      </c>
      <c r="M40" s="3277">
        <f>9.8+2.4</f>
        <v>12.200000000000001</v>
      </c>
      <c r="N40" s="3277" t="s">
        <v>3770</v>
      </c>
      <c r="O40" s="3382">
        <f t="shared" si="1"/>
        <v>100</v>
      </c>
      <c r="P40" s="3277" t="s">
        <v>3775</v>
      </c>
      <c r="Q40" s="3382">
        <f t="shared" si="2"/>
        <v>100</v>
      </c>
      <c r="R40" s="3277" t="s">
        <v>3777</v>
      </c>
      <c r="S40" s="3382">
        <f t="shared" si="3"/>
        <v>100</v>
      </c>
      <c r="T40" s="3277" t="s">
        <v>3892</v>
      </c>
      <c r="U40" s="3382">
        <f t="shared" si="4"/>
        <v>110</v>
      </c>
      <c r="V40" s="3355" t="s">
        <v>3894</v>
      </c>
      <c r="W40" s="3356">
        <f t="shared" si="5"/>
        <v>100</v>
      </c>
      <c r="X40" s="3273">
        <f t="shared" si="6"/>
        <v>1.0669999999999999</v>
      </c>
      <c r="Y40" s="3728"/>
      <c r="Z40" s="3728"/>
      <c r="AA40" s="3728"/>
      <c r="AB40" s="3728"/>
      <c r="AC40" s="3276">
        <f>ROUND(AC39*X40,0)</f>
        <v>43238</v>
      </c>
      <c r="AD40" s="3277">
        <f t="shared" si="7"/>
        <v>305.95</v>
      </c>
      <c r="AE40" s="3728"/>
      <c r="AF40" s="3728"/>
      <c r="AG40" s="3728"/>
      <c r="AH40" s="3728"/>
      <c r="AI40" s="3728"/>
      <c r="AJ40" s="3728"/>
      <c r="AK40" s="3728"/>
      <c r="AL40" s="3731"/>
      <c r="AN40" s="3728"/>
      <c r="AO40" s="3728"/>
    </row>
    <row r="41" spans="1:41" hidden="1">
      <c r="A41" s="3279">
        <v>3.41</v>
      </c>
      <c r="B41" s="3279" t="s">
        <v>3729</v>
      </c>
      <c r="D41" s="3732">
        <v>100</v>
      </c>
      <c r="E41" s="3274">
        <v>100</v>
      </c>
      <c r="F41" s="3278">
        <v>-1</v>
      </c>
      <c r="G41" s="3278">
        <f>房源表及成交价!N15</f>
        <v>311.24</v>
      </c>
      <c r="H41" s="3282">
        <v>100</v>
      </c>
      <c r="I41" s="3279">
        <v>3.6</v>
      </c>
      <c r="J41" s="3279">
        <v>3.41</v>
      </c>
      <c r="K41" s="3282">
        <f>IF(I41&lt;=3,97,IF(I41&lt;=3.3,98,IF(I41&lt;=3.6,99,IF(I41&lt;=3.9,100,101))))</f>
        <v>99</v>
      </c>
      <c r="L41" s="3279">
        <v>18.75</v>
      </c>
      <c r="M41" s="3279">
        <f>13.65+2.35</f>
        <v>16</v>
      </c>
      <c r="N41" s="3279" t="s">
        <v>3769</v>
      </c>
      <c r="O41" s="3282">
        <f t="shared" si="1"/>
        <v>70</v>
      </c>
      <c r="P41" s="3279" t="s">
        <v>3774</v>
      </c>
      <c r="Q41" s="3282">
        <f t="shared" si="2"/>
        <v>80</v>
      </c>
      <c r="R41" s="3279" t="s">
        <v>3776</v>
      </c>
      <c r="S41" s="3282">
        <f t="shared" si="3"/>
        <v>90</v>
      </c>
      <c r="T41" s="3279" t="s">
        <v>3897</v>
      </c>
      <c r="U41" s="3282">
        <f t="shared" si="4"/>
        <v>70</v>
      </c>
      <c r="V41" s="3355" t="s">
        <v>3916</v>
      </c>
      <c r="W41" s="3356">
        <f t="shared" si="5"/>
        <v>100</v>
      </c>
      <c r="X41" s="3274">
        <f t="shared" si="6"/>
        <v>0.3493</v>
      </c>
      <c r="Y41" s="3726">
        <f t="shared" ref="Y41" si="95">ROUND((X41*G41+X42*G42+X43*G43)/Z41,4)</f>
        <v>0.64770000000000005</v>
      </c>
      <c r="Z41" s="3726">
        <f t="shared" si="30"/>
        <v>557.32000000000005</v>
      </c>
      <c r="AA41" s="3726">
        <f>房源表及成交价!R15</f>
        <v>1812.1902</v>
      </c>
      <c r="AB41" s="3726">
        <f t="shared" ref="AB41" si="96">ROUND(AA41/Z41*10000,0)</f>
        <v>32516</v>
      </c>
      <c r="AC41" s="3282">
        <f>ROUND(AC42*X41,0)</f>
        <v>17535</v>
      </c>
      <c r="AD41" s="3279">
        <f t="shared" si="7"/>
        <v>545.76</v>
      </c>
      <c r="AE41" s="3726">
        <v>1</v>
      </c>
      <c r="AF41" s="3726">
        <f ca="1">VLOOKUP(AE41,标定地价!$O$16:$R$19,4,0)</f>
        <v>6822</v>
      </c>
      <c r="AG41" s="3726">
        <f t="shared" ref="AG41" si="97">$AG$2</f>
        <v>1.01</v>
      </c>
      <c r="AH41" s="3726">
        <v>1.02</v>
      </c>
      <c r="AI41" s="3726">
        <f t="shared" ref="AI41" ca="1" si="98">ROUND(AF41*AG41*AH41,0)</f>
        <v>7028</v>
      </c>
      <c r="AJ41" s="3726">
        <f t="shared" ref="AJ41" ca="1" si="99">AC41-AI41</f>
        <v>10507</v>
      </c>
      <c r="AK41" s="3726">
        <f t="shared" ca="1" si="12"/>
        <v>3270198.68</v>
      </c>
      <c r="AL41" s="3729">
        <f t="shared" ref="AL41" ca="1" si="100">ROUND(AK41/AA41/10000,4)</f>
        <v>0.18049999999999999</v>
      </c>
      <c r="AN41" s="3726">
        <v>3269887.44</v>
      </c>
      <c r="AO41" s="3726">
        <f t="shared" ref="AO41" ca="1" si="101">AK41-AN41</f>
        <v>311.24000000022352</v>
      </c>
    </row>
    <row r="42" spans="1:41" hidden="1">
      <c r="A42" s="3279" t="s">
        <v>3749</v>
      </c>
      <c r="B42" s="3279"/>
      <c r="D42" s="3732"/>
      <c r="E42" s="3274">
        <v>100</v>
      </c>
      <c r="F42" s="3278">
        <v>1</v>
      </c>
      <c r="G42" s="3278">
        <f>房源表及成交价!I15</f>
        <v>153.61000000000001</v>
      </c>
      <c r="H42" s="3282">
        <v>100</v>
      </c>
      <c r="I42" s="3279">
        <v>3.9</v>
      </c>
      <c r="J42" s="3279">
        <v>3.77</v>
      </c>
      <c r="K42" s="3282">
        <f>IF(I42&lt;=3,97,IF(I42&lt;=3.3,98,IF(I42&lt;=3.6,99,IF(I42&lt;=3.9,100,101))))</f>
        <v>100</v>
      </c>
      <c r="L42" s="3279">
        <f>3.9+3+5.1</f>
        <v>12</v>
      </c>
      <c r="M42" s="3279">
        <v>14.5</v>
      </c>
      <c r="N42" s="3279" t="s">
        <v>3770</v>
      </c>
      <c r="O42" s="3282">
        <f t="shared" si="1"/>
        <v>100</v>
      </c>
      <c r="P42" s="3279" t="s">
        <v>3775</v>
      </c>
      <c r="Q42" s="3282">
        <f t="shared" si="2"/>
        <v>100</v>
      </c>
      <c r="R42" s="3279" t="s">
        <v>3777</v>
      </c>
      <c r="S42" s="3282">
        <f t="shared" si="3"/>
        <v>100</v>
      </c>
      <c r="T42" s="3279" t="s">
        <v>3894</v>
      </c>
      <c r="U42" s="3282">
        <f t="shared" si="4"/>
        <v>100</v>
      </c>
      <c r="V42" s="3355" t="s">
        <v>3892</v>
      </c>
      <c r="W42" s="3356">
        <f t="shared" si="5"/>
        <v>100</v>
      </c>
      <c r="X42" s="3274">
        <f t="shared" si="6"/>
        <v>1</v>
      </c>
      <c r="Y42" s="3727"/>
      <c r="Z42" s="3727"/>
      <c r="AA42" s="3727"/>
      <c r="AB42" s="3727"/>
      <c r="AC42" s="3279">
        <f>ROUND(AA41*10000/(X41*G41+X42*G42+X43*G43),0)</f>
        <v>50200</v>
      </c>
      <c r="AD42" s="3279">
        <f t="shared" si="7"/>
        <v>771.12</v>
      </c>
      <c r="AE42" s="3727"/>
      <c r="AF42" s="3727"/>
      <c r="AG42" s="3727"/>
      <c r="AH42" s="3727"/>
      <c r="AI42" s="3727"/>
      <c r="AJ42" s="3727"/>
      <c r="AK42" s="3727"/>
      <c r="AL42" s="3730"/>
      <c r="AN42" s="3727"/>
      <c r="AO42" s="3727"/>
    </row>
    <row r="43" spans="1:41" hidden="1">
      <c r="A43" s="3279">
        <v>3.23</v>
      </c>
      <c r="B43" s="3279"/>
      <c r="D43" s="3732"/>
      <c r="E43" s="3274">
        <v>100</v>
      </c>
      <c r="F43" s="3278">
        <v>2</v>
      </c>
      <c r="G43" s="3278">
        <f>房源表及成交价!J15</f>
        <v>92.47</v>
      </c>
      <c r="H43" s="3282">
        <v>100</v>
      </c>
      <c r="I43" s="3279">
        <v>3.3</v>
      </c>
      <c r="J43" s="3279">
        <v>3.23</v>
      </c>
      <c r="K43" s="3382">
        <v>97</v>
      </c>
      <c r="L43" s="3279">
        <f>3.9+8.1</f>
        <v>12</v>
      </c>
      <c r="M43" s="3279">
        <v>14.5</v>
      </c>
      <c r="N43" s="3279" t="s">
        <v>3770</v>
      </c>
      <c r="O43" s="3382">
        <f t="shared" si="1"/>
        <v>100</v>
      </c>
      <c r="P43" s="3279" t="s">
        <v>3775</v>
      </c>
      <c r="Q43" s="3382">
        <f t="shared" si="2"/>
        <v>100</v>
      </c>
      <c r="R43" s="3279" t="s">
        <v>3777</v>
      </c>
      <c r="S43" s="3382">
        <f t="shared" si="3"/>
        <v>100</v>
      </c>
      <c r="T43" s="3279" t="s">
        <v>3892</v>
      </c>
      <c r="U43" s="3382">
        <f t="shared" si="4"/>
        <v>110</v>
      </c>
      <c r="V43" s="3355" t="s">
        <v>3894</v>
      </c>
      <c r="W43" s="3356">
        <f t="shared" si="5"/>
        <v>100</v>
      </c>
      <c r="X43" s="3274">
        <f t="shared" si="6"/>
        <v>1.0669999999999999</v>
      </c>
      <c r="Y43" s="3728"/>
      <c r="Z43" s="3728"/>
      <c r="AA43" s="3728"/>
      <c r="AB43" s="3728"/>
      <c r="AC43" s="3278">
        <f>ROUND(AC42*X43,0)</f>
        <v>53563</v>
      </c>
      <c r="AD43" s="3279">
        <f t="shared" si="7"/>
        <v>495.3</v>
      </c>
      <c r="AE43" s="3728"/>
      <c r="AF43" s="3728"/>
      <c r="AG43" s="3728"/>
      <c r="AH43" s="3728"/>
      <c r="AI43" s="3728"/>
      <c r="AJ43" s="3728"/>
      <c r="AK43" s="3728"/>
      <c r="AL43" s="3731"/>
      <c r="AN43" s="3728"/>
      <c r="AO43" s="3728"/>
    </row>
    <row r="44" spans="1:41" hidden="1">
      <c r="A44" s="3277">
        <v>3.43</v>
      </c>
      <c r="B44" s="3277" t="s">
        <v>3729</v>
      </c>
      <c r="D44" s="3721">
        <v>48</v>
      </c>
      <c r="E44" s="3273">
        <v>100</v>
      </c>
      <c r="F44" s="3276">
        <v>-1</v>
      </c>
      <c r="G44" s="3276">
        <f>房源表及成交价!N16</f>
        <v>353.1</v>
      </c>
      <c r="H44" s="3281">
        <v>100</v>
      </c>
      <c r="I44" s="3277">
        <v>3.9</v>
      </c>
      <c r="J44" s="3277">
        <v>3.43</v>
      </c>
      <c r="K44" s="3281">
        <f>IF(I44&lt;=3,96,IF(I44&lt;=3.3,97,IF(I44&lt;=3.6,98,IF(I44&lt;=3.9,99,100))))</f>
        <v>99</v>
      </c>
      <c r="L44" s="3277">
        <f>19.7+7.04</f>
        <v>26.74</v>
      </c>
      <c r="M44" s="3277">
        <f>5.5+8.67+0.67</f>
        <v>14.84</v>
      </c>
      <c r="N44" s="3277" t="s">
        <v>3769</v>
      </c>
      <c r="O44" s="3281">
        <f t="shared" si="1"/>
        <v>70</v>
      </c>
      <c r="P44" s="3286" t="s">
        <v>3774</v>
      </c>
      <c r="Q44" s="3281">
        <f t="shared" si="2"/>
        <v>80</v>
      </c>
      <c r="R44" s="3286" t="s">
        <v>3776</v>
      </c>
      <c r="S44" s="3281">
        <f t="shared" si="3"/>
        <v>90</v>
      </c>
      <c r="T44" s="3286" t="s">
        <v>3897</v>
      </c>
      <c r="U44" s="3281">
        <f t="shared" si="4"/>
        <v>70</v>
      </c>
      <c r="V44" s="3357" t="s">
        <v>3916</v>
      </c>
      <c r="W44" s="3356">
        <f t="shared" si="5"/>
        <v>100</v>
      </c>
      <c r="X44" s="3273">
        <f t="shared" si="6"/>
        <v>0.3493</v>
      </c>
      <c r="Y44" s="3726">
        <f t="shared" ref="Y44" si="102">ROUND((X44*G44+X45*G45+X46*G46)/Z44,4)</f>
        <v>0.68100000000000005</v>
      </c>
      <c r="Z44" s="3726">
        <f t="shared" si="30"/>
        <v>687.33999999999992</v>
      </c>
      <c r="AA44" s="3726">
        <f>房源表及成交价!R16</f>
        <v>2784.9094</v>
      </c>
      <c r="AB44" s="3726">
        <f t="shared" ref="AB44" si="103">ROUND(AA44/Z44*10000,0)</f>
        <v>40517</v>
      </c>
      <c r="AC44" s="3281">
        <f>ROUND(AC45*X44,0)</f>
        <v>20782</v>
      </c>
      <c r="AD44" s="3286">
        <f t="shared" si="7"/>
        <v>733.81</v>
      </c>
      <c r="AE44" s="3726">
        <v>1</v>
      </c>
      <c r="AF44" s="3726">
        <f ca="1">VLOOKUP(AE44,标定地价!$O$16:$R$19,4,0)</f>
        <v>6822</v>
      </c>
      <c r="AG44" s="3726">
        <f t="shared" ref="AG44" si="104">$AG$2</f>
        <v>1.01</v>
      </c>
      <c r="AH44" s="3726">
        <v>1.02</v>
      </c>
      <c r="AI44" s="3726">
        <f t="shared" ref="AI44" ca="1" si="105">ROUND(AF44*AG44*AH44,0)</f>
        <v>7028</v>
      </c>
      <c r="AJ44" s="3726">
        <f t="shared" ref="AJ44" ca="1" si="106">AC44-AI44</f>
        <v>13754</v>
      </c>
      <c r="AK44" s="3726">
        <f t="shared" ca="1" si="12"/>
        <v>4856537.4000000004</v>
      </c>
      <c r="AL44" s="3729">
        <f t="shared" ref="AL44" ca="1" si="107">ROUND(AK44/AA44/10000,4)</f>
        <v>0.1744</v>
      </c>
      <c r="AN44" s="3726">
        <v>4856184.3000000007</v>
      </c>
      <c r="AO44" s="3726">
        <f t="shared" ref="AO44" ca="1" si="108">AK44-AN44</f>
        <v>353.09999999962747</v>
      </c>
    </row>
    <row r="45" spans="1:41" hidden="1">
      <c r="A45" s="3277" t="s">
        <v>3755</v>
      </c>
      <c r="B45" s="3277"/>
      <c r="D45" s="3721"/>
      <c r="E45" s="3273">
        <v>100</v>
      </c>
      <c r="F45" s="3276">
        <v>1</v>
      </c>
      <c r="G45" s="3276">
        <f>房源表及成交价!I16</f>
        <v>199.67</v>
      </c>
      <c r="H45" s="3281">
        <v>100</v>
      </c>
      <c r="I45" s="3277">
        <v>4.2</v>
      </c>
      <c r="J45" s="3277">
        <v>4.04</v>
      </c>
      <c r="K45" s="3281">
        <f>IF(I45&lt;=3,96,IF(I45&lt;=3.3,97,IF(I45&lt;=3.6,98,IF(I45&lt;=3.9,99,100))))</f>
        <v>100</v>
      </c>
      <c r="L45" s="3277">
        <f>4.3+4.2+7.9</f>
        <v>16.399999999999999</v>
      </c>
      <c r="M45" s="3277">
        <v>13.2</v>
      </c>
      <c r="N45" s="3277" t="s">
        <v>3770</v>
      </c>
      <c r="O45" s="3281">
        <f t="shared" si="1"/>
        <v>100</v>
      </c>
      <c r="P45" s="3277" t="s">
        <v>3775</v>
      </c>
      <c r="Q45" s="3281">
        <f t="shared" si="2"/>
        <v>100</v>
      </c>
      <c r="R45" s="3277" t="s">
        <v>3777</v>
      </c>
      <c r="S45" s="3281">
        <f t="shared" si="3"/>
        <v>100</v>
      </c>
      <c r="T45" s="3277" t="s">
        <v>3894</v>
      </c>
      <c r="U45" s="3281">
        <f t="shared" si="4"/>
        <v>100</v>
      </c>
      <c r="V45" s="3355" t="s">
        <v>3892</v>
      </c>
      <c r="W45" s="3356">
        <f t="shared" si="5"/>
        <v>100</v>
      </c>
      <c r="X45" s="3273">
        <f t="shared" si="6"/>
        <v>1</v>
      </c>
      <c r="Y45" s="3727"/>
      <c r="Z45" s="3727"/>
      <c r="AA45" s="3727"/>
      <c r="AB45" s="3727"/>
      <c r="AC45" s="3276">
        <f>ROUND(AA44*10000/(X44*G44+X45*G45+X46*G46),0)</f>
        <v>59497</v>
      </c>
      <c r="AD45" s="3277">
        <f t="shared" si="7"/>
        <v>1187.98</v>
      </c>
      <c r="AE45" s="3727"/>
      <c r="AF45" s="3727"/>
      <c r="AG45" s="3727"/>
      <c r="AH45" s="3727"/>
      <c r="AI45" s="3727"/>
      <c r="AJ45" s="3727"/>
      <c r="AK45" s="3727"/>
      <c r="AL45" s="3730"/>
      <c r="AN45" s="3727"/>
      <c r="AO45" s="3727"/>
    </row>
    <row r="46" spans="1:41" hidden="1">
      <c r="A46" s="3277">
        <v>3.12</v>
      </c>
      <c r="B46" s="3277"/>
      <c r="D46" s="3721"/>
      <c r="E46" s="3273">
        <v>100</v>
      </c>
      <c r="F46" s="3276">
        <v>2</v>
      </c>
      <c r="G46" s="3276">
        <f>房源表及成交价!J16</f>
        <v>134.57</v>
      </c>
      <c r="H46" s="3281">
        <v>100</v>
      </c>
      <c r="I46" s="3277">
        <v>3.4</v>
      </c>
      <c r="J46" s="3277">
        <v>3.12</v>
      </c>
      <c r="K46" s="3382">
        <v>98</v>
      </c>
      <c r="L46" s="3277">
        <f>4.3+4.2+7.9</f>
        <v>16.399999999999999</v>
      </c>
      <c r="M46" s="3277">
        <v>13.2</v>
      </c>
      <c r="N46" s="3277" t="s">
        <v>3770</v>
      </c>
      <c r="O46" s="3382">
        <f t="shared" si="1"/>
        <v>100</v>
      </c>
      <c r="P46" s="3277" t="s">
        <v>3775</v>
      </c>
      <c r="Q46" s="3382">
        <f t="shared" si="2"/>
        <v>100</v>
      </c>
      <c r="R46" s="3277" t="s">
        <v>3777</v>
      </c>
      <c r="S46" s="3382">
        <f t="shared" si="3"/>
        <v>100</v>
      </c>
      <c r="T46" s="3277" t="s">
        <v>3892</v>
      </c>
      <c r="U46" s="3382">
        <f t="shared" si="4"/>
        <v>110</v>
      </c>
      <c r="V46" s="3355" t="s">
        <v>3894</v>
      </c>
      <c r="W46" s="3356">
        <f t="shared" si="5"/>
        <v>100</v>
      </c>
      <c r="X46" s="3273">
        <f t="shared" si="6"/>
        <v>1.0780000000000001</v>
      </c>
      <c r="Y46" s="3728"/>
      <c r="Z46" s="3728"/>
      <c r="AA46" s="3728"/>
      <c r="AB46" s="3728"/>
      <c r="AC46" s="3276">
        <f>ROUND(AC45*X46,0)</f>
        <v>64138</v>
      </c>
      <c r="AD46" s="3277">
        <f t="shared" si="7"/>
        <v>863.11</v>
      </c>
      <c r="AE46" s="3728"/>
      <c r="AF46" s="3728"/>
      <c r="AG46" s="3728"/>
      <c r="AH46" s="3728"/>
      <c r="AI46" s="3728"/>
      <c r="AJ46" s="3728"/>
      <c r="AK46" s="3728"/>
      <c r="AL46" s="3731"/>
      <c r="AN46" s="3728"/>
      <c r="AO46" s="3728"/>
    </row>
    <row r="47" spans="1:41" hidden="1">
      <c r="A47" s="3279">
        <v>3.45</v>
      </c>
      <c r="B47" s="3279" t="s">
        <v>3729</v>
      </c>
      <c r="D47" s="3732">
        <v>31</v>
      </c>
      <c r="E47" s="3274">
        <v>100</v>
      </c>
      <c r="F47" s="3278">
        <v>-1</v>
      </c>
      <c r="G47" s="3278">
        <f>房源表及成交价!N17</f>
        <v>451.21</v>
      </c>
      <c r="H47" s="3282">
        <v>100</v>
      </c>
      <c r="I47" s="3279">
        <v>3.9</v>
      </c>
      <c r="J47" s="3279">
        <v>3.45</v>
      </c>
      <c r="K47" s="3282">
        <f>IF(I47&lt;=3,96,IF(I47&lt;=3.3,97,IF(I47&lt;=3.6,98,IF(I47&lt;=3.9,99,100))))</f>
        <v>99</v>
      </c>
      <c r="L47" s="3279">
        <f>13.53+15.12</f>
        <v>28.65</v>
      </c>
      <c r="M47" s="3279">
        <f>14.74</f>
        <v>14.74</v>
      </c>
      <c r="N47" s="3279" t="s">
        <v>3903</v>
      </c>
      <c r="O47" s="3282">
        <f t="shared" si="1"/>
        <v>70</v>
      </c>
      <c r="P47" s="3279" t="s">
        <v>3774</v>
      </c>
      <c r="Q47" s="3282">
        <f t="shared" si="2"/>
        <v>80</v>
      </c>
      <c r="R47" s="3279" t="s">
        <v>3776</v>
      </c>
      <c r="S47" s="3282">
        <f t="shared" si="3"/>
        <v>90</v>
      </c>
      <c r="T47" s="3279" t="s">
        <v>3900</v>
      </c>
      <c r="U47" s="3282">
        <f t="shared" si="4"/>
        <v>70</v>
      </c>
      <c r="V47" s="3355" t="s">
        <v>3916</v>
      </c>
      <c r="W47" s="3356">
        <f t="shared" si="5"/>
        <v>100</v>
      </c>
      <c r="X47" s="3274">
        <f t="shared" si="6"/>
        <v>0.3493</v>
      </c>
      <c r="Y47" s="3726">
        <f t="shared" ref="Y47" si="109">ROUND((X47*G47+X48*G48+X49*G49)/Z47,4)</f>
        <v>0.63959999999999995</v>
      </c>
      <c r="Z47" s="3726">
        <f t="shared" si="30"/>
        <v>785.45</v>
      </c>
      <c r="AA47" s="3726">
        <f>房源表及成交价!R17</f>
        <v>2624.7078000000001</v>
      </c>
      <c r="AB47" s="3726">
        <f t="shared" ref="AB47" si="110">ROUND(AA47/Z47*10000,0)</f>
        <v>33417</v>
      </c>
      <c r="AC47" s="3282">
        <f>ROUND(AC48*X47,0)</f>
        <v>18251</v>
      </c>
      <c r="AD47" s="3279">
        <f t="shared" si="7"/>
        <v>823.5</v>
      </c>
      <c r="AE47" s="3726">
        <v>1</v>
      </c>
      <c r="AF47" s="3726">
        <f ca="1">VLOOKUP(AE47,标定地价!$O$16:$R$19,4,0)</f>
        <v>6822</v>
      </c>
      <c r="AG47" s="3726">
        <f t="shared" ref="AG47" si="111">$AG$2</f>
        <v>1.01</v>
      </c>
      <c r="AH47" s="3726">
        <v>1.02</v>
      </c>
      <c r="AI47" s="3726">
        <f t="shared" ref="AI47" ca="1" si="112">ROUND(AF47*AG47*AH47,0)</f>
        <v>7028</v>
      </c>
      <c r="AJ47" s="3726">
        <f t="shared" ref="AJ47" ca="1" si="113">AC47-AI47</f>
        <v>11223</v>
      </c>
      <c r="AK47" s="3726">
        <f t="shared" ca="1" si="12"/>
        <v>5063929.83</v>
      </c>
      <c r="AL47" s="3729">
        <f t="shared" ref="AL47" ca="1" si="114">ROUND(AK47/AA47/10000,4)</f>
        <v>0.19289999999999999</v>
      </c>
      <c r="AN47" s="3726">
        <v>5063478.62</v>
      </c>
      <c r="AO47" s="3726">
        <f t="shared" ref="AO47" ca="1" si="115">AK47-AN47</f>
        <v>451.20999999996275</v>
      </c>
    </row>
    <row r="48" spans="1:41" hidden="1">
      <c r="A48" s="3279" t="s">
        <v>3756</v>
      </c>
      <c r="B48" s="3279"/>
      <c r="D48" s="3732"/>
      <c r="E48" s="3274">
        <v>100</v>
      </c>
      <c r="F48" s="3278">
        <v>1</v>
      </c>
      <c r="G48" s="3278">
        <f>房源表及成交价!I17</f>
        <v>199.67</v>
      </c>
      <c r="H48" s="3282">
        <v>100</v>
      </c>
      <c r="I48" s="3279">
        <v>4.2</v>
      </c>
      <c r="J48" s="3279">
        <v>4.09</v>
      </c>
      <c r="K48" s="3282">
        <f>IF(I48&lt;=3,96,IF(I48&lt;=3.3,97,IF(I48&lt;=3.6,98,IF(I48&lt;=3.9,99,100))))</f>
        <v>100</v>
      </c>
      <c r="L48" s="3279">
        <f>7.9+4.2+4.3</f>
        <v>16.400000000000002</v>
      </c>
      <c r="M48" s="3279">
        <v>13.2</v>
      </c>
      <c r="N48" s="3279" t="s">
        <v>3770</v>
      </c>
      <c r="O48" s="3282">
        <f t="shared" si="1"/>
        <v>100</v>
      </c>
      <c r="P48" s="3279" t="s">
        <v>3775</v>
      </c>
      <c r="Q48" s="3282">
        <f t="shared" si="2"/>
        <v>100</v>
      </c>
      <c r="R48" s="3279" t="s">
        <v>3777</v>
      </c>
      <c r="S48" s="3282">
        <f t="shared" si="3"/>
        <v>100</v>
      </c>
      <c r="T48" s="3279" t="s">
        <v>3901</v>
      </c>
      <c r="U48" s="3282">
        <f t="shared" si="4"/>
        <v>100</v>
      </c>
      <c r="V48" s="3355" t="s">
        <v>3892</v>
      </c>
      <c r="W48" s="3356">
        <f t="shared" si="5"/>
        <v>100</v>
      </c>
      <c r="X48" s="3274">
        <f t="shared" si="6"/>
        <v>1</v>
      </c>
      <c r="Y48" s="3727"/>
      <c r="Z48" s="3727"/>
      <c r="AA48" s="3727"/>
      <c r="AB48" s="3727"/>
      <c r="AC48" s="3279">
        <f>ROUND(AA47*10000/(X47*G47+X48*G48+X49*G49),0)</f>
        <v>52249</v>
      </c>
      <c r="AD48" s="3279">
        <f t="shared" si="7"/>
        <v>1043.26</v>
      </c>
      <c r="AE48" s="3727"/>
      <c r="AF48" s="3727"/>
      <c r="AG48" s="3727"/>
      <c r="AH48" s="3727"/>
      <c r="AI48" s="3727"/>
      <c r="AJ48" s="3727"/>
      <c r="AK48" s="3727"/>
      <c r="AL48" s="3730"/>
      <c r="AN48" s="3727"/>
      <c r="AO48" s="3727"/>
    </row>
    <row r="49" spans="1:41" hidden="1">
      <c r="A49" s="3279">
        <v>3.3</v>
      </c>
      <c r="D49" s="3732"/>
      <c r="E49" s="3274">
        <v>100</v>
      </c>
      <c r="F49" s="3278">
        <v>2</v>
      </c>
      <c r="G49" s="3278">
        <f>房源表及成交价!J17</f>
        <v>134.57</v>
      </c>
      <c r="H49" s="3282">
        <v>100</v>
      </c>
      <c r="I49" s="3279">
        <v>3.4</v>
      </c>
      <c r="J49" s="3279">
        <v>3.3</v>
      </c>
      <c r="K49" s="3382">
        <v>98</v>
      </c>
      <c r="L49" s="3279">
        <f>7.9+4.2+4.3</f>
        <v>16.400000000000002</v>
      </c>
      <c r="M49" s="3279">
        <v>13.2</v>
      </c>
      <c r="N49" s="3279" t="s">
        <v>3770</v>
      </c>
      <c r="O49" s="3382">
        <f t="shared" si="1"/>
        <v>100</v>
      </c>
      <c r="P49" s="3279" t="s">
        <v>3775</v>
      </c>
      <c r="Q49" s="3382">
        <f t="shared" si="2"/>
        <v>100</v>
      </c>
      <c r="R49" s="3279" t="s">
        <v>3777</v>
      </c>
      <c r="S49" s="3382">
        <f t="shared" si="3"/>
        <v>100</v>
      </c>
      <c r="T49" s="3279" t="s">
        <v>3902</v>
      </c>
      <c r="U49" s="3382">
        <f t="shared" si="4"/>
        <v>110</v>
      </c>
      <c r="V49" s="3355" t="s">
        <v>3894</v>
      </c>
      <c r="W49" s="3356">
        <f t="shared" si="5"/>
        <v>100</v>
      </c>
      <c r="X49" s="3274">
        <f t="shared" si="6"/>
        <v>1.0780000000000001</v>
      </c>
      <c r="Y49" s="3728"/>
      <c r="Z49" s="3728"/>
      <c r="AA49" s="3728"/>
      <c r="AB49" s="3728"/>
      <c r="AC49" s="3278">
        <f>ROUND(AC48*X49,0)</f>
        <v>56324</v>
      </c>
      <c r="AD49" s="3279">
        <f t="shared" si="7"/>
        <v>757.95</v>
      </c>
      <c r="AE49" s="3728"/>
      <c r="AF49" s="3728"/>
      <c r="AG49" s="3728"/>
      <c r="AH49" s="3728"/>
      <c r="AI49" s="3728"/>
      <c r="AJ49" s="3728"/>
      <c r="AK49" s="3728"/>
      <c r="AL49" s="3731"/>
      <c r="AN49" s="3728"/>
      <c r="AO49" s="3728"/>
    </row>
    <row r="50" spans="1:41">
      <c r="A50" s="3286"/>
      <c r="D50" s="3340"/>
      <c r="E50" s="3275"/>
      <c r="F50" s="3341"/>
      <c r="G50" s="3341"/>
      <c r="H50" s="3342"/>
      <c r="I50" s="3286"/>
      <c r="J50" s="3286"/>
      <c r="K50" s="3342"/>
      <c r="L50" s="3286"/>
      <c r="M50" s="3286"/>
      <c r="N50" s="3286"/>
      <c r="O50" s="3342"/>
      <c r="Q50" s="3342"/>
      <c r="S50" s="3342"/>
      <c r="U50" s="3342"/>
      <c r="W50" s="3357"/>
      <c r="X50" s="3286"/>
      <c r="Y50" s="3286"/>
      <c r="Z50" s="3286"/>
      <c r="AA50" s="3284"/>
      <c r="AB50" s="3284"/>
      <c r="AC50" s="3341"/>
      <c r="AE50" s="3284"/>
      <c r="AF50" s="3284"/>
      <c r="AG50" s="3284"/>
      <c r="AH50" s="3284"/>
      <c r="AI50" s="3284"/>
      <c r="AJ50" s="3284"/>
      <c r="AK50" s="3284"/>
      <c r="AL50" s="3344"/>
      <c r="AN50" s="3284"/>
      <c r="AO50" s="3284"/>
    </row>
    <row r="51" spans="1:41">
      <c r="A51" s="3286"/>
      <c r="D51" s="3340"/>
      <c r="E51" s="3275"/>
      <c r="F51" s="3341"/>
      <c r="G51" s="3341"/>
      <c r="H51" s="3342"/>
      <c r="I51" s="3286"/>
      <c r="J51" s="3286"/>
      <c r="K51" s="3342"/>
      <c r="L51" s="3286"/>
      <c r="M51" s="3286"/>
      <c r="N51" s="3286"/>
      <c r="O51" s="3342"/>
      <c r="Q51" s="3342"/>
      <c r="S51" s="3342"/>
      <c r="U51" s="3342"/>
      <c r="W51" s="3357"/>
      <c r="X51" s="3286"/>
      <c r="Y51" s="3286"/>
      <c r="Z51" s="3286"/>
      <c r="AA51" s="3284"/>
      <c r="AB51" s="3284"/>
      <c r="AC51" s="3341"/>
      <c r="AE51" s="3284"/>
      <c r="AF51" s="3284"/>
      <c r="AG51" s="3284"/>
      <c r="AH51" s="3284"/>
      <c r="AI51" s="3284"/>
      <c r="AJ51" s="3284"/>
      <c r="AK51" s="3284"/>
      <c r="AL51" s="3344"/>
      <c r="AN51" s="3284"/>
      <c r="AO51" s="3284"/>
    </row>
    <row r="52" spans="1:41">
      <c r="A52" s="3286"/>
      <c r="D52" s="3340"/>
      <c r="E52" s="3275"/>
      <c r="F52" s="3341"/>
      <c r="G52" s="3341"/>
      <c r="H52" s="3342"/>
      <c r="I52" s="3286"/>
      <c r="J52" s="3286"/>
      <c r="K52" s="3342"/>
      <c r="L52" s="3286"/>
      <c r="M52" s="3286"/>
      <c r="N52" s="3286"/>
      <c r="O52" s="3342"/>
      <c r="Q52" s="3342"/>
      <c r="S52" s="3342"/>
      <c r="U52" s="3342"/>
      <c r="W52" s="3357"/>
      <c r="X52" s="3286"/>
      <c r="Y52" s="3286"/>
      <c r="Z52" s="3286"/>
      <c r="AA52" s="3284"/>
      <c r="AB52" s="3284"/>
      <c r="AC52" s="3341"/>
      <c r="AE52" s="3284"/>
      <c r="AF52" s="3284"/>
      <c r="AG52" s="3284"/>
      <c r="AH52" s="3284"/>
      <c r="AI52" s="3284"/>
      <c r="AJ52" s="3284"/>
      <c r="AK52" s="3284"/>
      <c r="AL52" s="3344"/>
      <c r="AN52" s="3284"/>
      <c r="AO52" s="3284"/>
    </row>
    <row r="53" spans="1:41">
      <c r="A53" s="3286"/>
      <c r="D53" s="3340"/>
      <c r="E53" s="3275"/>
      <c r="F53" s="3341"/>
      <c r="G53" s="3341"/>
      <c r="H53" s="3342"/>
      <c r="I53" s="3286"/>
      <c r="J53" s="3286"/>
      <c r="K53" s="3342"/>
      <c r="L53" s="3286"/>
      <c r="M53" s="3286"/>
      <c r="N53" s="3286"/>
      <c r="O53" s="3342"/>
      <c r="Q53" s="3342"/>
      <c r="S53" s="3342"/>
      <c r="U53" s="3342"/>
      <c r="W53" s="3357"/>
      <c r="X53" s="3286"/>
      <c r="Y53" s="3286"/>
      <c r="Z53" s="3286"/>
      <c r="AA53" s="3284"/>
      <c r="AB53" s="3284"/>
      <c r="AC53" s="3341"/>
      <c r="AE53" s="3284"/>
      <c r="AF53" s="3284"/>
      <c r="AG53" s="3284"/>
      <c r="AH53" s="3284"/>
      <c r="AI53" s="3284"/>
      <c r="AJ53" s="3284"/>
      <c r="AK53" s="3284"/>
      <c r="AL53" s="3344"/>
      <c r="AN53" s="3284"/>
      <c r="AO53" s="3284"/>
    </row>
    <row r="54" spans="1:41">
      <c r="A54" s="3286"/>
      <c r="D54" s="3340"/>
      <c r="E54" s="3284"/>
      <c r="F54" s="3341"/>
      <c r="G54" s="3341"/>
      <c r="H54" s="3342"/>
      <c r="I54" s="3286"/>
      <c r="J54" s="3286"/>
      <c r="K54" s="3342"/>
      <c r="L54" s="3286"/>
      <c r="M54" s="3286"/>
      <c r="N54" s="3285" t="s">
        <v>3387</v>
      </c>
      <c r="O54" s="3342" t="s">
        <v>3763</v>
      </c>
      <c r="P54" s="3284" t="s">
        <v>3764</v>
      </c>
      <c r="Q54" s="3342" t="s">
        <v>3762</v>
      </c>
      <c r="R54" s="3284" t="s">
        <v>3904</v>
      </c>
      <c r="S54" s="3342" t="s">
        <v>3905</v>
      </c>
      <c r="U54" s="3342"/>
      <c r="W54" s="3357"/>
      <c r="X54" s="3286"/>
      <c r="Y54" s="3286"/>
      <c r="Z54" s="3286"/>
      <c r="AA54" s="3284"/>
      <c r="AB54" s="3284"/>
      <c r="AC54" s="3341"/>
      <c r="AE54" s="3284"/>
      <c r="AF54" s="3284"/>
      <c r="AG54" s="3284"/>
      <c r="AH54" s="3284"/>
      <c r="AI54" s="3284"/>
      <c r="AJ54" s="3284"/>
      <c r="AK54" s="3284"/>
      <c r="AL54" s="3344"/>
      <c r="AN54" s="3284"/>
      <c r="AO54" s="3284"/>
    </row>
    <row r="55" spans="1:41">
      <c r="A55" s="3286"/>
      <c r="D55" s="3340"/>
      <c r="E55" s="3284"/>
      <c r="F55" s="3341"/>
      <c r="G55" s="3341"/>
      <c r="H55" s="3342"/>
      <c r="I55" s="3286"/>
      <c r="J55" s="3286"/>
      <c r="K55" s="3342"/>
      <c r="L55" s="3286"/>
      <c r="M55" s="3286"/>
      <c r="N55" s="3285">
        <v>2</v>
      </c>
      <c r="O55" s="3342">
        <f>P55+N55</f>
        <v>102</v>
      </c>
      <c r="P55" s="3284">
        <v>100</v>
      </c>
      <c r="Q55" s="3342">
        <f>P55-$N$55</f>
        <v>98</v>
      </c>
      <c r="R55" s="3284">
        <f>Q55-$N$55</f>
        <v>96</v>
      </c>
      <c r="S55" s="3342">
        <f>R55-$N$55</f>
        <v>94</v>
      </c>
      <c r="U55" s="3342"/>
      <c r="W55" s="3357"/>
      <c r="X55" s="3286"/>
      <c r="Y55" s="3286"/>
      <c r="Z55" s="3286"/>
      <c r="AA55" s="3284"/>
      <c r="AB55" s="3284"/>
      <c r="AC55" s="3341"/>
      <c r="AE55" s="3284"/>
      <c r="AF55" s="3284"/>
      <c r="AG55" s="3284"/>
      <c r="AH55" s="3284"/>
      <c r="AI55" s="3284"/>
      <c r="AJ55" s="3284"/>
      <c r="AK55" s="3284"/>
      <c r="AL55" s="3344"/>
      <c r="AN55" s="3284"/>
      <c r="AO55" s="3284"/>
    </row>
    <row r="56" spans="1:41">
      <c r="A56" s="3286"/>
      <c r="D56" s="3340"/>
      <c r="E56" s="3284"/>
      <c r="F56" s="3341"/>
      <c r="G56" s="3341"/>
      <c r="H56" s="3342"/>
      <c r="I56" s="3286"/>
      <c r="J56" s="3286"/>
      <c r="K56" s="3342"/>
      <c r="L56" s="3286"/>
      <c r="M56"/>
      <c r="N56" s="3285" t="s">
        <v>3480</v>
      </c>
      <c r="O56" s="3342" t="s">
        <v>3743</v>
      </c>
      <c r="P56" s="3284" t="s">
        <v>3765</v>
      </c>
      <c r="Q56" s="3342" t="s">
        <v>3766</v>
      </c>
      <c r="R56" s="3284" t="s">
        <v>3767</v>
      </c>
      <c r="S56" s="3342" t="s">
        <v>3768</v>
      </c>
      <c r="U56" s="3342"/>
      <c r="W56" s="3357"/>
      <c r="X56" s="3286"/>
      <c r="Y56" s="3286"/>
      <c r="Z56" s="3286"/>
      <c r="AA56" s="3284"/>
      <c r="AB56" s="3284"/>
      <c r="AC56" s="3284"/>
      <c r="AD56" s="3284"/>
      <c r="AE56" s="3284"/>
      <c r="AF56" s="3284"/>
      <c r="AG56" s="3284"/>
      <c r="AH56" s="3284"/>
      <c r="AI56" s="3284"/>
      <c r="AJ56" s="3284"/>
      <c r="AK56" s="3284"/>
      <c r="AL56" s="3344"/>
      <c r="AN56" s="3284"/>
      <c r="AO56" s="3284"/>
    </row>
    <row r="57" spans="1:41">
      <c r="E57" s="3284"/>
      <c r="M57"/>
      <c r="N57" s="3285">
        <v>1</v>
      </c>
      <c r="O57" s="3198">
        <f>P57-$N$57</f>
        <v>97</v>
      </c>
      <c r="P57" s="3284">
        <f>Q57-$N$57</f>
        <v>98</v>
      </c>
      <c r="Q57" s="3198">
        <f>R57-$N$57</f>
        <v>99</v>
      </c>
      <c r="R57" s="3284">
        <v>100</v>
      </c>
      <c r="S57" s="3198">
        <f>R57+N57</f>
        <v>101</v>
      </c>
      <c r="W57" s="3357"/>
      <c r="X57" s="3286"/>
      <c r="Y57" s="3286"/>
      <c r="Z57" s="3286"/>
      <c r="AC57" s="3284"/>
      <c r="AD57" s="3284"/>
      <c r="AE57" s="3284"/>
      <c r="AF57" s="3284"/>
      <c r="AG57" s="3284"/>
      <c r="AL57" s="3345"/>
    </row>
    <row r="58" spans="1:41">
      <c r="E58" s="3284"/>
      <c r="O58" s="3198" t="s">
        <v>3743</v>
      </c>
      <c r="P58" s="3284" t="s">
        <v>3765</v>
      </c>
      <c r="Q58" s="3198" t="s">
        <v>3766</v>
      </c>
      <c r="R58" s="3284" t="s">
        <v>3767</v>
      </c>
      <c r="S58" s="3198" t="s">
        <v>3768</v>
      </c>
      <c r="W58" s="3357"/>
      <c r="X58" s="3286"/>
      <c r="Y58" s="3286"/>
      <c r="Z58" s="3286"/>
      <c r="AB58" s="3284"/>
      <c r="AC58" s="3284"/>
      <c r="AD58" s="3284"/>
      <c r="AE58" s="3284"/>
      <c r="AF58" s="3284"/>
      <c r="AG58" s="3284"/>
      <c r="AH58" s="1448"/>
    </row>
    <row r="59" spans="1:41">
      <c r="D59" s="3283"/>
      <c r="E59" s="3284"/>
      <c r="F59" s="3283"/>
      <c r="G59" s="3283"/>
      <c r="H59" s="3283"/>
      <c r="I59" s="3283"/>
      <c r="J59" s="3283"/>
      <c r="K59" s="3283"/>
      <c r="L59" s="3283"/>
      <c r="O59" s="3283">
        <f>P59-$N$57</f>
        <v>96</v>
      </c>
      <c r="P59" s="3284">
        <f>Q59-$N$57</f>
        <v>97</v>
      </c>
      <c r="Q59" s="3283">
        <f>R59-$N$57</f>
        <v>98</v>
      </c>
      <c r="R59" s="3284">
        <f>S59-$N$57</f>
        <v>99</v>
      </c>
      <c r="S59" s="3283">
        <v>100</v>
      </c>
      <c r="U59" s="3283"/>
      <c r="W59" s="3357"/>
      <c r="X59" s="3286"/>
      <c r="Y59" s="3286"/>
      <c r="Z59" s="3286"/>
      <c r="AA59" s="3283"/>
      <c r="AB59" s="3283"/>
      <c r="AC59" s="3284"/>
      <c r="AD59" s="3284" t="s">
        <v>4001</v>
      </c>
      <c r="AE59" s="3284"/>
      <c r="AF59" s="3284">
        <v>97</v>
      </c>
      <c r="AG59" s="3284">
        <v>3.3</v>
      </c>
      <c r="AH59" s="3284"/>
      <c r="AI59" s="3284">
        <v>3.9</v>
      </c>
      <c r="AJ59" s="3284">
        <v>100</v>
      </c>
      <c r="AK59" s="3283"/>
      <c r="AL59" s="3346"/>
      <c r="AN59" s="3283"/>
      <c r="AO59" s="3283"/>
    </row>
    <row r="60" spans="1:41">
      <c r="E60" s="3284"/>
      <c r="L60" s="3284"/>
      <c r="N60" s="3284"/>
      <c r="P60" s="3284"/>
      <c r="R60" s="3284"/>
      <c r="W60" s="3357"/>
      <c r="X60" s="3286"/>
      <c r="Y60" s="3286"/>
      <c r="Z60" s="3286"/>
      <c r="AA60" s="3284"/>
      <c r="AB60" s="3284"/>
      <c r="AC60" s="3284"/>
      <c r="AD60" s="3284" t="s">
        <v>3998</v>
      </c>
      <c r="AE60" s="3284"/>
      <c r="AF60" s="3284">
        <v>98</v>
      </c>
      <c r="AG60" s="3284"/>
      <c r="AH60" s="3284"/>
      <c r="AI60" s="3284">
        <v>3.6</v>
      </c>
      <c r="AJ60" s="3284">
        <v>99</v>
      </c>
      <c r="AK60" s="3284"/>
      <c r="AL60" s="3347"/>
      <c r="AN60" s="3284"/>
      <c r="AO60" s="3284"/>
    </row>
    <row r="61" spans="1:41">
      <c r="D61" s="3285"/>
      <c r="E61" s="3284"/>
      <c r="I61" s="3285" t="s">
        <v>3480</v>
      </c>
      <c r="J61" s="3284"/>
      <c r="K61" s="3198">
        <v>1</v>
      </c>
      <c r="L61" s="3284"/>
      <c r="M61" s="3284"/>
      <c r="N61" s="3284"/>
      <c r="W61" s="3357"/>
      <c r="X61" s="3286"/>
      <c r="Y61" s="3286"/>
      <c r="Z61" s="3286"/>
      <c r="AA61" s="3284"/>
      <c r="AB61" s="3284"/>
      <c r="AC61" s="3284"/>
      <c r="AD61" s="3286" t="s">
        <v>3999</v>
      </c>
      <c r="AE61" s="3284"/>
      <c r="AF61" s="3284">
        <v>99</v>
      </c>
      <c r="AG61" s="3284"/>
      <c r="AH61" s="3284"/>
      <c r="AI61" s="3284">
        <v>3.3</v>
      </c>
      <c r="AJ61" s="3284">
        <v>97</v>
      </c>
      <c r="AK61" s="3284"/>
      <c r="AL61" s="3347"/>
      <c r="AN61" s="3284"/>
      <c r="AO61" s="3284"/>
    </row>
    <row r="62" spans="1:41">
      <c r="D62" s="3285"/>
      <c r="E62" s="3285"/>
      <c r="F62" s="3284"/>
      <c r="H62" s="3284"/>
      <c r="I62" s="3284" t="s">
        <v>3922</v>
      </c>
      <c r="K62" s="3284">
        <f>K63-$K$61</f>
        <v>97</v>
      </c>
      <c r="L62" s="3284"/>
      <c r="M62" s="3284"/>
      <c r="N62" s="3285" t="s">
        <v>3476</v>
      </c>
      <c r="O62" s="3284">
        <v>15</v>
      </c>
      <c r="P62" s="3285" t="s">
        <v>3477</v>
      </c>
      <c r="Q62" s="3284">
        <v>20</v>
      </c>
      <c r="R62" s="3285" t="s">
        <v>3935</v>
      </c>
      <c r="S62" s="3284">
        <v>10</v>
      </c>
      <c r="T62" s="3275" t="s">
        <v>3906</v>
      </c>
      <c r="U62" s="3284">
        <v>15</v>
      </c>
      <c r="V62" s="3358" t="s">
        <v>3911</v>
      </c>
      <c r="W62" s="3359">
        <v>0</v>
      </c>
      <c r="X62" s="3285"/>
      <c r="Y62" s="3284"/>
      <c r="Z62" s="3284"/>
      <c r="AA62" s="3284"/>
      <c r="AB62" s="3284"/>
      <c r="AC62" s="3284"/>
      <c r="AD62" s="3284" t="s">
        <v>4000</v>
      </c>
      <c r="AE62" s="3284"/>
      <c r="AF62" s="3284">
        <v>100</v>
      </c>
      <c r="AG62" s="3284"/>
      <c r="AH62" s="3284"/>
      <c r="AI62" s="3284"/>
      <c r="AJ62" s="3284"/>
      <c r="AK62" s="3284"/>
      <c r="AL62" s="3347"/>
      <c r="AN62" s="3284"/>
      <c r="AO62" s="3284"/>
    </row>
    <row r="63" spans="1:41">
      <c r="D63" s="3285"/>
      <c r="E63" s="3284"/>
      <c r="F63" s="3284"/>
      <c r="H63" s="3284"/>
      <c r="I63" s="3284" t="s">
        <v>3766</v>
      </c>
      <c r="K63" s="3284">
        <f>K64-$K$61</f>
        <v>98</v>
      </c>
      <c r="L63" s="3284"/>
      <c r="M63" s="3284"/>
      <c r="N63" s="3284" t="s">
        <v>3770</v>
      </c>
      <c r="O63" s="3284">
        <v>100</v>
      </c>
      <c r="P63" s="3284" t="s">
        <v>3775</v>
      </c>
      <c r="Q63" s="3284">
        <v>100</v>
      </c>
      <c r="R63" s="3284" t="s">
        <v>3777</v>
      </c>
      <c r="S63" s="3284">
        <v>100</v>
      </c>
      <c r="T63" s="3286" t="s">
        <v>3893</v>
      </c>
      <c r="U63" s="3284">
        <v>110</v>
      </c>
      <c r="V63" s="3357" t="s">
        <v>3893</v>
      </c>
      <c r="W63" s="3360">
        <v>100</v>
      </c>
      <c r="X63" s="3284"/>
      <c r="Y63" s="3284"/>
      <c r="Z63" s="3284"/>
      <c r="AA63" s="3284"/>
      <c r="AB63" s="3284"/>
      <c r="AC63" s="3284"/>
      <c r="AD63" s="3284" t="s">
        <v>3768</v>
      </c>
      <c r="AE63" s="3284"/>
      <c r="AF63" s="3284"/>
      <c r="AG63" s="3284"/>
      <c r="AH63" s="3284"/>
      <c r="AI63" s="3284"/>
      <c r="AJ63" s="3284"/>
      <c r="AL63" s="3284"/>
      <c r="AN63" s="3284"/>
      <c r="AO63" s="3284"/>
    </row>
    <row r="64" spans="1:41">
      <c r="D64" s="3285"/>
      <c r="E64" s="3284"/>
      <c r="F64" s="3284"/>
      <c r="H64" s="3284"/>
      <c r="I64" s="3284" t="s">
        <v>3924</v>
      </c>
      <c r="K64" s="3284">
        <f>K65-$K$61</f>
        <v>99</v>
      </c>
      <c r="L64" s="3284"/>
      <c r="M64" s="3284"/>
      <c r="N64" s="3284" t="s">
        <v>3908</v>
      </c>
      <c r="O64" s="3284">
        <f>O63-$O$62</f>
        <v>85</v>
      </c>
      <c r="P64" s="3284" t="s">
        <v>3774</v>
      </c>
      <c r="Q64" s="3284">
        <f>Q63-$Q$62</f>
        <v>80</v>
      </c>
      <c r="R64" s="3284" t="s">
        <v>3776</v>
      </c>
      <c r="S64" s="3284">
        <f>S63-S62</f>
        <v>90</v>
      </c>
      <c r="T64" s="3383" t="s">
        <v>3895</v>
      </c>
      <c r="U64" s="3284">
        <v>100</v>
      </c>
      <c r="V64" s="3357" t="s">
        <v>3895</v>
      </c>
      <c r="W64" s="3360">
        <f>W63-$W$62</f>
        <v>100</v>
      </c>
      <c r="X64" s="3284"/>
      <c r="Y64" s="3284"/>
      <c r="Z64" s="3284"/>
      <c r="AA64" s="3284"/>
      <c r="AB64" s="3284"/>
      <c r="AC64" s="3284"/>
      <c r="AD64" s="3284"/>
      <c r="AE64" s="3284"/>
      <c r="AF64" s="3284"/>
      <c r="AG64" s="3284"/>
      <c r="AH64" s="3284"/>
      <c r="AI64" s="3284"/>
      <c r="AJ64" s="3284"/>
      <c r="AL64" s="3284"/>
      <c r="AN64" s="3284"/>
      <c r="AO64" s="3284"/>
    </row>
    <row r="65" spans="4:41">
      <c r="D65" s="3285"/>
      <c r="E65" s="3284"/>
      <c r="F65" s="3284"/>
      <c r="H65" s="3284"/>
      <c r="I65" s="3284" t="s">
        <v>3925</v>
      </c>
      <c r="K65" s="3284">
        <v>100</v>
      </c>
      <c r="L65" s="3284"/>
      <c r="M65" s="3284"/>
      <c r="N65" s="3284" t="s">
        <v>3769</v>
      </c>
      <c r="O65" s="3284">
        <f>O64-$O$62</f>
        <v>70</v>
      </c>
      <c r="P65" s="3284" t="s">
        <v>3773</v>
      </c>
      <c r="Q65" s="3284">
        <f>Q64-$Q$62</f>
        <v>60</v>
      </c>
      <c r="S65" s="3284"/>
      <c r="T65" s="3286" t="s">
        <v>3896</v>
      </c>
      <c r="U65" s="3284">
        <f>U64-$U$62</f>
        <v>85</v>
      </c>
      <c r="V65" s="3357" t="s">
        <v>3896</v>
      </c>
      <c r="W65" s="3360">
        <f t="shared" ref="W65:W67" si="116">W64-$W$62</f>
        <v>100</v>
      </c>
      <c r="X65" s="3284"/>
      <c r="Y65" s="3284"/>
      <c r="Z65" s="3284"/>
      <c r="AA65" s="3284"/>
      <c r="AB65" s="3284"/>
      <c r="AC65" s="3284"/>
      <c r="AD65" s="3284"/>
      <c r="AE65" s="3284"/>
      <c r="AF65" s="3284"/>
      <c r="AG65" s="3284"/>
      <c r="AH65" s="3284"/>
      <c r="AI65" s="3284"/>
      <c r="AJ65" s="3284"/>
      <c r="AL65" s="3284"/>
      <c r="AN65" s="3284"/>
      <c r="AO65" s="3284"/>
    </row>
    <row r="66" spans="4:41">
      <c r="D66" s="3285"/>
      <c r="E66" s="3284"/>
      <c r="F66" s="3284"/>
      <c r="H66" s="3284"/>
      <c r="I66" s="3284"/>
      <c r="K66" s="3284"/>
      <c r="L66" s="3284"/>
      <c r="M66" s="3284"/>
      <c r="N66" s="3284"/>
      <c r="O66" s="3284"/>
      <c r="Q66" s="3284"/>
      <c r="S66" s="3284"/>
      <c r="T66" s="3383" t="s">
        <v>3898</v>
      </c>
      <c r="U66" s="3284">
        <f>U65-$U$62</f>
        <v>70</v>
      </c>
      <c r="V66" s="3357" t="s">
        <v>3898</v>
      </c>
      <c r="W66" s="3360">
        <f t="shared" si="116"/>
        <v>100</v>
      </c>
      <c r="X66" s="3284"/>
      <c r="Y66" s="3284"/>
      <c r="Z66" s="3284"/>
      <c r="AA66" s="3284"/>
      <c r="AB66" s="3284"/>
      <c r="AC66" s="3284"/>
      <c r="AD66" s="3284" t="s">
        <v>3922</v>
      </c>
      <c r="AE66" s="3284"/>
      <c r="AF66" s="3284">
        <v>97</v>
      </c>
      <c r="AG66" s="3284"/>
      <c r="AH66" s="3284"/>
      <c r="AI66" s="3284"/>
      <c r="AJ66" s="3284"/>
      <c r="AL66" s="3284"/>
      <c r="AN66" s="3284"/>
      <c r="AO66" s="3284"/>
    </row>
    <row r="67" spans="4:41">
      <c r="D67" s="3285"/>
      <c r="F67" s="3284"/>
      <c r="I67" s="3284"/>
      <c r="L67" s="3284"/>
      <c r="M67" s="3284"/>
      <c r="T67" s="3286" t="s">
        <v>3899</v>
      </c>
      <c r="U67" s="3198">
        <f>U66-$U$62</f>
        <v>55</v>
      </c>
      <c r="V67" s="3357" t="s">
        <v>3899</v>
      </c>
      <c r="W67" s="3360">
        <f t="shared" si="116"/>
        <v>100</v>
      </c>
      <c r="X67" s="3284"/>
      <c r="Y67" s="3284"/>
      <c r="Z67" s="3284"/>
      <c r="AA67" s="3284"/>
      <c r="AB67" s="3284"/>
      <c r="AC67" s="3284"/>
      <c r="AD67" s="3286" t="s">
        <v>3766</v>
      </c>
      <c r="AE67" s="3284"/>
      <c r="AF67" s="3284">
        <v>98</v>
      </c>
      <c r="AG67" s="3284">
        <v>3.4</v>
      </c>
      <c r="AH67" s="3284"/>
      <c r="AI67" s="3284"/>
      <c r="AJ67" s="3284"/>
      <c r="AL67" s="3284"/>
      <c r="AN67" s="3284"/>
      <c r="AO67" s="3284"/>
    </row>
    <row r="68" spans="4:41">
      <c r="D68" s="3285"/>
      <c r="E68" s="3283"/>
      <c r="F68" s="3284"/>
      <c r="H68" s="3283"/>
      <c r="I68" s="3283"/>
      <c r="J68" s="3283"/>
      <c r="K68" s="3283"/>
      <c r="L68" s="3283"/>
      <c r="O68" s="3283"/>
      <c r="Q68" s="3283"/>
      <c r="S68" s="3283"/>
      <c r="U68" s="3283"/>
      <c r="W68" s="3361"/>
      <c r="X68" s="3283"/>
      <c r="Y68" s="3284"/>
      <c r="Z68" s="3284"/>
      <c r="AA68" s="3284"/>
      <c r="AB68" s="3284"/>
      <c r="AC68" s="3284"/>
      <c r="AD68" s="3284" t="s">
        <v>3767</v>
      </c>
      <c r="AE68" s="3284"/>
      <c r="AF68" s="3284">
        <v>99</v>
      </c>
      <c r="AG68" s="3284"/>
      <c r="AH68" s="3284"/>
      <c r="AI68" s="3284"/>
      <c r="AJ68" s="3284"/>
      <c r="AL68" s="3198"/>
      <c r="AN68" s="3284"/>
      <c r="AO68" s="3284"/>
    </row>
    <row r="69" spans="4:41">
      <c r="D69" s="3284"/>
      <c r="E69" s="3284"/>
      <c r="F69" s="3284"/>
      <c r="H69" s="3284"/>
      <c r="I69" s="3284" t="s">
        <v>3922</v>
      </c>
      <c r="J69" s="3284"/>
      <c r="K69" s="3284">
        <f>K70-$K$61</f>
        <v>98</v>
      </c>
      <c r="L69" s="3284"/>
      <c r="M69" s="3284"/>
      <c r="N69" s="3285" t="s">
        <v>3476</v>
      </c>
      <c r="O69" s="3284">
        <v>5</v>
      </c>
      <c r="Q69" s="3284"/>
      <c r="S69" s="3284"/>
      <c r="U69" s="3284"/>
      <c r="W69" s="3360"/>
      <c r="X69" s="3284"/>
      <c r="Y69" s="3284"/>
      <c r="Z69" s="3284"/>
      <c r="AA69" s="3284"/>
      <c r="AB69" s="3284"/>
      <c r="AC69" s="3284"/>
      <c r="AD69" s="3284" t="s">
        <v>3768</v>
      </c>
      <c r="AE69" s="3284"/>
      <c r="AF69" s="3284">
        <v>100</v>
      </c>
      <c r="AG69" s="3284"/>
      <c r="AH69" s="3284"/>
      <c r="AI69" s="3284"/>
      <c r="AJ69" s="3283"/>
      <c r="AK69" s="3283"/>
      <c r="AL69" s="3283"/>
      <c r="AN69" s="3284"/>
      <c r="AO69" s="3284"/>
    </row>
    <row r="70" spans="4:41">
      <c r="D70" s="3284"/>
      <c r="E70" s="3284"/>
      <c r="F70" s="3284"/>
      <c r="H70" s="3284"/>
      <c r="I70" s="3284" t="s">
        <v>3923</v>
      </c>
      <c r="J70" s="3284"/>
      <c r="K70" s="3284">
        <f>K71-$K$61</f>
        <v>99</v>
      </c>
      <c r="L70" s="3284"/>
      <c r="M70" s="3284"/>
      <c r="N70" s="3284" t="s">
        <v>3770</v>
      </c>
      <c r="O70" s="3284">
        <v>100</v>
      </c>
      <c r="Q70" s="3284"/>
      <c r="S70" s="3284"/>
      <c r="U70" s="3284"/>
      <c r="W70" s="3360"/>
      <c r="X70" s="3284"/>
      <c r="Y70" s="3284"/>
      <c r="Z70" s="3284"/>
      <c r="AA70" s="3284"/>
      <c r="AB70" s="3284"/>
      <c r="AC70" s="3284"/>
      <c r="AE70" s="3284"/>
      <c r="AF70" s="3284"/>
      <c r="AG70" s="3284"/>
      <c r="AH70" s="3284"/>
      <c r="AI70" s="3284"/>
      <c r="AJ70" s="3284"/>
      <c r="AK70" s="3284"/>
      <c r="AL70" s="3284"/>
      <c r="AN70" s="3284"/>
      <c r="AO70" s="3284"/>
    </row>
    <row r="71" spans="4:41">
      <c r="D71" s="3284"/>
      <c r="F71" s="3284"/>
      <c r="H71" s="3284"/>
      <c r="I71" s="3284" t="s">
        <v>3924</v>
      </c>
      <c r="K71" s="3284">
        <v>100</v>
      </c>
      <c r="N71" s="3284" t="s">
        <v>3909</v>
      </c>
      <c r="O71" s="3284">
        <f>O70-$O$62</f>
        <v>85</v>
      </c>
      <c r="Q71" s="3284"/>
      <c r="S71" s="3284"/>
      <c r="T71" s="3275"/>
      <c r="U71" s="3284"/>
      <c r="V71" s="3358"/>
      <c r="Y71" s="3284"/>
      <c r="Z71" s="3284"/>
      <c r="AA71" s="3284"/>
      <c r="AB71" s="3284"/>
      <c r="AC71" s="3285"/>
      <c r="AD71" s="3275"/>
      <c r="AE71" s="3284"/>
      <c r="AF71" s="3284"/>
      <c r="AG71" s="3284"/>
      <c r="AH71" s="3284"/>
      <c r="AI71" s="3284"/>
      <c r="AJ71" s="3284"/>
      <c r="AK71" s="3284"/>
      <c r="AL71" s="3284"/>
      <c r="AN71" s="3284"/>
      <c r="AO71" s="3284"/>
    </row>
    <row r="72" spans="4:41">
      <c r="D72" s="3284"/>
      <c r="F72" s="3284"/>
      <c r="H72" s="3284"/>
      <c r="I72" s="3284" t="s">
        <v>3925</v>
      </c>
      <c r="K72" s="3284">
        <f>K71+K61</f>
        <v>101</v>
      </c>
      <c r="N72" s="3284" t="s">
        <v>3772</v>
      </c>
      <c r="O72" s="3284">
        <v>95</v>
      </c>
      <c r="Q72" s="3284"/>
      <c r="S72" s="3284"/>
      <c r="U72" s="3284"/>
      <c r="Y72" s="3284"/>
      <c r="Z72" s="3284"/>
      <c r="AA72" s="3284"/>
      <c r="AB72" s="3284"/>
      <c r="AC72" s="3284"/>
      <c r="AE72" s="3284"/>
      <c r="AF72" s="3284"/>
      <c r="AG72" s="3284"/>
      <c r="AH72" s="3284"/>
      <c r="AI72" s="3284"/>
      <c r="AJ72" s="3284"/>
      <c r="AL72" s="3284"/>
      <c r="AN72" s="3284"/>
      <c r="AO72" s="3284"/>
    </row>
    <row r="73" spans="4:41">
      <c r="D73" s="3284"/>
      <c r="F73" s="3284"/>
      <c r="H73" s="3284"/>
      <c r="I73" s="3284"/>
      <c r="K73" s="3284"/>
      <c r="N73" s="3284" t="s">
        <v>3771</v>
      </c>
      <c r="O73" s="3284">
        <v>95</v>
      </c>
      <c r="Q73" s="3284"/>
      <c r="S73" s="3284"/>
      <c r="U73" s="3284"/>
      <c r="Y73" s="3284"/>
      <c r="Z73" s="3284"/>
      <c r="AA73" s="3284"/>
      <c r="AB73" s="3284"/>
      <c r="AC73" s="3284"/>
      <c r="AE73" s="3284"/>
      <c r="AF73" s="3284"/>
      <c r="AG73" s="3284"/>
      <c r="AH73" s="3284"/>
      <c r="AI73" s="3284"/>
      <c r="AJ73" s="3284"/>
      <c r="AL73" s="3284"/>
      <c r="AN73" s="3284"/>
      <c r="AO73" s="3284"/>
    </row>
    <row r="74" spans="4:41">
      <c r="D74" s="3284"/>
      <c r="F74" s="3284"/>
      <c r="I74" s="3284"/>
      <c r="N74" s="3284" t="s">
        <v>3769</v>
      </c>
      <c r="O74" s="3198">
        <f>O73-$O$62</f>
        <v>80</v>
      </c>
      <c r="Y74" s="3284"/>
      <c r="Z74" s="3284"/>
      <c r="AA74" s="3284"/>
      <c r="AB74" s="3284"/>
      <c r="AC74" s="3284"/>
      <c r="AE74" s="3284"/>
      <c r="AF74" s="3284"/>
      <c r="AG74" s="3284"/>
      <c r="AH74" s="3284"/>
      <c r="AI74" s="3284"/>
      <c r="AJ74" s="3284"/>
      <c r="AK74" s="3284"/>
      <c r="AL74" s="3347"/>
      <c r="AN74" s="3284"/>
      <c r="AO74" s="3284"/>
    </row>
    <row r="75" spans="4:41">
      <c r="D75" s="3284"/>
      <c r="F75" s="3284"/>
      <c r="I75" s="3284"/>
      <c r="Y75" s="3284"/>
      <c r="Z75" s="3284"/>
      <c r="AA75" s="3284"/>
      <c r="AB75" s="3284"/>
      <c r="AC75" s="3284"/>
      <c r="AE75" s="3284"/>
      <c r="AF75" s="3284"/>
      <c r="AG75" s="3284"/>
      <c r="AH75" s="3284"/>
      <c r="AI75" s="3284"/>
      <c r="AJ75" s="3284"/>
      <c r="AK75" s="3284"/>
      <c r="AL75" s="3347"/>
      <c r="AN75" s="3284"/>
      <c r="AO75" s="3284"/>
    </row>
    <row r="76" spans="4:41">
      <c r="D76" s="3284"/>
      <c r="F76" s="3284"/>
      <c r="I76" s="3284"/>
      <c r="Y76" s="3284"/>
      <c r="Z76" s="3284"/>
      <c r="AA76" s="3284"/>
      <c r="AB76" s="3284"/>
      <c r="AC76" s="3284"/>
      <c r="AE76" s="3284"/>
      <c r="AF76" s="3284"/>
      <c r="AG76" s="3284"/>
      <c r="AH76" s="3284"/>
      <c r="AI76" s="3284"/>
      <c r="AJ76" s="3284"/>
      <c r="AK76" s="3284"/>
      <c r="AL76" s="3347"/>
      <c r="AN76" s="3284"/>
      <c r="AO76" s="3284"/>
    </row>
    <row r="77" spans="4:41">
      <c r="D77" s="3283"/>
      <c r="F77" s="3283"/>
      <c r="I77" s="3284"/>
      <c r="Y77" s="3283"/>
      <c r="Z77" s="3283"/>
      <c r="AA77" s="3283"/>
      <c r="AB77" s="3283"/>
      <c r="AC77" s="3283"/>
      <c r="AE77" s="3283"/>
      <c r="AF77" s="3284"/>
      <c r="AG77" s="3284"/>
      <c r="AH77" s="3284"/>
      <c r="AI77" s="3284"/>
      <c r="AJ77" s="3284"/>
      <c r="AK77" s="3283"/>
      <c r="AL77" s="3346"/>
      <c r="AN77" s="3283"/>
      <c r="AO77" s="3283"/>
    </row>
    <row r="78" spans="4:41">
      <c r="D78" s="3283"/>
      <c r="E78" s="3283"/>
      <c r="F78" s="3283"/>
      <c r="G78" s="3283"/>
      <c r="H78" s="3283"/>
      <c r="I78" s="3284"/>
      <c r="J78" s="3283"/>
      <c r="K78" s="3283"/>
      <c r="L78" s="3283"/>
      <c r="O78" s="3283"/>
      <c r="Q78" s="3283"/>
      <c r="S78" s="3283"/>
      <c r="U78" s="3283"/>
      <c r="W78" s="3361"/>
      <c r="X78" s="3283"/>
      <c r="Y78" s="3283"/>
      <c r="Z78" s="3283"/>
      <c r="AA78" s="3283"/>
      <c r="AB78" s="3283"/>
      <c r="AC78" s="3283"/>
      <c r="AE78" s="3283"/>
      <c r="AF78" s="3284"/>
      <c r="AG78" s="3284"/>
      <c r="AH78" s="3284"/>
      <c r="AI78" s="3284"/>
      <c r="AJ78" s="3284"/>
      <c r="AK78" s="3283"/>
      <c r="AL78" s="3346"/>
      <c r="AN78" s="3283"/>
      <c r="AO78" s="3283"/>
    </row>
    <row r="79" spans="4:41">
      <c r="D79" s="3283"/>
      <c r="E79" s="3283"/>
      <c r="F79" s="3283"/>
      <c r="G79" s="3283"/>
      <c r="H79" s="3283"/>
      <c r="J79" s="3283"/>
      <c r="K79" s="3283"/>
      <c r="L79" s="3283"/>
      <c r="O79" s="3283"/>
      <c r="Q79" s="3283"/>
      <c r="S79" s="3283"/>
      <c r="U79" s="3283"/>
      <c r="W79" s="3361"/>
      <c r="X79" s="3283"/>
      <c r="Y79" s="3283"/>
      <c r="Z79" s="3283"/>
      <c r="AA79" s="3283"/>
      <c r="AB79" s="3283"/>
      <c r="AC79" s="3283"/>
      <c r="AE79" s="3283"/>
      <c r="AF79" s="3284"/>
      <c r="AG79" s="3284"/>
      <c r="AH79" s="3284"/>
      <c r="AI79" s="3284"/>
      <c r="AJ79" s="3284"/>
      <c r="AK79" s="3283"/>
      <c r="AL79" s="3346"/>
      <c r="AN79" s="3283"/>
      <c r="AO79" s="3283"/>
    </row>
    <row r="80" spans="4:41">
      <c r="D80" s="3283"/>
      <c r="E80" s="3283"/>
      <c r="F80" s="3283"/>
      <c r="G80" s="3283"/>
      <c r="H80" s="3283"/>
      <c r="I80" s="3283"/>
      <c r="J80" s="3283"/>
      <c r="K80" s="3283"/>
      <c r="L80" s="3283"/>
      <c r="O80" s="3283"/>
      <c r="Q80" s="3283"/>
      <c r="S80" s="3283"/>
      <c r="U80" s="3283"/>
      <c r="W80" s="3361"/>
      <c r="X80" s="3283"/>
      <c r="Y80" s="3283"/>
      <c r="Z80" s="3283"/>
      <c r="AA80" s="3283"/>
      <c r="AB80" s="3283"/>
      <c r="AC80" s="3283"/>
      <c r="AE80" s="3283"/>
      <c r="AF80" s="3284"/>
      <c r="AG80" s="3284"/>
      <c r="AH80" s="3284"/>
      <c r="AI80" s="3284"/>
      <c r="AJ80" s="3284"/>
      <c r="AK80" s="3283"/>
      <c r="AL80" s="3346"/>
      <c r="AN80" s="3283"/>
      <c r="AO80" s="3283"/>
    </row>
    <row r="81" spans="4:41">
      <c r="D81" s="3283"/>
      <c r="E81" s="3283"/>
      <c r="F81" s="3283"/>
      <c r="G81" s="3283"/>
      <c r="H81" s="3283"/>
      <c r="I81" s="3283"/>
      <c r="J81" s="3283"/>
      <c r="K81" s="3283"/>
      <c r="L81" s="3283"/>
      <c r="O81" s="3283"/>
      <c r="Q81" s="3283"/>
      <c r="S81" s="3283"/>
      <c r="U81" s="3283"/>
      <c r="W81" s="3361"/>
      <c r="X81" s="3283"/>
      <c r="Y81" s="3283"/>
      <c r="Z81" s="3283"/>
      <c r="AA81" s="3283"/>
      <c r="AB81" s="3283"/>
      <c r="AC81" s="3283"/>
      <c r="AE81" s="3283"/>
      <c r="AF81" s="3284"/>
      <c r="AG81" s="3284"/>
      <c r="AH81" s="3284"/>
      <c r="AI81" s="3284"/>
      <c r="AJ81" s="3284"/>
      <c r="AK81" s="3283"/>
      <c r="AL81" s="3346"/>
      <c r="AN81" s="3283"/>
      <c r="AO81" s="3283"/>
    </row>
    <row r="82" spans="4:41">
      <c r="D82" s="3283"/>
      <c r="E82" s="3283"/>
      <c r="F82" s="3283"/>
      <c r="G82" s="3283"/>
      <c r="H82" s="3283"/>
      <c r="I82" s="3283"/>
      <c r="J82" s="3283"/>
      <c r="K82" s="3283"/>
      <c r="L82" s="3283"/>
      <c r="O82" s="3283"/>
      <c r="Q82" s="3283"/>
      <c r="S82" s="3283"/>
      <c r="U82" s="3283"/>
      <c r="W82" s="3361"/>
      <c r="X82" s="3283"/>
      <c r="Y82" s="3283"/>
      <c r="Z82" s="3283"/>
      <c r="AA82" s="3283"/>
      <c r="AB82" s="3283"/>
      <c r="AC82" s="3283"/>
      <c r="AE82" s="3283"/>
      <c r="AF82" s="3284"/>
      <c r="AG82" s="3284"/>
      <c r="AH82" s="3284"/>
      <c r="AI82" s="3284"/>
      <c r="AJ82" s="3284"/>
      <c r="AK82" s="3283"/>
      <c r="AL82" s="3346"/>
      <c r="AN82" s="3283"/>
      <c r="AO82" s="3283"/>
    </row>
    <row r="83" spans="4:41">
      <c r="D83" s="3283"/>
      <c r="E83" s="3283"/>
      <c r="F83" s="3283"/>
      <c r="G83" s="3283"/>
      <c r="H83" s="3283"/>
      <c r="I83" s="3283"/>
      <c r="J83" s="3283"/>
      <c r="K83" s="3283"/>
      <c r="L83" s="3283"/>
      <c r="O83" s="3283"/>
      <c r="Q83" s="3283"/>
      <c r="S83" s="3283"/>
      <c r="U83" s="3283"/>
      <c r="W83" s="3361"/>
      <c r="X83" s="3283"/>
      <c r="Y83" s="3283"/>
      <c r="Z83" s="3283"/>
      <c r="AA83" s="3283"/>
      <c r="AB83" s="3283"/>
      <c r="AC83" s="3283"/>
      <c r="AE83" s="3283"/>
      <c r="AF83" s="3284"/>
      <c r="AG83" s="3284"/>
      <c r="AH83" s="3284"/>
      <c r="AI83" s="3284"/>
      <c r="AJ83" s="3284"/>
      <c r="AK83" s="3283"/>
      <c r="AL83" s="3346"/>
      <c r="AN83" s="3283"/>
      <c r="AO83" s="3283"/>
    </row>
    <row r="84" spans="4:41">
      <c r="D84" s="3283"/>
      <c r="E84" s="3283"/>
      <c r="F84" s="3283"/>
      <c r="G84" s="3283"/>
      <c r="H84" s="3283"/>
      <c r="I84" s="3283"/>
      <c r="J84" s="3283"/>
      <c r="K84" s="3283"/>
      <c r="L84" s="3283"/>
      <c r="O84" s="3283"/>
      <c r="Q84" s="3283"/>
      <c r="S84" s="3283"/>
      <c r="U84" s="3283"/>
      <c r="W84" s="3361"/>
      <c r="X84" s="3283"/>
      <c r="Y84" s="3283"/>
      <c r="Z84" s="3283"/>
      <c r="AA84" s="3283"/>
      <c r="AB84" s="3283"/>
      <c r="AC84" s="3283"/>
      <c r="AE84" s="3283"/>
      <c r="AF84" s="3284"/>
      <c r="AG84" s="3284"/>
      <c r="AH84" s="3284"/>
      <c r="AI84" s="3284"/>
      <c r="AJ84" s="3284"/>
      <c r="AK84" s="3283"/>
      <c r="AL84" s="3346"/>
      <c r="AN84" s="3283"/>
      <c r="AO84" s="3283"/>
    </row>
    <row r="85" spans="4:41">
      <c r="D85" s="3283"/>
      <c r="E85" s="3283"/>
      <c r="F85" s="3283"/>
      <c r="G85" s="3283"/>
      <c r="H85" s="3283"/>
      <c r="I85" s="3283"/>
      <c r="J85" s="3283"/>
      <c r="K85" s="3283"/>
      <c r="L85" s="3283"/>
      <c r="O85" s="3283"/>
      <c r="Q85" s="3283"/>
      <c r="S85" s="3283"/>
      <c r="U85" s="3283"/>
      <c r="W85" s="3361"/>
      <c r="X85" s="3283"/>
      <c r="Y85" s="3283"/>
      <c r="Z85" s="3283"/>
      <c r="AA85" s="3283"/>
      <c r="AB85" s="3283"/>
      <c r="AC85" s="3283"/>
      <c r="AE85" s="3283"/>
      <c r="AF85" s="3284"/>
      <c r="AG85" s="3284"/>
      <c r="AH85" s="3284"/>
      <c r="AI85" s="3284"/>
      <c r="AJ85" s="3284"/>
      <c r="AK85" s="3283"/>
      <c r="AL85" s="3346"/>
      <c r="AN85" s="3283"/>
      <c r="AO85" s="3283"/>
    </row>
    <row r="86" spans="4:41">
      <c r="D86" s="3283"/>
      <c r="E86" s="3283"/>
      <c r="F86" s="3283"/>
      <c r="G86" s="3283"/>
      <c r="H86" s="3283"/>
      <c r="I86" s="3283"/>
      <c r="J86" s="3283"/>
      <c r="K86" s="3283"/>
      <c r="L86" s="3283"/>
      <c r="O86" s="3283"/>
      <c r="Q86" s="3283"/>
      <c r="S86" s="3283"/>
      <c r="U86" s="3283"/>
      <c r="W86" s="3361"/>
      <c r="X86" s="3283"/>
      <c r="Y86" s="3283"/>
      <c r="Z86" s="3283"/>
      <c r="AA86" s="3283"/>
      <c r="AB86" s="3283"/>
      <c r="AC86" s="3283"/>
      <c r="AE86" s="3283"/>
      <c r="AF86" s="3284"/>
      <c r="AG86" s="3284"/>
      <c r="AH86" s="3284"/>
      <c r="AI86" s="3284"/>
      <c r="AJ86" s="3284"/>
      <c r="AK86" s="3283"/>
      <c r="AL86" s="3346"/>
      <c r="AN86" s="3283"/>
      <c r="AO86" s="3283"/>
    </row>
    <row r="87" spans="4:41">
      <c r="D87" s="3283"/>
      <c r="E87" s="3283"/>
      <c r="F87" s="3283"/>
      <c r="G87" s="3283"/>
      <c r="H87" s="3283"/>
      <c r="I87" s="3283"/>
      <c r="J87" s="3283"/>
      <c r="K87" s="3283"/>
      <c r="L87" s="3283"/>
      <c r="O87" s="3283"/>
      <c r="Q87" s="3283"/>
      <c r="S87" s="3283"/>
      <c r="U87" s="3283"/>
      <c r="W87" s="3361"/>
      <c r="X87" s="3283"/>
      <c r="Y87" s="3283"/>
      <c r="Z87" s="3283"/>
      <c r="AA87" s="3283"/>
      <c r="AB87" s="3283"/>
      <c r="AC87" s="3283"/>
      <c r="AE87" s="3283"/>
      <c r="AF87" s="3284"/>
      <c r="AG87" s="3284"/>
      <c r="AH87" s="3284"/>
      <c r="AI87" s="3284"/>
      <c r="AJ87" s="3284"/>
      <c r="AK87" s="3283"/>
      <c r="AL87" s="3346"/>
      <c r="AN87" s="3283"/>
      <c r="AO87" s="3283"/>
    </row>
    <row r="88" spans="4:41">
      <c r="D88" s="3283"/>
      <c r="E88" s="3283"/>
      <c r="F88" s="3283"/>
      <c r="G88" s="3283"/>
      <c r="H88" s="3283"/>
      <c r="I88" s="3283"/>
      <c r="J88" s="3283"/>
      <c r="K88" s="3283"/>
      <c r="L88" s="3283"/>
      <c r="O88" s="3283"/>
      <c r="Q88" s="3283"/>
      <c r="S88" s="3283"/>
      <c r="U88" s="3283"/>
      <c r="W88" s="3361"/>
      <c r="X88" s="3283"/>
      <c r="Y88" s="3283"/>
      <c r="Z88" s="3283"/>
      <c r="AA88" s="3283"/>
      <c r="AB88" s="3283"/>
      <c r="AC88" s="3283"/>
      <c r="AE88" s="3283"/>
      <c r="AF88" s="3284"/>
      <c r="AG88" s="3284"/>
      <c r="AH88" s="3284"/>
      <c r="AI88" s="3284"/>
      <c r="AJ88" s="3284"/>
      <c r="AK88" s="3283"/>
      <c r="AL88" s="3346"/>
      <c r="AN88" s="3283"/>
      <c r="AO88" s="3283"/>
    </row>
    <row r="89" spans="4:41">
      <c r="D89" s="3283"/>
      <c r="E89" s="3283"/>
      <c r="F89" s="3283"/>
      <c r="G89" s="3283"/>
      <c r="H89" s="3283"/>
      <c r="I89" s="3283"/>
      <c r="J89" s="3283"/>
      <c r="K89" s="3283"/>
      <c r="L89" s="3283"/>
      <c r="O89" s="3283"/>
      <c r="Q89" s="3283"/>
      <c r="S89" s="3283"/>
      <c r="U89" s="3283"/>
      <c r="W89" s="3361"/>
      <c r="X89" s="3283"/>
      <c r="Y89" s="3283"/>
      <c r="Z89" s="3283"/>
      <c r="AA89" s="3283"/>
      <c r="AB89" s="3283"/>
      <c r="AC89" s="3283"/>
      <c r="AE89" s="3283"/>
      <c r="AF89" s="3284"/>
      <c r="AG89" s="3284"/>
      <c r="AH89" s="3284"/>
      <c r="AI89" s="3284"/>
      <c r="AJ89" s="3284"/>
      <c r="AK89" s="3283"/>
      <c r="AL89" s="3346"/>
      <c r="AN89" s="3283"/>
      <c r="AO89" s="3283"/>
    </row>
  </sheetData>
  <autoFilter ref="AL1:AL89" xr:uid="{00000000-0009-0000-0000-000034000000}"/>
  <mergeCells count="239">
    <mergeCell ref="AE29:AE31"/>
    <mergeCell ref="AE32:AE34"/>
    <mergeCell ref="AE35:AE37"/>
    <mergeCell ref="AE2:AE4"/>
    <mergeCell ref="AE5:AE7"/>
    <mergeCell ref="AE8:AE10"/>
    <mergeCell ref="AE11:AE13"/>
    <mergeCell ref="AE14:AE16"/>
    <mergeCell ref="AE17:AE19"/>
    <mergeCell ref="AE20:AE22"/>
    <mergeCell ref="AE23:AE25"/>
    <mergeCell ref="AE26:AE28"/>
    <mergeCell ref="AE38:AE40"/>
    <mergeCell ref="AE41:AE43"/>
    <mergeCell ref="AE44:AE46"/>
    <mergeCell ref="Y47:Y49"/>
    <mergeCell ref="Z44:Z46"/>
    <mergeCell ref="Z47:Z49"/>
    <mergeCell ref="AA47:AA49"/>
    <mergeCell ref="Z38:Z40"/>
    <mergeCell ref="Z41:Z43"/>
    <mergeCell ref="Y38:Y40"/>
    <mergeCell ref="Y41:Y43"/>
    <mergeCell ref="Y44:Y46"/>
    <mergeCell ref="AA44:AA46"/>
    <mergeCell ref="AB41:AB43"/>
    <mergeCell ref="AE47:AE49"/>
    <mergeCell ref="AB47:AB49"/>
    <mergeCell ref="AB38:AB40"/>
    <mergeCell ref="Z2:Z4"/>
    <mergeCell ref="Z5:Z7"/>
    <mergeCell ref="Z8:Z10"/>
    <mergeCell ref="Z11:Z13"/>
    <mergeCell ref="Z14:Z16"/>
    <mergeCell ref="Y17:Y19"/>
    <mergeCell ref="Y20:Y22"/>
    <mergeCell ref="Y23:Y25"/>
    <mergeCell ref="Z17:Z19"/>
    <mergeCell ref="Z20:Z22"/>
    <mergeCell ref="Z23:Z25"/>
    <mergeCell ref="D2:D4"/>
    <mergeCell ref="D29:D31"/>
    <mergeCell ref="D32:D34"/>
    <mergeCell ref="D5:D7"/>
    <mergeCell ref="AB32:AB34"/>
    <mergeCell ref="D41:D43"/>
    <mergeCell ref="D23:D25"/>
    <mergeCell ref="D38:D40"/>
    <mergeCell ref="AB17:AB19"/>
    <mergeCell ref="AB20:AB22"/>
    <mergeCell ref="AB23:AB25"/>
    <mergeCell ref="AB26:AB28"/>
    <mergeCell ref="AB29:AB31"/>
    <mergeCell ref="AB2:AB4"/>
    <mergeCell ref="AB5:AB7"/>
    <mergeCell ref="AB8:AB10"/>
    <mergeCell ref="AB11:AB13"/>
    <mergeCell ref="AB14:AB16"/>
    <mergeCell ref="Y5:Y7"/>
    <mergeCell ref="Y8:Y10"/>
    <mergeCell ref="Y11:Y13"/>
    <mergeCell ref="Y14:Y16"/>
    <mergeCell ref="Z29:Z31"/>
    <mergeCell ref="Z32:Z34"/>
    <mergeCell ref="D44:D46"/>
    <mergeCell ref="D26:D28"/>
    <mergeCell ref="D8:D10"/>
    <mergeCell ref="D17:D19"/>
    <mergeCell ref="D11:D13"/>
    <mergeCell ref="D35:D37"/>
    <mergeCell ref="D14:D16"/>
    <mergeCell ref="AB35:AB37"/>
    <mergeCell ref="AB44:AB46"/>
    <mergeCell ref="Y32:Y34"/>
    <mergeCell ref="Y35:Y37"/>
    <mergeCell ref="Y26:Y28"/>
    <mergeCell ref="Y29:Y31"/>
    <mergeCell ref="Z26:Z28"/>
    <mergeCell ref="AF26:AF28"/>
    <mergeCell ref="AF29:AF31"/>
    <mergeCell ref="AF2:AF4"/>
    <mergeCell ref="AF5:AF7"/>
    <mergeCell ref="AF8:AF10"/>
    <mergeCell ref="AF11:AF13"/>
    <mergeCell ref="AF14:AF16"/>
    <mergeCell ref="D47:D49"/>
    <mergeCell ref="AA2:AA4"/>
    <mergeCell ref="AA5:AA7"/>
    <mergeCell ref="AA8:AA10"/>
    <mergeCell ref="AA11:AA13"/>
    <mergeCell ref="AA14:AA16"/>
    <mergeCell ref="AA17:AA19"/>
    <mergeCell ref="AA20:AA22"/>
    <mergeCell ref="AA23:AA25"/>
    <mergeCell ref="AA26:AA28"/>
    <mergeCell ref="AA29:AA31"/>
    <mergeCell ref="AA32:AA34"/>
    <mergeCell ref="AA35:AA37"/>
    <mergeCell ref="AA38:AA40"/>
    <mergeCell ref="AA41:AA43"/>
    <mergeCell ref="D20:D22"/>
    <mergeCell ref="Z35:Z37"/>
    <mergeCell ref="AF47:AF49"/>
    <mergeCell ref="AJ2:AJ4"/>
    <mergeCell ref="AK2:AK4"/>
    <mergeCell ref="AL2:AL4"/>
    <mergeCell ref="AJ5:AJ7"/>
    <mergeCell ref="AK5:AK7"/>
    <mergeCell ref="AL5:AL7"/>
    <mergeCell ref="AJ8:AJ10"/>
    <mergeCell ref="AK8:AK10"/>
    <mergeCell ref="AL8:AL10"/>
    <mergeCell ref="AJ11:AJ13"/>
    <mergeCell ref="AK11:AK13"/>
    <mergeCell ref="AL11:AL13"/>
    <mergeCell ref="AJ14:AJ16"/>
    <mergeCell ref="AK14:AK16"/>
    <mergeCell ref="AL14:AL16"/>
    <mergeCell ref="AF32:AF34"/>
    <mergeCell ref="AF35:AF37"/>
    <mergeCell ref="AF38:AF40"/>
    <mergeCell ref="AF41:AF43"/>
    <mergeCell ref="AF44:AF46"/>
    <mergeCell ref="AF17:AF19"/>
    <mergeCell ref="AF20:AF22"/>
    <mergeCell ref="AF23:AF25"/>
    <mergeCell ref="AL29:AL31"/>
    <mergeCell ref="AJ32:AJ34"/>
    <mergeCell ref="AK32:AK34"/>
    <mergeCell ref="AL32:AL34"/>
    <mergeCell ref="AJ23:AJ25"/>
    <mergeCell ref="AK23:AK25"/>
    <mergeCell ref="AL23:AL25"/>
    <mergeCell ref="AJ26:AJ28"/>
    <mergeCell ref="AK26:AK28"/>
    <mergeCell ref="AL26:AL28"/>
    <mergeCell ref="AL47:AL49"/>
    <mergeCell ref="AJ41:AJ43"/>
    <mergeCell ref="AK41:AK43"/>
    <mergeCell ref="AL41:AL43"/>
    <mergeCell ref="AJ44:AJ46"/>
    <mergeCell ref="AK44:AK46"/>
    <mergeCell ref="AL44:AL46"/>
    <mergeCell ref="AJ35:AJ37"/>
    <mergeCell ref="AK35:AK37"/>
    <mergeCell ref="AL35:AL37"/>
    <mergeCell ref="AJ38:AJ40"/>
    <mergeCell ref="AK38:AK40"/>
    <mergeCell ref="AL38:AL40"/>
    <mergeCell ref="AG41:AG43"/>
    <mergeCell ref="AG44:AG46"/>
    <mergeCell ref="AG47:AG49"/>
    <mergeCell ref="AI29:AI31"/>
    <mergeCell ref="AI32:AI34"/>
    <mergeCell ref="AI35:AI37"/>
    <mergeCell ref="AI38:AI40"/>
    <mergeCell ref="AI41:AI43"/>
    <mergeCell ref="AK47:AK49"/>
    <mergeCell ref="AK29:AK31"/>
    <mergeCell ref="AJ47:AJ49"/>
    <mergeCell ref="AJ29:AJ31"/>
    <mergeCell ref="AH32:AH34"/>
    <mergeCell ref="AH35:AH37"/>
    <mergeCell ref="AH38:AH40"/>
    <mergeCell ref="AH41:AH43"/>
    <mergeCell ref="AH44:AH46"/>
    <mergeCell ref="AH47:AH49"/>
    <mergeCell ref="AI44:AI46"/>
    <mergeCell ref="AI47:AI49"/>
    <mergeCell ref="AH29:AH31"/>
    <mergeCell ref="AG29:AG31"/>
    <mergeCell ref="AG32:AG34"/>
    <mergeCell ref="AG35:AG37"/>
    <mergeCell ref="AH2:AH4"/>
    <mergeCell ref="AH5:AH7"/>
    <mergeCell ref="AH8:AH10"/>
    <mergeCell ref="AH11:AH13"/>
    <mergeCell ref="AH14:AH16"/>
    <mergeCell ref="AH17:AH19"/>
    <mergeCell ref="AH20:AH22"/>
    <mergeCell ref="AI23:AI25"/>
    <mergeCell ref="AI26:AI28"/>
    <mergeCell ref="AH23:AH25"/>
    <mergeCell ref="AH26:AH28"/>
    <mergeCell ref="AI2:AI4"/>
    <mergeCell ref="AI5:AI7"/>
    <mergeCell ref="AI8:AI10"/>
    <mergeCell ref="AI11:AI13"/>
    <mergeCell ref="AI14:AI16"/>
    <mergeCell ref="AI17:AI19"/>
    <mergeCell ref="AI20:AI22"/>
    <mergeCell ref="AG38:AG40"/>
    <mergeCell ref="AG2:AG4"/>
    <mergeCell ref="AG5:AG7"/>
    <mergeCell ref="AG8:AG10"/>
    <mergeCell ref="AG11:AG13"/>
    <mergeCell ref="AG14:AG16"/>
    <mergeCell ref="AG17:AG19"/>
    <mergeCell ref="AG20:AG22"/>
    <mergeCell ref="AN5:AN7"/>
    <mergeCell ref="AN8:AN10"/>
    <mergeCell ref="AN11:AN13"/>
    <mergeCell ref="AN14:AN16"/>
    <mergeCell ref="AN17:AN19"/>
    <mergeCell ref="AN20:AN22"/>
    <mergeCell ref="AN23:AN25"/>
    <mergeCell ref="AN26:AN28"/>
    <mergeCell ref="AG23:AG25"/>
    <mergeCell ref="AG26:AG28"/>
    <mergeCell ref="AJ17:AJ19"/>
    <mergeCell ref="AK17:AK19"/>
    <mergeCell ref="AL17:AL19"/>
    <mergeCell ref="AJ20:AJ22"/>
    <mergeCell ref="AK20:AK22"/>
    <mergeCell ref="AL20:AL22"/>
    <mergeCell ref="AN29:AN31"/>
    <mergeCell ref="AN32:AN34"/>
    <mergeCell ref="AN35:AN37"/>
    <mergeCell ref="AN38:AN40"/>
    <mergeCell ref="AN41:AN43"/>
    <mergeCell ref="AN44:AN46"/>
    <mergeCell ref="AN47:AN49"/>
    <mergeCell ref="AO2:AO4"/>
    <mergeCell ref="AO5:AO7"/>
    <mergeCell ref="AO8:AO10"/>
    <mergeCell ref="AO11:AO13"/>
    <mergeCell ref="AO14:AO16"/>
    <mergeCell ref="AO17:AO19"/>
    <mergeCell ref="AO20:AO22"/>
    <mergeCell ref="AO23:AO25"/>
    <mergeCell ref="AO26:AO28"/>
    <mergeCell ref="AO29:AO31"/>
    <mergeCell ref="AO32:AO34"/>
    <mergeCell ref="AO35:AO37"/>
    <mergeCell ref="AO38:AO40"/>
    <mergeCell ref="AO41:AO43"/>
    <mergeCell ref="AO44:AO46"/>
    <mergeCell ref="AO47:AO49"/>
    <mergeCell ref="AN2:AN4"/>
  </mergeCells>
  <phoneticPr fontId="136" type="noConversion"/>
  <conditionalFormatting sqref="K1:K1048576">
    <cfRule type="cellIs" dxfId="6" priority="5" operator="equal">
      <formula>100</formula>
    </cfRule>
  </conditionalFormatting>
  <conditionalFormatting sqref="O1:O1048576">
    <cfRule type="cellIs" dxfId="5" priority="4" operator="equal">
      <formula>100</formula>
    </cfRule>
  </conditionalFormatting>
  <conditionalFormatting sqref="Q1:Q1048576">
    <cfRule type="cellIs" dxfId="4" priority="3" operator="equal">
      <formula>100</formula>
    </cfRule>
  </conditionalFormatting>
  <conditionalFormatting sqref="S1:S1048576">
    <cfRule type="cellIs" dxfId="3" priority="2" operator="equal">
      <formula>100</formula>
    </cfRule>
  </conditionalFormatting>
  <conditionalFormatting sqref="U1:U1048576">
    <cfRule type="cellIs" dxfId="2" priority="1" operator="equal">
      <formula>100</formula>
    </cfRule>
  </conditionalFormatting>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tabColor rgb="FFFF0000"/>
  </sheetPr>
  <dimension ref="A1:BN707"/>
  <sheetViews>
    <sheetView workbookViewId="0">
      <pane xSplit="4" ySplit="1" topLeftCell="K2" activePane="bottomRight" state="frozen"/>
      <selection pane="topRight" activeCell="E1" sqref="E1"/>
      <selection pane="bottomLeft" activeCell="A2" sqref="A2"/>
      <selection pane="bottomRight" activeCell="R2" sqref="R2"/>
    </sheetView>
  </sheetViews>
  <sheetFormatPr defaultColWidth="9" defaultRowHeight="13.5"/>
  <cols>
    <col min="1" max="1" width="4.875" style="3213" customWidth="1"/>
    <col min="2" max="2" width="6.5" style="3213" customWidth="1"/>
    <col min="3" max="3" width="23.625" style="3213" bestFit="1" customWidth="1"/>
    <col min="4" max="4" width="10.875" style="3213" customWidth="1"/>
    <col min="5" max="5" width="11.875" style="3213" hidden="1" customWidth="1"/>
    <col min="6" max="6" width="9.875" style="3213" hidden="1" customWidth="1"/>
    <col min="7" max="7" width="9.375" style="3225" hidden="1" customWidth="1"/>
    <col min="8" max="8" width="13.25" style="3213" hidden="1" customWidth="1"/>
    <col min="9" max="10" width="12.5" style="3213" hidden="1" customWidth="1"/>
    <col min="11" max="11" width="11.5" style="3213" customWidth="1"/>
    <col min="12" max="12" width="10.25" style="3213" customWidth="1"/>
    <col min="13" max="13" width="10.625" style="3213" customWidth="1"/>
    <col min="14" max="14" width="11.625" style="3213" customWidth="1"/>
    <col min="15" max="15" width="12.75" style="3380" customWidth="1"/>
    <col min="16" max="16" width="10.5" style="3227" hidden="1" customWidth="1"/>
    <col min="17" max="17" width="11.75" style="3213" hidden="1" customWidth="1"/>
    <col min="18" max="18" width="10.75" style="3227" customWidth="1"/>
    <col min="19" max="19" width="17.25" style="3213" customWidth="1"/>
    <col min="20" max="21" width="9" style="3213" hidden="1" customWidth="1"/>
    <col min="22" max="22" width="16.625" style="3372" hidden="1" customWidth="1"/>
    <col min="23" max="23" width="17.625" style="3369" hidden="1" customWidth="1"/>
    <col min="24" max="24" width="20.75" style="3369" hidden="1" customWidth="1"/>
    <col min="25" max="25" width="17.25" style="3369" hidden="1" customWidth="1"/>
    <col min="26" max="26" width="11.375" style="3213" hidden="1" customWidth="1"/>
    <col min="27" max="27" width="38" style="3213" hidden="1" customWidth="1"/>
    <col min="28" max="28" width="17.375" style="3213" hidden="1" customWidth="1"/>
    <col min="29" max="29" width="12.5" style="3213" hidden="1" customWidth="1"/>
    <col min="30" max="31" width="0" style="3213" hidden="1" customWidth="1"/>
    <col min="32" max="16384" width="9" style="3213"/>
  </cols>
  <sheetData>
    <row r="1" spans="1:66" ht="40.5">
      <c r="A1" s="3363" t="s">
        <v>3442</v>
      </c>
      <c r="B1" s="3363" t="s">
        <v>3443</v>
      </c>
      <c r="C1" s="3363" t="s">
        <v>3444</v>
      </c>
      <c r="D1" s="3363" t="s">
        <v>3445</v>
      </c>
      <c r="E1" s="3363" t="s">
        <v>3446</v>
      </c>
      <c r="F1" s="3363" t="s">
        <v>3447</v>
      </c>
      <c r="G1" s="3367" t="s">
        <v>3416</v>
      </c>
      <c r="H1" s="3363" t="s">
        <v>3448</v>
      </c>
      <c r="I1" s="3363" t="s">
        <v>3449</v>
      </c>
      <c r="J1" s="3363" t="s">
        <v>3450</v>
      </c>
      <c r="K1" s="3363" t="s">
        <v>3452</v>
      </c>
      <c r="L1" s="3363" t="s">
        <v>3453</v>
      </c>
      <c r="M1" s="3363" t="s">
        <v>3926</v>
      </c>
      <c r="N1" s="3363" t="s">
        <v>3456</v>
      </c>
      <c r="O1" s="3378" t="s">
        <v>3927</v>
      </c>
      <c r="P1" s="3364" t="s">
        <v>3928</v>
      </c>
      <c r="Q1" s="3363" t="s">
        <v>3882</v>
      </c>
      <c r="R1" s="3364" t="s">
        <v>3929</v>
      </c>
      <c r="S1" s="3363" t="s">
        <v>3910</v>
      </c>
      <c r="V1" s="3363" t="s">
        <v>3936</v>
      </c>
      <c r="W1" s="3369" t="s">
        <v>3938</v>
      </c>
      <c r="X1" s="3369" t="s">
        <v>3940</v>
      </c>
      <c r="Y1" s="3369" t="s">
        <v>3942</v>
      </c>
      <c r="Z1" s="3369" t="s">
        <v>3944</v>
      </c>
      <c r="AA1" s="3369" t="s">
        <v>3945</v>
      </c>
      <c r="AB1" s="3369" t="s">
        <v>3951</v>
      </c>
      <c r="AC1" s="3369" t="s">
        <v>3947</v>
      </c>
      <c r="AD1" s="3213" t="s">
        <v>3948</v>
      </c>
    </row>
    <row r="2" spans="1:66" ht="27">
      <c r="A2" s="3208">
        <v>12</v>
      </c>
      <c r="B2" s="3208" t="s">
        <v>3461</v>
      </c>
      <c r="C2" s="3208" t="s">
        <v>3462</v>
      </c>
      <c r="D2" s="3221">
        <v>7</v>
      </c>
      <c r="E2" s="3222">
        <v>101</v>
      </c>
      <c r="F2" s="3208">
        <v>44</v>
      </c>
      <c r="G2" s="3208">
        <v>122.87</v>
      </c>
      <c r="H2" s="3334">
        <f ca="1">ROUND(M2*$Q$2,2)</f>
        <v>109.97</v>
      </c>
      <c r="I2" s="3208">
        <v>123.31</v>
      </c>
      <c r="J2" s="3208">
        <v>70.760000000000005</v>
      </c>
      <c r="K2" s="3208">
        <f t="shared" ref="K2:K17" si="0">I2+J2</f>
        <v>194.07</v>
      </c>
      <c r="L2" s="3208">
        <v>253.4</v>
      </c>
      <c r="M2" s="3208">
        <f t="shared" ref="M2:M17" si="1">I2+J2+L2</f>
        <v>447.47</v>
      </c>
      <c r="N2" s="3238">
        <v>44981</v>
      </c>
      <c r="O2" s="3379">
        <v>1470.7482</v>
      </c>
      <c r="P2" s="3223">
        <f t="shared" ref="P2:P17" si="2">O2/M2*10000</f>
        <v>32868.085011285671</v>
      </c>
      <c r="Q2" s="3339">
        <f t="shared" ref="Q2:Q17" ca="1" si="3">H2/M2</f>
        <v>0.2457594922564641</v>
      </c>
      <c r="R2" s="3377">
        <f ca="1">VLOOKUP(D2,房源修正表!$D$1:$AL$49,34,0)/10000</f>
        <v>337.95958000000002</v>
      </c>
      <c r="S2" s="3338">
        <f t="shared" ref="S2:S17" ca="1" si="4">R2/O2</f>
        <v>0.22978751903282971</v>
      </c>
      <c r="T2" s="3243">
        <f t="shared" ref="T2:T17" ca="1" si="5">R2/L2</f>
        <v>1.3337000000000001</v>
      </c>
      <c r="U2" s="3243">
        <f t="shared" ref="U2:U17" ca="1" si="6">R2/M2</f>
        <v>0.75526757101034703</v>
      </c>
      <c r="V2" s="3370" t="s">
        <v>3937</v>
      </c>
      <c r="W2" s="3370" t="s">
        <v>3939</v>
      </c>
      <c r="X2" s="3373" t="s">
        <v>3941</v>
      </c>
      <c r="Y2" s="3371" t="s">
        <v>3943</v>
      </c>
      <c r="Z2" s="3213">
        <v>2023080232</v>
      </c>
      <c r="AA2" s="3371" t="s">
        <v>3946</v>
      </c>
      <c r="AB2" s="3374">
        <v>44981</v>
      </c>
      <c r="AC2" s="3213" t="s">
        <v>3984</v>
      </c>
      <c r="AD2" s="3213" t="s">
        <v>3949</v>
      </c>
      <c r="AG2" s="3213">
        <f>L2/K2</f>
        <v>1.3057144329365693</v>
      </c>
    </row>
    <row r="3" spans="1:66" ht="27">
      <c r="A3" s="3208">
        <v>10</v>
      </c>
      <c r="B3" s="3208" t="s">
        <v>3464</v>
      </c>
      <c r="C3" s="3208" t="s">
        <v>3462</v>
      </c>
      <c r="D3" s="3221">
        <v>8</v>
      </c>
      <c r="E3" s="3222">
        <v>101</v>
      </c>
      <c r="F3" s="3208">
        <v>51</v>
      </c>
      <c r="G3" s="3208">
        <v>122.87</v>
      </c>
      <c r="H3" s="3334">
        <v>109.97</v>
      </c>
      <c r="I3" s="3208">
        <v>123.31</v>
      </c>
      <c r="J3" s="3208">
        <v>70.760000000000005</v>
      </c>
      <c r="K3" s="3208">
        <f t="shared" si="0"/>
        <v>194.07</v>
      </c>
      <c r="L3" s="3208">
        <v>253.4</v>
      </c>
      <c r="M3" s="3208">
        <f t="shared" si="1"/>
        <v>447.47</v>
      </c>
      <c r="N3" s="3238">
        <v>45446</v>
      </c>
      <c r="O3" s="3379">
        <v>1377.7284999999999</v>
      </c>
      <c r="P3" s="3223">
        <f t="shared" si="2"/>
        <v>30789.293136970075</v>
      </c>
      <c r="Q3" s="3339">
        <f t="shared" si="3"/>
        <v>0.2457594922564641</v>
      </c>
      <c r="R3" s="3377">
        <f ca="1">VLOOKUP(D3,房源修正表!$D$1:$AL$49,34,0)/10000</f>
        <v>305.32166000000001</v>
      </c>
      <c r="S3" s="3338">
        <f t="shared" ca="1" si="4"/>
        <v>0.22161235686131195</v>
      </c>
      <c r="T3" s="3243">
        <f t="shared" ca="1" si="5"/>
        <v>1.2049000000000001</v>
      </c>
      <c r="U3" s="3243">
        <f t="shared" ca="1" si="6"/>
        <v>0.68232878181777545</v>
      </c>
      <c r="V3" s="3370" t="s">
        <v>3937</v>
      </c>
      <c r="W3" s="3370" t="s">
        <v>3993</v>
      </c>
      <c r="X3" s="3373" t="s">
        <v>3994</v>
      </c>
      <c r="Y3" s="3371" t="s">
        <v>3943</v>
      </c>
      <c r="Z3" s="3213">
        <v>2023080671</v>
      </c>
      <c r="AA3" s="3371" t="s">
        <v>3978</v>
      </c>
      <c r="AB3" s="3374">
        <v>45446</v>
      </c>
      <c r="AC3" s="3213" t="s">
        <v>3979</v>
      </c>
      <c r="AD3" s="3213" t="s">
        <v>3980</v>
      </c>
      <c r="AG3" s="3213">
        <f t="shared" ref="AG3:AG17" si="7">L3/K3</f>
        <v>1.3057144329365693</v>
      </c>
    </row>
    <row r="4" spans="1:66" ht="27">
      <c r="A4" s="3208">
        <v>13</v>
      </c>
      <c r="B4" s="3208" t="s">
        <v>3461</v>
      </c>
      <c r="C4" s="3208" t="s">
        <v>3462</v>
      </c>
      <c r="D4" s="3221">
        <v>10</v>
      </c>
      <c r="E4" s="3222">
        <v>101</v>
      </c>
      <c r="F4" s="3208">
        <v>43</v>
      </c>
      <c r="G4" s="3208">
        <v>122.87</v>
      </c>
      <c r="H4" s="3334">
        <v>109.97</v>
      </c>
      <c r="I4" s="3208">
        <v>123.31</v>
      </c>
      <c r="J4" s="3208">
        <v>70.760000000000005</v>
      </c>
      <c r="K4" s="3208">
        <f t="shared" si="0"/>
        <v>194.07</v>
      </c>
      <c r="L4" s="3208">
        <v>253.4</v>
      </c>
      <c r="M4" s="3208">
        <f t="shared" si="1"/>
        <v>447.47</v>
      </c>
      <c r="N4" s="3238">
        <v>45320</v>
      </c>
      <c r="O4" s="3379">
        <v>1521.0175999999999</v>
      </c>
      <c r="P4" s="3223">
        <f t="shared" si="2"/>
        <v>33991.498871432719</v>
      </c>
      <c r="Q4" s="3339">
        <f t="shared" si="3"/>
        <v>0.2457594922564641</v>
      </c>
      <c r="R4" s="3377">
        <f ca="1">VLOOKUP(D4,房源修正表!$D$1:$AL$49,34,0)/10000</f>
        <v>355.59622000000002</v>
      </c>
      <c r="S4" s="3338">
        <f t="shared" ca="1" si="4"/>
        <v>0.23378836641995468</v>
      </c>
      <c r="T4" s="3243">
        <f t="shared" ca="1" si="5"/>
        <v>1.4033</v>
      </c>
      <c r="U4" s="3243">
        <f t="shared" ca="1" si="6"/>
        <v>0.79468169933179877</v>
      </c>
      <c r="V4" s="3370" t="s">
        <v>3937</v>
      </c>
      <c r="W4" s="3370" t="s">
        <v>3939</v>
      </c>
      <c r="X4" s="3373" t="s">
        <v>3941</v>
      </c>
      <c r="Y4" s="3371" t="s">
        <v>3943</v>
      </c>
      <c r="Z4" s="3213">
        <v>2023080231</v>
      </c>
      <c r="AA4" s="3371" t="s">
        <v>3952</v>
      </c>
      <c r="AB4" s="3374">
        <v>45320</v>
      </c>
      <c r="AC4" s="3213" t="s">
        <v>3985</v>
      </c>
      <c r="AD4" s="3213" t="s">
        <v>3950</v>
      </c>
      <c r="AG4" s="3213">
        <f t="shared" si="7"/>
        <v>1.3057144329365693</v>
      </c>
    </row>
    <row r="5" spans="1:66" ht="27">
      <c r="A5" s="3208">
        <v>7</v>
      </c>
      <c r="B5" s="3208" t="s">
        <v>3461</v>
      </c>
      <c r="C5" s="3208" t="s">
        <v>3462</v>
      </c>
      <c r="D5" s="3221">
        <v>14</v>
      </c>
      <c r="E5" s="3222">
        <v>101</v>
      </c>
      <c r="F5" s="3208">
        <v>41</v>
      </c>
      <c r="G5" s="3208">
        <v>122.87</v>
      </c>
      <c r="H5" s="3334">
        <f ca="1">ROUND(M5*$Q$2,2)</f>
        <v>110.39</v>
      </c>
      <c r="I5" s="3208">
        <v>123.31</v>
      </c>
      <c r="J5" s="3208">
        <v>70.760000000000005</v>
      </c>
      <c r="K5" s="3208">
        <f t="shared" si="0"/>
        <v>194.07</v>
      </c>
      <c r="L5" s="3208">
        <v>255.11</v>
      </c>
      <c r="M5" s="3208">
        <f t="shared" si="1"/>
        <v>449.18</v>
      </c>
      <c r="N5" s="3238">
        <v>45156</v>
      </c>
      <c r="O5" s="3379">
        <v>1262.8794</v>
      </c>
      <c r="P5" s="3223">
        <f t="shared" si="2"/>
        <v>28115.21884322543</v>
      </c>
      <c r="Q5" s="3339">
        <f t="shared" ca="1" si="3"/>
        <v>0.24575893851017408</v>
      </c>
      <c r="R5" s="3377">
        <f ca="1">VLOOKUP(D5,房源修正表!$D$1:$AL$49,34,0)/10000</f>
        <v>265.77359799999999</v>
      </c>
      <c r="S5" s="3338">
        <f t="shared" ca="1" si="4"/>
        <v>0.21045049749010078</v>
      </c>
      <c r="T5" s="3243">
        <f t="shared" ca="1" si="5"/>
        <v>1.0417999999999998</v>
      </c>
      <c r="U5" s="3243">
        <f t="shared" ca="1" si="6"/>
        <v>0.59168617925998479</v>
      </c>
      <c r="V5" s="3370" t="s">
        <v>3937</v>
      </c>
      <c r="W5" s="3370" t="s">
        <v>3939</v>
      </c>
      <c r="X5" s="3373" t="s">
        <v>3941</v>
      </c>
      <c r="Y5" s="3371" t="s">
        <v>3943</v>
      </c>
      <c r="Z5" s="3213">
        <v>2023080229</v>
      </c>
      <c r="AA5" s="3371" t="s">
        <v>3953</v>
      </c>
      <c r="AB5" s="3374">
        <v>45156</v>
      </c>
      <c r="AC5" s="3213" t="s">
        <v>3955</v>
      </c>
      <c r="AD5" s="3213" t="s">
        <v>3954</v>
      </c>
      <c r="AF5" s="3225"/>
      <c r="AG5" s="3213">
        <f t="shared" si="7"/>
        <v>1.3145256866079251</v>
      </c>
      <c r="AH5" s="3225"/>
      <c r="AI5" s="3225"/>
      <c r="AJ5" s="3225"/>
      <c r="AK5" s="3225"/>
      <c r="AL5" s="3225"/>
      <c r="AM5" s="3225"/>
      <c r="AN5" s="3225"/>
      <c r="AO5" s="3225"/>
      <c r="AP5" s="3225"/>
      <c r="AQ5" s="3225"/>
      <c r="AR5" s="3225"/>
      <c r="AS5" s="3225"/>
      <c r="AT5" s="3225"/>
      <c r="AU5" s="3225"/>
      <c r="AV5" s="3225"/>
      <c r="AW5" s="3225"/>
      <c r="AX5" s="3225"/>
      <c r="AY5" s="3225"/>
      <c r="AZ5" s="3225"/>
      <c r="BA5" s="3225"/>
      <c r="BB5" s="3225"/>
      <c r="BC5" s="3225"/>
      <c r="BD5" s="3225"/>
      <c r="BE5" s="3225"/>
      <c r="BF5" s="3225"/>
      <c r="BG5" s="3225"/>
      <c r="BH5" s="3225"/>
      <c r="BI5" s="3225"/>
      <c r="BJ5" s="3225"/>
      <c r="BK5" s="3225"/>
      <c r="BL5" s="3225"/>
      <c r="BM5" s="3225"/>
      <c r="BN5" s="3225"/>
    </row>
    <row r="6" spans="1:66" s="3225" customFormat="1" ht="27">
      <c r="A6" s="3208">
        <v>15</v>
      </c>
      <c r="B6" s="3208" t="s">
        <v>3464</v>
      </c>
      <c r="C6" s="3208" t="s">
        <v>3462</v>
      </c>
      <c r="D6" s="3221">
        <v>31</v>
      </c>
      <c r="E6" s="3222">
        <v>101</v>
      </c>
      <c r="F6" s="3208">
        <v>104</v>
      </c>
      <c r="G6" s="3208">
        <v>199.49</v>
      </c>
      <c r="H6" s="3334">
        <f ca="1">ROUND(M6*$Q$2,2)</f>
        <v>193.02</v>
      </c>
      <c r="I6" s="3208">
        <v>199.67</v>
      </c>
      <c r="J6" s="3208">
        <v>134.57</v>
      </c>
      <c r="K6" s="3208">
        <f t="shared" si="0"/>
        <v>334.24</v>
      </c>
      <c r="L6" s="3208">
        <v>451.21</v>
      </c>
      <c r="M6" s="3208">
        <f t="shared" si="1"/>
        <v>785.45</v>
      </c>
      <c r="N6" s="3238">
        <v>44941</v>
      </c>
      <c r="O6" s="3379">
        <v>2624.7078000000001</v>
      </c>
      <c r="P6" s="3223">
        <f t="shared" si="2"/>
        <v>33416.612133172064</v>
      </c>
      <c r="Q6" s="3339">
        <f t="shared" ca="1" si="3"/>
        <v>0.24574447768794958</v>
      </c>
      <c r="R6" s="3377">
        <f ca="1">VLOOKUP(D6,房源修正表!$D$1:$AL$49,34,0)/10000</f>
        <v>506.39298300000002</v>
      </c>
      <c r="S6" s="3338">
        <f t="shared" ca="1" si="4"/>
        <v>0.19293308878039681</v>
      </c>
      <c r="T6" s="3243">
        <f t="shared" ca="1" si="5"/>
        <v>1.1223000000000001</v>
      </c>
      <c r="U6" s="3243">
        <f t="shared" ca="1" si="6"/>
        <v>0.64471701954293714</v>
      </c>
      <c r="V6" s="3370" t="s">
        <v>3937</v>
      </c>
      <c r="W6" s="3370" t="s">
        <v>3993</v>
      </c>
      <c r="X6" s="3373" t="s">
        <v>3994</v>
      </c>
      <c r="Y6" s="3371" t="s">
        <v>3943</v>
      </c>
      <c r="Z6" s="3213">
        <v>2023080555</v>
      </c>
      <c r="AA6" s="3371" t="s">
        <v>3981</v>
      </c>
      <c r="AB6" s="3374">
        <v>44941</v>
      </c>
      <c r="AC6" s="3213" t="s">
        <v>3982</v>
      </c>
      <c r="AD6" s="3213" t="s">
        <v>3986</v>
      </c>
      <c r="AE6" s="3213"/>
      <c r="AG6" s="3213">
        <f t="shared" si="7"/>
        <v>1.34995811393011</v>
      </c>
    </row>
    <row r="7" spans="1:66" s="3225" customFormat="1" ht="27">
      <c r="A7" s="3208">
        <v>16</v>
      </c>
      <c r="B7" s="3208" t="s">
        <v>3464</v>
      </c>
      <c r="C7" s="3208" t="s">
        <v>3462</v>
      </c>
      <c r="D7" s="3221">
        <v>48</v>
      </c>
      <c r="E7" s="3222">
        <v>101</v>
      </c>
      <c r="F7" s="3208">
        <v>108</v>
      </c>
      <c r="G7" s="3208">
        <v>199.49</v>
      </c>
      <c r="H7" s="3334">
        <v>168.91</v>
      </c>
      <c r="I7" s="3208">
        <v>199.67</v>
      </c>
      <c r="J7" s="3208">
        <v>134.57</v>
      </c>
      <c r="K7" s="3208">
        <f t="shared" si="0"/>
        <v>334.24</v>
      </c>
      <c r="L7" s="3208">
        <v>353.1</v>
      </c>
      <c r="M7" s="3208">
        <f t="shared" si="1"/>
        <v>687.34</v>
      </c>
      <c r="N7" s="3238">
        <v>45585</v>
      </c>
      <c r="O7" s="3379">
        <v>2784.9094</v>
      </c>
      <c r="P7" s="3223">
        <f t="shared" si="2"/>
        <v>40517.202548956848</v>
      </c>
      <c r="Q7" s="3339">
        <f t="shared" si="3"/>
        <v>0.24574446416620593</v>
      </c>
      <c r="R7" s="3377">
        <f ca="1">VLOOKUP(D7,房源修正表!$D$1:$AL$49,34,0)/10000</f>
        <v>485.65374000000003</v>
      </c>
      <c r="S7" s="3338">
        <f t="shared" ca="1" si="4"/>
        <v>0.17438762639818733</v>
      </c>
      <c r="T7" s="3243">
        <f t="shared" ca="1" si="5"/>
        <v>1.3754</v>
      </c>
      <c r="U7" s="3243">
        <f t="shared" ca="1" si="6"/>
        <v>0.70656987808071703</v>
      </c>
      <c r="V7" s="3370" t="s">
        <v>3937</v>
      </c>
      <c r="W7" s="3370" t="s">
        <v>3993</v>
      </c>
      <c r="X7" s="3373" t="s">
        <v>3994</v>
      </c>
      <c r="Y7" s="3371" t="s">
        <v>3943</v>
      </c>
      <c r="Z7" s="3213">
        <v>2023080548</v>
      </c>
      <c r="AA7" s="3371" t="s">
        <v>3988</v>
      </c>
      <c r="AB7" s="3374">
        <v>45585</v>
      </c>
      <c r="AC7" s="3213" t="s">
        <v>3992</v>
      </c>
      <c r="AD7" s="3213" t="s">
        <v>3989</v>
      </c>
      <c r="AE7" s="3213"/>
      <c r="AG7" s="3213">
        <f t="shared" si="7"/>
        <v>1.0564265198659646</v>
      </c>
    </row>
    <row r="8" spans="1:66" ht="27">
      <c r="A8" s="3208">
        <v>1</v>
      </c>
      <c r="B8" s="3208" t="s">
        <v>3461</v>
      </c>
      <c r="C8" s="3208" t="s">
        <v>3462</v>
      </c>
      <c r="D8" s="3221">
        <v>80</v>
      </c>
      <c r="E8" s="3222">
        <v>101</v>
      </c>
      <c r="F8" s="3208">
        <v>39</v>
      </c>
      <c r="G8" s="3208">
        <v>122.87</v>
      </c>
      <c r="H8" s="3334">
        <v>97.58</v>
      </c>
      <c r="I8" s="3208">
        <v>123.31</v>
      </c>
      <c r="J8" s="3208">
        <v>70.760000000000005</v>
      </c>
      <c r="K8" s="3208">
        <f t="shared" si="0"/>
        <v>194.07</v>
      </c>
      <c r="L8" s="3208">
        <v>203</v>
      </c>
      <c r="M8" s="3208">
        <f t="shared" si="1"/>
        <v>397.07</v>
      </c>
      <c r="N8" s="3238">
        <v>45174</v>
      </c>
      <c r="O8" s="3379">
        <v>1067.2199000000001</v>
      </c>
      <c r="P8" s="3223">
        <f t="shared" si="2"/>
        <v>26877.374266502131</v>
      </c>
      <c r="Q8" s="3339">
        <f t="shared" si="3"/>
        <v>0.24575011962626236</v>
      </c>
      <c r="R8" s="3377">
        <f ca="1">VLOOKUP(D8,房源修正表!$D$1:$AL$49,34,0)/10000</f>
        <v>179.81739999999999</v>
      </c>
      <c r="S8" s="3338">
        <f t="shared" ca="1" si="4"/>
        <v>0.16849142337019762</v>
      </c>
      <c r="T8" s="3243">
        <f t="shared" ca="1" si="5"/>
        <v>0.88579999999999992</v>
      </c>
      <c r="U8" s="3243">
        <f t="shared" ca="1" si="6"/>
        <v>0.45286070466164657</v>
      </c>
      <c r="V8" s="3370" t="s">
        <v>3937</v>
      </c>
      <c r="W8" s="3370" t="s">
        <v>3939</v>
      </c>
      <c r="X8" s="3373" t="s">
        <v>3941</v>
      </c>
      <c r="Y8" s="3371" t="s">
        <v>3943</v>
      </c>
      <c r="Z8" s="3213">
        <v>2023080227</v>
      </c>
      <c r="AA8" s="3371" t="s">
        <v>3956</v>
      </c>
      <c r="AB8" s="3374">
        <v>45174</v>
      </c>
      <c r="AC8" s="3213" t="s">
        <v>3957</v>
      </c>
      <c r="AD8" s="3371" t="s">
        <v>3995</v>
      </c>
      <c r="AE8" s="3213" t="s">
        <v>3996</v>
      </c>
      <c r="AG8" s="3213">
        <f t="shared" si="7"/>
        <v>1.046014324728191</v>
      </c>
    </row>
    <row r="9" spans="1:66" ht="27">
      <c r="A9" s="3208">
        <v>5</v>
      </c>
      <c r="B9" s="3208" t="s">
        <v>3461</v>
      </c>
      <c r="C9" s="3208" t="s">
        <v>3462</v>
      </c>
      <c r="D9" s="3221">
        <v>85</v>
      </c>
      <c r="E9" s="3222">
        <v>101</v>
      </c>
      <c r="F9" s="3208">
        <v>34</v>
      </c>
      <c r="G9" s="3208">
        <v>122.87</v>
      </c>
      <c r="H9" s="3208">
        <v>98.27</v>
      </c>
      <c r="I9" s="3208">
        <v>123.31</v>
      </c>
      <c r="J9" s="3208">
        <v>70.760000000000005</v>
      </c>
      <c r="K9" s="3208">
        <f t="shared" si="0"/>
        <v>194.07</v>
      </c>
      <c r="L9" s="3208">
        <v>205.8</v>
      </c>
      <c r="M9" s="3208">
        <f t="shared" si="1"/>
        <v>399.87</v>
      </c>
      <c r="N9" s="3238">
        <v>45128</v>
      </c>
      <c r="O9" s="3379">
        <v>1209.0226</v>
      </c>
      <c r="P9" s="3223">
        <f t="shared" si="2"/>
        <v>30235.391502238228</v>
      </c>
      <c r="Q9" s="3336">
        <f t="shared" si="3"/>
        <v>0.24575487033285817</v>
      </c>
      <c r="R9" s="3377">
        <f ca="1">VLOOKUP(D9,房源修正表!$D$1:$AL$49,34,0)/10000</f>
        <v>224.19852000000003</v>
      </c>
      <c r="S9" s="3338">
        <f t="shared" ca="1" si="4"/>
        <v>0.18543782390833721</v>
      </c>
      <c r="T9" s="3243">
        <f t="shared" ca="1" si="5"/>
        <v>1.0894000000000001</v>
      </c>
      <c r="U9" s="3243">
        <f t="shared" ca="1" si="6"/>
        <v>0.56067852051916878</v>
      </c>
      <c r="V9" s="3370" t="s">
        <v>3937</v>
      </c>
      <c r="W9" s="3370" t="s">
        <v>3939</v>
      </c>
      <c r="X9" s="3373" t="s">
        <v>3941</v>
      </c>
      <c r="Y9" s="3371" t="s">
        <v>3943</v>
      </c>
      <c r="Z9" s="3225">
        <v>2023080222</v>
      </c>
      <c r="AA9" s="3225" t="s">
        <v>3958</v>
      </c>
      <c r="AB9" s="3375">
        <v>45128</v>
      </c>
      <c r="AC9" s="3225"/>
      <c r="AD9" s="3225" t="s">
        <v>3959</v>
      </c>
      <c r="AE9" s="3225"/>
      <c r="AG9" s="3213">
        <f t="shared" si="7"/>
        <v>1.0604421085175453</v>
      </c>
    </row>
    <row r="10" spans="1:66" ht="27">
      <c r="A10" s="3208">
        <v>4</v>
      </c>
      <c r="B10" s="3208" t="s">
        <v>3461</v>
      </c>
      <c r="C10" s="3208" t="s">
        <v>3462</v>
      </c>
      <c r="D10" s="3221">
        <v>86</v>
      </c>
      <c r="E10" s="3222">
        <v>101</v>
      </c>
      <c r="F10" s="3208">
        <v>33</v>
      </c>
      <c r="G10" s="3208">
        <v>122.87</v>
      </c>
      <c r="H10" s="3334">
        <f ca="1">ROUND(M10*$Q$2,2)</f>
        <v>98.27</v>
      </c>
      <c r="I10" s="3208">
        <v>123.31</v>
      </c>
      <c r="J10" s="3208">
        <v>70.760000000000005</v>
      </c>
      <c r="K10" s="3208">
        <f t="shared" si="0"/>
        <v>194.07</v>
      </c>
      <c r="L10" s="3208">
        <v>205.8</v>
      </c>
      <c r="M10" s="3208">
        <f t="shared" si="1"/>
        <v>399.87</v>
      </c>
      <c r="N10" s="3238">
        <v>45162</v>
      </c>
      <c r="O10" s="3379">
        <v>1197.7209</v>
      </c>
      <c r="P10" s="3223">
        <f t="shared" si="2"/>
        <v>29952.757146072476</v>
      </c>
      <c r="Q10" s="3339">
        <f t="shared" ca="1" si="3"/>
        <v>0.24575487033285817</v>
      </c>
      <c r="R10" s="3377">
        <f ca="1">VLOOKUP(D10,房源修正表!$D$1:$AL$49,34,0)/10000</f>
        <v>220.76166000000001</v>
      </c>
      <c r="S10" s="3338">
        <f t="shared" ca="1" si="4"/>
        <v>0.18431811618215896</v>
      </c>
      <c r="T10" s="3243">
        <f t="shared" ca="1" si="5"/>
        <v>1.0727</v>
      </c>
      <c r="U10" s="3243">
        <f t="shared" ca="1" si="6"/>
        <v>0.55208357716257783</v>
      </c>
      <c r="V10" s="3370" t="s">
        <v>3937</v>
      </c>
      <c r="W10" s="3370" t="s">
        <v>3939</v>
      </c>
      <c r="X10" s="3373" t="s">
        <v>3941</v>
      </c>
      <c r="Y10" s="3371" t="s">
        <v>3943</v>
      </c>
      <c r="Z10" s="3225">
        <v>2023080221</v>
      </c>
      <c r="AA10" s="3225" t="s">
        <v>3960</v>
      </c>
      <c r="AB10" s="3375">
        <v>45162</v>
      </c>
      <c r="AC10" s="3225" t="s">
        <v>3961</v>
      </c>
      <c r="AD10" s="3225" t="s">
        <v>3962</v>
      </c>
      <c r="AE10" s="3225"/>
      <c r="AG10" s="3213">
        <f t="shared" si="7"/>
        <v>1.0604421085175453</v>
      </c>
    </row>
    <row r="11" spans="1:66" ht="27">
      <c r="A11" s="3208">
        <v>3</v>
      </c>
      <c r="B11" s="3208" t="s">
        <v>3461</v>
      </c>
      <c r="C11" s="3208" t="s">
        <v>3462</v>
      </c>
      <c r="D11" s="3221">
        <v>87</v>
      </c>
      <c r="E11" s="3222">
        <v>101</v>
      </c>
      <c r="F11" s="3222">
        <v>32</v>
      </c>
      <c r="G11" s="3208">
        <v>122.87</v>
      </c>
      <c r="H11" s="3208">
        <v>98.27</v>
      </c>
      <c r="I11" s="3208">
        <v>123.31</v>
      </c>
      <c r="J11" s="3208">
        <v>70.760000000000005</v>
      </c>
      <c r="K11" s="3208">
        <f t="shared" si="0"/>
        <v>194.07</v>
      </c>
      <c r="L11" s="3208">
        <v>205.8</v>
      </c>
      <c r="M11" s="3208">
        <f t="shared" si="1"/>
        <v>399.87</v>
      </c>
      <c r="N11" s="3238">
        <v>44783</v>
      </c>
      <c r="O11" s="3379">
        <v>1166.1550999999999</v>
      </c>
      <c r="P11" s="3223">
        <f t="shared" si="2"/>
        <v>29163.355590566931</v>
      </c>
      <c r="Q11" s="3336">
        <f t="shared" si="3"/>
        <v>0.24575487033285817</v>
      </c>
      <c r="R11" s="3377">
        <f ca="1">VLOOKUP(D11,房源修正表!$D$1:$AL$49,34,0)/10000</f>
        <v>211.13022000000001</v>
      </c>
      <c r="S11" s="3338">
        <f t="shared" ca="1" si="4"/>
        <v>0.18104814702606883</v>
      </c>
      <c r="T11" s="3243">
        <f t="shared" ca="1" si="5"/>
        <v>1.0259</v>
      </c>
      <c r="U11" s="3243">
        <f t="shared" ca="1" si="6"/>
        <v>0.52799714907344886</v>
      </c>
      <c r="V11" s="3370" t="s">
        <v>3937</v>
      </c>
      <c r="W11" s="3370" t="s">
        <v>3939</v>
      </c>
      <c r="X11" s="3373" t="s">
        <v>3941</v>
      </c>
      <c r="Y11" s="3371" t="s">
        <v>3943</v>
      </c>
      <c r="Z11" s="3213">
        <v>2023080220</v>
      </c>
      <c r="AA11" s="3213" t="s">
        <v>3963</v>
      </c>
      <c r="AB11" s="3374">
        <v>44783</v>
      </c>
      <c r="AC11" s="3213" t="s">
        <v>3964</v>
      </c>
      <c r="AD11" s="3213" t="s">
        <v>3965</v>
      </c>
      <c r="AG11" s="3213">
        <f t="shared" si="7"/>
        <v>1.0604421085175453</v>
      </c>
    </row>
    <row r="12" spans="1:66" ht="27">
      <c r="A12" s="3208">
        <v>2</v>
      </c>
      <c r="B12" s="3208" t="s">
        <v>3461</v>
      </c>
      <c r="C12" s="3208" t="s">
        <v>3462</v>
      </c>
      <c r="D12" s="3221">
        <v>88</v>
      </c>
      <c r="E12" s="3222">
        <v>101</v>
      </c>
      <c r="F12" s="3208">
        <v>31</v>
      </c>
      <c r="G12" s="3208">
        <v>122.87</v>
      </c>
      <c r="H12" s="3334">
        <f ca="1">ROUND(M12*$Q$2,2)</f>
        <v>98.27</v>
      </c>
      <c r="I12" s="3208">
        <v>123.31</v>
      </c>
      <c r="J12" s="3208">
        <v>70.760000000000005</v>
      </c>
      <c r="K12" s="3208">
        <f t="shared" si="0"/>
        <v>194.07</v>
      </c>
      <c r="L12" s="3208">
        <v>205.8</v>
      </c>
      <c r="M12" s="3208">
        <f t="shared" si="1"/>
        <v>399.87</v>
      </c>
      <c r="N12" s="3238">
        <v>45014</v>
      </c>
      <c r="O12" s="3379">
        <v>1124.923</v>
      </c>
      <c r="P12" s="3223">
        <f t="shared" si="2"/>
        <v>28132.217970840524</v>
      </c>
      <c r="Q12" s="3339">
        <f t="shared" ca="1" si="3"/>
        <v>0.24575487033285817</v>
      </c>
      <c r="R12" s="3377">
        <f ca="1">VLOOKUP(D12,房源修正表!$D$1:$AL$49,34,0)/10000</f>
        <v>198.55584000000002</v>
      </c>
      <c r="S12" s="3338">
        <f t="shared" ca="1" si="4"/>
        <v>0.17650616086612153</v>
      </c>
      <c r="T12" s="3243">
        <f t="shared" ca="1" si="5"/>
        <v>0.96479999999999999</v>
      </c>
      <c r="U12" s="3243">
        <f t="shared" ca="1" si="6"/>
        <v>0.49655097906819723</v>
      </c>
      <c r="V12" s="3370" t="s">
        <v>3937</v>
      </c>
      <c r="W12" s="3370" t="s">
        <v>3939</v>
      </c>
      <c r="X12" s="3373" t="s">
        <v>3941</v>
      </c>
      <c r="Y12" s="3371" t="s">
        <v>3943</v>
      </c>
      <c r="Z12" s="3213">
        <v>2023080219</v>
      </c>
      <c r="AA12" s="3213" t="s">
        <v>3966</v>
      </c>
      <c r="AB12" s="3374">
        <v>45014</v>
      </c>
      <c r="AC12" s="3213" t="s">
        <v>3967</v>
      </c>
      <c r="AD12" s="3213" t="s">
        <v>3968</v>
      </c>
      <c r="AG12" s="3213">
        <f t="shared" si="7"/>
        <v>1.0604421085175453</v>
      </c>
    </row>
    <row r="13" spans="1:66" ht="27">
      <c r="A13" s="3208">
        <v>9</v>
      </c>
      <c r="B13" s="3208" t="s">
        <v>3461</v>
      </c>
      <c r="C13" s="3208" t="s">
        <v>3462</v>
      </c>
      <c r="D13" s="3221">
        <v>98</v>
      </c>
      <c r="E13" s="3222">
        <v>101</v>
      </c>
      <c r="F13" s="3208">
        <v>23</v>
      </c>
      <c r="G13" s="3208">
        <v>122.87</v>
      </c>
      <c r="H13" s="3334">
        <f ca="1">ROUND(M13*$Q$2,2)</f>
        <v>109.97</v>
      </c>
      <c r="I13" s="3208">
        <v>123.31</v>
      </c>
      <c r="J13" s="3208">
        <v>70.760000000000005</v>
      </c>
      <c r="K13" s="3208">
        <f t="shared" si="0"/>
        <v>194.07</v>
      </c>
      <c r="L13" s="3208">
        <v>253.4</v>
      </c>
      <c r="M13" s="3208">
        <f t="shared" si="1"/>
        <v>447.47</v>
      </c>
      <c r="N13" s="3238">
        <v>44528</v>
      </c>
      <c r="O13" s="3379">
        <v>1285.1251999999999</v>
      </c>
      <c r="P13" s="3223">
        <f t="shared" si="2"/>
        <v>28719.806914430013</v>
      </c>
      <c r="Q13" s="3339">
        <f t="shared" ca="1" si="3"/>
        <v>0.2457594922564641</v>
      </c>
      <c r="R13" s="3377">
        <f ca="1">VLOOKUP(D13,房源修正表!$D$1:$AL$49,34,0)/10000</f>
        <v>272.83578</v>
      </c>
      <c r="S13" s="3338">
        <f t="shared" ca="1" si="4"/>
        <v>0.21230287912804138</v>
      </c>
      <c r="T13" s="3243">
        <f t="shared" ca="1" si="5"/>
        <v>1.0767</v>
      </c>
      <c r="U13" s="3243">
        <f t="shared" ca="1" si="6"/>
        <v>0.60972976959349223</v>
      </c>
      <c r="V13" s="3370" t="s">
        <v>3937</v>
      </c>
      <c r="W13" s="3370" t="s">
        <v>3939</v>
      </c>
      <c r="X13" s="3373" t="s">
        <v>3941</v>
      </c>
      <c r="Y13" s="3371" t="s">
        <v>3943</v>
      </c>
      <c r="Z13" s="3213">
        <v>2023080207</v>
      </c>
      <c r="AA13" s="3371" t="s">
        <v>3969</v>
      </c>
      <c r="AB13" s="3374">
        <v>44528</v>
      </c>
      <c r="AC13" s="3213" t="s">
        <v>3970</v>
      </c>
      <c r="AD13" s="3213" t="s">
        <v>3971</v>
      </c>
      <c r="AG13" s="3213">
        <f t="shared" si="7"/>
        <v>1.3057144329365693</v>
      </c>
    </row>
    <row r="14" spans="1:66" ht="27">
      <c r="A14" s="3208">
        <v>14</v>
      </c>
      <c r="B14" s="3208" t="s">
        <v>3464</v>
      </c>
      <c r="C14" s="3208" t="s">
        <v>3462</v>
      </c>
      <c r="D14" s="3221">
        <v>100</v>
      </c>
      <c r="E14" s="3222">
        <v>101</v>
      </c>
      <c r="F14" s="3208">
        <v>122</v>
      </c>
      <c r="G14" s="3208">
        <v>153.27000000000001</v>
      </c>
      <c r="H14" s="3334">
        <v>136.96</v>
      </c>
      <c r="I14" s="3208">
        <v>153.61000000000001</v>
      </c>
      <c r="J14" s="3208">
        <v>92.47</v>
      </c>
      <c r="K14" s="3208">
        <f t="shared" si="0"/>
        <v>246.08</v>
      </c>
      <c r="L14" s="3208">
        <v>311.24</v>
      </c>
      <c r="M14" s="3208">
        <f t="shared" si="1"/>
        <v>557.32000000000005</v>
      </c>
      <c r="N14" s="3238">
        <v>44696</v>
      </c>
      <c r="O14" s="3379">
        <v>1812.1902</v>
      </c>
      <c r="P14" s="3223">
        <f t="shared" si="2"/>
        <v>32516.152300294263</v>
      </c>
      <c r="Q14" s="3339">
        <f t="shared" si="3"/>
        <v>0.24574750592119429</v>
      </c>
      <c r="R14" s="3377">
        <f ca="1">VLOOKUP(D14,房源修正表!$D$1:$AL$49,34,0)/10000</f>
        <v>327.01986800000003</v>
      </c>
      <c r="S14" s="3338">
        <f t="shared" ca="1" si="4"/>
        <v>0.18045559897631056</v>
      </c>
      <c r="T14" s="3243">
        <f t="shared" ca="1" si="5"/>
        <v>1.0507</v>
      </c>
      <c r="U14" s="3243">
        <f t="shared" ca="1" si="6"/>
        <v>0.586772173975454</v>
      </c>
      <c r="V14" s="3370" t="s">
        <v>3937</v>
      </c>
      <c r="W14" s="3370" t="s">
        <v>3993</v>
      </c>
      <c r="X14" s="3373" t="s">
        <v>3994</v>
      </c>
      <c r="Y14" s="3371" t="s">
        <v>3943</v>
      </c>
      <c r="Z14" s="3213">
        <v>2023080951</v>
      </c>
      <c r="AA14" s="3371" t="s">
        <v>3990</v>
      </c>
      <c r="AB14" s="3374">
        <v>44697</v>
      </c>
      <c r="AD14" s="3213" t="s">
        <v>3991</v>
      </c>
      <c r="AG14" s="3213">
        <f t="shared" si="7"/>
        <v>1.2647919375812744</v>
      </c>
    </row>
    <row r="15" spans="1:66" ht="27">
      <c r="A15" s="3208">
        <v>6</v>
      </c>
      <c r="B15" s="3208" t="s">
        <v>3461</v>
      </c>
      <c r="C15" s="3208" t="s">
        <v>3462</v>
      </c>
      <c r="D15" s="3221">
        <v>107</v>
      </c>
      <c r="E15" s="3222">
        <v>101</v>
      </c>
      <c r="F15" s="3208">
        <v>18</v>
      </c>
      <c r="G15" s="3208">
        <v>122.87</v>
      </c>
      <c r="H15" s="3208">
        <v>109.97</v>
      </c>
      <c r="I15" s="3208">
        <v>123.31</v>
      </c>
      <c r="J15" s="3208">
        <v>70.760000000000005</v>
      </c>
      <c r="K15" s="3208">
        <f t="shared" si="0"/>
        <v>194.07</v>
      </c>
      <c r="L15" s="3208">
        <v>253.4</v>
      </c>
      <c r="M15" s="3208">
        <f t="shared" si="1"/>
        <v>447.47</v>
      </c>
      <c r="N15" s="3238">
        <v>44792</v>
      </c>
      <c r="O15" s="3379">
        <v>1253.2926</v>
      </c>
      <c r="P15" s="3223">
        <f t="shared" si="2"/>
        <v>28008.416206673071</v>
      </c>
      <c r="Q15" s="3336">
        <f t="shared" si="3"/>
        <v>0.2457594922564641</v>
      </c>
      <c r="R15" s="3377">
        <f ca="1">VLOOKUP(D15,房源修正表!$D$1:$AL$49,34,0)/10000</f>
        <v>261.66084000000001</v>
      </c>
      <c r="S15" s="3338">
        <f t="shared" ca="1" si="4"/>
        <v>0.20877873211730447</v>
      </c>
      <c r="T15" s="3243">
        <f t="shared" ca="1" si="5"/>
        <v>1.0326</v>
      </c>
      <c r="U15" s="3243">
        <f t="shared" ca="1" si="6"/>
        <v>0.58475616242429662</v>
      </c>
      <c r="V15" s="3370" t="s">
        <v>3937</v>
      </c>
      <c r="W15" s="3370" t="s">
        <v>3939</v>
      </c>
      <c r="X15" s="3373" t="s">
        <v>3941</v>
      </c>
      <c r="Y15" s="3371" t="s">
        <v>3943</v>
      </c>
      <c r="Z15" s="3225">
        <v>2023080201</v>
      </c>
      <c r="AA15" s="3225" t="s">
        <v>3972</v>
      </c>
      <c r="AB15" s="3375">
        <v>44792</v>
      </c>
      <c r="AC15" s="3225"/>
      <c r="AD15" s="3225" t="s">
        <v>3973</v>
      </c>
      <c r="AE15" s="3225"/>
      <c r="AG15" s="3213">
        <f t="shared" si="7"/>
        <v>1.3057144329365693</v>
      </c>
    </row>
    <row r="16" spans="1:66" ht="27">
      <c r="A16" s="3208">
        <v>8</v>
      </c>
      <c r="B16" s="3208" t="s">
        <v>3461</v>
      </c>
      <c r="C16" s="3208" t="s">
        <v>3462</v>
      </c>
      <c r="D16" s="3221">
        <v>111</v>
      </c>
      <c r="E16" s="3222">
        <v>101</v>
      </c>
      <c r="F16" s="3208">
        <v>16</v>
      </c>
      <c r="G16" s="3208">
        <v>122.87</v>
      </c>
      <c r="H16" s="3334">
        <v>113.13</v>
      </c>
      <c r="I16" s="3208">
        <v>123.31</v>
      </c>
      <c r="J16" s="3208">
        <v>70.760000000000005</v>
      </c>
      <c r="K16" s="3208">
        <f t="shared" si="0"/>
        <v>194.07</v>
      </c>
      <c r="L16" s="3208">
        <v>266.26</v>
      </c>
      <c r="M16" s="3208">
        <f t="shared" si="1"/>
        <v>460.33</v>
      </c>
      <c r="N16" s="3238">
        <v>44891</v>
      </c>
      <c r="O16" s="3379">
        <v>1263.2236</v>
      </c>
      <c r="P16" s="3223">
        <f t="shared" si="2"/>
        <v>27441.696174483524</v>
      </c>
      <c r="Q16" s="3339">
        <f t="shared" si="3"/>
        <v>0.2457584776138857</v>
      </c>
      <c r="R16" s="3377">
        <f ca="1">VLOOKUP(D16,房源修正表!$D$1:$AL$49,34,0)/10000</f>
        <v>270.46690799999999</v>
      </c>
      <c r="S16" s="3338">
        <f t="shared" ca="1" si="4"/>
        <v>0.21410849828961395</v>
      </c>
      <c r="T16" s="3243">
        <f t="shared" ca="1" si="5"/>
        <v>1.0158</v>
      </c>
      <c r="U16" s="3243">
        <f t="shared" ca="1" si="6"/>
        <v>0.58755003584385113</v>
      </c>
      <c r="V16" s="3370" t="s">
        <v>3937</v>
      </c>
      <c r="W16" s="3370" t="s">
        <v>3939</v>
      </c>
      <c r="X16" s="3373" t="s">
        <v>3941</v>
      </c>
      <c r="Y16" s="3371" t="s">
        <v>3943</v>
      </c>
      <c r="Z16" s="3213">
        <v>2023080173</v>
      </c>
      <c r="AA16" s="3371" t="s">
        <v>3974</v>
      </c>
      <c r="AB16" s="3374">
        <v>44891</v>
      </c>
      <c r="AC16" s="3213" t="s">
        <v>3987</v>
      </c>
      <c r="AD16" s="3213" t="s">
        <v>3975</v>
      </c>
      <c r="AG16" s="3213">
        <f t="shared" si="7"/>
        <v>1.3719791827691039</v>
      </c>
    </row>
    <row r="17" spans="1:33" ht="27">
      <c r="A17" s="3208">
        <v>11</v>
      </c>
      <c r="B17" s="3208" t="s">
        <v>3461</v>
      </c>
      <c r="C17" s="3208" t="s">
        <v>3462</v>
      </c>
      <c r="D17" s="3221">
        <v>117</v>
      </c>
      <c r="E17" s="3222">
        <v>101</v>
      </c>
      <c r="F17" s="3208">
        <v>11</v>
      </c>
      <c r="G17" s="3208">
        <v>122.87</v>
      </c>
      <c r="H17" s="3334">
        <f ca="1">ROUND(M17*$Q$2,2)</f>
        <v>105.69</v>
      </c>
      <c r="I17" s="3208">
        <v>123.31</v>
      </c>
      <c r="J17" s="3208">
        <v>70.760000000000005</v>
      </c>
      <c r="K17" s="3208">
        <f t="shared" si="0"/>
        <v>194.07</v>
      </c>
      <c r="L17" s="3208">
        <v>236</v>
      </c>
      <c r="M17" s="3208">
        <f t="shared" si="1"/>
        <v>430.07</v>
      </c>
      <c r="N17" s="3238">
        <v>45044</v>
      </c>
      <c r="O17" s="3379">
        <v>1545.0806</v>
      </c>
      <c r="P17" s="3223">
        <f t="shared" si="2"/>
        <v>35926.258516055525</v>
      </c>
      <c r="Q17" s="3339">
        <f t="shared" ca="1" si="3"/>
        <v>0.24575069174785499</v>
      </c>
      <c r="R17" s="3377">
        <f ca="1">VLOOKUP(D17,房源修正表!$D$1:$AL$49,34,0)/10000</f>
        <v>351.52199999999999</v>
      </c>
      <c r="S17" s="3338">
        <f t="shared" ca="1" si="4"/>
        <v>0.22751046126655139</v>
      </c>
      <c r="T17" s="3243">
        <f t="shared" ca="1" si="5"/>
        <v>1.4895</v>
      </c>
      <c r="U17" s="3243">
        <f t="shared" ca="1" si="6"/>
        <v>0.81735996465691629</v>
      </c>
      <c r="V17" s="3370" t="s">
        <v>3937</v>
      </c>
      <c r="W17" s="3370" t="s">
        <v>3939</v>
      </c>
      <c r="X17" s="3373" t="s">
        <v>3941</v>
      </c>
      <c r="Y17" s="3371" t="s">
        <v>3943</v>
      </c>
      <c r="Z17" s="3213">
        <v>2023080161</v>
      </c>
      <c r="AA17" s="3371" t="s">
        <v>3976</v>
      </c>
      <c r="AB17" s="3374">
        <v>45044</v>
      </c>
      <c r="AC17" s="3213" t="s">
        <v>3977</v>
      </c>
      <c r="AD17" s="3213" t="s">
        <v>3983</v>
      </c>
      <c r="AG17" s="3213">
        <f t="shared" si="7"/>
        <v>1.2160560622455816</v>
      </c>
    </row>
    <row r="18" spans="1:33">
      <c r="A18" s="3208"/>
      <c r="B18" s="3208"/>
      <c r="C18" s="3208"/>
      <c r="D18" s="3221"/>
      <c r="E18" s="3222"/>
      <c r="F18" s="3208"/>
      <c r="G18" s="3208"/>
      <c r="H18" s="3334"/>
      <c r="I18" s="3208"/>
      <c r="J18" s="3208"/>
      <c r="K18" s="3208"/>
      <c r="L18" s="3208"/>
      <c r="M18" s="3208"/>
      <c r="N18" s="3238"/>
      <c r="O18" s="3379"/>
      <c r="P18" s="3223"/>
      <c r="Q18" s="3339"/>
      <c r="R18" s="3337"/>
      <c r="S18" s="3338"/>
      <c r="T18" s="3243"/>
      <c r="U18" s="3243"/>
      <c r="V18" s="3370"/>
      <c r="W18" s="3370"/>
      <c r="X18" s="3373"/>
      <c r="Y18" s="3371"/>
      <c r="AA18" s="3371"/>
      <c r="AB18" s="3374"/>
    </row>
    <row r="20" spans="1:33">
      <c r="T20" s="3243"/>
      <c r="AC20" s="3225"/>
    </row>
    <row r="21" spans="1:33">
      <c r="T21" s="3243"/>
    </row>
    <row r="22" spans="1:33">
      <c r="G22" s="3213"/>
      <c r="P22" s="3213"/>
      <c r="R22" s="3213"/>
      <c r="V22" s="3369"/>
    </row>
    <row r="23" spans="1:33">
      <c r="G23" s="3213"/>
      <c r="P23" s="3213"/>
      <c r="R23" s="3213"/>
      <c r="V23" s="3369"/>
    </row>
    <row r="24" spans="1:33">
      <c r="G24" s="3213"/>
      <c r="P24" s="3213"/>
      <c r="R24" s="3213"/>
      <c r="V24" s="3369"/>
    </row>
    <row r="25" spans="1:33">
      <c r="G25" s="3213"/>
      <c r="P25" s="3213"/>
      <c r="R25" s="3213"/>
      <c r="V25" s="3369"/>
    </row>
    <row r="26" spans="1:33">
      <c r="G26" s="3213"/>
      <c r="P26" s="3213"/>
      <c r="R26" s="3213"/>
      <c r="V26" s="3369"/>
    </row>
    <row r="27" spans="1:33">
      <c r="G27" s="3213"/>
      <c r="P27" s="3213"/>
      <c r="R27" s="3213"/>
      <c r="V27" s="3369"/>
    </row>
    <row r="28" spans="1:33">
      <c r="G28" s="3213"/>
      <c r="P28" s="3213"/>
      <c r="R28" s="3213"/>
      <c r="V28" s="3369"/>
    </row>
    <row r="29" spans="1:33">
      <c r="G29" s="3213"/>
      <c r="P29" s="3213"/>
      <c r="R29" s="3213"/>
      <c r="V29" s="3369"/>
    </row>
    <row r="30" spans="1:33">
      <c r="G30" s="3213"/>
      <c r="P30" s="3213"/>
      <c r="R30" s="3213"/>
      <c r="V30" s="3369"/>
    </row>
    <row r="31" spans="1:33">
      <c r="G31" s="3213"/>
      <c r="P31" s="3213"/>
      <c r="R31" s="3213"/>
      <c r="V31" s="3369"/>
    </row>
    <row r="32" spans="1:33">
      <c r="G32" s="3213"/>
      <c r="P32" s="3213"/>
      <c r="R32" s="3213"/>
      <c r="V32" s="3369"/>
    </row>
    <row r="33" spans="7:22">
      <c r="G33" s="3213"/>
      <c r="P33" s="3213"/>
      <c r="R33" s="3213"/>
      <c r="V33" s="3369"/>
    </row>
    <row r="34" spans="7:22">
      <c r="G34" s="3213"/>
      <c r="P34" s="3213"/>
      <c r="R34" s="3213"/>
      <c r="V34" s="3369"/>
    </row>
    <row r="35" spans="7:22">
      <c r="G35" s="3213"/>
      <c r="P35" s="3213"/>
      <c r="R35" s="3213"/>
      <c r="V35" s="3369"/>
    </row>
    <row r="36" spans="7:22">
      <c r="G36" s="3213"/>
      <c r="P36" s="3213"/>
      <c r="R36" s="3213"/>
      <c r="V36" s="3369"/>
    </row>
    <row r="37" spans="7:22">
      <c r="G37" s="3213"/>
      <c r="P37" s="3213"/>
      <c r="R37" s="3213"/>
      <c r="V37" s="3369"/>
    </row>
    <row r="38" spans="7:22">
      <c r="G38" s="3213"/>
      <c r="P38" s="3213"/>
      <c r="R38" s="3213"/>
      <c r="V38" s="3369"/>
    </row>
    <row r="39" spans="7:22">
      <c r="G39" s="3213"/>
      <c r="P39" s="3213"/>
      <c r="R39" s="3213"/>
      <c r="V39" s="3369"/>
    </row>
    <row r="40" spans="7:22">
      <c r="G40" s="3213"/>
      <c r="P40" s="3213"/>
      <c r="R40" s="3213"/>
      <c r="V40" s="3369"/>
    </row>
    <row r="41" spans="7:22">
      <c r="G41" s="3213"/>
      <c r="P41" s="3213"/>
      <c r="R41" s="3213"/>
      <c r="V41" s="3369"/>
    </row>
    <row r="42" spans="7:22">
      <c r="G42" s="3213"/>
      <c r="P42" s="3213"/>
      <c r="R42" s="3213"/>
      <c r="V42" s="3369"/>
    </row>
    <row r="43" spans="7:22">
      <c r="G43" s="3213"/>
      <c r="P43" s="3213"/>
      <c r="R43" s="3213"/>
      <c r="V43" s="3369"/>
    </row>
    <row r="44" spans="7:22">
      <c r="G44" s="3213"/>
      <c r="P44" s="3213"/>
      <c r="R44" s="3213"/>
      <c r="V44" s="3369"/>
    </row>
    <row r="45" spans="7:22">
      <c r="G45" s="3213"/>
      <c r="P45" s="3213"/>
      <c r="R45" s="3213"/>
      <c r="V45" s="3369"/>
    </row>
    <row r="46" spans="7:22">
      <c r="G46" s="3213"/>
      <c r="P46" s="3213"/>
      <c r="R46" s="3213"/>
      <c r="V46" s="3369"/>
    </row>
    <row r="47" spans="7:22">
      <c r="G47" s="3213"/>
      <c r="P47" s="3213"/>
      <c r="R47" s="3213"/>
      <c r="V47" s="3369"/>
    </row>
    <row r="48" spans="7:22">
      <c r="G48" s="3213"/>
      <c r="P48" s="3213"/>
      <c r="R48" s="3213"/>
      <c r="V48" s="3369"/>
    </row>
    <row r="49" spans="7:22">
      <c r="G49" s="3213"/>
      <c r="P49" s="3213"/>
      <c r="R49" s="3213"/>
      <c r="V49" s="3369"/>
    </row>
    <row r="50" spans="7:22">
      <c r="G50" s="3213"/>
      <c r="P50" s="3213"/>
      <c r="R50" s="3213"/>
      <c r="V50" s="3369"/>
    </row>
    <row r="51" spans="7:22">
      <c r="G51" s="3213"/>
      <c r="P51" s="3213"/>
      <c r="R51" s="3213"/>
      <c r="V51" s="3369"/>
    </row>
    <row r="52" spans="7:22">
      <c r="G52" s="3213"/>
      <c r="P52" s="3213"/>
      <c r="R52" s="3213"/>
      <c r="V52" s="3369"/>
    </row>
    <row r="53" spans="7:22">
      <c r="G53" s="3213"/>
      <c r="P53" s="3213"/>
      <c r="R53" s="3213"/>
      <c r="V53" s="3369"/>
    </row>
    <row r="54" spans="7:22">
      <c r="G54" s="3213"/>
      <c r="P54" s="3213"/>
      <c r="R54" s="3213"/>
      <c r="V54" s="3369"/>
    </row>
    <row r="55" spans="7:22">
      <c r="G55" s="3213"/>
      <c r="P55" s="3213"/>
      <c r="R55" s="3213"/>
      <c r="V55" s="3369"/>
    </row>
    <row r="56" spans="7:22">
      <c r="G56" s="3213"/>
      <c r="P56" s="3213"/>
      <c r="R56" s="3213"/>
      <c r="V56" s="3369"/>
    </row>
    <row r="57" spans="7:22">
      <c r="G57" s="3213"/>
      <c r="P57" s="3213"/>
      <c r="R57" s="3213"/>
      <c r="V57" s="3369"/>
    </row>
    <row r="58" spans="7:22">
      <c r="G58" s="3213"/>
      <c r="P58" s="3213"/>
      <c r="R58" s="3213"/>
      <c r="V58" s="3369"/>
    </row>
    <row r="59" spans="7:22">
      <c r="G59" s="3213"/>
      <c r="P59" s="3213"/>
      <c r="R59" s="3213"/>
      <c r="V59" s="3369"/>
    </row>
    <row r="60" spans="7:22">
      <c r="G60" s="3213"/>
      <c r="P60" s="3213"/>
      <c r="R60" s="3213"/>
      <c r="V60" s="3369"/>
    </row>
    <row r="61" spans="7:22">
      <c r="G61" s="3213"/>
      <c r="P61" s="3213"/>
      <c r="R61" s="3213"/>
      <c r="V61" s="3369"/>
    </row>
    <row r="62" spans="7:22">
      <c r="G62" s="3213"/>
      <c r="P62" s="3213"/>
      <c r="R62" s="3213"/>
      <c r="V62" s="3369"/>
    </row>
    <row r="63" spans="7:22">
      <c r="G63" s="3213"/>
      <c r="P63" s="3213"/>
      <c r="R63" s="3213"/>
      <c r="V63" s="3369"/>
    </row>
    <row r="64" spans="7:22">
      <c r="G64" s="3213"/>
      <c r="P64" s="3213"/>
      <c r="R64" s="3213"/>
      <c r="V64" s="3369"/>
    </row>
    <row r="65" spans="7:22">
      <c r="G65" s="3213"/>
      <c r="P65" s="3213"/>
      <c r="R65" s="3213"/>
      <c r="V65" s="3369"/>
    </row>
    <row r="66" spans="7:22">
      <c r="G66" s="3213"/>
      <c r="P66" s="3213"/>
      <c r="R66" s="3213"/>
      <c r="V66" s="3369"/>
    </row>
    <row r="67" spans="7:22">
      <c r="G67" s="3213"/>
      <c r="P67" s="3213"/>
      <c r="R67" s="3213"/>
      <c r="V67" s="3369"/>
    </row>
    <row r="68" spans="7:22">
      <c r="G68" s="3213"/>
      <c r="P68" s="3213"/>
      <c r="R68" s="3213"/>
      <c r="V68" s="3369"/>
    </row>
    <row r="69" spans="7:22">
      <c r="G69" s="3213"/>
      <c r="P69" s="3213"/>
      <c r="R69" s="3213"/>
      <c r="V69" s="3369"/>
    </row>
    <row r="70" spans="7:22">
      <c r="G70" s="3213"/>
      <c r="P70" s="3213"/>
      <c r="R70" s="3213"/>
      <c r="V70" s="3369"/>
    </row>
    <row r="71" spans="7:22">
      <c r="G71" s="3213"/>
      <c r="P71" s="3213"/>
      <c r="R71" s="3213"/>
      <c r="V71" s="3369"/>
    </row>
    <row r="72" spans="7:22">
      <c r="G72" s="3213"/>
      <c r="P72" s="3213"/>
      <c r="R72" s="3213"/>
      <c r="V72" s="3369"/>
    </row>
    <row r="73" spans="7:22">
      <c r="G73" s="3213"/>
      <c r="P73" s="3213"/>
      <c r="R73" s="3213"/>
      <c r="V73" s="3369"/>
    </row>
    <row r="74" spans="7:22">
      <c r="G74" s="3213"/>
      <c r="P74" s="3213"/>
      <c r="R74" s="3213"/>
      <c r="V74" s="3369"/>
    </row>
    <row r="75" spans="7:22">
      <c r="G75" s="3213"/>
      <c r="P75" s="3213"/>
      <c r="R75" s="3213"/>
      <c r="V75" s="3369"/>
    </row>
    <row r="76" spans="7:22">
      <c r="G76" s="3213"/>
      <c r="P76" s="3213"/>
      <c r="R76" s="3213"/>
      <c r="V76" s="3369"/>
    </row>
    <row r="77" spans="7:22">
      <c r="G77" s="3213"/>
      <c r="P77" s="3213"/>
      <c r="R77" s="3213"/>
      <c r="V77" s="3369"/>
    </row>
    <row r="78" spans="7:22">
      <c r="G78" s="3213"/>
      <c r="P78" s="3213"/>
      <c r="R78" s="3213"/>
      <c r="V78" s="3369"/>
    </row>
    <row r="79" spans="7:22">
      <c r="G79" s="3213"/>
      <c r="P79" s="3213"/>
      <c r="R79" s="3213"/>
      <c r="V79" s="3369"/>
    </row>
    <row r="80" spans="7:22">
      <c r="G80" s="3213"/>
      <c r="P80" s="3213"/>
      <c r="R80" s="3213"/>
      <c r="V80" s="3369"/>
    </row>
    <row r="81" spans="7:22">
      <c r="G81" s="3213"/>
      <c r="P81" s="3213"/>
      <c r="R81" s="3213"/>
      <c r="V81" s="3369"/>
    </row>
    <row r="82" spans="7:22">
      <c r="G82" s="3213"/>
      <c r="P82" s="3213"/>
      <c r="R82" s="3213"/>
      <c r="V82" s="3369"/>
    </row>
    <row r="83" spans="7:22">
      <c r="G83" s="3213"/>
      <c r="P83" s="3213"/>
      <c r="R83" s="3213"/>
      <c r="V83" s="3369"/>
    </row>
    <row r="84" spans="7:22">
      <c r="G84" s="3213"/>
      <c r="P84" s="3213"/>
      <c r="R84" s="3213"/>
      <c r="V84" s="3369"/>
    </row>
    <row r="85" spans="7:22">
      <c r="G85" s="3213"/>
      <c r="P85" s="3213"/>
      <c r="R85" s="3213"/>
      <c r="V85" s="3369"/>
    </row>
    <row r="86" spans="7:22">
      <c r="G86" s="3213"/>
      <c r="P86" s="3213"/>
      <c r="R86" s="3213"/>
      <c r="V86" s="3369"/>
    </row>
    <row r="87" spans="7:22">
      <c r="G87" s="3213"/>
      <c r="P87" s="3213"/>
      <c r="R87" s="3213"/>
      <c r="V87" s="3369"/>
    </row>
    <row r="88" spans="7:22">
      <c r="G88" s="3213"/>
      <c r="P88" s="3213"/>
      <c r="R88" s="3213"/>
      <c r="V88" s="3369"/>
    </row>
    <row r="89" spans="7:22">
      <c r="G89" s="3213"/>
      <c r="P89" s="3213"/>
      <c r="R89" s="3213"/>
      <c r="V89" s="3369"/>
    </row>
    <row r="90" spans="7:22">
      <c r="G90" s="3213"/>
      <c r="P90" s="3213"/>
      <c r="R90" s="3213"/>
      <c r="V90" s="3369"/>
    </row>
    <row r="91" spans="7:22">
      <c r="G91" s="3213"/>
      <c r="P91" s="3213"/>
      <c r="R91" s="3213"/>
      <c r="V91" s="3369"/>
    </row>
    <row r="92" spans="7:22">
      <c r="G92" s="3213"/>
      <c r="P92" s="3213"/>
      <c r="R92" s="3213"/>
      <c r="V92" s="3369"/>
    </row>
    <row r="93" spans="7:22">
      <c r="G93" s="3213"/>
      <c r="P93" s="3213"/>
      <c r="R93" s="3213"/>
      <c r="V93" s="3369"/>
    </row>
    <row r="94" spans="7:22">
      <c r="G94" s="3213"/>
      <c r="P94" s="3213"/>
      <c r="R94" s="3213"/>
      <c r="V94" s="3369"/>
    </row>
    <row r="95" spans="7:22">
      <c r="G95" s="3213"/>
      <c r="P95" s="3213"/>
      <c r="R95" s="3213"/>
      <c r="V95" s="3369"/>
    </row>
    <row r="96" spans="7:22">
      <c r="G96" s="3213"/>
      <c r="P96" s="3213"/>
      <c r="R96" s="3213"/>
      <c r="V96" s="3369"/>
    </row>
    <row r="97" spans="7:22">
      <c r="G97" s="3213"/>
      <c r="P97" s="3213"/>
      <c r="R97" s="3213"/>
      <c r="V97" s="3369"/>
    </row>
    <row r="98" spans="7:22">
      <c r="G98" s="3213"/>
      <c r="P98" s="3213"/>
      <c r="R98" s="3213"/>
      <c r="V98" s="3369"/>
    </row>
    <row r="99" spans="7:22">
      <c r="G99" s="3213"/>
      <c r="P99" s="3213"/>
      <c r="R99" s="3213"/>
      <c r="V99" s="3369"/>
    </row>
    <row r="100" spans="7:22">
      <c r="G100" s="3213"/>
      <c r="P100" s="3213"/>
      <c r="R100" s="3213"/>
      <c r="V100" s="3369"/>
    </row>
    <row r="101" spans="7:22">
      <c r="G101" s="3213"/>
      <c r="P101" s="3213"/>
      <c r="R101" s="3213"/>
      <c r="V101" s="3369"/>
    </row>
    <row r="102" spans="7:22">
      <c r="G102" s="3213"/>
      <c r="P102" s="3213"/>
      <c r="R102" s="3213"/>
      <c r="V102" s="3369"/>
    </row>
    <row r="103" spans="7:22">
      <c r="G103" s="3213"/>
      <c r="P103" s="3213"/>
      <c r="R103" s="3213"/>
      <c r="V103" s="3369"/>
    </row>
    <row r="104" spans="7:22">
      <c r="G104" s="3213"/>
      <c r="P104" s="3213"/>
      <c r="R104" s="3213"/>
      <c r="V104" s="3369"/>
    </row>
    <row r="105" spans="7:22">
      <c r="G105" s="3213"/>
      <c r="P105" s="3213"/>
      <c r="R105" s="3213"/>
      <c r="V105" s="3369"/>
    </row>
    <row r="106" spans="7:22">
      <c r="G106" s="3213"/>
      <c r="P106" s="3213"/>
      <c r="R106" s="3213"/>
      <c r="V106" s="3369"/>
    </row>
    <row r="107" spans="7:22">
      <c r="G107" s="3213"/>
      <c r="P107" s="3213"/>
      <c r="R107" s="3213"/>
      <c r="V107" s="3369"/>
    </row>
    <row r="108" spans="7:22">
      <c r="G108" s="3213"/>
      <c r="P108" s="3213"/>
      <c r="R108" s="3213"/>
      <c r="V108" s="3369"/>
    </row>
    <row r="109" spans="7:22">
      <c r="G109" s="3213"/>
      <c r="P109" s="3213"/>
      <c r="R109" s="3213"/>
      <c r="V109" s="3369"/>
    </row>
    <row r="110" spans="7:22">
      <c r="G110" s="3213"/>
      <c r="P110" s="3213"/>
      <c r="R110" s="3213"/>
      <c r="V110" s="3369"/>
    </row>
    <row r="111" spans="7:22">
      <c r="G111" s="3213"/>
      <c r="P111" s="3213"/>
      <c r="R111" s="3213"/>
      <c r="V111" s="3369"/>
    </row>
    <row r="112" spans="7:22">
      <c r="G112" s="3213"/>
      <c r="P112" s="3213"/>
      <c r="R112" s="3213"/>
      <c r="V112" s="3369"/>
    </row>
    <row r="113" spans="7:22">
      <c r="G113" s="3213"/>
      <c r="P113" s="3213"/>
      <c r="R113" s="3213"/>
      <c r="V113" s="3369"/>
    </row>
    <row r="114" spans="7:22">
      <c r="G114" s="3213"/>
      <c r="P114" s="3213"/>
      <c r="R114" s="3213"/>
      <c r="V114" s="3369"/>
    </row>
    <row r="115" spans="7:22">
      <c r="G115" s="3213"/>
      <c r="P115" s="3213"/>
      <c r="R115" s="3213"/>
      <c r="V115" s="3369"/>
    </row>
    <row r="116" spans="7:22">
      <c r="G116" s="3213"/>
      <c r="P116" s="3213"/>
      <c r="R116" s="3213"/>
      <c r="V116" s="3369"/>
    </row>
    <row r="117" spans="7:22">
      <c r="G117" s="3213"/>
      <c r="P117" s="3213"/>
      <c r="R117" s="3213"/>
      <c r="V117" s="3369"/>
    </row>
    <row r="118" spans="7:22">
      <c r="G118" s="3213"/>
      <c r="P118" s="3213"/>
      <c r="R118" s="3213"/>
      <c r="V118" s="3369"/>
    </row>
    <row r="119" spans="7:22">
      <c r="G119" s="3213"/>
      <c r="P119" s="3213"/>
      <c r="R119" s="3213"/>
      <c r="V119" s="3369"/>
    </row>
    <row r="120" spans="7:22">
      <c r="G120" s="3213"/>
      <c r="P120" s="3213"/>
      <c r="R120" s="3213"/>
      <c r="V120" s="3369"/>
    </row>
    <row r="121" spans="7:22">
      <c r="G121" s="3213"/>
      <c r="P121" s="3213"/>
      <c r="R121" s="3213"/>
      <c r="V121" s="3369"/>
    </row>
    <row r="122" spans="7:22">
      <c r="G122" s="3213"/>
      <c r="P122" s="3213"/>
      <c r="R122" s="3213"/>
      <c r="V122" s="3369"/>
    </row>
    <row r="123" spans="7:22">
      <c r="G123" s="3213"/>
      <c r="P123" s="3213"/>
      <c r="R123" s="3213"/>
      <c r="V123" s="3369"/>
    </row>
    <row r="124" spans="7:22">
      <c r="G124" s="3213"/>
      <c r="P124" s="3213"/>
      <c r="R124" s="3213"/>
      <c r="V124" s="3369"/>
    </row>
    <row r="125" spans="7:22">
      <c r="G125" s="3213"/>
      <c r="P125" s="3213"/>
      <c r="R125" s="3213"/>
      <c r="V125" s="3369"/>
    </row>
    <row r="126" spans="7:22">
      <c r="G126" s="3213"/>
      <c r="P126" s="3213"/>
      <c r="R126" s="3213"/>
      <c r="V126" s="3369"/>
    </row>
    <row r="127" spans="7:22">
      <c r="G127" s="3213"/>
      <c r="P127" s="3213"/>
      <c r="R127" s="3213"/>
      <c r="V127" s="3369"/>
    </row>
    <row r="128" spans="7:22">
      <c r="G128" s="3213"/>
      <c r="P128" s="3213"/>
      <c r="R128" s="3213"/>
      <c r="V128" s="3369"/>
    </row>
    <row r="129" spans="7:22">
      <c r="G129" s="3213"/>
      <c r="P129" s="3213"/>
      <c r="R129" s="3213"/>
      <c r="V129" s="3369"/>
    </row>
    <row r="130" spans="7:22">
      <c r="G130" s="3213"/>
      <c r="P130" s="3213"/>
      <c r="R130" s="3213"/>
      <c r="V130" s="3369"/>
    </row>
    <row r="131" spans="7:22">
      <c r="G131" s="3213"/>
      <c r="P131" s="3213"/>
      <c r="R131" s="3213"/>
      <c r="V131" s="3369"/>
    </row>
    <row r="132" spans="7:22">
      <c r="G132" s="3213"/>
      <c r="P132" s="3213"/>
      <c r="R132" s="3213"/>
      <c r="V132" s="3369"/>
    </row>
    <row r="133" spans="7:22">
      <c r="G133" s="3213"/>
      <c r="P133" s="3213"/>
      <c r="R133" s="3213"/>
      <c r="V133" s="3369"/>
    </row>
    <row r="134" spans="7:22">
      <c r="G134" s="3213"/>
      <c r="P134" s="3213"/>
      <c r="R134" s="3213"/>
      <c r="V134" s="3369"/>
    </row>
    <row r="135" spans="7:22">
      <c r="G135" s="3213"/>
      <c r="P135" s="3213"/>
      <c r="R135" s="3213"/>
      <c r="V135" s="3369"/>
    </row>
    <row r="136" spans="7:22">
      <c r="G136" s="3213"/>
      <c r="P136" s="3213"/>
      <c r="R136" s="3213"/>
      <c r="V136" s="3369"/>
    </row>
    <row r="137" spans="7:22">
      <c r="G137" s="3213"/>
      <c r="P137" s="3213"/>
      <c r="R137" s="3213"/>
      <c r="V137" s="3369"/>
    </row>
    <row r="138" spans="7:22">
      <c r="G138" s="3213"/>
      <c r="P138" s="3213"/>
      <c r="R138" s="3213"/>
      <c r="V138" s="3369"/>
    </row>
    <row r="139" spans="7:22">
      <c r="G139" s="3213"/>
      <c r="P139" s="3213"/>
      <c r="R139" s="3213"/>
      <c r="V139" s="3369"/>
    </row>
    <row r="140" spans="7:22">
      <c r="G140" s="3213"/>
      <c r="P140" s="3213"/>
      <c r="R140" s="3213"/>
      <c r="V140" s="3369"/>
    </row>
    <row r="141" spans="7:22">
      <c r="G141" s="3213"/>
      <c r="P141" s="3213"/>
      <c r="R141" s="3213"/>
      <c r="V141" s="3369"/>
    </row>
    <row r="142" spans="7:22">
      <c r="G142" s="3213"/>
      <c r="P142" s="3213"/>
      <c r="R142" s="3213"/>
      <c r="V142" s="3369"/>
    </row>
    <row r="143" spans="7:22">
      <c r="G143" s="3213"/>
      <c r="P143" s="3213"/>
      <c r="R143" s="3213"/>
      <c r="V143" s="3369"/>
    </row>
    <row r="144" spans="7:22">
      <c r="G144" s="3213"/>
      <c r="P144" s="3213"/>
      <c r="R144" s="3213"/>
      <c r="V144" s="3369"/>
    </row>
    <row r="145" spans="7:22">
      <c r="G145" s="3213"/>
      <c r="P145" s="3213"/>
      <c r="R145" s="3213"/>
      <c r="V145" s="3369"/>
    </row>
    <row r="146" spans="7:22">
      <c r="G146" s="3213"/>
      <c r="P146" s="3213"/>
      <c r="R146" s="3213"/>
      <c r="V146" s="3369"/>
    </row>
    <row r="147" spans="7:22">
      <c r="G147" s="3213"/>
      <c r="P147" s="3213"/>
      <c r="R147" s="3213"/>
      <c r="V147" s="3369"/>
    </row>
    <row r="148" spans="7:22">
      <c r="G148" s="3213"/>
      <c r="P148" s="3213"/>
      <c r="R148" s="3213"/>
      <c r="V148" s="3369"/>
    </row>
    <row r="149" spans="7:22">
      <c r="G149" s="3213"/>
      <c r="P149" s="3213"/>
      <c r="R149" s="3213"/>
      <c r="V149" s="3369"/>
    </row>
    <row r="150" spans="7:22">
      <c r="G150" s="3213"/>
      <c r="P150" s="3213"/>
      <c r="R150" s="3213"/>
      <c r="V150" s="3369"/>
    </row>
    <row r="151" spans="7:22">
      <c r="G151" s="3213"/>
      <c r="P151" s="3213"/>
      <c r="R151" s="3213"/>
      <c r="V151" s="3369"/>
    </row>
    <row r="152" spans="7:22">
      <c r="G152" s="3213"/>
      <c r="P152" s="3213"/>
      <c r="R152" s="3213"/>
      <c r="V152" s="3369"/>
    </row>
    <row r="153" spans="7:22">
      <c r="G153" s="3213"/>
      <c r="P153" s="3213"/>
      <c r="R153" s="3213"/>
      <c r="V153" s="3369"/>
    </row>
    <row r="154" spans="7:22">
      <c r="G154" s="3213"/>
      <c r="P154" s="3213"/>
      <c r="R154" s="3213"/>
      <c r="V154" s="3369"/>
    </row>
    <row r="155" spans="7:22">
      <c r="G155" s="3213"/>
      <c r="P155" s="3213"/>
      <c r="R155" s="3213"/>
      <c r="V155" s="3369"/>
    </row>
    <row r="156" spans="7:22">
      <c r="G156" s="3213"/>
      <c r="P156" s="3213"/>
      <c r="R156" s="3213"/>
      <c r="V156" s="3369"/>
    </row>
    <row r="157" spans="7:22">
      <c r="G157" s="3213"/>
      <c r="P157" s="3213"/>
      <c r="R157" s="3213"/>
      <c r="V157" s="3369"/>
    </row>
    <row r="158" spans="7:22">
      <c r="G158" s="3213"/>
      <c r="P158" s="3213"/>
      <c r="R158" s="3213"/>
      <c r="V158" s="3369"/>
    </row>
    <row r="159" spans="7:22">
      <c r="G159" s="3213"/>
      <c r="P159" s="3213"/>
      <c r="R159" s="3213"/>
      <c r="V159" s="3369"/>
    </row>
    <row r="160" spans="7:22">
      <c r="G160" s="3213"/>
      <c r="P160" s="3213"/>
      <c r="R160" s="3213"/>
      <c r="V160" s="3369"/>
    </row>
    <row r="161" spans="7:22">
      <c r="G161" s="3213"/>
      <c r="P161" s="3213"/>
      <c r="R161" s="3213"/>
      <c r="V161" s="3369"/>
    </row>
    <row r="162" spans="7:22">
      <c r="G162" s="3213"/>
      <c r="P162" s="3213"/>
      <c r="R162" s="3213"/>
      <c r="V162" s="3369"/>
    </row>
    <row r="163" spans="7:22">
      <c r="G163" s="3213"/>
      <c r="P163" s="3213"/>
      <c r="R163" s="3213"/>
      <c r="V163" s="3369"/>
    </row>
    <row r="164" spans="7:22">
      <c r="G164" s="3213"/>
      <c r="P164" s="3213"/>
      <c r="R164" s="3213"/>
      <c r="V164" s="3369"/>
    </row>
    <row r="165" spans="7:22">
      <c r="G165" s="3213"/>
      <c r="P165" s="3213"/>
      <c r="R165" s="3213"/>
      <c r="V165" s="3369"/>
    </row>
    <row r="166" spans="7:22">
      <c r="G166" s="3213"/>
      <c r="P166" s="3213"/>
      <c r="R166" s="3213"/>
      <c r="V166" s="3369"/>
    </row>
    <row r="167" spans="7:22">
      <c r="G167" s="3213"/>
      <c r="P167" s="3213"/>
      <c r="R167" s="3213"/>
      <c r="V167" s="3369"/>
    </row>
    <row r="168" spans="7:22">
      <c r="G168" s="3213"/>
      <c r="P168" s="3213"/>
      <c r="R168" s="3213"/>
      <c r="V168" s="3369"/>
    </row>
    <row r="169" spans="7:22">
      <c r="G169" s="3213"/>
      <c r="P169" s="3213"/>
      <c r="R169" s="3213"/>
      <c r="V169" s="3369"/>
    </row>
    <row r="170" spans="7:22">
      <c r="G170" s="3213"/>
      <c r="P170" s="3213"/>
      <c r="R170" s="3213"/>
      <c r="V170" s="3369"/>
    </row>
    <row r="171" spans="7:22">
      <c r="G171" s="3213"/>
      <c r="P171" s="3213"/>
      <c r="R171" s="3213"/>
      <c r="V171" s="3369"/>
    </row>
    <row r="172" spans="7:22">
      <c r="G172" s="3213"/>
      <c r="P172" s="3213"/>
      <c r="R172" s="3213"/>
      <c r="V172" s="3369"/>
    </row>
    <row r="173" spans="7:22">
      <c r="G173" s="3213"/>
      <c r="P173" s="3213"/>
      <c r="R173" s="3213"/>
      <c r="V173" s="3369"/>
    </row>
    <row r="174" spans="7:22">
      <c r="G174" s="3213"/>
      <c r="P174" s="3213"/>
      <c r="R174" s="3213"/>
      <c r="V174" s="3369"/>
    </row>
    <row r="175" spans="7:22">
      <c r="G175" s="3213"/>
      <c r="P175" s="3213"/>
      <c r="R175" s="3213"/>
      <c r="V175" s="3369"/>
    </row>
    <row r="176" spans="7:22">
      <c r="G176" s="3213"/>
      <c r="P176" s="3213"/>
      <c r="R176" s="3213"/>
      <c r="V176" s="3369"/>
    </row>
    <row r="177" spans="7:22">
      <c r="G177" s="3213"/>
      <c r="P177" s="3213"/>
      <c r="R177" s="3213"/>
      <c r="V177" s="3369"/>
    </row>
    <row r="178" spans="7:22">
      <c r="G178" s="3213"/>
      <c r="P178" s="3213"/>
      <c r="R178" s="3213"/>
      <c r="V178" s="3369"/>
    </row>
    <row r="179" spans="7:22">
      <c r="G179" s="3213"/>
      <c r="P179" s="3213"/>
      <c r="R179" s="3213"/>
      <c r="V179" s="3369"/>
    </row>
    <row r="180" spans="7:22">
      <c r="G180" s="3213"/>
      <c r="P180" s="3213"/>
      <c r="R180" s="3213"/>
      <c r="V180" s="3369"/>
    </row>
    <row r="181" spans="7:22">
      <c r="G181" s="3213"/>
      <c r="P181" s="3213"/>
      <c r="R181" s="3213"/>
      <c r="V181" s="3369"/>
    </row>
    <row r="182" spans="7:22">
      <c r="G182" s="3213"/>
      <c r="P182" s="3213"/>
      <c r="R182" s="3213"/>
      <c r="V182" s="3369"/>
    </row>
    <row r="183" spans="7:22">
      <c r="G183" s="3213"/>
      <c r="P183" s="3213"/>
      <c r="R183" s="3213"/>
      <c r="V183" s="3369"/>
    </row>
    <row r="184" spans="7:22">
      <c r="G184" s="3213"/>
      <c r="P184" s="3213"/>
      <c r="R184" s="3213"/>
      <c r="V184" s="3369"/>
    </row>
    <row r="185" spans="7:22">
      <c r="G185" s="3213"/>
      <c r="P185" s="3213"/>
      <c r="R185" s="3213"/>
      <c r="V185" s="3369"/>
    </row>
    <row r="186" spans="7:22">
      <c r="G186" s="3213"/>
      <c r="P186" s="3213"/>
      <c r="R186" s="3213"/>
      <c r="V186" s="3369"/>
    </row>
    <row r="187" spans="7:22">
      <c r="G187" s="3213"/>
      <c r="P187" s="3213"/>
      <c r="R187" s="3213"/>
      <c r="V187" s="3369"/>
    </row>
    <row r="188" spans="7:22">
      <c r="G188" s="3213"/>
      <c r="P188" s="3213"/>
      <c r="R188" s="3213"/>
      <c r="V188" s="3369"/>
    </row>
    <row r="189" spans="7:22">
      <c r="G189" s="3213"/>
      <c r="P189" s="3213"/>
      <c r="R189" s="3213"/>
      <c r="V189" s="3369"/>
    </row>
    <row r="190" spans="7:22">
      <c r="G190" s="3213"/>
      <c r="P190" s="3213"/>
      <c r="R190" s="3213"/>
      <c r="V190" s="3369"/>
    </row>
    <row r="191" spans="7:22">
      <c r="G191" s="3213"/>
      <c r="P191" s="3213"/>
      <c r="R191" s="3213"/>
      <c r="V191" s="3369"/>
    </row>
    <row r="192" spans="7:22">
      <c r="G192" s="3213"/>
      <c r="P192" s="3213"/>
      <c r="R192" s="3213"/>
      <c r="V192" s="3369"/>
    </row>
    <row r="193" spans="7:22">
      <c r="G193" s="3213"/>
      <c r="P193" s="3213"/>
      <c r="R193" s="3213"/>
      <c r="V193" s="3369"/>
    </row>
    <row r="194" spans="7:22">
      <c r="G194" s="3213"/>
      <c r="P194" s="3213"/>
      <c r="R194" s="3213"/>
      <c r="V194" s="3369"/>
    </row>
    <row r="195" spans="7:22">
      <c r="G195" s="3213"/>
      <c r="P195" s="3213"/>
      <c r="R195" s="3213"/>
      <c r="V195" s="3369"/>
    </row>
    <row r="196" spans="7:22">
      <c r="G196" s="3213"/>
      <c r="P196" s="3213"/>
      <c r="R196" s="3213"/>
      <c r="V196" s="3369"/>
    </row>
    <row r="197" spans="7:22">
      <c r="G197" s="3213"/>
      <c r="P197" s="3213"/>
      <c r="R197" s="3213"/>
      <c r="V197" s="3369"/>
    </row>
    <row r="198" spans="7:22">
      <c r="G198" s="3213"/>
      <c r="P198" s="3213"/>
      <c r="R198" s="3213"/>
      <c r="V198" s="3369"/>
    </row>
    <row r="199" spans="7:22">
      <c r="G199" s="3213"/>
      <c r="P199" s="3213"/>
      <c r="R199" s="3213"/>
      <c r="V199" s="3369"/>
    </row>
    <row r="200" spans="7:22">
      <c r="G200" s="3213"/>
      <c r="P200" s="3213"/>
      <c r="R200" s="3213"/>
      <c r="V200" s="3369"/>
    </row>
    <row r="201" spans="7:22">
      <c r="G201" s="3213"/>
      <c r="P201" s="3213"/>
      <c r="R201" s="3213"/>
      <c r="V201" s="3369"/>
    </row>
    <row r="202" spans="7:22">
      <c r="G202" s="3213"/>
      <c r="P202" s="3213"/>
      <c r="R202" s="3213"/>
      <c r="V202" s="3369"/>
    </row>
    <row r="203" spans="7:22">
      <c r="G203" s="3213"/>
      <c r="P203" s="3213"/>
      <c r="R203" s="3213"/>
      <c r="V203" s="3369"/>
    </row>
    <row r="204" spans="7:22">
      <c r="G204" s="3213"/>
      <c r="P204" s="3213"/>
      <c r="R204" s="3213"/>
      <c r="V204" s="3369"/>
    </row>
    <row r="205" spans="7:22">
      <c r="G205" s="3213"/>
      <c r="P205" s="3213"/>
      <c r="R205" s="3213"/>
      <c r="V205" s="3369"/>
    </row>
    <row r="206" spans="7:22">
      <c r="G206" s="3213"/>
      <c r="P206" s="3213"/>
      <c r="R206" s="3213"/>
      <c r="V206" s="3369"/>
    </row>
    <row r="207" spans="7:22">
      <c r="G207" s="3213"/>
      <c r="P207" s="3213"/>
      <c r="R207" s="3213"/>
      <c r="V207" s="3369"/>
    </row>
    <row r="208" spans="7:22">
      <c r="G208" s="3213"/>
      <c r="P208" s="3213"/>
      <c r="R208" s="3213"/>
      <c r="V208" s="3369"/>
    </row>
    <row r="209" spans="7:22">
      <c r="G209" s="3213"/>
      <c r="P209" s="3213"/>
      <c r="R209" s="3213"/>
      <c r="V209" s="3369"/>
    </row>
    <row r="210" spans="7:22">
      <c r="G210" s="3213"/>
      <c r="P210" s="3213"/>
      <c r="R210" s="3213"/>
      <c r="V210" s="3369"/>
    </row>
    <row r="211" spans="7:22">
      <c r="G211" s="3213"/>
      <c r="P211" s="3213"/>
      <c r="R211" s="3213"/>
      <c r="V211" s="3369"/>
    </row>
    <row r="212" spans="7:22">
      <c r="G212" s="3213"/>
      <c r="P212" s="3213"/>
      <c r="R212" s="3213"/>
      <c r="V212" s="3369"/>
    </row>
    <row r="213" spans="7:22">
      <c r="G213" s="3213"/>
      <c r="P213" s="3213"/>
      <c r="R213" s="3213"/>
      <c r="V213" s="3369"/>
    </row>
    <row r="214" spans="7:22">
      <c r="G214" s="3213"/>
      <c r="P214" s="3213"/>
      <c r="R214" s="3213"/>
      <c r="V214" s="3369"/>
    </row>
    <row r="215" spans="7:22">
      <c r="G215" s="3213"/>
      <c r="P215" s="3213"/>
      <c r="R215" s="3213"/>
      <c r="V215" s="3369"/>
    </row>
    <row r="216" spans="7:22">
      <c r="G216" s="3213"/>
      <c r="P216" s="3213"/>
      <c r="R216" s="3213"/>
      <c r="V216" s="3369"/>
    </row>
    <row r="217" spans="7:22">
      <c r="G217" s="3213"/>
      <c r="P217" s="3213"/>
      <c r="R217" s="3213"/>
      <c r="V217" s="3369"/>
    </row>
    <row r="218" spans="7:22">
      <c r="G218" s="3213"/>
      <c r="P218" s="3213"/>
      <c r="R218" s="3213"/>
      <c r="V218" s="3369"/>
    </row>
    <row r="219" spans="7:22">
      <c r="G219" s="3213"/>
      <c r="P219" s="3213"/>
      <c r="R219" s="3213"/>
      <c r="V219" s="3369"/>
    </row>
    <row r="220" spans="7:22">
      <c r="G220" s="3213"/>
      <c r="P220" s="3213"/>
      <c r="R220" s="3213"/>
      <c r="V220" s="3369"/>
    </row>
    <row r="221" spans="7:22">
      <c r="G221" s="3213"/>
      <c r="P221" s="3213"/>
      <c r="R221" s="3213"/>
      <c r="V221" s="3369"/>
    </row>
    <row r="222" spans="7:22">
      <c r="G222" s="3213"/>
      <c r="P222" s="3213"/>
      <c r="R222" s="3213"/>
      <c r="V222" s="3369"/>
    </row>
    <row r="223" spans="7:22">
      <c r="G223" s="3213"/>
      <c r="P223" s="3213"/>
      <c r="R223" s="3213"/>
      <c r="V223" s="3369"/>
    </row>
    <row r="224" spans="7:22">
      <c r="G224" s="3213"/>
      <c r="P224" s="3213"/>
      <c r="R224" s="3213"/>
      <c r="V224" s="3369"/>
    </row>
    <row r="225" spans="7:22">
      <c r="G225" s="3213"/>
      <c r="P225" s="3213"/>
      <c r="R225" s="3213"/>
      <c r="V225" s="3369"/>
    </row>
    <row r="226" spans="7:22">
      <c r="G226" s="3213"/>
      <c r="P226" s="3213"/>
      <c r="R226" s="3213"/>
      <c r="V226" s="3369"/>
    </row>
    <row r="227" spans="7:22">
      <c r="G227" s="3213"/>
      <c r="P227" s="3213"/>
      <c r="R227" s="3213"/>
      <c r="V227" s="3369"/>
    </row>
    <row r="228" spans="7:22">
      <c r="G228" s="3213"/>
      <c r="P228" s="3213"/>
      <c r="R228" s="3213"/>
      <c r="V228" s="3369"/>
    </row>
    <row r="229" spans="7:22">
      <c r="G229" s="3213"/>
      <c r="P229" s="3213"/>
      <c r="R229" s="3213"/>
      <c r="V229" s="3369"/>
    </row>
    <row r="230" spans="7:22">
      <c r="G230" s="3213"/>
      <c r="P230" s="3213"/>
      <c r="R230" s="3213"/>
      <c r="V230" s="3369"/>
    </row>
    <row r="231" spans="7:22">
      <c r="G231" s="3213"/>
      <c r="P231" s="3213"/>
      <c r="R231" s="3213"/>
      <c r="V231" s="3369"/>
    </row>
    <row r="232" spans="7:22">
      <c r="G232" s="3213"/>
      <c r="P232" s="3213"/>
      <c r="R232" s="3213"/>
      <c r="V232" s="3369"/>
    </row>
    <row r="233" spans="7:22">
      <c r="G233" s="3213"/>
      <c r="P233" s="3213"/>
      <c r="R233" s="3213"/>
      <c r="V233" s="3369"/>
    </row>
    <row r="234" spans="7:22">
      <c r="G234" s="3213"/>
      <c r="P234" s="3213"/>
      <c r="R234" s="3213"/>
      <c r="V234" s="3369"/>
    </row>
    <row r="235" spans="7:22">
      <c r="G235" s="3213"/>
      <c r="P235" s="3213"/>
      <c r="R235" s="3213"/>
      <c r="V235" s="3369"/>
    </row>
    <row r="236" spans="7:22">
      <c r="G236" s="3213"/>
      <c r="P236" s="3213"/>
      <c r="R236" s="3213"/>
      <c r="V236" s="3369"/>
    </row>
    <row r="237" spans="7:22">
      <c r="G237" s="3213"/>
      <c r="P237" s="3213"/>
      <c r="R237" s="3213"/>
      <c r="V237" s="3369"/>
    </row>
    <row r="238" spans="7:22">
      <c r="G238" s="3213"/>
      <c r="P238" s="3213"/>
      <c r="R238" s="3213"/>
      <c r="V238" s="3369"/>
    </row>
    <row r="239" spans="7:22">
      <c r="G239" s="3213"/>
      <c r="P239" s="3213"/>
      <c r="R239" s="3213"/>
      <c r="V239" s="3369"/>
    </row>
    <row r="240" spans="7:22">
      <c r="G240" s="3213"/>
      <c r="P240" s="3213"/>
      <c r="R240" s="3213"/>
      <c r="V240" s="3369"/>
    </row>
    <row r="241" spans="7:22">
      <c r="G241" s="3213"/>
      <c r="P241" s="3213"/>
      <c r="R241" s="3213"/>
      <c r="V241" s="3369"/>
    </row>
    <row r="242" spans="7:22">
      <c r="G242" s="3213"/>
      <c r="P242" s="3213"/>
      <c r="R242" s="3213"/>
      <c r="V242" s="3369"/>
    </row>
    <row r="243" spans="7:22">
      <c r="G243" s="3213"/>
      <c r="P243" s="3213"/>
      <c r="R243" s="3213"/>
      <c r="V243" s="3369"/>
    </row>
    <row r="244" spans="7:22">
      <c r="G244" s="3213"/>
      <c r="P244" s="3213"/>
      <c r="R244" s="3213"/>
      <c r="V244" s="3369"/>
    </row>
    <row r="245" spans="7:22">
      <c r="G245" s="3213"/>
      <c r="P245" s="3213"/>
      <c r="R245" s="3213"/>
      <c r="V245" s="3369"/>
    </row>
    <row r="246" spans="7:22">
      <c r="G246" s="3213"/>
      <c r="P246" s="3213"/>
      <c r="R246" s="3213"/>
      <c r="V246" s="3369"/>
    </row>
    <row r="247" spans="7:22">
      <c r="G247" s="3213"/>
      <c r="P247" s="3213"/>
      <c r="R247" s="3213"/>
      <c r="V247" s="3369"/>
    </row>
    <row r="248" spans="7:22">
      <c r="G248" s="3213"/>
      <c r="P248" s="3213"/>
      <c r="R248" s="3213"/>
      <c r="V248" s="3369"/>
    </row>
    <row r="249" spans="7:22">
      <c r="G249" s="3213"/>
      <c r="P249" s="3213"/>
      <c r="R249" s="3213"/>
      <c r="V249" s="3369"/>
    </row>
    <row r="250" spans="7:22">
      <c r="G250" s="3213"/>
      <c r="P250" s="3213"/>
      <c r="R250" s="3213"/>
      <c r="V250" s="3369"/>
    </row>
    <row r="251" spans="7:22">
      <c r="G251" s="3213"/>
      <c r="P251" s="3213"/>
      <c r="R251" s="3213"/>
      <c r="V251" s="3369"/>
    </row>
    <row r="252" spans="7:22">
      <c r="G252" s="3213"/>
      <c r="P252" s="3213"/>
      <c r="R252" s="3213"/>
      <c r="V252" s="3369"/>
    </row>
    <row r="253" spans="7:22">
      <c r="G253" s="3213"/>
      <c r="P253" s="3213"/>
      <c r="R253" s="3213"/>
      <c r="V253" s="3369"/>
    </row>
    <row r="254" spans="7:22">
      <c r="G254" s="3213"/>
      <c r="P254" s="3213"/>
      <c r="R254" s="3213"/>
      <c r="V254" s="3369"/>
    </row>
    <row r="255" spans="7:22">
      <c r="G255" s="3213"/>
      <c r="P255" s="3213"/>
      <c r="R255" s="3213"/>
      <c r="V255" s="3369"/>
    </row>
    <row r="256" spans="7:22">
      <c r="G256" s="3213"/>
      <c r="P256" s="3213"/>
      <c r="R256" s="3213"/>
      <c r="V256" s="3369"/>
    </row>
    <row r="257" spans="7:22">
      <c r="G257" s="3213"/>
      <c r="P257" s="3213"/>
      <c r="R257" s="3213"/>
      <c r="V257" s="3369"/>
    </row>
    <row r="258" spans="7:22">
      <c r="G258" s="3213"/>
      <c r="P258" s="3213"/>
      <c r="R258" s="3213"/>
      <c r="V258" s="3369"/>
    </row>
    <row r="259" spans="7:22">
      <c r="G259" s="3213"/>
      <c r="P259" s="3213"/>
      <c r="R259" s="3213"/>
      <c r="V259" s="3369"/>
    </row>
    <row r="260" spans="7:22">
      <c r="G260" s="3213"/>
      <c r="P260" s="3213"/>
      <c r="R260" s="3213"/>
      <c r="V260" s="3369"/>
    </row>
    <row r="261" spans="7:22">
      <c r="G261" s="3213"/>
      <c r="P261" s="3213"/>
      <c r="R261" s="3213"/>
      <c r="V261" s="3369"/>
    </row>
    <row r="262" spans="7:22">
      <c r="G262" s="3213"/>
      <c r="P262" s="3213"/>
      <c r="R262" s="3213"/>
      <c r="V262" s="3369"/>
    </row>
    <row r="263" spans="7:22">
      <c r="G263" s="3213"/>
      <c r="P263" s="3213"/>
      <c r="R263" s="3213"/>
      <c r="V263" s="3369"/>
    </row>
    <row r="264" spans="7:22">
      <c r="G264" s="3213"/>
      <c r="P264" s="3213"/>
      <c r="R264" s="3213"/>
      <c r="V264" s="3369"/>
    </row>
    <row r="265" spans="7:22">
      <c r="G265" s="3213"/>
      <c r="P265" s="3213"/>
      <c r="R265" s="3213"/>
      <c r="V265" s="3369"/>
    </row>
    <row r="266" spans="7:22">
      <c r="G266" s="3213"/>
      <c r="P266" s="3213"/>
      <c r="R266" s="3213"/>
      <c r="V266" s="3369"/>
    </row>
    <row r="267" spans="7:22">
      <c r="G267" s="3213"/>
      <c r="P267" s="3213"/>
      <c r="R267" s="3213"/>
      <c r="V267" s="3369"/>
    </row>
    <row r="268" spans="7:22">
      <c r="G268" s="3213"/>
      <c r="P268" s="3213"/>
      <c r="R268" s="3213"/>
      <c r="V268" s="3369"/>
    </row>
    <row r="269" spans="7:22">
      <c r="G269" s="3213"/>
      <c r="P269" s="3213"/>
      <c r="R269" s="3213"/>
      <c r="V269" s="3369"/>
    </row>
    <row r="270" spans="7:22">
      <c r="G270" s="3213"/>
      <c r="P270" s="3213"/>
      <c r="R270" s="3213"/>
      <c r="V270" s="3369"/>
    </row>
    <row r="271" spans="7:22">
      <c r="G271" s="3213"/>
      <c r="P271" s="3213"/>
      <c r="R271" s="3213"/>
      <c r="V271" s="3369"/>
    </row>
    <row r="272" spans="7:22">
      <c r="G272" s="3213"/>
      <c r="P272" s="3213"/>
      <c r="R272" s="3213"/>
      <c r="V272" s="3369"/>
    </row>
    <row r="273" spans="7:22">
      <c r="G273" s="3213"/>
      <c r="P273" s="3213"/>
      <c r="R273" s="3213"/>
      <c r="V273" s="3369"/>
    </row>
    <row r="274" spans="7:22">
      <c r="G274" s="3213"/>
      <c r="P274" s="3213"/>
      <c r="R274" s="3213"/>
      <c r="V274" s="3369"/>
    </row>
    <row r="275" spans="7:22">
      <c r="G275" s="3213"/>
      <c r="P275" s="3213"/>
      <c r="R275" s="3213"/>
      <c r="V275" s="3369"/>
    </row>
    <row r="276" spans="7:22">
      <c r="G276" s="3213"/>
      <c r="P276" s="3213"/>
      <c r="R276" s="3213"/>
      <c r="V276" s="3369"/>
    </row>
    <row r="277" spans="7:22">
      <c r="G277" s="3213"/>
      <c r="P277" s="3213"/>
      <c r="R277" s="3213"/>
      <c r="V277" s="3369"/>
    </row>
    <row r="278" spans="7:22">
      <c r="G278" s="3213"/>
      <c r="P278" s="3213"/>
      <c r="R278" s="3213"/>
      <c r="V278" s="3369"/>
    </row>
    <row r="279" spans="7:22">
      <c r="G279" s="3213"/>
      <c r="P279" s="3213"/>
      <c r="R279" s="3213"/>
      <c r="V279" s="3369"/>
    </row>
    <row r="280" spans="7:22">
      <c r="G280" s="3213"/>
      <c r="P280" s="3213"/>
      <c r="R280" s="3213"/>
      <c r="V280" s="3369"/>
    </row>
    <row r="281" spans="7:22">
      <c r="G281" s="3213"/>
      <c r="P281" s="3213"/>
      <c r="R281" s="3213"/>
      <c r="V281" s="3369"/>
    </row>
    <row r="282" spans="7:22">
      <c r="G282" s="3213"/>
      <c r="P282" s="3213"/>
      <c r="R282" s="3213"/>
      <c r="V282" s="3369"/>
    </row>
    <row r="283" spans="7:22">
      <c r="G283" s="3213"/>
      <c r="P283" s="3213"/>
      <c r="R283" s="3213"/>
      <c r="V283" s="3369"/>
    </row>
    <row r="284" spans="7:22">
      <c r="G284" s="3213"/>
      <c r="P284" s="3213"/>
      <c r="R284" s="3213"/>
      <c r="V284" s="3369"/>
    </row>
    <row r="285" spans="7:22">
      <c r="G285" s="3213"/>
      <c r="P285" s="3213"/>
      <c r="R285" s="3213"/>
      <c r="V285" s="3369"/>
    </row>
    <row r="286" spans="7:22">
      <c r="G286" s="3213"/>
      <c r="P286" s="3213"/>
      <c r="R286" s="3213"/>
      <c r="V286" s="3369"/>
    </row>
    <row r="287" spans="7:22">
      <c r="G287" s="3213"/>
      <c r="P287" s="3213"/>
      <c r="R287" s="3213"/>
      <c r="V287" s="3369"/>
    </row>
    <row r="288" spans="7:22">
      <c r="G288" s="3213"/>
      <c r="P288" s="3213"/>
      <c r="R288" s="3213"/>
      <c r="V288" s="3369"/>
    </row>
    <row r="289" spans="7:22">
      <c r="G289" s="3213"/>
      <c r="P289" s="3213"/>
      <c r="R289" s="3213"/>
      <c r="V289" s="3369"/>
    </row>
    <row r="290" spans="7:22">
      <c r="G290" s="3213"/>
      <c r="P290" s="3213"/>
      <c r="R290" s="3213"/>
      <c r="V290" s="3369"/>
    </row>
    <row r="291" spans="7:22">
      <c r="G291" s="3213"/>
      <c r="P291" s="3213"/>
      <c r="R291" s="3213"/>
      <c r="V291" s="3369"/>
    </row>
    <row r="292" spans="7:22">
      <c r="G292" s="3213"/>
      <c r="P292" s="3213"/>
      <c r="R292" s="3213"/>
      <c r="V292" s="3369"/>
    </row>
    <row r="293" spans="7:22">
      <c r="G293" s="3213"/>
      <c r="P293" s="3213"/>
      <c r="R293" s="3213"/>
      <c r="V293" s="3369"/>
    </row>
    <row r="294" spans="7:22">
      <c r="G294" s="3213"/>
      <c r="P294" s="3213"/>
      <c r="R294" s="3213"/>
      <c r="V294" s="3369"/>
    </row>
    <row r="295" spans="7:22">
      <c r="G295" s="3213"/>
      <c r="P295" s="3213"/>
      <c r="R295" s="3213"/>
      <c r="V295" s="3369"/>
    </row>
    <row r="296" spans="7:22">
      <c r="G296" s="3213"/>
      <c r="P296" s="3213"/>
      <c r="R296" s="3213"/>
      <c r="V296" s="3369"/>
    </row>
    <row r="297" spans="7:22">
      <c r="G297" s="3213"/>
      <c r="P297" s="3213"/>
      <c r="R297" s="3213"/>
      <c r="V297" s="3369"/>
    </row>
    <row r="298" spans="7:22">
      <c r="G298" s="3213"/>
      <c r="P298" s="3213"/>
      <c r="R298" s="3213"/>
      <c r="V298" s="3369"/>
    </row>
    <row r="299" spans="7:22">
      <c r="G299" s="3213"/>
      <c r="P299" s="3213"/>
      <c r="R299" s="3213"/>
      <c r="V299" s="3369"/>
    </row>
    <row r="300" spans="7:22">
      <c r="G300" s="3213"/>
      <c r="P300" s="3213"/>
      <c r="R300" s="3213"/>
      <c r="V300" s="3369"/>
    </row>
    <row r="301" spans="7:22">
      <c r="G301" s="3213"/>
      <c r="P301" s="3213"/>
      <c r="R301" s="3213"/>
      <c r="V301" s="3369"/>
    </row>
    <row r="302" spans="7:22">
      <c r="G302" s="3213"/>
      <c r="P302" s="3213"/>
      <c r="R302" s="3213"/>
      <c r="V302" s="3369"/>
    </row>
    <row r="303" spans="7:22">
      <c r="G303" s="3213"/>
      <c r="P303" s="3213"/>
      <c r="R303" s="3213"/>
      <c r="V303" s="3369"/>
    </row>
    <row r="304" spans="7:22">
      <c r="G304" s="3213"/>
      <c r="P304" s="3213"/>
      <c r="R304" s="3213"/>
      <c r="V304" s="3369"/>
    </row>
    <row r="305" spans="7:22">
      <c r="G305" s="3213"/>
      <c r="P305" s="3213"/>
      <c r="R305" s="3213"/>
      <c r="V305" s="3369"/>
    </row>
    <row r="306" spans="7:22">
      <c r="G306" s="3213"/>
      <c r="P306" s="3213"/>
      <c r="R306" s="3213"/>
      <c r="V306" s="3369"/>
    </row>
    <row r="307" spans="7:22">
      <c r="G307" s="3213"/>
      <c r="P307" s="3213"/>
      <c r="R307" s="3213"/>
      <c r="V307" s="3369"/>
    </row>
    <row r="308" spans="7:22">
      <c r="G308" s="3213"/>
      <c r="P308" s="3213"/>
      <c r="R308" s="3213"/>
      <c r="V308" s="3369"/>
    </row>
    <row r="309" spans="7:22">
      <c r="G309" s="3213"/>
      <c r="P309" s="3213"/>
      <c r="R309" s="3213"/>
      <c r="V309" s="3369"/>
    </row>
    <row r="310" spans="7:22">
      <c r="G310" s="3213"/>
      <c r="P310" s="3213"/>
      <c r="R310" s="3213"/>
      <c r="V310" s="3369"/>
    </row>
    <row r="311" spans="7:22">
      <c r="G311" s="3213"/>
      <c r="P311" s="3213"/>
      <c r="R311" s="3213"/>
      <c r="V311" s="3369"/>
    </row>
    <row r="312" spans="7:22">
      <c r="G312" s="3213"/>
      <c r="P312" s="3213"/>
      <c r="R312" s="3213"/>
      <c r="V312" s="3369"/>
    </row>
    <row r="313" spans="7:22">
      <c r="G313" s="3213"/>
      <c r="P313" s="3213"/>
      <c r="R313" s="3213"/>
      <c r="V313" s="3369"/>
    </row>
    <row r="314" spans="7:22">
      <c r="G314" s="3213"/>
      <c r="P314" s="3213"/>
      <c r="R314" s="3213"/>
      <c r="V314" s="3369"/>
    </row>
    <row r="315" spans="7:22">
      <c r="G315" s="3213"/>
      <c r="P315" s="3213"/>
      <c r="R315" s="3213"/>
      <c r="V315" s="3369"/>
    </row>
    <row r="316" spans="7:22">
      <c r="G316" s="3213"/>
      <c r="P316" s="3213"/>
      <c r="R316" s="3213"/>
      <c r="V316" s="3369"/>
    </row>
    <row r="317" spans="7:22">
      <c r="G317" s="3213"/>
      <c r="P317" s="3213"/>
      <c r="R317" s="3213"/>
      <c r="V317" s="3369"/>
    </row>
    <row r="318" spans="7:22">
      <c r="G318" s="3213"/>
      <c r="P318" s="3213"/>
      <c r="R318" s="3213"/>
      <c r="V318" s="3369"/>
    </row>
    <row r="319" spans="7:22">
      <c r="G319" s="3213"/>
      <c r="P319" s="3213"/>
      <c r="R319" s="3213"/>
      <c r="V319" s="3369"/>
    </row>
    <row r="320" spans="7:22">
      <c r="G320" s="3213"/>
      <c r="P320" s="3213"/>
      <c r="R320" s="3213"/>
      <c r="V320" s="3369"/>
    </row>
    <row r="321" spans="7:22">
      <c r="G321" s="3213"/>
      <c r="P321" s="3213"/>
      <c r="R321" s="3213"/>
      <c r="V321" s="3369"/>
    </row>
    <row r="322" spans="7:22">
      <c r="G322" s="3213"/>
      <c r="P322" s="3213"/>
      <c r="R322" s="3213"/>
      <c r="V322" s="3369"/>
    </row>
    <row r="323" spans="7:22">
      <c r="G323" s="3213"/>
      <c r="P323" s="3213"/>
      <c r="R323" s="3213"/>
      <c r="V323" s="3369"/>
    </row>
    <row r="324" spans="7:22">
      <c r="G324" s="3213"/>
      <c r="P324" s="3213"/>
      <c r="R324" s="3213"/>
      <c r="V324" s="3369"/>
    </row>
    <row r="325" spans="7:22">
      <c r="G325" s="3213"/>
      <c r="P325" s="3213"/>
      <c r="R325" s="3213"/>
      <c r="V325" s="3369"/>
    </row>
    <row r="326" spans="7:22">
      <c r="G326" s="3213"/>
      <c r="P326" s="3213"/>
      <c r="R326" s="3213"/>
      <c r="V326" s="3369"/>
    </row>
    <row r="327" spans="7:22">
      <c r="G327" s="3213"/>
      <c r="P327" s="3213"/>
      <c r="R327" s="3213"/>
      <c r="V327" s="3369"/>
    </row>
    <row r="328" spans="7:22">
      <c r="G328" s="3213"/>
      <c r="P328" s="3213"/>
      <c r="R328" s="3213"/>
      <c r="V328" s="3369"/>
    </row>
    <row r="329" spans="7:22">
      <c r="G329" s="3213"/>
      <c r="P329" s="3213"/>
      <c r="R329" s="3213"/>
      <c r="V329" s="3369"/>
    </row>
    <row r="330" spans="7:22">
      <c r="G330" s="3213"/>
      <c r="P330" s="3213"/>
      <c r="R330" s="3213"/>
      <c r="V330" s="3369"/>
    </row>
    <row r="331" spans="7:22">
      <c r="G331" s="3213"/>
      <c r="P331" s="3213"/>
      <c r="R331" s="3213"/>
      <c r="V331" s="3369"/>
    </row>
    <row r="332" spans="7:22">
      <c r="G332" s="3213"/>
      <c r="P332" s="3213"/>
      <c r="R332" s="3213"/>
      <c r="V332" s="3369"/>
    </row>
    <row r="333" spans="7:22">
      <c r="G333" s="3213"/>
      <c r="P333" s="3213"/>
      <c r="R333" s="3213"/>
      <c r="V333" s="3369"/>
    </row>
    <row r="334" spans="7:22">
      <c r="G334" s="3213"/>
      <c r="P334" s="3213"/>
      <c r="R334" s="3213"/>
      <c r="V334" s="3369"/>
    </row>
    <row r="335" spans="7:22">
      <c r="G335" s="3213"/>
      <c r="P335" s="3213"/>
      <c r="R335" s="3213"/>
      <c r="V335" s="3369"/>
    </row>
    <row r="336" spans="7:22">
      <c r="G336" s="3213"/>
      <c r="P336" s="3213"/>
      <c r="R336" s="3213"/>
      <c r="V336" s="3369"/>
    </row>
    <row r="337" spans="7:22">
      <c r="G337" s="3213"/>
      <c r="P337" s="3213"/>
      <c r="R337" s="3213"/>
      <c r="V337" s="3369"/>
    </row>
    <row r="338" spans="7:22">
      <c r="G338" s="3213"/>
      <c r="P338" s="3213"/>
      <c r="R338" s="3213"/>
      <c r="V338" s="3369"/>
    </row>
    <row r="339" spans="7:22">
      <c r="G339" s="3213"/>
      <c r="P339" s="3213"/>
      <c r="R339" s="3213"/>
      <c r="V339" s="3369"/>
    </row>
    <row r="340" spans="7:22">
      <c r="G340" s="3213"/>
      <c r="P340" s="3213"/>
      <c r="R340" s="3213"/>
      <c r="V340" s="3369"/>
    </row>
    <row r="341" spans="7:22">
      <c r="G341" s="3213"/>
      <c r="P341" s="3213"/>
      <c r="R341" s="3213"/>
      <c r="V341" s="3369"/>
    </row>
    <row r="342" spans="7:22">
      <c r="G342" s="3213"/>
      <c r="P342" s="3213"/>
      <c r="R342" s="3213"/>
      <c r="V342" s="3369"/>
    </row>
    <row r="343" spans="7:22">
      <c r="G343" s="3213"/>
      <c r="P343" s="3213"/>
      <c r="R343" s="3213"/>
      <c r="V343" s="3369"/>
    </row>
    <row r="344" spans="7:22">
      <c r="G344" s="3213"/>
      <c r="P344" s="3213"/>
      <c r="R344" s="3213"/>
      <c r="V344" s="3369"/>
    </row>
    <row r="345" spans="7:22">
      <c r="G345" s="3213"/>
      <c r="P345" s="3213"/>
      <c r="R345" s="3213"/>
      <c r="V345" s="3369"/>
    </row>
    <row r="346" spans="7:22">
      <c r="G346" s="3213"/>
      <c r="P346" s="3213"/>
      <c r="R346" s="3213"/>
      <c r="V346" s="3369"/>
    </row>
    <row r="347" spans="7:22">
      <c r="G347" s="3213"/>
      <c r="P347" s="3213"/>
      <c r="R347" s="3213"/>
      <c r="V347" s="3369"/>
    </row>
    <row r="348" spans="7:22">
      <c r="G348" s="3213"/>
      <c r="P348" s="3213"/>
      <c r="R348" s="3213"/>
      <c r="V348" s="3369"/>
    </row>
    <row r="349" spans="7:22">
      <c r="G349" s="3213"/>
      <c r="P349" s="3213"/>
      <c r="R349" s="3213"/>
      <c r="V349" s="3369"/>
    </row>
    <row r="350" spans="7:22">
      <c r="G350" s="3213"/>
      <c r="P350" s="3213"/>
      <c r="R350" s="3213"/>
      <c r="V350" s="3369"/>
    </row>
    <row r="351" spans="7:22">
      <c r="G351" s="3213"/>
      <c r="P351" s="3213"/>
      <c r="R351" s="3213"/>
      <c r="V351" s="3369"/>
    </row>
    <row r="352" spans="7:22">
      <c r="G352" s="3213"/>
      <c r="P352" s="3213"/>
      <c r="R352" s="3213"/>
      <c r="V352" s="3369"/>
    </row>
    <row r="353" spans="7:22">
      <c r="G353" s="3213"/>
      <c r="P353" s="3213"/>
      <c r="R353" s="3213"/>
      <c r="V353" s="3369"/>
    </row>
    <row r="354" spans="7:22">
      <c r="G354" s="3213"/>
      <c r="P354" s="3213"/>
      <c r="R354" s="3213"/>
      <c r="V354" s="3369"/>
    </row>
    <row r="355" spans="7:22">
      <c r="G355" s="3213"/>
      <c r="P355" s="3213"/>
      <c r="R355" s="3213"/>
      <c r="V355" s="3369"/>
    </row>
    <row r="356" spans="7:22">
      <c r="G356" s="3213"/>
      <c r="P356" s="3213"/>
      <c r="R356" s="3213"/>
      <c r="V356" s="3369"/>
    </row>
    <row r="357" spans="7:22">
      <c r="G357" s="3213"/>
      <c r="P357" s="3213"/>
      <c r="R357" s="3213"/>
      <c r="V357" s="3369"/>
    </row>
    <row r="358" spans="7:22">
      <c r="G358" s="3213"/>
      <c r="P358" s="3213"/>
      <c r="R358" s="3213"/>
      <c r="V358" s="3369"/>
    </row>
    <row r="359" spans="7:22">
      <c r="G359" s="3213"/>
      <c r="P359" s="3213"/>
      <c r="R359" s="3213"/>
      <c r="V359" s="3369"/>
    </row>
    <row r="360" spans="7:22">
      <c r="G360" s="3213"/>
      <c r="P360" s="3213"/>
      <c r="R360" s="3213"/>
      <c r="V360" s="3369"/>
    </row>
    <row r="361" spans="7:22">
      <c r="G361" s="3213"/>
      <c r="P361" s="3213"/>
      <c r="R361" s="3213"/>
      <c r="V361" s="3369"/>
    </row>
    <row r="362" spans="7:22">
      <c r="G362" s="3213"/>
      <c r="P362" s="3213"/>
      <c r="R362" s="3213"/>
      <c r="V362" s="3369"/>
    </row>
    <row r="363" spans="7:22">
      <c r="G363" s="3213"/>
      <c r="P363" s="3213"/>
      <c r="R363" s="3213"/>
      <c r="V363" s="3369"/>
    </row>
    <row r="364" spans="7:22">
      <c r="G364" s="3213"/>
      <c r="P364" s="3213"/>
      <c r="R364" s="3213"/>
      <c r="V364" s="3369"/>
    </row>
    <row r="365" spans="7:22">
      <c r="G365" s="3213"/>
      <c r="P365" s="3213"/>
      <c r="R365" s="3213"/>
      <c r="V365" s="3369"/>
    </row>
    <row r="366" spans="7:22">
      <c r="G366" s="3213"/>
      <c r="P366" s="3213"/>
      <c r="R366" s="3213"/>
      <c r="V366" s="3369"/>
    </row>
    <row r="367" spans="7:22">
      <c r="G367" s="3213"/>
      <c r="P367" s="3213"/>
      <c r="R367" s="3213"/>
      <c r="V367" s="3369"/>
    </row>
    <row r="368" spans="7:22">
      <c r="G368" s="3213"/>
      <c r="P368" s="3213"/>
      <c r="R368" s="3213"/>
      <c r="V368" s="3369"/>
    </row>
    <row r="369" spans="7:22">
      <c r="G369" s="3213"/>
      <c r="P369" s="3213"/>
      <c r="R369" s="3213"/>
      <c r="V369" s="3369"/>
    </row>
    <row r="370" spans="7:22">
      <c r="G370" s="3213"/>
      <c r="P370" s="3213"/>
      <c r="R370" s="3213"/>
      <c r="V370" s="3369"/>
    </row>
    <row r="371" spans="7:22">
      <c r="G371" s="3213"/>
      <c r="P371" s="3213"/>
      <c r="R371" s="3213"/>
      <c r="V371" s="3369"/>
    </row>
    <row r="372" spans="7:22">
      <c r="G372" s="3213"/>
      <c r="P372" s="3213"/>
      <c r="R372" s="3213"/>
      <c r="V372" s="3369"/>
    </row>
    <row r="373" spans="7:22">
      <c r="G373" s="3213"/>
      <c r="P373" s="3213"/>
      <c r="R373" s="3213"/>
      <c r="V373" s="3369"/>
    </row>
    <row r="374" spans="7:22">
      <c r="G374" s="3213"/>
      <c r="P374" s="3213"/>
      <c r="R374" s="3213"/>
      <c r="V374" s="3369"/>
    </row>
    <row r="375" spans="7:22">
      <c r="G375" s="3213"/>
      <c r="P375" s="3213"/>
      <c r="R375" s="3213"/>
      <c r="V375" s="3369"/>
    </row>
    <row r="376" spans="7:22">
      <c r="G376" s="3213"/>
      <c r="P376" s="3213"/>
      <c r="R376" s="3213"/>
      <c r="V376" s="3369"/>
    </row>
    <row r="377" spans="7:22">
      <c r="G377" s="3213"/>
      <c r="P377" s="3213"/>
      <c r="R377" s="3213"/>
      <c r="V377" s="3369"/>
    </row>
    <row r="378" spans="7:22">
      <c r="G378" s="3213"/>
      <c r="P378" s="3213"/>
      <c r="R378" s="3213"/>
      <c r="V378" s="3369"/>
    </row>
    <row r="379" spans="7:22">
      <c r="G379" s="3213"/>
      <c r="P379" s="3213"/>
      <c r="R379" s="3213"/>
      <c r="V379" s="3369"/>
    </row>
    <row r="380" spans="7:22">
      <c r="G380" s="3213"/>
      <c r="P380" s="3213"/>
      <c r="R380" s="3213"/>
      <c r="V380" s="3369"/>
    </row>
    <row r="381" spans="7:22">
      <c r="G381" s="3213"/>
      <c r="P381" s="3213"/>
      <c r="R381" s="3213"/>
      <c r="V381" s="3369"/>
    </row>
    <row r="382" spans="7:22">
      <c r="G382" s="3213"/>
      <c r="P382" s="3213"/>
      <c r="R382" s="3213"/>
      <c r="V382" s="3369"/>
    </row>
    <row r="383" spans="7:22">
      <c r="G383" s="3213"/>
      <c r="P383" s="3213"/>
      <c r="R383" s="3213"/>
      <c r="V383" s="3369"/>
    </row>
    <row r="384" spans="7:22">
      <c r="G384" s="3213"/>
      <c r="P384" s="3213"/>
      <c r="R384" s="3213"/>
      <c r="V384" s="3369"/>
    </row>
    <row r="385" spans="7:22">
      <c r="G385" s="3213"/>
      <c r="P385" s="3213"/>
      <c r="R385" s="3213"/>
      <c r="V385" s="3369"/>
    </row>
    <row r="386" spans="7:22">
      <c r="G386" s="3213"/>
      <c r="P386" s="3213"/>
      <c r="R386" s="3213"/>
      <c r="V386" s="3369"/>
    </row>
    <row r="387" spans="7:22">
      <c r="G387" s="3213"/>
      <c r="P387" s="3213"/>
      <c r="R387" s="3213"/>
      <c r="V387" s="3369"/>
    </row>
    <row r="388" spans="7:22">
      <c r="G388" s="3213"/>
      <c r="P388" s="3213"/>
      <c r="R388" s="3213"/>
      <c r="V388" s="3369"/>
    </row>
    <row r="389" spans="7:22">
      <c r="G389" s="3213"/>
      <c r="P389" s="3213"/>
      <c r="R389" s="3213"/>
      <c r="V389" s="3369"/>
    </row>
    <row r="390" spans="7:22">
      <c r="G390" s="3213"/>
      <c r="P390" s="3213"/>
      <c r="R390" s="3213"/>
      <c r="V390" s="3369"/>
    </row>
    <row r="391" spans="7:22">
      <c r="G391" s="3213"/>
      <c r="P391" s="3213"/>
      <c r="R391" s="3213"/>
      <c r="V391" s="3369"/>
    </row>
    <row r="392" spans="7:22">
      <c r="G392" s="3213"/>
      <c r="P392" s="3213"/>
      <c r="R392" s="3213"/>
      <c r="V392" s="3369"/>
    </row>
    <row r="393" spans="7:22">
      <c r="G393" s="3213"/>
      <c r="P393" s="3213"/>
      <c r="R393" s="3213"/>
      <c r="V393" s="3369"/>
    </row>
    <row r="394" spans="7:22">
      <c r="G394" s="3213"/>
      <c r="P394" s="3213"/>
      <c r="R394" s="3213"/>
      <c r="V394" s="3369"/>
    </row>
    <row r="395" spans="7:22">
      <c r="G395" s="3213"/>
      <c r="P395" s="3213"/>
      <c r="R395" s="3213"/>
      <c r="V395" s="3369"/>
    </row>
    <row r="396" spans="7:22">
      <c r="G396" s="3213"/>
      <c r="P396" s="3213"/>
      <c r="R396" s="3213"/>
      <c r="V396" s="3369"/>
    </row>
    <row r="397" spans="7:22">
      <c r="G397" s="3213"/>
      <c r="P397" s="3213"/>
      <c r="R397" s="3213"/>
      <c r="V397" s="3369"/>
    </row>
    <row r="398" spans="7:22">
      <c r="G398" s="3213"/>
      <c r="P398" s="3213"/>
      <c r="R398" s="3213"/>
      <c r="V398" s="3369"/>
    </row>
    <row r="399" spans="7:22">
      <c r="G399" s="3213"/>
      <c r="P399" s="3213"/>
      <c r="R399" s="3213"/>
      <c r="V399" s="3369"/>
    </row>
    <row r="400" spans="7:22">
      <c r="G400" s="3213"/>
      <c r="P400" s="3213"/>
      <c r="R400" s="3213"/>
      <c r="V400" s="3369"/>
    </row>
    <row r="401" spans="7:22">
      <c r="G401" s="3213"/>
      <c r="P401" s="3213"/>
      <c r="R401" s="3213"/>
      <c r="V401" s="3369"/>
    </row>
    <row r="402" spans="7:22">
      <c r="G402" s="3213"/>
      <c r="P402" s="3213"/>
      <c r="R402" s="3213"/>
      <c r="V402" s="3369"/>
    </row>
    <row r="403" spans="7:22">
      <c r="G403" s="3213"/>
      <c r="P403" s="3213"/>
      <c r="R403" s="3213"/>
      <c r="V403" s="3369"/>
    </row>
    <row r="404" spans="7:22">
      <c r="G404" s="3213"/>
      <c r="P404" s="3213"/>
      <c r="R404" s="3213"/>
      <c r="V404" s="3369"/>
    </row>
    <row r="405" spans="7:22">
      <c r="G405" s="3213"/>
      <c r="P405" s="3213"/>
      <c r="R405" s="3213"/>
      <c r="V405" s="3369"/>
    </row>
    <row r="406" spans="7:22">
      <c r="G406" s="3213"/>
      <c r="P406" s="3213"/>
      <c r="R406" s="3213"/>
      <c r="V406" s="3369"/>
    </row>
    <row r="407" spans="7:22">
      <c r="G407" s="3213"/>
      <c r="P407" s="3213"/>
      <c r="R407" s="3213"/>
      <c r="V407" s="3369"/>
    </row>
    <row r="408" spans="7:22">
      <c r="G408" s="3213"/>
      <c r="P408" s="3213"/>
      <c r="R408" s="3213"/>
      <c r="V408" s="3369"/>
    </row>
    <row r="409" spans="7:22">
      <c r="G409" s="3213"/>
      <c r="P409" s="3213"/>
      <c r="R409" s="3213"/>
      <c r="V409" s="3369"/>
    </row>
    <row r="410" spans="7:22">
      <c r="G410" s="3213"/>
      <c r="P410" s="3213"/>
      <c r="R410" s="3213"/>
      <c r="V410" s="3369"/>
    </row>
    <row r="411" spans="7:22">
      <c r="G411" s="3213"/>
      <c r="P411" s="3213"/>
      <c r="R411" s="3213"/>
      <c r="V411" s="3369"/>
    </row>
    <row r="412" spans="7:22">
      <c r="G412" s="3213"/>
      <c r="P412" s="3213"/>
      <c r="R412" s="3213"/>
      <c r="V412" s="3369"/>
    </row>
    <row r="413" spans="7:22">
      <c r="G413" s="3213"/>
      <c r="P413" s="3213"/>
      <c r="R413" s="3213"/>
      <c r="V413" s="3369"/>
    </row>
    <row r="414" spans="7:22">
      <c r="G414" s="3213"/>
      <c r="P414" s="3213"/>
      <c r="R414" s="3213"/>
      <c r="V414" s="3369"/>
    </row>
    <row r="415" spans="7:22">
      <c r="G415" s="3213"/>
      <c r="P415" s="3213"/>
      <c r="R415" s="3213"/>
      <c r="V415" s="3369"/>
    </row>
    <row r="416" spans="7:22">
      <c r="G416" s="3213"/>
      <c r="P416" s="3213"/>
      <c r="R416" s="3213"/>
      <c r="V416" s="3369"/>
    </row>
    <row r="417" spans="7:22">
      <c r="G417" s="3213"/>
      <c r="P417" s="3213"/>
      <c r="R417" s="3213"/>
      <c r="V417" s="3369"/>
    </row>
    <row r="418" spans="7:22">
      <c r="G418" s="3213"/>
      <c r="P418" s="3213"/>
      <c r="R418" s="3213"/>
      <c r="V418" s="3369"/>
    </row>
    <row r="419" spans="7:22">
      <c r="G419" s="3213"/>
      <c r="P419" s="3213"/>
      <c r="R419" s="3213"/>
      <c r="V419" s="3369"/>
    </row>
    <row r="420" spans="7:22">
      <c r="G420" s="3213"/>
      <c r="P420" s="3213"/>
      <c r="R420" s="3213"/>
      <c r="V420" s="3369"/>
    </row>
    <row r="421" spans="7:22">
      <c r="G421" s="3213"/>
      <c r="P421" s="3213"/>
      <c r="R421" s="3213"/>
      <c r="V421" s="3369"/>
    </row>
    <row r="422" spans="7:22">
      <c r="G422" s="3213"/>
      <c r="P422" s="3213"/>
      <c r="R422" s="3213"/>
      <c r="V422" s="3369"/>
    </row>
    <row r="423" spans="7:22">
      <c r="G423" s="3213"/>
      <c r="P423" s="3213"/>
      <c r="R423" s="3213"/>
      <c r="V423" s="3369"/>
    </row>
    <row r="424" spans="7:22">
      <c r="G424" s="3213"/>
      <c r="P424" s="3213"/>
      <c r="R424" s="3213"/>
      <c r="V424" s="3369"/>
    </row>
    <row r="425" spans="7:22">
      <c r="G425" s="3213"/>
      <c r="P425" s="3213"/>
      <c r="R425" s="3213"/>
      <c r="V425" s="3369"/>
    </row>
    <row r="426" spans="7:22">
      <c r="G426" s="3213"/>
      <c r="P426" s="3213"/>
      <c r="R426" s="3213"/>
      <c r="V426" s="3369"/>
    </row>
    <row r="427" spans="7:22">
      <c r="G427" s="3213"/>
      <c r="P427" s="3213"/>
      <c r="R427" s="3213"/>
      <c r="V427" s="3369"/>
    </row>
    <row r="428" spans="7:22">
      <c r="G428" s="3213"/>
      <c r="P428" s="3213"/>
      <c r="R428" s="3213"/>
      <c r="V428" s="3369"/>
    </row>
    <row r="429" spans="7:22">
      <c r="G429" s="3213"/>
      <c r="P429" s="3213"/>
      <c r="R429" s="3213"/>
      <c r="V429" s="3369"/>
    </row>
    <row r="430" spans="7:22">
      <c r="G430" s="3213"/>
      <c r="P430" s="3213"/>
      <c r="R430" s="3213"/>
      <c r="V430" s="3369"/>
    </row>
    <row r="431" spans="7:22">
      <c r="G431" s="3213"/>
      <c r="P431" s="3213"/>
      <c r="R431" s="3213"/>
      <c r="V431" s="3369"/>
    </row>
    <row r="432" spans="7:22">
      <c r="G432" s="3213"/>
      <c r="P432" s="3213"/>
      <c r="R432" s="3213"/>
      <c r="V432" s="3369"/>
    </row>
    <row r="433" spans="7:22">
      <c r="G433" s="3213"/>
      <c r="P433" s="3213"/>
      <c r="R433" s="3213"/>
      <c r="V433" s="3369"/>
    </row>
    <row r="434" spans="7:22">
      <c r="G434" s="3213"/>
      <c r="P434" s="3213"/>
      <c r="R434" s="3213"/>
      <c r="V434" s="3369"/>
    </row>
    <row r="435" spans="7:22">
      <c r="G435" s="3213"/>
      <c r="P435" s="3213"/>
      <c r="R435" s="3213"/>
      <c r="V435" s="3369"/>
    </row>
    <row r="436" spans="7:22">
      <c r="G436" s="3213"/>
      <c r="P436" s="3213"/>
      <c r="R436" s="3213"/>
      <c r="V436" s="3369"/>
    </row>
    <row r="437" spans="7:22">
      <c r="G437" s="3213"/>
      <c r="P437" s="3213"/>
      <c r="R437" s="3213"/>
      <c r="V437" s="3369"/>
    </row>
    <row r="438" spans="7:22">
      <c r="G438" s="3213"/>
      <c r="P438" s="3213"/>
      <c r="R438" s="3213"/>
      <c r="V438" s="3369"/>
    </row>
    <row r="439" spans="7:22">
      <c r="G439" s="3213"/>
      <c r="P439" s="3213"/>
      <c r="R439" s="3213"/>
      <c r="V439" s="3369"/>
    </row>
    <row r="440" spans="7:22">
      <c r="G440" s="3213"/>
      <c r="P440" s="3213"/>
      <c r="R440" s="3213"/>
      <c r="V440" s="3369"/>
    </row>
    <row r="441" spans="7:22">
      <c r="G441" s="3213"/>
      <c r="P441" s="3213"/>
      <c r="R441" s="3213"/>
      <c r="V441" s="3369"/>
    </row>
    <row r="442" spans="7:22">
      <c r="G442" s="3213"/>
      <c r="P442" s="3213"/>
      <c r="R442" s="3213"/>
      <c r="V442" s="3369"/>
    </row>
    <row r="443" spans="7:22">
      <c r="G443" s="3213"/>
      <c r="P443" s="3213"/>
      <c r="R443" s="3213"/>
      <c r="V443" s="3369"/>
    </row>
    <row r="444" spans="7:22">
      <c r="G444" s="3213"/>
      <c r="P444" s="3213"/>
      <c r="R444" s="3213"/>
      <c r="V444" s="3369"/>
    </row>
    <row r="445" spans="7:22">
      <c r="G445" s="3213"/>
      <c r="P445" s="3213"/>
      <c r="R445" s="3213"/>
      <c r="V445" s="3369"/>
    </row>
    <row r="446" spans="7:22">
      <c r="G446" s="3213"/>
      <c r="P446" s="3213"/>
      <c r="R446" s="3213"/>
      <c r="V446" s="3369"/>
    </row>
    <row r="447" spans="7:22">
      <c r="G447" s="3213"/>
      <c r="P447" s="3213"/>
      <c r="R447" s="3213"/>
      <c r="V447" s="3369"/>
    </row>
    <row r="448" spans="7:22">
      <c r="G448" s="3213"/>
      <c r="P448" s="3213"/>
      <c r="R448" s="3213"/>
      <c r="V448" s="3369"/>
    </row>
    <row r="449" spans="7:22">
      <c r="G449" s="3213"/>
      <c r="P449" s="3213"/>
      <c r="R449" s="3213"/>
      <c r="V449" s="3369"/>
    </row>
    <row r="450" spans="7:22">
      <c r="G450" s="3213"/>
      <c r="P450" s="3213"/>
      <c r="R450" s="3213"/>
      <c r="V450" s="3369"/>
    </row>
    <row r="451" spans="7:22">
      <c r="G451" s="3213"/>
      <c r="P451" s="3213"/>
      <c r="R451" s="3213"/>
      <c r="V451" s="3369"/>
    </row>
    <row r="452" spans="7:22">
      <c r="G452" s="3213"/>
      <c r="P452" s="3213"/>
      <c r="R452" s="3213"/>
      <c r="V452" s="3369"/>
    </row>
    <row r="453" spans="7:22">
      <c r="G453" s="3213"/>
      <c r="P453" s="3213"/>
      <c r="R453" s="3213"/>
      <c r="V453" s="3369"/>
    </row>
    <row r="454" spans="7:22">
      <c r="G454" s="3213"/>
      <c r="P454" s="3213"/>
      <c r="R454" s="3213"/>
      <c r="V454" s="3369"/>
    </row>
    <row r="455" spans="7:22">
      <c r="G455" s="3213"/>
      <c r="P455" s="3213"/>
      <c r="R455" s="3213"/>
      <c r="V455" s="3369"/>
    </row>
    <row r="456" spans="7:22">
      <c r="G456" s="3213"/>
      <c r="P456" s="3213"/>
      <c r="R456" s="3213"/>
      <c r="V456" s="3369"/>
    </row>
    <row r="457" spans="7:22">
      <c r="G457" s="3213"/>
      <c r="P457" s="3213"/>
      <c r="R457" s="3213"/>
      <c r="V457" s="3369"/>
    </row>
    <row r="458" spans="7:22">
      <c r="G458" s="3213"/>
      <c r="P458" s="3213"/>
      <c r="R458" s="3213"/>
      <c r="V458" s="3369"/>
    </row>
    <row r="459" spans="7:22">
      <c r="G459" s="3213"/>
      <c r="P459" s="3213"/>
      <c r="R459" s="3213"/>
      <c r="V459" s="3369"/>
    </row>
    <row r="460" spans="7:22">
      <c r="G460" s="3213"/>
      <c r="P460" s="3213"/>
      <c r="R460" s="3213"/>
      <c r="V460" s="3369"/>
    </row>
    <row r="461" spans="7:22">
      <c r="G461" s="3213"/>
      <c r="P461" s="3213"/>
      <c r="R461" s="3213"/>
      <c r="V461" s="3369"/>
    </row>
    <row r="462" spans="7:22">
      <c r="G462" s="3213"/>
      <c r="P462" s="3213"/>
      <c r="R462" s="3213"/>
      <c r="V462" s="3369"/>
    </row>
    <row r="463" spans="7:22">
      <c r="G463" s="3213"/>
      <c r="P463" s="3213"/>
      <c r="R463" s="3213"/>
      <c r="V463" s="3369"/>
    </row>
    <row r="464" spans="7:22">
      <c r="G464" s="3213"/>
      <c r="P464" s="3213"/>
      <c r="R464" s="3213"/>
      <c r="V464" s="3369"/>
    </row>
    <row r="465" spans="7:22">
      <c r="G465" s="3213"/>
      <c r="P465" s="3213"/>
      <c r="R465" s="3213"/>
      <c r="V465" s="3369"/>
    </row>
    <row r="466" spans="7:22">
      <c r="G466" s="3213"/>
      <c r="P466" s="3213"/>
      <c r="R466" s="3213"/>
      <c r="V466" s="3369"/>
    </row>
    <row r="467" spans="7:22">
      <c r="G467" s="3213"/>
      <c r="P467" s="3213"/>
      <c r="R467" s="3213"/>
      <c r="V467" s="3369"/>
    </row>
    <row r="468" spans="7:22">
      <c r="G468" s="3213"/>
      <c r="P468" s="3213"/>
      <c r="R468" s="3213"/>
      <c r="V468" s="3369"/>
    </row>
    <row r="469" spans="7:22">
      <c r="G469" s="3213"/>
      <c r="P469" s="3213"/>
      <c r="R469" s="3213"/>
      <c r="V469" s="3369"/>
    </row>
    <row r="470" spans="7:22">
      <c r="G470" s="3213"/>
      <c r="P470" s="3213"/>
      <c r="R470" s="3213"/>
      <c r="V470" s="3369"/>
    </row>
    <row r="471" spans="7:22">
      <c r="G471" s="3213"/>
      <c r="P471" s="3213"/>
      <c r="R471" s="3213"/>
      <c r="V471" s="3369"/>
    </row>
    <row r="472" spans="7:22">
      <c r="G472" s="3213"/>
      <c r="P472" s="3213"/>
      <c r="R472" s="3213"/>
      <c r="V472" s="3369"/>
    </row>
    <row r="473" spans="7:22">
      <c r="G473" s="3213"/>
      <c r="P473" s="3213"/>
      <c r="R473" s="3213"/>
      <c r="V473" s="3369"/>
    </row>
    <row r="474" spans="7:22">
      <c r="G474" s="3213"/>
      <c r="P474" s="3213"/>
      <c r="R474" s="3213"/>
      <c r="V474" s="3369"/>
    </row>
    <row r="475" spans="7:22">
      <c r="G475" s="3213"/>
      <c r="P475" s="3213"/>
      <c r="R475" s="3213"/>
      <c r="V475" s="3369"/>
    </row>
    <row r="476" spans="7:22">
      <c r="G476" s="3213"/>
      <c r="P476" s="3213"/>
      <c r="R476" s="3213"/>
      <c r="V476" s="3369"/>
    </row>
    <row r="477" spans="7:22">
      <c r="G477" s="3213"/>
      <c r="P477" s="3213"/>
      <c r="R477" s="3213"/>
      <c r="V477" s="3369"/>
    </row>
    <row r="478" spans="7:22">
      <c r="G478" s="3213"/>
      <c r="P478" s="3213"/>
      <c r="R478" s="3213"/>
      <c r="V478" s="3369"/>
    </row>
    <row r="479" spans="7:22">
      <c r="G479" s="3213"/>
      <c r="P479" s="3213"/>
      <c r="R479" s="3213"/>
      <c r="V479" s="3369"/>
    </row>
    <row r="480" spans="7:22">
      <c r="G480" s="3213"/>
      <c r="P480" s="3213"/>
      <c r="R480" s="3213"/>
      <c r="V480" s="3369"/>
    </row>
    <row r="481" spans="7:22">
      <c r="G481" s="3213"/>
      <c r="P481" s="3213"/>
      <c r="R481" s="3213"/>
      <c r="V481" s="3369"/>
    </row>
    <row r="482" spans="7:22">
      <c r="G482" s="3213"/>
      <c r="P482" s="3213"/>
      <c r="R482" s="3213"/>
      <c r="V482" s="3369"/>
    </row>
    <row r="483" spans="7:22">
      <c r="G483" s="3213"/>
      <c r="P483" s="3213"/>
      <c r="R483" s="3213"/>
      <c r="V483" s="3369"/>
    </row>
    <row r="484" spans="7:22">
      <c r="G484" s="3213"/>
      <c r="P484" s="3213"/>
      <c r="R484" s="3213"/>
      <c r="V484" s="3369"/>
    </row>
    <row r="485" spans="7:22">
      <c r="G485" s="3213"/>
      <c r="P485" s="3213"/>
      <c r="R485" s="3213"/>
      <c r="V485" s="3369"/>
    </row>
    <row r="486" spans="7:22">
      <c r="G486" s="3213"/>
      <c r="P486" s="3213"/>
      <c r="R486" s="3213"/>
      <c r="V486" s="3369"/>
    </row>
    <row r="487" spans="7:22">
      <c r="G487" s="3213"/>
      <c r="P487" s="3213"/>
      <c r="R487" s="3213"/>
      <c r="V487" s="3369"/>
    </row>
    <row r="488" spans="7:22">
      <c r="G488" s="3213"/>
      <c r="P488" s="3213"/>
      <c r="R488" s="3213"/>
      <c r="V488" s="3369"/>
    </row>
    <row r="489" spans="7:22">
      <c r="G489" s="3213"/>
      <c r="P489" s="3213"/>
      <c r="R489" s="3213"/>
      <c r="V489" s="3369"/>
    </row>
    <row r="490" spans="7:22">
      <c r="G490" s="3213"/>
      <c r="P490" s="3213"/>
      <c r="R490" s="3213"/>
      <c r="V490" s="3369"/>
    </row>
    <row r="491" spans="7:22">
      <c r="G491" s="3213"/>
      <c r="P491" s="3213"/>
      <c r="R491" s="3213"/>
      <c r="V491" s="3369"/>
    </row>
    <row r="492" spans="7:22">
      <c r="G492" s="3213"/>
      <c r="P492" s="3213"/>
      <c r="R492" s="3213"/>
      <c r="V492" s="3369"/>
    </row>
    <row r="493" spans="7:22">
      <c r="G493" s="3213"/>
      <c r="P493" s="3213"/>
      <c r="R493" s="3213"/>
      <c r="V493" s="3369"/>
    </row>
    <row r="494" spans="7:22">
      <c r="G494" s="3213"/>
      <c r="P494" s="3213"/>
      <c r="R494" s="3213"/>
      <c r="V494" s="3369"/>
    </row>
    <row r="495" spans="7:22">
      <c r="G495" s="3213"/>
      <c r="P495" s="3213"/>
      <c r="R495" s="3213"/>
      <c r="V495" s="3369"/>
    </row>
    <row r="496" spans="7:22">
      <c r="G496" s="3213"/>
      <c r="P496" s="3213"/>
      <c r="R496" s="3213"/>
      <c r="V496" s="3369"/>
    </row>
    <row r="497" spans="7:22">
      <c r="G497" s="3213"/>
      <c r="P497" s="3213"/>
      <c r="R497" s="3213"/>
      <c r="V497" s="3369"/>
    </row>
    <row r="498" spans="7:22">
      <c r="G498" s="3213"/>
      <c r="P498" s="3213"/>
      <c r="R498" s="3213"/>
      <c r="V498" s="3369"/>
    </row>
    <row r="499" spans="7:22">
      <c r="G499" s="3213"/>
      <c r="P499" s="3213"/>
      <c r="R499" s="3213"/>
      <c r="V499" s="3369"/>
    </row>
    <row r="500" spans="7:22">
      <c r="G500" s="3213"/>
      <c r="P500" s="3213"/>
      <c r="R500" s="3213"/>
      <c r="V500" s="3369"/>
    </row>
    <row r="501" spans="7:22">
      <c r="G501" s="3213"/>
      <c r="P501" s="3213"/>
      <c r="R501" s="3213"/>
      <c r="V501" s="3369"/>
    </row>
    <row r="502" spans="7:22">
      <c r="G502" s="3213"/>
      <c r="P502" s="3213"/>
      <c r="R502" s="3213"/>
      <c r="V502" s="3369"/>
    </row>
    <row r="503" spans="7:22">
      <c r="G503" s="3213"/>
      <c r="P503" s="3213"/>
      <c r="R503" s="3213"/>
      <c r="V503" s="3369"/>
    </row>
    <row r="504" spans="7:22">
      <c r="G504" s="3213"/>
      <c r="P504" s="3213"/>
      <c r="R504" s="3213"/>
      <c r="V504" s="3369"/>
    </row>
    <row r="505" spans="7:22">
      <c r="G505" s="3213"/>
      <c r="P505" s="3213"/>
      <c r="R505" s="3213"/>
      <c r="V505" s="3369"/>
    </row>
    <row r="506" spans="7:22">
      <c r="G506" s="3213"/>
      <c r="P506" s="3213"/>
      <c r="R506" s="3213"/>
      <c r="V506" s="3369"/>
    </row>
    <row r="507" spans="7:22">
      <c r="G507" s="3213"/>
      <c r="P507" s="3213"/>
      <c r="R507" s="3213"/>
      <c r="V507" s="3369"/>
    </row>
    <row r="508" spans="7:22">
      <c r="G508" s="3213"/>
      <c r="P508" s="3213"/>
      <c r="R508" s="3213"/>
      <c r="V508" s="3369"/>
    </row>
    <row r="509" spans="7:22">
      <c r="G509" s="3213"/>
      <c r="P509" s="3213"/>
      <c r="R509" s="3213"/>
      <c r="V509" s="3369"/>
    </row>
    <row r="510" spans="7:22">
      <c r="G510" s="3213"/>
      <c r="P510" s="3213"/>
      <c r="R510" s="3213"/>
      <c r="V510" s="3369"/>
    </row>
    <row r="511" spans="7:22">
      <c r="G511" s="3213"/>
      <c r="P511" s="3213"/>
      <c r="R511" s="3213"/>
      <c r="V511" s="3369"/>
    </row>
    <row r="512" spans="7:22">
      <c r="G512" s="3213"/>
      <c r="P512" s="3213"/>
      <c r="R512" s="3213"/>
      <c r="V512" s="3369"/>
    </row>
    <row r="513" spans="7:22">
      <c r="G513" s="3213"/>
      <c r="P513" s="3213"/>
      <c r="R513" s="3213"/>
      <c r="V513" s="3369"/>
    </row>
    <row r="514" spans="7:22">
      <c r="G514" s="3213"/>
      <c r="P514" s="3213"/>
      <c r="R514" s="3213"/>
      <c r="V514" s="3369"/>
    </row>
    <row r="515" spans="7:22">
      <c r="G515" s="3213"/>
      <c r="P515" s="3213"/>
      <c r="R515" s="3213"/>
      <c r="V515" s="3369"/>
    </row>
    <row r="516" spans="7:22">
      <c r="G516" s="3213"/>
      <c r="P516" s="3213"/>
      <c r="R516" s="3213"/>
      <c r="V516" s="3369"/>
    </row>
    <row r="517" spans="7:22">
      <c r="G517" s="3213"/>
      <c r="P517" s="3213"/>
      <c r="R517" s="3213"/>
      <c r="V517" s="3369"/>
    </row>
    <row r="518" spans="7:22">
      <c r="G518" s="3213"/>
      <c r="P518" s="3213"/>
      <c r="R518" s="3213"/>
      <c r="V518" s="3369"/>
    </row>
    <row r="519" spans="7:22">
      <c r="G519" s="3213"/>
      <c r="P519" s="3213"/>
      <c r="R519" s="3213"/>
      <c r="V519" s="3369"/>
    </row>
    <row r="520" spans="7:22">
      <c r="G520" s="3213"/>
      <c r="P520" s="3213"/>
      <c r="R520" s="3213"/>
      <c r="V520" s="3369"/>
    </row>
    <row r="521" spans="7:22">
      <c r="G521" s="3213"/>
      <c r="P521" s="3213"/>
      <c r="R521" s="3213"/>
      <c r="V521" s="3369"/>
    </row>
    <row r="522" spans="7:22">
      <c r="G522" s="3213"/>
      <c r="P522" s="3213"/>
      <c r="R522" s="3213"/>
      <c r="V522" s="3369"/>
    </row>
    <row r="523" spans="7:22">
      <c r="G523" s="3213"/>
      <c r="P523" s="3213"/>
      <c r="R523" s="3213"/>
      <c r="V523" s="3369"/>
    </row>
    <row r="524" spans="7:22">
      <c r="G524" s="3213"/>
      <c r="P524" s="3213"/>
      <c r="R524" s="3213"/>
      <c r="V524" s="3369"/>
    </row>
    <row r="525" spans="7:22">
      <c r="G525" s="3213"/>
      <c r="P525" s="3213"/>
      <c r="R525" s="3213"/>
      <c r="V525" s="3369"/>
    </row>
    <row r="526" spans="7:22">
      <c r="G526" s="3213"/>
      <c r="P526" s="3213"/>
      <c r="R526" s="3213"/>
      <c r="V526" s="3369"/>
    </row>
    <row r="527" spans="7:22">
      <c r="G527" s="3213"/>
      <c r="P527" s="3213"/>
      <c r="R527" s="3213"/>
      <c r="V527" s="3369"/>
    </row>
    <row r="528" spans="7:22">
      <c r="G528" s="3213"/>
      <c r="P528" s="3213"/>
      <c r="R528" s="3213"/>
      <c r="V528" s="3369"/>
    </row>
    <row r="529" spans="7:22">
      <c r="G529" s="3213"/>
      <c r="P529" s="3213"/>
      <c r="R529" s="3213"/>
      <c r="V529" s="3369"/>
    </row>
    <row r="530" spans="7:22">
      <c r="G530" s="3213"/>
      <c r="P530" s="3213"/>
      <c r="R530" s="3213"/>
      <c r="V530" s="3369"/>
    </row>
    <row r="531" spans="7:22">
      <c r="G531" s="3213"/>
      <c r="P531" s="3213"/>
      <c r="R531" s="3213"/>
      <c r="V531" s="3369"/>
    </row>
    <row r="532" spans="7:22">
      <c r="G532" s="3213"/>
      <c r="P532" s="3213"/>
      <c r="R532" s="3213"/>
      <c r="V532" s="3369"/>
    </row>
    <row r="533" spans="7:22">
      <c r="G533" s="3213"/>
      <c r="P533" s="3213"/>
      <c r="R533" s="3213"/>
      <c r="V533" s="3369"/>
    </row>
    <row r="534" spans="7:22">
      <c r="G534" s="3213"/>
      <c r="P534" s="3213"/>
      <c r="R534" s="3213"/>
      <c r="V534" s="3369"/>
    </row>
    <row r="535" spans="7:22">
      <c r="G535" s="3213"/>
      <c r="P535" s="3213"/>
      <c r="R535" s="3213"/>
      <c r="V535" s="3369"/>
    </row>
    <row r="536" spans="7:22">
      <c r="G536" s="3213"/>
      <c r="P536" s="3213"/>
      <c r="R536" s="3213"/>
      <c r="V536" s="3369"/>
    </row>
    <row r="537" spans="7:22">
      <c r="G537" s="3213"/>
      <c r="P537" s="3213"/>
      <c r="R537" s="3213"/>
      <c r="V537" s="3369"/>
    </row>
    <row r="538" spans="7:22">
      <c r="G538" s="3213"/>
      <c r="P538" s="3213"/>
      <c r="R538" s="3213"/>
      <c r="V538" s="3369"/>
    </row>
    <row r="539" spans="7:22">
      <c r="G539" s="3213"/>
      <c r="P539" s="3213"/>
      <c r="R539" s="3213"/>
      <c r="V539" s="3369"/>
    </row>
    <row r="540" spans="7:22">
      <c r="G540" s="3213"/>
      <c r="P540" s="3213"/>
      <c r="R540" s="3213"/>
      <c r="V540" s="3369"/>
    </row>
    <row r="541" spans="7:22">
      <c r="G541" s="3213"/>
      <c r="P541" s="3213"/>
      <c r="R541" s="3213"/>
      <c r="V541" s="3369"/>
    </row>
    <row r="542" spans="7:22">
      <c r="G542" s="3213"/>
      <c r="P542" s="3213"/>
      <c r="R542" s="3213"/>
      <c r="V542" s="3369"/>
    </row>
    <row r="543" spans="7:22">
      <c r="G543" s="3213"/>
      <c r="P543" s="3213"/>
      <c r="R543" s="3213"/>
      <c r="V543" s="3369"/>
    </row>
    <row r="544" spans="7:22">
      <c r="G544" s="3213"/>
      <c r="P544" s="3213"/>
      <c r="R544" s="3213"/>
      <c r="V544" s="3369"/>
    </row>
    <row r="545" spans="7:22">
      <c r="G545" s="3213"/>
      <c r="P545" s="3213"/>
      <c r="R545" s="3213"/>
      <c r="V545" s="3369"/>
    </row>
    <row r="546" spans="7:22">
      <c r="G546" s="3213"/>
      <c r="P546" s="3213"/>
      <c r="R546" s="3213"/>
      <c r="V546" s="3369"/>
    </row>
    <row r="547" spans="7:22">
      <c r="G547" s="3213"/>
      <c r="P547" s="3213"/>
      <c r="R547" s="3213"/>
      <c r="V547" s="3369"/>
    </row>
    <row r="548" spans="7:22">
      <c r="G548" s="3213"/>
      <c r="P548" s="3213"/>
      <c r="R548" s="3213"/>
      <c r="V548" s="3369"/>
    </row>
    <row r="549" spans="7:22">
      <c r="G549" s="3213"/>
      <c r="P549" s="3213"/>
      <c r="R549" s="3213"/>
      <c r="V549" s="3369"/>
    </row>
    <row r="550" spans="7:22">
      <c r="G550" s="3213"/>
      <c r="P550" s="3213"/>
      <c r="R550" s="3213"/>
      <c r="V550" s="3369"/>
    </row>
    <row r="551" spans="7:22">
      <c r="G551" s="3213"/>
      <c r="P551" s="3213"/>
      <c r="R551" s="3213"/>
      <c r="V551" s="3369"/>
    </row>
    <row r="552" spans="7:22">
      <c r="G552" s="3213"/>
      <c r="P552" s="3213"/>
      <c r="R552" s="3213"/>
      <c r="V552" s="3369"/>
    </row>
    <row r="553" spans="7:22">
      <c r="G553" s="3213"/>
      <c r="P553" s="3213"/>
      <c r="R553" s="3213"/>
      <c r="V553" s="3369"/>
    </row>
    <row r="554" spans="7:22">
      <c r="G554" s="3213"/>
      <c r="P554" s="3213"/>
      <c r="R554" s="3213"/>
      <c r="V554" s="3369"/>
    </row>
    <row r="555" spans="7:22">
      <c r="G555" s="3213"/>
      <c r="P555" s="3213"/>
      <c r="R555" s="3213"/>
      <c r="V555" s="3369"/>
    </row>
    <row r="556" spans="7:22">
      <c r="G556" s="3213"/>
      <c r="P556" s="3213"/>
      <c r="R556" s="3213"/>
      <c r="V556" s="3369"/>
    </row>
    <row r="557" spans="7:22">
      <c r="G557" s="3213"/>
      <c r="P557" s="3213"/>
      <c r="R557" s="3213"/>
      <c r="V557" s="3369"/>
    </row>
    <row r="558" spans="7:22">
      <c r="G558" s="3213"/>
      <c r="P558" s="3213"/>
      <c r="R558" s="3213"/>
      <c r="V558" s="3369"/>
    </row>
    <row r="559" spans="7:22">
      <c r="G559" s="3213"/>
      <c r="P559" s="3213"/>
      <c r="R559" s="3213"/>
      <c r="V559" s="3369"/>
    </row>
    <row r="560" spans="7:22">
      <c r="G560" s="3213"/>
      <c r="P560" s="3213"/>
      <c r="R560" s="3213"/>
      <c r="V560" s="3369"/>
    </row>
    <row r="561" spans="7:22">
      <c r="G561" s="3213"/>
      <c r="P561" s="3213"/>
      <c r="R561" s="3213"/>
      <c r="V561" s="3369"/>
    </row>
    <row r="562" spans="7:22">
      <c r="G562" s="3213"/>
      <c r="P562" s="3213"/>
      <c r="R562" s="3213"/>
      <c r="V562" s="3369"/>
    </row>
    <row r="563" spans="7:22">
      <c r="G563" s="3213"/>
      <c r="P563" s="3213"/>
      <c r="R563" s="3213"/>
      <c r="V563" s="3369"/>
    </row>
    <row r="564" spans="7:22">
      <c r="G564" s="3213"/>
      <c r="P564" s="3213"/>
      <c r="R564" s="3213"/>
      <c r="V564" s="3369"/>
    </row>
    <row r="565" spans="7:22">
      <c r="G565" s="3213"/>
      <c r="P565" s="3213"/>
      <c r="R565" s="3213"/>
      <c r="V565" s="3369"/>
    </row>
    <row r="566" spans="7:22">
      <c r="G566" s="3213"/>
      <c r="P566" s="3213"/>
      <c r="R566" s="3213"/>
      <c r="V566" s="3369"/>
    </row>
    <row r="567" spans="7:22">
      <c r="G567" s="3213"/>
      <c r="P567" s="3213"/>
      <c r="R567" s="3213"/>
      <c r="V567" s="3369"/>
    </row>
    <row r="568" spans="7:22">
      <c r="G568" s="3213"/>
      <c r="P568" s="3213"/>
      <c r="R568" s="3213"/>
      <c r="V568" s="3369"/>
    </row>
    <row r="569" spans="7:22">
      <c r="G569" s="3213"/>
      <c r="P569" s="3213"/>
      <c r="R569" s="3213"/>
      <c r="V569" s="3369"/>
    </row>
    <row r="570" spans="7:22">
      <c r="G570" s="3213"/>
      <c r="P570" s="3213"/>
      <c r="R570" s="3213"/>
      <c r="V570" s="3369"/>
    </row>
    <row r="571" spans="7:22">
      <c r="G571" s="3213"/>
      <c r="P571" s="3213"/>
      <c r="R571" s="3213"/>
      <c r="V571" s="3369"/>
    </row>
    <row r="572" spans="7:22">
      <c r="G572" s="3213"/>
      <c r="P572" s="3213"/>
      <c r="R572" s="3213"/>
      <c r="V572" s="3369"/>
    </row>
    <row r="573" spans="7:22">
      <c r="G573" s="3213"/>
      <c r="P573" s="3213"/>
      <c r="R573" s="3213"/>
      <c r="V573" s="3369"/>
    </row>
    <row r="574" spans="7:22">
      <c r="G574" s="3213"/>
      <c r="P574" s="3213"/>
      <c r="R574" s="3213"/>
      <c r="V574" s="3369"/>
    </row>
    <row r="575" spans="7:22">
      <c r="G575" s="3213"/>
      <c r="P575" s="3213"/>
      <c r="R575" s="3213"/>
      <c r="V575" s="3369"/>
    </row>
    <row r="576" spans="7:22">
      <c r="G576" s="3213"/>
      <c r="P576" s="3213"/>
      <c r="R576" s="3213"/>
      <c r="V576" s="3369"/>
    </row>
    <row r="577" spans="7:22">
      <c r="G577" s="3213"/>
      <c r="P577" s="3213"/>
      <c r="R577" s="3213"/>
      <c r="V577" s="3369"/>
    </row>
    <row r="578" spans="7:22">
      <c r="G578" s="3213"/>
      <c r="P578" s="3213"/>
      <c r="R578" s="3213"/>
      <c r="V578" s="3369"/>
    </row>
    <row r="579" spans="7:22">
      <c r="G579" s="3213"/>
      <c r="P579" s="3213"/>
      <c r="R579" s="3213"/>
      <c r="V579" s="3369"/>
    </row>
    <row r="580" spans="7:22">
      <c r="G580" s="3213"/>
      <c r="P580" s="3213"/>
      <c r="R580" s="3213"/>
      <c r="V580" s="3369"/>
    </row>
    <row r="581" spans="7:22">
      <c r="G581" s="3213"/>
      <c r="P581" s="3213"/>
      <c r="R581" s="3213"/>
      <c r="V581" s="3369"/>
    </row>
    <row r="582" spans="7:22">
      <c r="G582" s="3213"/>
      <c r="P582" s="3213"/>
      <c r="R582" s="3213"/>
      <c r="V582" s="3369"/>
    </row>
    <row r="583" spans="7:22">
      <c r="G583" s="3213"/>
      <c r="P583" s="3213"/>
      <c r="R583" s="3213"/>
      <c r="V583" s="3369"/>
    </row>
    <row r="584" spans="7:22">
      <c r="G584" s="3213"/>
      <c r="P584" s="3213"/>
      <c r="R584" s="3213"/>
      <c r="V584" s="3369"/>
    </row>
    <row r="585" spans="7:22">
      <c r="G585" s="3213"/>
      <c r="P585" s="3213"/>
      <c r="R585" s="3213"/>
      <c r="V585" s="3369"/>
    </row>
    <row r="586" spans="7:22">
      <c r="G586" s="3213"/>
      <c r="P586" s="3213"/>
      <c r="R586" s="3213"/>
      <c r="V586" s="3369"/>
    </row>
    <row r="587" spans="7:22">
      <c r="G587" s="3213"/>
      <c r="P587" s="3213"/>
      <c r="R587" s="3213"/>
      <c r="V587" s="3369"/>
    </row>
    <row r="588" spans="7:22">
      <c r="G588" s="3213"/>
      <c r="P588" s="3213"/>
      <c r="R588" s="3213"/>
      <c r="V588" s="3369"/>
    </row>
    <row r="589" spans="7:22">
      <c r="G589" s="3213"/>
      <c r="P589" s="3213"/>
      <c r="R589" s="3213"/>
      <c r="V589" s="3369"/>
    </row>
    <row r="590" spans="7:22">
      <c r="G590" s="3213"/>
      <c r="P590" s="3213"/>
      <c r="R590" s="3213"/>
      <c r="V590" s="3369"/>
    </row>
    <row r="591" spans="7:22">
      <c r="G591" s="3213"/>
      <c r="P591" s="3213"/>
      <c r="R591" s="3213"/>
      <c r="V591" s="3369"/>
    </row>
    <row r="592" spans="7:22">
      <c r="G592" s="3213"/>
      <c r="P592" s="3213"/>
      <c r="R592" s="3213"/>
      <c r="V592" s="3369"/>
    </row>
    <row r="593" spans="7:22">
      <c r="G593" s="3213"/>
      <c r="P593" s="3213"/>
      <c r="R593" s="3213"/>
      <c r="V593" s="3369"/>
    </row>
    <row r="594" spans="7:22">
      <c r="G594" s="3213"/>
      <c r="P594" s="3213"/>
      <c r="R594" s="3213"/>
      <c r="V594" s="3369"/>
    </row>
    <row r="595" spans="7:22">
      <c r="G595" s="3213"/>
      <c r="P595" s="3213"/>
      <c r="R595" s="3213"/>
      <c r="V595" s="3369"/>
    </row>
    <row r="596" spans="7:22">
      <c r="G596" s="3213"/>
      <c r="P596" s="3213"/>
      <c r="R596" s="3213"/>
      <c r="V596" s="3369"/>
    </row>
    <row r="597" spans="7:22">
      <c r="G597" s="3213"/>
      <c r="P597" s="3213"/>
      <c r="R597" s="3213"/>
      <c r="V597" s="3369"/>
    </row>
    <row r="598" spans="7:22">
      <c r="G598" s="3213"/>
      <c r="P598" s="3213"/>
      <c r="R598" s="3213"/>
      <c r="V598" s="3369"/>
    </row>
    <row r="599" spans="7:22">
      <c r="G599" s="3213"/>
      <c r="P599" s="3213"/>
      <c r="R599" s="3213"/>
      <c r="V599" s="3369"/>
    </row>
    <row r="600" spans="7:22">
      <c r="G600" s="3213"/>
      <c r="P600" s="3213"/>
      <c r="R600" s="3213"/>
      <c r="V600" s="3369"/>
    </row>
    <row r="601" spans="7:22">
      <c r="G601" s="3213"/>
      <c r="P601" s="3213"/>
      <c r="R601" s="3213"/>
      <c r="V601" s="3369"/>
    </row>
    <row r="602" spans="7:22">
      <c r="G602" s="3213"/>
      <c r="P602" s="3213"/>
      <c r="R602" s="3213"/>
      <c r="V602" s="3369"/>
    </row>
    <row r="603" spans="7:22">
      <c r="G603" s="3213"/>
      <c r="P603" s="3213"/>
      <c r="R603" s="3213"/>
      <c r="V603" s="3369"/>
    </row>
    <row r="604" spans="7:22">
      <c r="G604" s="3213"/>
      <c r="P604" s="3213"/>
      <c r="R604" s="3213"/>
      <c r="V604" s="3369"/>
    </row>
    <row r="605" spans="7:22">
      <c r="G605" s="3213"/>
      <c r="P605" s="3213"/>
      <c r="R605" s="3213"/>
      <c r="V605" s="3369"/>
    </row>
    <row r="606" spans="7:22">
      <c r="G606" s="3213"/>
      <c r="P606" s="3213"/>
      <c r="R606" s="3213"/>
      <c r="V606" s="3369"/>
    </row>
    <row r="607" spans="7:22">
      <c r="G607" s="3213"/>
      <c r="P607" s="3213"/>
      <c r="R607" s="3213"/>
      <c r="V607" s="3369"/>
    </row>
    <row r="608" spans="7:22">
      <c r="G608" s="3213"/>
      <c r="P608" s="3213"/>
      <c r="R608" s="3213"/>
      <c r="V608" s="3369"/>
    </row>
    <row r="609" spans="7:22">
      <c r="G609" s="3213"/>
      <c r="P609" s="3213"/>
      <c r="R609" s="3213"/>
      <c r="V609" s="3369"/>
    </row>
    <row r="610" spans="7:22">
      <c r="G610" s="3213"/>
      <c r="P610" s="3213"/>
      <c r="R610" s="3213"/>
      <c r="V610" s="3369"/>
    </row>
    <row r="611" spans="7:22">
      <c r="G611" s="3213"/>
      <c r="P611" s="3213"/>
      <c r="R611" s="3213"/>
      <c r="V611" s="3369"/>
    </row>
    <row r="612" spans="7:22">
      <c r="G612" s="3213"/>
      <c r="P612" s="3213"/>
      <c r="R612" s="3213"/>
      <c r="V612" s="3369"/>
    </row>
    <row r="613" spans="7:22">
      <c r="G613" s="3213"/>
      <c r="P613" s="3213"/>
      <c r="R613" s="3213"/>
      <c r="V613" s="3369"/>
    </row>
    <row r="614" spans="7:22">
      <c r="G614" s="3213"/>
      <c r="P614" s="3213"/>
      <c r="R614" s="3213"/>
      <c r="V614" s="3369"/>
    </row>
    <row r="615" spans="7:22">
      <c r="G615" s="3213"/>
      <c r="P615" s="3213"/>
      <c r="R615" s="3213"/>
      <c r="V615" s="3369"/>
    </row>
    <row r="616" spans="7:22">
      <c r="G616" s="3213"/>
      <c r="P616" s="3213"/>
      <c r="R616" s="3213"/>
      <c r="V616" s="3369"/>
    </row>
    <row r="617" spans="7:22">
      <c r="G617" s="3213"/>
      <c r="P617" s="3213"/>
      <c r="R617" s="3213"/>
      <c r="V617" s="3369"/>
    </row>
    <row r="618" spans="7:22">
      <c r="G618" s="3213"/>
      <c r="P618" s="3213"/>
      <c r="R618" s="3213"/>
      <c r="V618" s="3369"/>
    </row>
    <row r="619" spans="7:22">
      <c r="G619" s="3213"/>
      <c r="P619" s="3213"/>
      <c r="R619" s="3213"/>
      <c r="V619" s="3369"/>
    </row>
    <row r="620" spans="7:22">
      <c r="G620" s="3213"/>
      <c r="P620" s="3213"/>
      <c r="R620" s="3213"/>
      <c r="V620" s="3369"/>
    </row>
    <row r="621" spans="7:22">
      <c r="G621" s="3213"/>
      <c r="P621" s="3213"/>
      <c r="R621" s="3213"/>
      <c r="V621" s="3369"/>
    </row>
    <row r="622" spans="7:22">
      <c r="G622" s="3213"/>
      <c r="P622" s="3213"/>
      <c r="R622" s="3213"/>
      <c r="V622" s="3369"/>
    </row>
    <row r="623" spans="7:22">
      <c r="G623" s="3213"/>
      <c r="P623" s="3213"/>
      <c r="R623" s="3213"/>
      <c r="V623" s="3369"/>
    </row>
    <row r="624" spans="7:22">
      <c r="G624" s="3213"/>
      <c r="P624" s="3213"/>
      <c r="R624" s="3213"/>
      <c r="V624" s="3369"/>
    </row>
    <row r="625" spans="7:22">
      <c r="G625" s="3213"/>
      <c r="P625" s="3213"/>
      <c r="R625" s="3213"/>
      <c r="V625" s="3369"/>
    </row>
    <row r="626" spans="7:22">
      <c r="G626" s="3213"/>
      <c r="P626" s="3213"/>
      <c r="R626" s="3213"/>
      <c r="V626" s="3369"/>
    </row>
    <row r="627" spans="7:22">
      <c r="G627" s="3213"/>
      <c r="P627" s="3213"/>
      <c r="R627" s="3213"/>
      <c r="V627" s="3369"/>
    </row>
    <row r="628" spans="7:22">
      <c r="G628" s="3213"/>
      <c r="P628" s="3213"/>
      <c r="R628" s="3213"/>
      <c r="V628" s="3369"/>
    </row>
    <row r="629" spans="7:22">
      <c r="G629" s="3213"/>
      <c r="P629" s="3213"/>
      <c r="R629" s="3213"/>
      <c r="V629" s="3369"/>
    </row>
    <row r="630" spans="7:22">
      <c r="G630" s="3213"/>
      <c r="P630" s="3213"/>
      <c r="R630" s="3213"/>
      <c r="V630" s="3369"/>
    </row>
    <row r="631" spans="7:22">
      <c r="G631" s="3213"/>
      <c r="P631" s="3213"/>
      <c r="R631" s="3213"/>
      <c r="V631" s="3369"/>
    </row>
    <row r="632" spans="7:22">
      <c r="G632" s="3213"/>
      <c r="P632" s="3213"/>
      <c r="R632" s="3213"/>
      <c r="V632" s="3369"/>
    </row>
    <row r="633" spans="7:22">
      <c r="G633" s="3213"/>
      <c r="P633" s="3213"/>
      <c r="R633" s="3213"/>
      <c r="V633" s="3369"/>
    </row>
    <row r="634" spans="7:22">
      <c r="G634" s="3213"/>
      <c r="P634" s="3213"/>
      <c r="R634" s="3213"/>
      <c r="V634" s="3369"/>
    </row>
    <row r="635" spans="7:22">
      <c r="G635" s="3213"/>
      <c r="P635" s="3213"/>
      <c r="R635" s="3213"/>
      <c r="V635" s="3369"/>
    </row>
    <row r="636" spans="7:22">
      <c r="G636" s="3213"/>
      <c r="P636" s="3213"/>
      <c r="R636" s="3213"/>
      <c r="V636" s="3369"/>
    </row>
    <row r="637" spans="7:22">
      <c r="G637" s="3213"/>
      <c r="P637" s="3213"/>
      <c r="R637" s="3213"/>
      <c r="V637" s="3369"/>
    </row>
    <row r="638" spans="7:22">
      <c r="G638" s="3213"/>
      <c r="P638" s="3213"/>
      <c r="R638" s="3213"/>
      <c r="V638" s="3369"/>
    </row>
    <row r="639" spans="7:22">
      <c r="G639" s="3213"/>
      <c r="P639" s="3213"/>
      <c r="R639" s="3213"/>
      <c r="V639" s="3369"/>
    </row>
    <row r="640" spans="7:22">
      <c r="G640" s="3213"/>
      <c r="P640" s="3213"/>
      <c r="R640" s="3213"/>
      <c r="V640" s="3369"/>
    </row>
    <row r="641" spans="7:22">
      <c r="G641" s="3213"/>
      <c r="P641" s="3213"/>
      <c r="R641" s="3213"/>
      <c r="V641" s="3369"/>
    </row>
    <row r="642" spans="7:22">
      <c r="G642" s="3213"/>
      <c r="P642" s="3213"/>
      <c r="R642" s="3213"/>
      <c r="V642" s="3369"/>
    </row>
    <row r="643" spans="7:22">
      <c r="G643" s="3213"/>
      <c r="P643" s="3213"/>
      <c r="R643" s="3213"/>
      <c r="V643" s="3369"/>
    </row>
    <row r="644" spans="7:22">
      <c r="G644" s="3213"/>
      <c r="P644" s="3213"/>
      <c r="R644" s="3213"/>
      <c r="V644" s="3369"/>
    </row>
    <row r="645" spans="7:22">
      <c r="G645" s="3213"/>
      <c r="P645" s="3213"/>
      <c r="R645" s="3213"/>
      <c r="V645" s="3369"/>
    </row>
    <row r="646" spans="7:22">
      <c r="G646" s="3213"/>
      <c r="P646" s="3213"/>
      <c r="R646" s="3213"/>
      <c r="V646" s="3369"/>
    </row>
    <row r="647" spans="7:22">
      <c r="G647" s="3213"/>
      <c r="P647" s="3213"/>
      <c r="R647" s="3213"/>
      <c r="V647" s="3369"/>
    </row>
    <row r="648" spans="7:22">
      <c r="G648" s="3213"/>
      <c r="P648" s="3213"/>
      <c r="R648" s="3213"/>
      <c r="V648" s="3369"/>
    </row>
    <row r="649" spans="7:22">
      <c r="G649" s="3213"/>
      <c r="P649" s="3213"/>
      <c r="R649" s="3213"/>
      <c r="V649" s="3369"/>
    </row>
    <row r="650" spans="7:22">
      <c r="G650" s="3213"/>
      <c r="P650" s="3213"/>
      <c r="R650" s="3213"/>
      <c r="V650" s="3369"/>
    </row>
    <row r="651" spans="7:22">
      <c r="G651" s="3213"/>
      <c r="P651" s="3213"/>
      <c r="R651" s="3213"/>
      <c r="V651" s="3369"/>
    </row>
    <row r="652" spans="7:22">
      <c r="G652" s="3213"/>
      <c r="P652" s="3213"/>
      <c r="R652" s="3213"/>
      <c r="V652" s="3369"/>
    </row>
    <row r="653" spans="7:22">
      <c r="G653" s="3213"/>
      <c r="P653" s="3213"/>
      <c r="R653" s="3213"/>
      <c r="V653" s="3369"/>
    </row>
    <row r="654" spans="7:22">
      <c r="G654" s="3213"/>
      <c r="P654" s="3213"/>
      <c r="R654" s="3213"/>
      <c r="V654" s="3369"/>
    </row>
    <row r="655" spans="7:22">
      <c r="G655" s="3213"/>
      <c r="P655" s="3213"/>
      <c r="R655" s="3213"/>
      <c r="V655" s="3369"/>
    </row>
    <row r="656" spans="7:22">
      <c r="G656" s="3213"/>
      <c r="P656" s="3213"/>
      <c r="R656" s="3213"/>
      <c r="V656" s="3369"/>
    </row>
    <row r="657" spans="7:22">
      <c r="G657" s="3213"/>
      <c r="P657" s="3213"/>
      <c r="R657" s="3213"/>
      <c r="V657" s="3369"/>
    </row>
    <row r="658" spans="7:22">
      <c r="G658" s="3213"/>
      <c r="P658" s="3213"/>
      <c r="R658" s="3213"/>
      <c r="V658" s="3369"/>
    </row>
    <row r="659" spans="7:22">
      <c r="G659" s="3213"/>
      <c r="P659" s="3213"/>
      <c r="R659" s="3213"/>
      <c r="V659" s="3369"/>
    </row>
    <row r="660" spans="7:22">
      <c r="G660" s="3213"/>
      <c r="P660" s="3213"/>
      <c r="R660" s="3213"/>
      <c r="V660" s="3369"/>
    </row>
    <row r="661" spans="7:22">
      <c r="G661" s="3213"/>
      <c r="P661" s="3213"/>
      <c r="R661" s="3213"/>
      <c r="V661" s="3369"/>
    </row>
    <row r="662" spans="7:22">
      <c r="G662" s="3213"/>
      <c r="P662" s="3213"/>
      <c r="R662" s="3213"/>
      <c r="V662" s="3369"/>
    </row>
    <row r="663" spans="7:22">
      <c r="G663" s="3213"/>
      <c r="P663" s="3213"/>
      <c r="R663" s="3213"/>
      <c r="V663" s="3369"/>
    </row>
    <row r="664" spans="7:22">
      <c r="G664" s="3213"/>
      <c r="P664" s="3213"/>
      <c r="R664" s="3213"/>
      <c r="V664" s="3369"/>
    </row>
    <row r="665" spans="7:22">
      <c r="G665" s="3213"/>
      <c r="P665" s="3213"/>
      <c r="R665" s="3213"/>
      <c r="V665" s="3369"/>
    </row>
    <row r="666" spans="7:22">
      <c r="G666" s="3213"/>
      <c r="P666" s="3213"/>
      <c r="R666" s="3213"/>
      <c r="V666" s="3369"/>
    </row>
    <row r="667" spans="7:22">
      <c r="G667" s="3213"/>
      <c r="P667" s="3213"/>
      <c r="R667" s="3213"/>
      <c r="V667" s="3369"/>
    </row>
    <row r="668" spans="7:22">
      <c r="G668" s="3213"/>
      <c r="P668" s="3213"/>
      <c r="R668" s="3213"/>
      <c r="V668" s="3369"/>
    </row>
    <row r="669" spans="7:22">
      <c r="G669" s="3213"/>
      <c r="P669" s="3213"/>
      <c r="R669" s="3213"/>
      <c r="V669" s="3369"/>
    </row>
    <row r="670" spans="7:22">
      <c r="G670" s="3213"/>
      <c r="P670" s="3213"/>
      <c r="R670" s="3213"/>
      <c r="V670" s="3369"/>
    </row>
    <row r="671" spans="7:22">
      <c r="G671" s="3213"/>
      <c r="P671" s="3213"/>
      <c r="R671" s="3213"/>
      <c r="V671" s="3369"/>
    </row>
    <row r="672" spans="7:22">
      <c r="G672" s="3213"/>
      <c r="P672" s="3213"/>
      <c r="R672" s="3213"/>
      <c r="V672" s="3369"/>
    </row>
    <row r="673" spans="7:22">
      <c r="G673" s="3213"/>
      <c r="P673" s="3213"/>
      <c r="R673" s="3213"/>
      <c r="V673" s="3369"/>
    </row>
    <row r="674" spans="7:22">
      <c r="G674" s="3213"/>
      <c r="P674" s="3213"/>
      <c r="R674" s="3213"/>
      <c r="V674" s="3369"/>
    </row>
    <row r="675" spans="7:22">
      <c r="G675" s="3213"/>
      <c r="P675" s="3213"/>
      <c r="R675" s="3213"/>
      <c r="V675" s="3369"/>
    </row>
    <row r="676" spans="7:22">
      <c r="G676" s="3213"/>
      <c r="P676" s="3213"/>
      <c r="R676" s="3213"/>
      <c r="V676" s="3369"/>
    </row>
    <row r="677" spans="7:22">
      <c r="G677" s="3213"/>
      <c r="P677" s="3213"/>
      <c r="R677" s="3213"/>
      <c r="V677" s="3369"/>
    </row>
    <row r="678" spans="7:22">
      <c r="G678" s="3213"/>
      <c r="P678" s="3213"/>
      <c r="R678" s="3213"/>
      <c r="V678" s="3369"/>
    </row>
    <row r="679" spans="7:22">
      <c r="G679" s="3213"/>
      <c r="P679" s="3213"/>
      <c r="R679" s="3213"/>
      <c r="V679" s="3369"/>
    </row>
    <row r="680" spans="7:22">
      <c r="G680" s="3213"/>
      <c r="P680" s="3213"/>
      <c r="R680" s="3213"/>
      <c r="V680" s="3369"/>
    </row>
    <row r="681" spans="7:22">
      <c r="G681" s="3213"/>
      <c r="P681" s="3213"/>
      <c r="R681" s="3213"/>
      <c r="V681" s="3369"/>
    </row>
    <row r="682" spans="7:22">
      <c r="G682" s="3213"/>
      <c r="P682" s="3213"/>
      <c r="R682" s="3213"/>
      <c r="V682" s="3369"/>
    </row>
    <row r="683" spans="7:22">
      <c r="G683" s="3213"/>
      <c r="P683" s="3213"/>
      <c r="R683" s="3213"/>
      <c r="V683" s="3369"/>
    </row>
    <row r="684" spans="7:22">
      <c r="G684" s="3213"/>
      <c r="P684" s="3213"/>
      <c r="R684" s="3213"/>
      <c r="V684" s="3369"/>
    </row>
    <row r="685" spans="7:22">
      <c r="G685" s="3213"/>
      <c r="P685" s="3213"/>
      <c r="R685" s="3213"/>
      <c r="V685" s="3369"/>
    </row>
    <row r="686" spans="7:22">
      <c r="G686" s="3213"/>
      <c r="P686" s="3213"/>
      <c r="R686" s="3213"/>
      <c r="V686" s="3369"/>
    </row>
    <row r="687" spans="7:22">
      <c r="G687" s="3213"/>
      <c r="P687" s="3213"/>
      <c r="R687" s="3213"/>
      <c r="V687" s="3369"/>
    </row>
    <row r="688" spans="7:22">
      <c r="G688" s="3213"/>
      <c r="P688" s="3213"/>
      <c r="R688" s="3213"/>
      <c r="V688" s="3369"/>
    </row>
    <row r="689" spans="7:22">
      <c r="G689" s="3213"/>
      <c r="P689" s="3213"/>
      <c r="R689" s="3213"/>
      <c r="V689" s="3369"/>
    </row>
    <row r="690" spans="7:22">
      <c r="G690" s="3213"/>
      <c r="P690" s="3213"/>
      <c r="R690" s="3213"/>
      <c r="V690" s="3369"/>
    </row>
    <row r="691" spans="7:22">
      <c r="G691" s="3213"/>
      <c r="P691" s="3213"/>
      <c r="R691" s="3213"/>
      <c r="V691" s="3369"/>
    </row>
    <row r="692" spans="7:22">
      <c r="G692" s="3213"/>
      <c r="P692" s="3213"/>
      <c r="R692" s="3213"/>
      <c r="V692" s="3369"/>
    </row>
    <row r="693" spans="7:22">
      <c r="G693" s="3213"/>
      <c r="P693" s="3213"/>
      <c r="R693" s="3213"/>
      <c r="V693" s="3369"/>
    </row>
    <row r="694" spans="7:22">
      <c r="G694" s="3213"/>
      <c r="P694" s="3213"/>
      <c r="R694" s="3213"/>
      <c r="V694" s="3369"/>
    </row>
    <row r="695" spans="7:22">
      <c r="G695" s="3213"/>
      <c r="P695" s="3213"/>
      <c r="R695" s="3213"/>
      <c r="V695" s="3369"/>
    </row>
    <row r="696" spans="7:22">
      <c r="G696" s="3213"/>
      <c r="P696" s="3213"/>
      <c r="R696" s="3213"/>
      <c r="V696" s="3369"/>
    </row>
    <row r="697" spans="7:22">
      <c r="G697" s="3213"/>
      <c r="P697" s="3213"/>
      <c r="R697" s="3213"/>
      <c r="V697" s="3369"/>
    </row>
    <row r="698" spans="7:22">
      <c r="G698" s="3213"/>
      <c r="P698" s="3213"/>
      <c r="R698" s="3213"/>
      <c r="V698" s="3369"/>
    </row>
    <row r="699" spans="7:22">
      <c r="G699" s="3213"/>
      <c r="P699" s="3213"/>
      <c r="R699" s="3213"/>
      <c r="V699" s="3369"/>
    </row>
    <row r="700" spans="7:22">
      <c r="G700" s="3213"/>
      <c r="P700" s="3213"/>
      <c r="R700" s="3213"/>
      <c r="V700" s="3369"/>
    </row>
    <row r="701" spans="7:22">
      <c r="G701" s="3213"/>
      <c r="P701" s="3213"/>
      <c r="R701" s="3213"/>
      <c r="V701" s="3369"/>
    </row>
    <row r="702" spans="7:22">
      <c r="G702" s="3213"/>
      <c r="P702" s="3213"/>
      <c r="R702" s="3213"/>
      <c r="V702" s="3369"/>
    </row>
    <row r="703" spans="7:22">
      <c r="G703" s="3213"/>
      <c r="P703" s="3213"/>
      <c r="R703" s="3213"/>
      <c r="V703" s="3369"/>
    </row>
    <row r="704" spans="7:22">
      <c r="G704" s="3213"/>
      <c r="P704" s="3213"/>
      <c r="R704" s="3213"/>
      <c r="V704" s="3369"/>
    </row>
    <row r="705" spans="7:22">
      <c r="G705" s="3213"/>
      <c r="P705" s="3213"/>
      <c r="R705" s="3213"/>
      <c r="V705" s="3369"/>
    </row>
    <row r="706" spans="7:22">
      <c r="G706" s="3213"/>
      <c r="P706" s="3213"/>
      <c r="R706" s="3213"/>
      <c r="V706" s="3369"/>
    </row>
    <row r="707" spans="7:22">
      <c r="G707" s="3213"/>
      <c r="P707" s="3213"/>
      <c r="R707" s="3213"/>
      <c r="V707" s="3369"/>
    </row>
  </sheetData>
  <sortState xmlns:xlrd2="http://schemas.microsoft.com/office/spreadsheetml/2017/richdata2" ref="A2:AE707">
    <sortCondition ref="D2:D707"/>
  </sortState>
  <phoneticPr fontId="136" type="noConversion"/>
  <conditionalFormatting sqref="A2:XFD17">
    <cfRule type="expression" dxfId="1" priority="1">
      <formula>MOD(ROW(),2)=0</formula>
    </cfRule>
  </conditionalFormatting>
  <pageMargins left="0.7" right="0.7" top="0.75" bottom="0.75" header="0.3" footer="0.3"/>
  <pageSetup paperSize="9" orientation="landscape"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tabColor rgb="FF92D050"/>
    <pageSetUpPr fitToPage="1"/>
  </sheetPr>
  <dimension ref="A1:H57"/>
  <sheetViews>
    <sheetView view="pageBreakPreview" zoomScale="130" zoomScaleNormal="70" zoomScaleSheetLayoutView="130" workbookViewId="0">
      <selection activeCell="N46" sqref="N46"/>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1459</v>
      </c>
      <c r="B1" s="1374" t="s">
        <v>3470</v>
      </c>
      <c r="C1" s="1717" t="s">
        <v>1561</v>
      </c>
      <c r="D1" s="190"/>
      <c r="E1" s="190"/>
      <c r="F1" s="190"/>
      <c r="G1" s="1062">
        <f>MATCH(B1,'数据-取费表'!A6:A16,0)+5</f>
        <v>6</v>
      </c>
      <c r="H1" s="998" t="str">
        <f>IF(ISERROR(FIND("住宅",B1)),"非住宅","住宅")</f>
        <v>非住宅</v>
      </c>
    </row>
    <row r="2" spans="1:8" s="192" customFormat="1" ht="18" customHeight="1">
      <c r="A2" s="193" t="s">
        <v>1460</v>
      </c>
      <c r="B2" s="3123">
        <f ca="1">ROUND(IF(D2="——",C52/10000,C52/10000-E2),4)</f>
        <v>422.3732</v>
      </c>
      <c r="C2" s="191" t="s">
        <v>1461</v>
      </c>
      <c r="D2" s="1711" t="s">
        <v>43</v>
      </c>
      <c r="E2" s="1089" t="e">
        <f ca="1">SUMIF(INDIRECT("'"&amp;G2&amp;"'"&amp;"!A:A"),"承租人权益价值",INDIRECT("'"&amp;G2&amp;"'"&amp;"!c:c"))</f>
        <v>#REF!</v>
      </c>
      <c r="F2" s="1712" t="s">
        <v>1461</v>
      </c>
      <c r="G2" s="1713"/>
    </row>
    <row r="3" spans="1:8" s="192" customFormat="1" ht="18" customHeight="1" thickBot="1">
      <c r="A3" s="195" t="s">
        <v>1462</v>
      </c>
      <c r="B3" s="196">
        <f ca="1">ROUND(B2*10000/(IF(B1="",'数据-汇总表'!E3,INDIRECT("'数据-取费表'!k"&amp;$G$1))),0)</f>
        <v>21764</v>
      </c>
      <c r="C3" s="191" t="s">
        <v>1463</v>
      </c>
      <c r="D3" s="191"/>
      <c r="E3" s="191"/>
      <c r="F3" s="191"/>
      <c r="G3" s="191"/>
    </row>
    <row r="4" spans="1:8" s="200" customFormat="1" ht="15.75">
      <c r="A4" s="197" t="s">
        <v>1464</v>
      </c>
      <c r="B4" s="198"/>
      <c r="C4" s="198"/>
      <c r="D4" s="198"/>
      <c r="E4" s="198"/>
      <c r="F4" s="198"/>
      <c r="G4" s="199"/>
    </row>
    <row r="5" spans="1:8" s="206" customFormat="1" ht="13.5" customHeight="1">
      <c r="A5" s="247" t="s">
        <v>1465</v>
      </c>
      <c r="B5" s="202" t="s">
        <v>1466</v>
      </c>
      <c r="C5" s="203">
        <f ca="1">C6+C7+C8</f>
        <v>2199634.1999999997</v>
      </c>
      <c r="D5" s="203" t="s">
        <v>1467</v>
      </c>
      <c r="E5" s="204" t="s">
        <v>1468</v>
      </c>
      <c r="F5" s="204" t="s">
        <v>1469</v>
      </c>
      <c r="G5" s="205"/>
    </row>
    <row r="6" spans="1:8" s="206" customFormat="1" ht="13.5" customHeight="1">
      <c r="A6" s="732" t="s">
        <v>1470</v>
      </c>
      <c r="B6" s="207" t="s">
        <v>1471</v>
      </c>
      <c r="C6" s="208">
        <f>标定地价!G29*'数据-汇总表'!F19</f>
        <v>2107600.1999999997</v>
      </c>
      <c r="D6" s="209"/>
      <c r="E6" s="210"/>
      <c r="F6" s="210"/>
      <c r="G6" s="211"/>
    </row>
    <row r="7" spans="1:8" s="206" customFormat="1" ht="13.5" customHeight="1">
      <c r="A7" s="732" t="s">
        <v>1472</v>
      </c>
      <c r="B7" s="207" t="s">
        <v>1473</v>
      </c>
      <c r="C7" s="212">
        <f>ROUND(C6*F7,0)</f>
        <v>64282</v>
      </c>
      <c r="D7" s="212"/>
      <c r="E7" s="210"/>
      <c r="F7" s="213">
        <f>IF(项目基本情况!B8="出让",0,'数据-取费表'!B48+'数据-取费表'!B49)</f>
        <v>3.0499999999999999E-2</v>
      </c>
      <c r="G7" s="211"/>
    </row>
    <row r="8" spans="1:8" s="215" customFormat="1">
      <c r="A8" s="732" t="s">
        <v>1474</v>
      </c>
      <c r="B8" s="207" t="s">
        <v>1475</v>
      </c>
      <c r="C8" s="212">
        <f ca="1">IF(G8="已包含在土地购买价格中",0,C9+C10)</f>
        <v>27752</v>
      </c>
      <c r="D8" s="214"/>
      <c r="E8" s="212"/>
      <c r="F8" s="213"/>
      <c r="G8" s="1714" t="s">
        <v>3550</v>
      </c>
    </row>
    <row r="9" spans="1:8" s="206" customFormat="1" ht="13.5" customHeight="1">
      <c r="A9" s="733" t="s">
        <v>355</v>
      </c>
      <c r="B9" s="216" t="s">
        <v>1476</v>
      </c>
      <c r="C9" s="217">
        <f ca="1">ROUND(D9*E9,0)</f>
        <v>27752</v>
      </c>
      <c r="D9" s="795">
        <f ca="1">IF(B1="",'数据-汇总表'!E5,IF(INDIRECT("'数据-取费表'!c"&amp;$G$1)="住宅",INDIRECT("'数据-取费表'!k"&amp;$G$1),0))</f>
        <v>194.07</v>
      </c>
      <c r="E9" s="217">
        <f>'数据-取费表'!B27</f>
        <v>143</v>
      </c>
      <c r="F9" s="213"/>
      <c r="G9" s="218"/>
    </row>
    <row r="10" spans="1:8" s="206" customFormat="1" ht="13.5" customHeight="1">
      <c r="A10" s="733" t="s">
        <v>356</v>
      </c>
      <c r="B10" s="216" t="s">
        <v>1478</v>
      </c>
      <c r="C10" s="217">
        <f ca="1">ROUND(D10*E10,0)</f>
        <v>0</v>
      </c>
      <c r="D10" s="795">
        <f ca="1">IF(B1="",'数据-汇总表'!E6,IF(INDIRECT("'数据-取费表'!c"&amp;$G$1)="住宅",INDIRECT("'数据-取费表'!s"&amp;$G$1),INDIRECT("'数据-取费表'!k"&amp;$G$1)+INDIRECT("'数据-取费表'!s"&amp;$G$1)))</f>
        <v>0</v>
      </c>
      <c r="E10" s="217">
        <f>'数据-取费表'!B28</f>
        <v>0</v>
      </c>
      <c r="F10" s="213"/>
      <c r="G10" s="218"/>
    </row>
    <row r="11" spans="1:8" s="206" customFormat="1" ht="13.5" hidden="1" customHeight="1">
      <c r="A11" s="219" t="s">
        <v>4</v>
      </c>
      <c r="B11" s="207" t="s">
        <v>1479</v>
      </c>
      <c r="C11" s="203"/>
      <c r="D11" s="210"/>
      <c r="E11" s="210"/>
      <c r="F11" s="210"/>
      <c r="G11" s="211"/>
    </row>
    <row r="12" spans="1:8" s="206" customFormat="1" ht="13.5" hidden="1" customHeight="1">
      <c r="A12" s="219" t="s">
        <v>5</v>
      </c>
      <c r="B12" s="207" t="s">
        <v>1562</v>
      </c>
      <c r="C12" s="203">
        <v>0</v>
      </c>
      <c r="D12" s="210"/>
      <c r="E12" s="220"/>
      <c r="F12" s="213">
        <v>3.0499999999999999E-2</v>
      </c>
      <c r="G12" s="211"/>
    </row>
    <row r="13" spans="1:8" s="206" customFormat="1" ht="13.5" hidden="1" customHeight="1">
      <c r="A13" s="219" t="s">
        <v>6</v>
      </c>
      <c r="B13" s="207" t="s">
        <v>1563</v>
      </c>
      <c r="C13" s="203"/>
      <c r="D13" s="210"/>
      <c r="E13" s="210"/>
      <c r="F13" s="210"/>
      <c r="G13" s="211"/>
    </row>
    <row r="14" spans="1:8" s="206" customFormat="1" ht="13.5" hidden="1" customHeight="1">
      <c r="A14" s="219" t="s">
        <v>7</v>
      </c>
      <c r="B14" s="207" t="s">
        <v>1475</v>
      </c>
      <c r="C14" s="203"/>
      <c r="D14" s="210"/>
      <c r="E14" s="210"/>
      <c r="F14" s="210"/>
      <c r="G14" s="211" t="s">
        <v>1564</v>
      </c>
    </row>
    <row r="15" spans="1:8" s="206" customFormat="1" ht="13.5" hidden="1" customHeight="1">
      <c r="A15" s="219" t="s">
        <v>8</v>
      </c>
      <c r="B15" s="207" t="s">
        <v>1565</v>
      </c>
      <c r="C15" s="212"/>
      <c r="D15" s="210"/>
      <c r="E15" s="210"/>
      <c r="F15" s="210"/>
      <c r="G15" s="211" t="s">
        <v>1566</v>
      </c>
    </row>
    <row r="16" spans="1:8" s="206" customFormat="1" ht="13.5" hidden="1" customHeight="1">
      <c r="A16" s="219" t="s">
        <v>9</v>
      </c>
      <c r="B16" s="207" t="s">
        <v>1475</v>
      </c>
      <c r="C16" s="212"/>
      <c r="D16" s="210"/>
      <c r="E16" s="210"/>
      <c r="F16" s="210"/>
      <c r="G16" s="211"/>
    </row>
    <row r="17" spans="1:7" s="206" customFormat="1" ht="13.5" hidden="1" customHeight="1">
      <c r="A17" s="219" t="s">
        <v>10</v>
      </c>
      <c r="B17" s="207" t="s">
        <v>1567</v>
      </c>
      <c r="C17" s="221"/>
      <c r="D17" s="221"/>
      <c r="E17" s="221"/>
      <c r="F17" s="221"/>
      <c r="G17" s="211" t="s">
        <v>1566</v>
      </c>
    </row>
    <row r="18" spans="1:7" s="206" customFormat="1" ht="13.5" hidden="1" customHeight="1">
      <c r="A18" s="219" t="s">
        <v>11</v>
      </c>
      <c r="B18" s="207" t="s">
        <v>1568</v>
      </c>
      <c r="C18" s="212">
        <v>0</v>
      </c>
      <c r="D18" s="210"/>
      <c r="E18" s="210"/>
      <c r="F18" s="213">
        <v>3.0499999999999999E-2</v>
      </c>
      <c r="G18" s="211" t="s">
        <v>1569</v>
      </c>
    </row>
    <row r="19" spans="1:7" s="215" customFormat="1" ht="13.5" customHeight="1">
      <c r="A19" s="247" t="s">
        <v>1570</v>
      </c>
      <c r="B19" s="202" t="s">
        <v>1571</v>
      </c>
      <c r="C19" s="203" t="str">
        <f>IF(G19="已包含在土地取得成本中","0",ROUND(D19*E19,0))</f>
        <v>0</v>
      </c>
      <c r="D19" s="204">
        <f ca="1">D9+D10</f>
        <v>194.07</v>
      </c>
      <c r="E19" s="203">
        <f>'数据-取费表'!B31</f>
        <v>280</v>
      </c>
      <c r="F19" s="223"/>
      <c r="G19" s="1714" t="s">
        <v>3551</v>
      </c>
    </row>
    <row r="20" spans="1:7" s="206" customFormat="1" ht="13.5" customHeight="1">
      <c r="A20" s="247" t="s">
        <v>1572</v>
      </c>
      <c r="B20" s="202" t="s">
        <v>1573</v>
      </c>
      <c r="C20" s="224">
        <f ca="1">ROUND((C5+C19)*F20,0)</f>
        <v>21996</v>
      </c>
      <c r="D20" s="224"/>
      <c r="E20" s="224"/>
      <c r="F20" s="225">
        <f>'数据-取费表'!B37</f>
        <v>0.01</v>
      </c>
      <c r="G20" s="226" t="s">
        <v>1574</v>
      </c>
    </row>
    <row r="21" spans="1:7" s="206" customFormat="1" ht="13.5" customHeight="1">
      <c r="A21" s="247" t="s">
        <v>1575</v>
      </c>
      <c r="B21" s="202" t="s">
        <v>1576</v>
      </c>
      <c r="C21" s="227">
        <f>F21</f>
        <v>2.8000000000000001E-2</v>
      </c>
      <c r="D21" s="228" t="s">
        <v>1577</v>
      </c>
      <c r="E21" s="224"/>
      <c r="F21" s="225">
        <f>'数据-取费表'!B38</f>
        <v>2.8000000000000001E-2</v>
      </c>
      <c r="G21" s="226" t="s">
        <v>1578</v>
      </c>
    </row>
    <row r="22" spans="1:7" s="206" customFormat="1" ht="13.5" customHeight="1">
      <c r="A22" s="247" t="s">
        <v>1579</v>
      </c>
      <c r="B22" s="202" t="s">
        <v>1580</v>
      </c>
      <c r="C22" s="224">
        <f ca="1">ROUND(SUM(C23:C25),0)</f>
        <v>66319</v>
      </c>
      <c r="D22" s="227">
        <f ca="1">C26</f>
        <v>4.0000000000000002E-4</v>
      </c>
      <c r="E22" s="228" t="s">
        <v>1577</v>
      </c>
      <c r="F22" s="229">
        <f ca="1">'数据-取费表'!B40</f>
        <v>0.03</v>
      </c>
      <c r="G22" s="226" t="str">
        <f>IF('数据-取费表'!B22&lt;=1,"单利计息","复利计息")</f>
        <v>单利计息</v>
      </c>
    </row>
    <row r="23" spans="1:7" s="206" customFormat="1" ht="13.5" customHeight="1">
      <c r="A23" s="734" t="s">
        <v>1470</v>
      </c>
      <c r="B23" s="207" t="s">
        <v>1581</v>
      </c>
      <c r="C23" s="230">
        <f ca="1">ROUND(IF('数据-取费表'!B22&lt;=1,C5*F22*'数据-取费表'!B22,C5*(POWER((1+F22),'数据-取费表'!B22)-1)),0)</f>
        <v>65989</v>
      </c>
      <c r="D23" s="230"/>
      <c r="E23" s="230"/>
      <c r="F23" s="231"/>
      <c r="G23" s="232" t="s">
        <v>1582</v>
      </c>
    </row>
    <row r="24" spans="1:7" s="206" customFormat="1" ht="13.5" customHeight="1">
      <c r="A24" s="734" t="s">
        <v>1472</v>
      </c>
      <c r="B24" s="207" t="s">
        <v>1583</v>
      </c>
      <c r="C24" s="230">
        <f ca="1">ROUND(IF('数据-取费表'!B22&lt;=1,C19*F22*('数据-取费表'!B19/2+'数据-取费表'!B20),C19*(POWER((1+F22),('数据-取费表'!B19/2+'数据-取费表'!B20))-1)),0)</f>
        <v>0</v>
      </c>
      <c r="D24" s="230"/>
      <c r="E24" s="230"/>
      <c r="F24" s="231"/>
      <c r="G24" s="232" t="s">
        <v>1584</v>
      </c>
    </row>
    <row r="25" spans="1:7" s="206" customFormat="1" ht="24">
      <c r="A25" s="734" t="s">
        <v>1474</v>
      </c>
      <c r="B25" s="207" t="s">
        <v>1585</v>
      </c>
      <c r="C25" s="230">
        <f ca="1">ROUND(IF('数据-取费表'!B22&lt;=1,C20*F22*'数据-取费表'!B22/2,C20*(POWER((1+F22),'数据-取费表'!B22/2)-1)),0)</f>
        <v>330</v>
      </c>
      <c r="D25" s="230"/>
      <c r="E25" s="233"/>
      <c r="F25" s="231"/>
      <c r="G25" s="234" t="s">
        <v>1586</v>
      </c>
    </row>
    <row r="26" spans="1:7" s="206" customFormat="1">
      <c r="A26" s="734" t="s">
        <v>350</v>
      </c>
      <c r="B26" s="207" t="s">
        <v>1509</v>
      </c>
      <c r="C26" s="230">
        <f ca="1">ROUND(IF('数据-取费表'!B22&lt;=1,F21*F22*'数据-取费表'!B22/2,F21*(POWER((1+F22),'数据-取费表'!B22/2)-1)),4)</f>
        <v>4.0000000000000002E-4</v>
      </c>
      <c r="D26" s="230"/>
      <c r="E26" s="233"/>
      <c r="F26" s="231"/>
      <c r="G26" s="235"/>
    </row>
    <row r="27" spans="1:7" s="206" customFormat="1" ht="24.75">
      <c r="A27" s="247" t="s">
        <v>1510</v>
      </c>
      <c r="B27" s="236" t="s">
        <v>1511</v>
      </c>
      <c r="C27" s="237">
        <f ca="1">C28</f>
        <v>666489</v>
      </c>
      <c r="D27" s="227">
        <f ca="1">C29</f>
        <v>8.3999999999999995E-3</v>
      </c>
      <c r="E27" s="228" t="s">
        <v>1512</v>
      </c>
      <c r="F27" s="238">
        <f ca="1">IF(B1="",'数据-取费表'!Q16,INDIRECT("'数据-取费表'!q"&amp;$G$1))</f>
        <v>0.3</v>
      </c>
      <c r="G27" s="239" t="s">
        <v>1513</v>
      </c>
    </row>
    <row r="28" spans="1:7" s="206" customFormat="1" ht="13.5" customHeight="1">
      <c r="A28" s="734" t="s">
        <v>346</v>
      </c>
      <c r="B28" s="240" t="s">
        <v>1514</v>
      </c>
      <c r="C28" s="241">
        <f ca="1">ROUND((C5+C19+C20)*F27,0)</f>
        <v>666489</v>
      </c>
      <c r="D28" s="227"/>
      <c r="E28" s="228"/>
      <c r="F28" s="238"/>
      <c r="G28" s="239"/>
    </row>
    <row r="29" spans="1:7" s="206" customFormat="1" ht="13.5" customHeight="1">
      <c r="A29" s="734" t="s">
        <v>347</v>
      </c>
      <c r="B29" s="240" t="s">
        <v>1515</v>
      </c>
      <c r="C29" s="230">
        <f ca="1">ROUND(C21*F27,4)</f>
        <v>8.3999999999999995E-3</v>
      </c>
      <c r="D29" s="227"/>
      <c r="E29" s="228"/>
      <c r="F29" s="238"/>
      <c r="G29" s="239"/>
    </row>
    <row r="30" spans="1:7" s="206" customFormat="1" ht="13.5" customHeight="1">
      <c r="A30" s="247" t="s">
        <v>1516</v>
      </c>
      <c r="B30" s="202" t="s">
        <v>1517</v>
      </c>
      <c r="C30" s="227">
        <f>ROUND(F30/(1+'数据-取费表'!C42),4)</f>
        <v>5.33E-2</v>
      </c>
      <c r="D30" s="228" t="s">
        <v>1512</v>
      </c>
      <c r="E30" s="233"/>
      <c r="F30" s="229">
        <f>'数据-取费表'!B41</f>
        <v>5.6000000000000001E-2</v>
      </c>
      <c r="G30" s="226" t="s">
        <v>1518</v>
      </c>
    </row>
    <row r="31" spans="1:7" ht="16.5" customHeight="1">
      <c r="A31" s="201">
        <v>1</v>
      </c>
      <c r="B31" s="202" t="s">
        <v>1519</v>
      </c>
      <c r="C31" s="203">
        <f ca="1">ROUND((C5+C19+C20+C22+C27)/(1-C21-D22-D27-C30),0)</f>
        <v>3246992</v>
      </c>
      <c r="D31" s="222"/>
      <c r="E31" s="203"/>
      <c r="F31" s="242"/>
      <c r="G31" s="226" t="s">
        <v>1520</v>
      </c>
    </row>
    <row r="32" spans="1:7" s="200" customFormat="1" ht="15.75">
      <c r="A32" s="244" t="s">
        <v>1587</v>
      </c>
      <c r="B32" s="245"/>
      <c r="C32" s="245"/>
      <c r="D32" s="245"/>
      <c r="E32" s="245"/>
      <c r="F32" s="245"/>
      <c r="G32" s="246"/>
    </row>
    <row r="33" spans="1:7" s="206" customFormat="1" ht="13.5" customHeight="1">
      <c r="A33" s="247" t="s">
        <v>337</v>
      </c>
      <c r="B33" s="202" t="s">
        <v>1588</v>
      </c>
      <c r="C33" s="248">
        <f ca="1">SUM(C34:C38)</f>
        <v>669153</v>
      </c>
      <c r="D33" s="224"/>
      <c r="E33" s="204"/>
      <c r="F33" s="233"/>
      <c r="G33" s="226"/>
    </row>
    <row r="34" spans="1:7" s="250" customFormat="1" ht="13.5" customHeight="1">
      <c r="A34" s="734" t="s">
        <v>346</v>
      </c>
      <c r="B34" s="207" t="s">
        <v>1523</v>
      </c>
      <c r="C34" s="212">
        <f ca="1">ROUND(IF(B1="",SUMPRODUCT('数据-取费表'!K6:K14,'数据-取费表'!L6:L14),INDIRECT("'数据-取费表'!l"&amp;$G$1)*INDIRECT("'数据-取费表'!k"&amp;$G$1)+'数据-取费表'!L14*INDIRECT("'数据-取费表'!S"&amp;$G$1)),0)</f>
        <v>562803</v>
      </c>
      <c r="D34" s="209"/>
      <c r="E34" s="212"/>
      <c r="F34" s="249"/>
      <c r="G34" s="211"/>
    </row>
    <row r="35" spans="1:7" ht="13.5" customHeight="1">
      <c r="A35" s="734" t="s">
        <v>351</v>
      </c>
      <c r="B35" s="207" t="s">
        <v>1525</v>
      </c>
      <c r="C35" s="212">
        <f ca="1">ROUND(C34*F35,0)</f>
        <v>28140</v>
      </c>
      <c r="D35" s="212"/>
      <c r="E35" s="212"/>
      <c r="F35" s="251">
        <f>'数据-取费表'!B33</f>
        <v>0.05</v>
      </c>
      <c r="G35" s="211" t="s">
        <v>1526</v>
      </c>
    </row>
    <row r="36" spans="1:7" ht="24">
      <c r="A36" s="734" t="s">
        <v>352</v>
      </c>
      <c r="B36" s="207" t="s">
        <v>1527</v>
      </c>
      <c r="C36" s="212">
        <f ca="1">ROUND(IF(B1="",SUM('数据-取费表'!AP6:AP13)*F36,IF(INDIRECT("'数据-取费表'!c"&amp;$G$1)="住宅",INDIRECT("'数据-取费表'!k"&amp;$G$1)*INDIRECT("'数据-取费表'!l"&amp;$G$1)*F36,0)),0)</f>
        <v>28140</v>
      </c>
      <c r="D36" s="212"/>
      <c r="E36" s="212"/>
      <c r="F36" s="251">
        <f>'数据-取费表'!B34</f>
        <v>0.05</v>
      </c>
      <c r="G36" s="252" t="s">
        <v>1528</v>
      </c>
    </row>
    <row r="37" spans="1:7" s="250" customFormat="1" ht="13.5" customHeight="1">
      <c r="A37" s="734" t="s">
        <v>353</v>
      </c>
      <c r="B37" s="207" t="s">
        <v>1529</v>
      </c>
      <c r="C37" s="241">
        <f ca="1">ROUND(E37*D37,0)</f>
        <v>38814</v>
      </c>
      <c r="D37" s="209">
        <f ca="1">D19</f>
        <v>194.07</v>
      </c>
      <c r="E37" s="241">
        <f>'数据-取费表'!B35</f>
        <v>200</v>
      </c>
      <c r="F37" s="251"/>
      <c r="G37" s="253"/>
    </row>
    <row r="38" spans="1:7" ht="13.5" customHeight="1">
      <c r="A38" s="734" t="s">
        <v>354</v>
      </c>
      <c r="B38" s="207" t="s">
        <v>1531</v>
      </c>
      <c r="C38" s="212">
        <f ca="1">ROUND(C34*F38,0)</f>
        <v>11256</v>
      </c>
      <c r="D38" s="212"/>
      <c r="E38" s="212"/>
      <c r="F38" s="251">
        <f>'数据-取费表'!B36</f>
        <v>0.02</v>
      </c>
      <c r="G38" s="211" t="s">
        <v>1526</v>
      </c>
    </row>
    <row r="39" spans="1:7" s="206" customFormat="1" ht="13.5" customHeight="1">
      <c r="A39" s="247" t="s">
        <v>1532</v>
      </c>
      <c r="B39" s="202" t="s">
        <v>1533</v>
      </c>
      <c r="C39" s="224">
        <f ca="1">ROUND(C33*F20,0)</f>
        <v>6692</v>
      </c>
      <c r="D39" s="224"/>
      <c r="E39" s="224"/>
      <c r="F39" s="225">
        <f>F20</f>
        <v>0.01</v>
      </c>
      <c r="G39" s="226" t="s">
        <v>1534</v>
      </c>
    </row>
    <row r="40" spans="1:7" s="206" customFormat="1" ht="13.5" customHeight="1">
      <c r="A40" s="247" t="s">
        <v>1535</v>
      </c>
      <c r="B40" s="202" t="s">
        <v>1536</v>
      </c>
      <c r="C40" s="227">
        <f>F21</f>
        <v>2.8000000000000001E-2</v>
      </c>
      <c r="D40" s="228" t="s">
        <v>1537</v>
      </c>
      <c r="E40" s="224"/>
      <c r="F40" s="225">
        <f>F21</f>
        <v>2.8000000000000001E-2</v>
      </c>
      <c r="G40" s="226" t="s">
        <v>1538</v>
      </c>
    </row>
    <row r="41" spans="1:7" s="206" customFormat="1" ht="13.5" customHeight="1">
      <c r="A41" s="247" t="s">
        <v>1539</v>
      </c>
      <c r="B41" s="202" t="s">
        <v>1540</v>
      </c>
      <c r="C41" s="224">
        <f ca="1">ROUND(SUM(C42:C43),0)</f>
        <v>10137</v>
      </c>
      <c r="D41" s="227">
        <f ca="1">C44</f>
        <v>4.0000000000000002E-4</v>
      </c>
      <c r="E41" s="228" t="s">
        <v>1537</v>
      </c>
      <c r="F41" s="229">
        <f ca="1">F22</f>
        <v>0.03</v>
      </c>
      <c r="G41" s="226" t="str">
        <f>IF('数据-取费表'!B22&lt;=1,"单利计息","复利计息")</f>
        <v>单利计息</v>
      </c>
    </row>
    <row r="42" spans="1:7" ht="13.5" customHeight="1">
      <c r="A42" s="734" t="s">
        <v>346</v>
      </c>
      <c r="B42" s="207" t="s">
        <v>1541</v>
      </c>
      <c r="C42" s="230">
        <f ca="1">ROUND(IF('数据-取费表'!B22&lt;=1,C33*F22*'数据-取费表'!B20/2,C33*(POWER((1+F22),'数据-取费表'!B20/2)-1)),0)</f>
        <v>10037</v>
      </c>
      <c r="D42" s="230"/>
      <c r="E42" s="230"/>
      <c r="F42" s="231"/>
      <c r="G42" s="3567" t="s">
        <v>1589</v>
      </c>
    </row>
    <row r="43" spans="1:7" ht="13.5" customHeight="1">
      <c r="A43" s="734" t="s">
        <v>347</v>
      </c>
      <c r="B43" s="207" t="s">
        <v>1543</v>
      </c>
      <c r="C43" s="230">
        <f ca="1">ROUND(IF('数据-取费表'!B22&lt;=1,C39*F22*'数据-取费表'!B20/2,C39*(POWER((1+F22),'数据-取费表'!B20/2)-1)),0)</f>
        <v>100</v>
      </c>
      <c r="D43" s="230"/>
      <c r="E43" s="230"/>
      <c r="F43" s="231"/>
      <c r="G43" s="3568"/>
    </row>
    <row r="44" spans="1:7" ht="13.5" customHeight="1">
      <c r="A44" s="734" t="s">
        <v>348</v>
      </c>
      <c r="B44" s="207" t="s">
        <v>1544</v>
      </c>
      <c r="C44" s="230">
        <f ca="1">ROUND(IF('数据-取费表'!B22&lt;=1,C40*F22*'数据-取费表'!B20/2,C40*(POWER((1+F22),'数据-取费表'!B20/2)-1)),4)</f>
        <v>4.0000000000000002E-4</v>
      </c>
      <c r="D44" s="230"/>
      <c r="E44" s="230"/>
      <c r="F44" s="231"/>
      <c r="G44" s="3569"/>
    </row>
    <row r="45" spans="1:7" s="206" customFormat="1" ht="13.5" customHeight="1">
      <c r="A45" s="247" t="s">
        <v>1545</v>
      </c>
      <c r="B45" s="236" t="s">
        <v>1511</v>
      </c>
      <c r="C45" s="237">
        <f ca="1">C46</f>
        <v>202754</v>
      </c>
      <c r="D45" s="227">
        <f ca="1">C47</f>
        <v>8.3999999999999995E-3</v>
      </c>
      <c r="E45" s="228" t="s">
        <v>1537</v>
      </c>
      <c r="F45" s="238">
        <f ca="1">F27</f>
        <v>0.3</v>
      </c>
      <c r="G45" s="239" t="s">
        <v>1546</v>
      </c>
    </row>
    <row r="46" spans="1:7" s="206" customFormat="1" ht="13.5" customHeight="1">
      <c r="A46" s="734" t="s">
        <v>346</v>
      </c>
      <c r="B46" s="240" t="s">
        <v>1547</v>
      </c>
      <c r="C46" s="241">
        <f ca="1">ROUND((C33+C39)*F27,0)</f>
        <v>202754</v>
      </c>
      <c r="D46" s="255"/>
      <c r="E46" s="228"/>
      <c r="F46" s="238"/>
      <c r="G46" s="239"/>
    </row>
    <row r="47" spans="1:7" s="206" customFormat="1" ht="13.5" customHeight="1">
      <c r="A47" s="734" t="s">
        <v>347</v>
      </c>
      <c r="B47" s="240" t="s">
        <v>1548</v>
      </c>
      <c r="C47" s="230">
        <f ca="1">ROUND(C40*F27,4)</f>
        <v>8.3999999999999995E-3</v>
      </c>
      <c r="D47" s="255"/>
      <c r="E47" s="228"/>
      <c r="F47" s="238"/>
      <c r="G47" s="239"/>
    </row>
    <row r="48" spans="1:7" s="206" customFormat="1" ht="13.5" customHeight="1">
      <c r="A48" s="247" t="s">
        <v>1510</v>
      </c>
      <c r="B48" s="202" t="s">
        <v>1549</v>
      </c>
      <c r="C48" s="254">
        <f>ROUND(F30/(1+'数据-取费表'!C42),4)</f>
        <v>5.33E-2</v>
      </c>
      <c r="D48" s="228" t="s">
        <v>1537</v>
      </c>
      <c r="E48" s="224"/>
      <c r="F48" s="229">
        <f>F30</f>
        <v>5.6000000000000001E-2</v>
      </c>
      <c r="G48" s="226" t="s">
        <v>1550</v>
      </c>
    </row>
    <row r="49" spans="1:7" ht="16.5" customHeight="1">
      <c r="A49" s="247" t="s">
        <v>1516</v>
      </c>
      <c r="B49" s="202" t="s">
        <v>1590</v>
      </c>
      <c r="C49" s="224">
        <f ca="1">ROUND((C33+C39+C41+C45)/(1-C40-D41-D45-C48),0)</f>
        <v>976740</v>
      </c>
      <c r="D49" s="224"/>
      <c r="E49" s="224"/>
      <c r="F49" s="256"/>
      <c r="G49" s="226" t="s">
        <v>1552</v>
      </c>
    </row>
    <row r="50" spans="1:7" s="250" customFormat="1">
      <c r="A50" s="247" t="s">
        <v>1553</v>
      </c>
      <c r="B50" s="202" t="s">
        <v>1554</v>
      </c>
      <c r="C50" s="224"/>
      <c r="D50" s="224"/>
      <c r="E50" s="224"/>
      <c r="F50" s="256">
        <f>IF('数据-取费表'!B24=0,'数据-取费表'!N16,1)</f>
        <v>1</v>
      </c>
      <c r="G50" s="239"/>
    </row>
    <row r="51" spans="1:7" ht="16.5" customHeight="1">
      <c r="A51" s="247" t="s">
        <v>1556</v>
      </c>
      <c r="B51" s="202" t="s">
        <v>1591</v>
      </c>
      <c r="C51" s="224">
        <f ca="1">ROUND(C49*F50,0)</f>
        <v>976740</v>
      </c>
      <c r="D51" s="224"/>
      <c r="E51" s="224"/>
      <c r="F51" s="256"/>
      <c r="G51" s="226" t="s">
        <v>1558</v>
      </c>
    </row>
    <row r="52" spans="1:7" s="200" customFormat="1" ht="16.5" thickBot="1">
      <c r="A52" s="257" t="s">
        <v>1559</v>
      </c>
      <c r="B52" s="258"/>
      <c r="C52" s="259">
        <f ca="1">C31+C51</f>
        <v>4223732</v>
      </c>
      <c r="D52" s="258"/>
      <c r="E52" s="258"/>
      <c r="F52" s="258"/>
      <c r="G52" s="260"/>
    </row>
    <row r="55" spans="1:7" ht="15">
      <c r="B55" s="262" t="s">
        <v>1560</v>
      </c>
      <c r="C55" s="263"/>
    </row>
    <row r="56" spans="1:7">
      <c r="B56" s="265" t="s">
        <v>802</v>
      </c>
      <c r="C56" s="267">
        <f ca="1">1-C57</f>
        <v>0.76900000000000002</v>
      </c>
    </row>
    <row r="57" spans="1:7">
      <c r="B57" s="265" t="s">
        <v>803</v>
      </c>
      <c r="C57" s="266">
        <f ca="1">ROUND(C51/C52,3)</f>
        <v>0.23100000000000001</v>
      </c>
    </row>
  </sheetData>
  <sheetProtection password="CEE9" sheet="1" objects="1" scenarios="1" formatCells="0"/>
  <mergeCells count="1">
    <mergeCell ref="G42:G44"/>
  </mergeCells>
  <phoneticPr fontId="136" type="noConversion"/>
  <dataValidations count="5">
    <dataValidation type="list" allowBlank="1" showInputMessage="1" showErrorMessage="1" sqref="G8" xr:uid="{00000000-0002-0000-3600-000000000000}">
      <formula1>"已包含在土地购买价格中,未包含在土地购买价格中"</formula1>
    </dataValidation>
    <dataValidation type="list" allowBlank="1" showInputMessage="1" showErrorMessage="1" sqref="G19" xr:uid="{00000000-0002-0000-3600-000001000000}">
      <formula1>"已包含在土地取得成本中,未包含在土地取得成本中"</formula1>
    </dataValidation>
    <dataValidation type="list" allowBlank="1" showInputMessage="1" showErrorMessage="1" sqref="B1" xr:uid="{00000000-0002-0000-3600-000002000000}">
      <formula1>项目类型</formula1>
    </dataValidation>
    <dataValidation type="list" allowBlank="1" showInputMessage="1" showErrorMessage="1" sqref="G2" xr:uid="{00000000-0002-0000-3600-000003000000}">
      <formula1>估价方法</formula1>
    </dataValidation>
    <dataValidation type="list" allowBlank="1" showInputMessage="1" showErrorMessage="1" sqref="D2" xr:uid="{00000000-0002-0000-3600-000004000000}">
      <formula1>"需扣减承租人权益,——"</formula1>
    </dataValidation>
  </dataValidations>
  <pageMargins left="0.7" right="0.7" top="0.75" bottom="0.75" header="0.3" footer="0.3"/>
  <pageSetup paperSize="9" scale="77"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B2:AE44"/>
  <sheetViews>
    <sheetView topLeftCell="I4" workbookViewId="0">
      <selection activeCell="V43" sqref="V43"/>
    </sheetView>
  </sheetViews>
  <sheetFormatPr defaultRowHeight="13.5"/>
  <cols>
    <col min="2" max="2" width="14.125" bestFit="1" customWidth="1"/>
    <col min="3" max="3" width="7.5" bestFit="1" customWidth="1"/>
    <col min="4" max="4" width="3.5" bestFit="1" customWidth="1"/>
    <col min="5" max="5" width="32.875" bestFit="1" customWidth="1"/>
    <col min="6" max="6" width="5.25" bestFit="1" customWidth="1"/>
    <col min="7" max="7" width="8.5" bestFit="1" customWidth="1"/>
    <col min="9" max="9" width="12.75" bestFit="1" customWidth="1"/>
    <col min="11" max="13" width="7.125" bestFit="1" customWidth="1"/>
    <col min="18" max="18" width="8" customWidth="1"/>
    <col min="19" max="19" width="22.5" customWidth="1"/>
    <col min="20" max="20" width="7.5" bestFit="1" customWidth="1"/>
    <col min="21" max="21" width="5" bestFit="1" customWidth="1"/>
    <col min="22" max="22" width="13.125" bestFit="1" customWidth="1"/>
    <col min="23" max="23" width="9.75" bestFit="1" customWidth="1"/>
    <col min="27" max="27" width="26.375" customWidth="1"/>
    <col min="28" max="28" width="7.5" bestFit="1" customWidth="1"/>
    <col min="29" max="29" width="5" bestFit="1" customWidth="1"/>
    <col min="30" max="30" width="13.125" bestFit="1" customWidth="1"/>
    <col min="31" max="31" width="13.75" bestFit="1" customWidth="1"/>
  </cols>
  <sheetData>
    <row r="2" spans="2:31" ht="20.25">
      <c r="F2" s="1405" t="s">
        <v>3412</v>
      </c>
      <c r="G2" s="1405" t="s">
        <v>3414</v>
      </c>
      <c r="H2" s="1405" t="s">
        <v>3415</v>
      </c>
      <c r="I2" s="1405" t="s">
        <v>3420</v>
      </c>
      <c r="R2" s="3733" t="s">
        <v>3803</v>
      </c>
      <c r="S2" s="3733"/>
      <c r="T2" s="3733"/>
      <c r="U2" s="3733"/>
      <c r="V2" s="3733"/>
      <c r="W2" s="3733"/>
      <c r="Z2" s="3733" t="s">
        <v>3803</v>
      </c>
      <c r="AA2" s="3733"/>
      <c r="AB2" s="3733"/>
      <c r="AC2" s="3733"/>
      <c r="AD2" s="3733"/>
      <c r="AE2" s="3733"/>
    </row>
    <row r="3" spans="2:31" ht="14.25" thickBot="1">
      <c r="D3" s="1405" t="s">
        <v>3410</v>
      </c>
      <c r="E3" s="1405" t="s">
        <v>3411</v>
      </c>
      <c r="F3" s="1405" t="s">
        <v>3413</v>
      </c>
      <c r="G3">
        <f>(3.4+3.7+7.6+4.6)*13.7*3.6</f>
        <v>951.87599999999986</v>
      </c>
      <c r="H3">
        <v>55</v>
      </c>
      <c r="I3">
        <f>G3*H3</f>
        <v>52353.179999999993</v>
      </c>
      <c r="R3" s="3294" t="s">
        <v>3804</v>
      </c>
      <c r="S3" s="3295"/>
      <c r="T3" s="3293"/>
      <c r="U3" s="3296"/>
      <c r="V3" s="3297"/>
      <c r="W3" s="3298"/>
      <c r="Z3" s="3294" t="s">
        <v>3881</v>
      </c>
      <c r="AA3" s="3295"/>
      <c r="AB3" s="3293"/>
      <c r="AC3" s="3296"/>
      <c r="AD3" s="3297"/>
      <c r="AE3" s="3298"/>
    </row>
    <row r="4" spans="2:31">
      <c r="B4" s="1405" t="s">
        <v>3416</v>
      </c>
      <c r="C4">
        <f>(3.4+3.7+7.6+4.6)*13.7</f>
        <v>264.40999999999997</v>
      </c>
      <c r="E4" s="1405" t="s">
        <v>3421</v>
      </c>
      <c r="F4" s="1405" t="s">
        <v>3413</v>
      </c>
      <c r="G4">
        <f>3.5*7.6*0.5</f>
        <v>13.299999999999999</v>
      </c>
      <c r="H4">
        <v>25</v>
      </c>
      <c r="I4">
        <f t="shared" ref="I4:I16" si="0">G4*H4</f>
        <v>332.5</v>
      </c>
      <c r="R4" s="3299" t="s">
        <v>3805</v>
      </c>
      <c r="S4" s="3300" t="s">
        <v>3806</v>
      </c>
      <c r="T4" s="3301" t="s">
        <v>3807</v>
      </c>
      <c r="U4" s="3300" t="s">
        <v>3808</v>
      </c>
      <c r="V4" s="3302" t="s">
        <v>3809</v>
      </c>
      <c r="W4" s="3303" t="s">
        <v>3810</v>
      </c>
      <c r="Z4" s="3299" t="s">
        <v>3805</v>
      </c>
      <c r="AA4" s="3300" t="s">
        <v>3806</v>
      </c>
      <c r="AB4" s="3301" t="s">
        <v>3807</v>
      </c>
      <c r="AC4" s="3300" t="s">
        <v>3808</v>
      </c>
      <c r="AD4" s="3302" t="s">
        <v>3809</v>
      </c>
      <c r="AE4" s="3303" t="s">
        <v>3810</v>
      </c>
    </row>
    <row r="5" spans="2:31">
      <c r="B5" s="1405" t="s">
        <v>3417</v>
      </c>
      <c r="C5">
        <v>3.6</v>
      </c>
      <c r="E5" s="1405" t="s">
        <v>3422</v>
      </c>
      <c r="F5" s="1405" t="s">
        <v>3423</v>
      </c>
      <c r="G5">
        <f>(19.3+13.7)*2*3.6</f>
        <v>237.6</v>
      </c>
      <c r="H5">
        <v>80</v>
      </c>
      <c r="I5">
        <f t="shared" si="0"/>
        <v>19008</v>
      </c>
      <c r="R5" s="3304" t="s">
        <v>3811</v>
      </c>
      <c r="S5" s="3305" t="s">
        <v>3812</v>
      </c>
      <c r="T5" s="3306"/>
      <c r="U5" s="3307"/>
      <c r="V5" s="3307"/>
      <c r="W5" s="3308"/>
      <c r="Z5" s="3304" t="s">
        <v>3811</v>
      </c>
      <c r="AA5" s="3305" t="s">
        <v>3812</v>
      </c>
      <c r="AB5" s="3306"/>
      <c r="AC5" s="3307"/>
      <c r="AD5" s="3307"/>
      <c r="AE5" s="3308"/>
    </row>
    <row r="6" spans="2:31">
      <c r="B6" s="1405" t="s">
        <v>3419</v>
      </c>
      <c r="C6">
        <v>0.35</v>
      </c>
      <c r="E6" s="1405" t="s">
        <v>3424</v>
      </c>
      <c r="F6" s="1405" t="s">
        <v>3423</v>
      </c>
      <c r="G6">
        <f>19.3*13.7</f>
        <v>264.40999999999997</v>
      </c>
      <c r="H6">
        <v>80</v>
      </c>
      <c r="I6">
        <f t="shared" si="0"/>
        <v>21152.799999999996</v>
      </c>
      <c r="R6" s="3309" t="s">
        <v>3813</v>
      </c>
      <c r="S6" s="3310" t="s">
        <v>3814</v>
      </c>
      <c r="T6" s="3311"/>
      <c r="U6" s="3312"/>
      <c r="V6" s="3312"/>
      <c r="W6" s="3313"/>
      <c r="Z6" s="3309" t="s">
        <v>3813</v>
      </c>
      <c r="AA6" s="3310" t="s">
        <v>3814</v>
      </c>
      <c r="AB6" s="3311"/>
      <c r="AC6" s="3312"/>
      <c r="AD6" s="3312"/>
      <c r="AE6" s="3313"/>
    </row>
    <row r="7" spans="2:31">
      <c r="B7" s="1405" t="s">
        <v>3427</v>
      </c>
      <c r="C7">
        <v>0.3</v>
      </c>
      <c r="E7" s="1405" t="s">
        <v>3425</v>
      </c>
      <c r="F7" s="1405" t="s">
        <v>3423</v>
      </c>
      <c r="G7">
        <f>(13.7+19.3*2+2.5*2+3.7)*3.6*2</f>
        <v>439.2</v>
      </c>
      <c r="H7">
        <v>70</v>
      </c>
      <c r="I7">
        <f t="shared" si="0"/>
        <v>30744</v>
      </c>
      <c r="R7" s="3314" t="s">
        <v>3815</v>
      </c>
      <c r="S7" s="3315" t="s">
        <v>3816</v>
      </c>
      <c r="T7" s="3316">
        <v>1790.2170000000001</v>
      </c>
      <c r="U7" s="3317" t="s">
        <v>3817</v>
      </c>
      <c r="V7" s="3318">
        <v>60</v>
      </c>
      <c r="W7" s="3319">
        <f t="shared" ref="W7:W10" si="1">T7*V7</f>
        <v>107413.02</v>
      </c>
      <c r="Z7" s="3314" t="s">
        <v>3815</v>
      </c>
      <c r="AA7" s="3315" t="s">
        <v>3816</v>
      </c>
      <c r="AB7" s="3316">
        <v>1301.7174299999999</v>
      </c>
      <c r="AC7" s="3317" t="s">
        <v>3817</v>
      </c>
      <c r="AD7" s="3318">
        <v>60</v>
      </c>
      <c r="AE7" s="3319">
        <f t="shared" ref="AE7:AE10" si="2">AB7*AD7</f>
        <v>78103.045799999993</v>
      </c>
    </row>
    <row r="8" spans="2:31">
      <c r="E8" s="1405" t="s">
        <v>3426</v>
      </c>
      <c r="F8" s="1405" t="s">
        <v>3413</v>
      </c>
      <c r="G8">
        <f>(13.7+19.3*2+2.5*2+3.7)*3.6*0.35</f>
        <v>76.86</v>
      </c>
      <c r="H8">
        <v>1200</v>
      </c>
      <c r="I8">
        <f t="shared" si="0"/>
        <v>92232</v>
      </c>
      <c r="R8" s="3314" t="s">
        <v>3818</v>
      </c>
      <c r="S8" s="3315" t="s">
        <v>3819</v>
      </c>
      <c r="T8" s="3316">
        <v>413.12700000000001</v>
      </c>
      <c r="U8" s="3317" t="s">
        <v>3817</v>
      </c>
      <c r="V8" s="3318">
        <v>100</v>
      </c>
      <c r="W8" s="3319">
        <f t="shared" si="1"/>
        <v>41312.700000000004</v>
      </c>
      <c r="Z8" s="3314" t="s">
        <v>3818</v>
      </c>
      <c r="AA8" s="3315" t="s">
        <v>3819</v>
      </c>
      <c r="AB8" s="3316">
        <v>300.39632999999998</v>
      </c>
      <c r="AC8" s="3317" t="s">
        <v>3817</v>
      </c>
      <c r="AD8" s="3318">
        <v>100</v>
      </c>
      <c r="AE8" s="3319">
        <f t="shared" si="2"/>
        <v>30039.632999999998</v>
      </c>
    </row>
    <row r="9" spans="2:31">
      <c r="E9" s="1405" t="s">
        <v>3429</v>
      </c>
      <c r="F9" s="1405" t="s">
        <v>3423</v>
      </c>
      <c r="G9">
        <f>(1.5+0.5+0.5+0.3+0.3+0.5+0.6+0.6+0.6+0.4+0.2+0.2)*3.6*2</f>
        <v>44.639999999999993</v>
      </c>
      <c r="H9">
        <v>70</v>
      </c>
      <c r="I9">
        <f t="shared" si="0"/>
        <v>3124.7999999999997</v>
      </c>
      <c r="R9" s="3309" t="s">
        <v>3787</v>
      </c>
      <c r="S9" s="3310" t="s">
        <v>3820</v>
      </c>
      <c r="T9" s="3311"/>
      <c r="U9" s="3312"/>
      <c r="V9" s="3312"/>
      <c r="W9" s="3313"/>
      <c r="Z9" s="3309" t="s">
        <v>3787</v>
      </c>
      <c r="AA9" s="3310" t="s">
        <v>3820</v>
      </c>
      <c r="AB9" s="3311"/>
      <c r="AC9" s="3312"/>
      <c r="AD9" s="3312"/>
      <c r="AE9" s="3313"/>
    </row>
    <row r="10" spans="2:31" ht="22.5">
      <c r="E10" s="1405" t="s">
        <v>3428</v>
      </c>
      <c r="F10" s="1405" t="s">
        <v>3413</v>
      </c>
      <c r="G10">
        <f>(1.5+0.5+0.5+0.3+0.3+0.5+0.6+0.6+0.6+0.4+0.2+0.2)*3.6*0.3</f>
        <v>6.6959999999999988</v>
      </c>
      <c r="H10">
        <v>1200</v>
      </c>
      <c r="I10">
        <f t="shared" si="0"/>
        <v>8035.1999999999989</v>
      </c>
      <c r="R10" s="3314" t="s">
        <v>3821</v>
      </c>
      <c r="S10" s="3315" t="s">
        <v>3822</v>
      </c>
      <c r="T10" s="3316">
        <v>398.92281000000003</v>
      </c>
      <c r="U10" s="3317" t="s">
        <v>3823</v>
      </c>
      <c r="V10" s="3318">
        <v>150</v>
      </c>
      <c r="W10" s="3319">
        <f t="shared" si="1"/>
        <v>59838.421500000004</v>
      </c>
      <c r="Z10" s="3314" t="s">
        <v>3821</v>
      </c>
      <c r="AA10" s="3315" t="s">
        <v>3822</v>
      </c>
      <c r="AB10" s="3316">
        <v>335.93819999999999</v>
      </c>
      <c r="AC10" s="3317" t="s">
        <v>3823</v>
      </c>
      <c r="AD10" s="3318">
        <v>150</v>
      </c>
      <c r="AE10" s="3319">
        <f t="shared" si="2"/>
        <v>50390.729999999996</v>
      </c>
    </row>
    <row r="11" spans="2:31">
      <c r="E11" s="1405" t="s">
        <v>3418</v>
      </c>
      <c r="F11" s="1405" t="s">
        <v>3413</v>
      </c>
      <c r="G11">
        <f>(1.5+3.4*2+3+3.3+13.7-0.5)*0.3*3.6</f>
        <v>30.024000000000001</v>
      </c>
      <c r="H11">
        <v>500</v>
      </c>
      <c r="I11">
        <f t="shared" si="0"/>
        <v>15012</v>
      </c>
      <c r="K11" s="1405" t="s">
        <v>3431</v>
      </c>
      <c r="L11" s="1405" t="s">
        <v>3432</v>
      </c>
      <c r="M11" s="1405" t="s">
        <v>3433</v>
      </c>
      <c r="R11" s="3309" t="s">
        <v>3824</v>
      </c>
      <c r="S11" s="3310" t="s">
        <v>3825</v>
      </c>
      <c r="T11" s="3311"/>
      <c r="U11" s="3312"/>
      <c r="V11" s="3312"/>
      <c r="W11" s="3313"/>
      <c r="Z11" s="3309" t="s">
        <v>3824</v>
      </c>
      <c r="AA11" s="3310" t="s">
        <v>3825</v>
      </c>
      <c r="AB11" s="3311"/>
      <c r="AC11" s="3312"/>
      <c r="AD11" s="3312"/>
      <c r="AE11" s="3313"/>
    </row>
    <row r="12" spans="2:31">
      <c r="E12" s="1405" t="s">
        <v>3430</v>
      </c>
      <c r="F12" s="1405" t="s">
        <v>3423</v>
      </c>
      <c r="G12">
        <f>0.6*10</f>
        <v>6</v>
      </c>
      <c r="H12">
        <v>600</v>
      </c>
      <c r="I12">
        <f t="shared" si="0"/>
        <v>3600</v>
      </c>
      <c r="K12">
        <v>600</v>
      </c>
      <c r="L12">
        <v>700</v>
      </c>
      <c r="M12">
        <v>750</v>
      </c>
      <c r="R12" s="3314" t="s">
        <v>3826</v>
      </c>
      <c r="S12" s="3315" t="s">
        <v>3827</v>
      </c>
      <c r="T12" s="3316">
        <v>262.81283999999999</v>
      </c>
      <c r="U12" s="3317" t="s">
        <v>3817</v>
      </c>
      <c r="V12" s="3318">
        <v>559</v>
      </c>
      <c r="W12" s="3319">
        <f t="shared" ref="W12:W15" si="3">T12*V12</f>
        <v>146912.37755999999</v>
      </c>
      <c r="Z12" s="3314" t="s">
        <v>3826</v>
      </c>
      <c r="AA12" s="3315" t="s">
        <v>3827</v>
      </c>
      <c r="AB12" s="3316">
        <v>190.10730000000001</v>
      </c>
      <c r="AC12" s="3317" t="s">
        <v>3817</v>
      </c>
      <c r="AD12" s="3318">
        <v>559</v>
      </c>
      <c r="AE12" s="3319">
        <f t="shared" ref="AE12:AE15" si="4">AB12*AD12</f>
        <v>106269.9807</v>
      </c>
    </row>
    <row r="13" spans="2:31">
      <c r="E13" s="1405" t="s">
        <v>3435</v>
      </c>
      <c r="F13" s="1405" t="s">
        <v>3434</v>
      </c>
      <c r="G13">
        <v>1</v>
      </c>
      <c r="H13">
        <v>2000</v>
      </c>
      <c r="I13">
        <f t="shared" si="0"/>
        <v>2000</v>
      </c>
      <c r="R13" s="3314" t="s">
        <v>3828</v>
      </c>
      <c r="S13" s="3315" t="s">
        <v>3829</v>
      </c>
      <c r="T13" s="3316">
        <v>35.31</v>
      </c>
      <c r="U13" s="3317" t="s">
        <v>3830</v>
      </c>
      <c r="V13" s="3318">
        <v>4918</v>
      </c>
      <c r="W13" s="3319">
        <f t="shared" si="3"/>
        <v>173654.58000000002</v>
      </c>
      <c r="Z13" s="3314" t="s">
        <v>3828</v>
      </c>
      <c r="AA13" s="3315" t="s">
        <v>3829</v>
      </c>
      <c r="AB13" s="3316">
        <v>25.34</v>
      </c>
      <c r="AC13" s="3317" t="s">
        <v>3830</v>
      </c>
      <c r="AD13" s="3318">
        <v>4918</v>
      </c>
      <c r="AE13" s="3319">
        <f t="shared" si="4"/>
        <v>124622.12</v>
      </c>
    </row>
    <row r="14" spans="2:31">
      <c r="E14" s="1405" t="s">
        <v>3436</v>
      </c>
      <c r="F14" s="1405" t="s">
        <v>3434</v>
      </c>
      <c r="G14">
        <v>1</v>
      </c>
      <c r="H14">
        <v>2500</v>
      </c>
      <c r="I14">
        <f t="shared" si="0"/>
        <v>2500</v>
      </c>
      <c r="R14" s="3314" t="s">
        <v>3831</v>
      </c>
      <c r="S14" s="3315" t="s">
        <v>3832</v>
      </c>
      <c r="T14" s="3316">
        <v>24.577200000000001</v>
      </c>
      <c r="U14" s="3317" t="s">
        <v>3817</v>
      </c>
      <c r="V14" s="3318">
        <v>750</v>
      </c>
      <c r="W14" s="3319">
        <f t="shared" si="3"/>
        <v>18432.900000000001</v>
      </c>
      <c r="Z14" s="3314" t="s">
        <v>3831</v>
      </c>
      <c r="AA14" s="3315" t="s">
        <v>3832</v>
      </c>
      <c r="AB14" s="3316">
        <v>28.699200000000001</v>
      </c>
      <c r="AC14" s="3317" t="s">
        <v>3817</v>
      </c>
      <c r="AD14" s="3318">
        <v>750</v>
      </c>
      <c r="AE14" s="3319">
        <f t="shared" si="4"/>
        <v>21524.400000000001</v>
      </c>
    </row>
    <row r="15" spans="2:31">
      <c r="I15" s="3198">
        <f>SUM(I3:I14)</f>
        <v>250094.47999999998</v>
      </c>
      <c r="R15" s="3314" t="s">
        <v>3833</v>
      </c>
      <c r="S15" s="3315" t="s">
        <v>3834</v>
      </c>
      <c r="T15" s="3316">
        <v>882.75</v>
      </c>
      <c r="U15" s="3317" t="s">
        <v>3823</v>
      </c>
      <c r="V15" s="3318">
        <v>70</v>
      </c>
      <c r="W15" s="3319">
        <f t="shared" si="3"/>
        <v>61792.5</v>
      </c>
      <c r="Z15" s="3314" t="s">
        <v>3833</v>
      </c>
      <c r="AA15" s="3315" t="s">
        <v>3834</v>
      </c>
      <c r="AB15" s="3316">
        <v>633.5</v>
      </c>
      <c r="AC15" s="3317" t="s">
        <v>3823</v>
      </c>
      <c r="AD15" s="3318">
        <v>70</v>
      </c>
      <c r="AE15" s="3319">
        <f t="shared" si="4"/>
        <v>44345</v>
      </c>
    </row>
    <row r="16" spans="2:31">
      <c r="E16" s="1405" t="s">
        <v>3394</v>
      </c>
      <c r="F16" s="1405" t="s">
        <v>3423</v>
      </c>
      <c r="G16">
        <f>C4</f>
        <v>264.40999999999997</v>
      </c>
      <c r="H16">
        <v>1000</v>
      </c>
      <c r="I16">
        <f t="shared" si="0"/>
        <v>264409.99999999994</v>
      </c>
      <c r="R16" s="3309" t="s">
        <v>3835</v>
      </c>
      <c r="S16" s="3310" t="s">
        <v>3836</v>
      </c>
      <c r="T16" s="3311"/>
      <c r="U16" s="3312"/>
      <c r="V16" s="3312"/>
      <c r="W16" s="3313"/>
      <c r="Z16" s="3309" t="s">
        <v>3835</v>
      </c>
      <c r="AA16" s="3310" t="s">
        <v>3836</v>
      </c>
      <c r="AB16" s="3311"/>
      <c r="AC16" s="3312"/>
      <c r="AD16" s="3312"/>
      <c r="AE16" s="3313"/>
    </row>
    <row r="17" spans="5:31" ht="67.5">
      <c r="I17">
        <f>I15+I16</f>
        <v>514504.47999999992</v>
      </c>
      <c r="R17" s="3314" t="s">
        <v>3837</v>
      </c>
      <c r="S17" s="3315" t="s">
        <v>3838</v>
      </c>
      <c r="T17" s="3316">
        <v>726.66279999999995</v>
      </c>
      <c r="U17" s="3317" t="s">
        <v>3823</v>
      </c>
      <c r="V17" s="3318">
        <v>120</v>
      </c>
      <c r="W17" s="3319">
        <f>T17*V17</f>
        <v>87199.535999999993</v>
      </c>
      <c r="Z17" s="3314" t="s">
        <v>3837</v>
      </c>
      <c r="AA17" s="3315" t="s">
        <v>3838</v>
      </c>
      <c r="AB17" s="3316">
        <v>521.94799999999998</v>
      </c>
      <c r="AC17" s="3317" t="s">
        <v>3823</v>
      </c>
      <c r="AD17" s="3318">
        <v>120</v>
      </c>
      <c r="AE17" s="3319">
        <f>AB17*AD17</f>
        <v>62633.759999999995</v>
      </c>
    </row>
    <row r="18" spans="5:31">
      <c r="R18" s="3309" t="s">
        <v>3839</v>
      </c>
      <c r="S18" s="3310" t="s">
        <v>3840</v>
      </c>
      <c r="T18" s="3311"/>
      <c r="U18" s="3312"/>
      <c r="V18" s="3312"/>
      <c r="W18" s="3313"/>
      <c r="Z18" s="3309" t="s">
        <v>3839</v>
      </c>
      <c r="AA18" s="3310" t="s">
        <v>3840</v>
      </c>
      <c r="AB18" s="3311"/>
      <c r="AC18" s="3312"/>
      <c r="AD18" s="3312"/>
      <c r="AE18" s="3313"/>
    </row>
    <row r="19" spans="5:31" ht="33.75">
      <c r="R19" s="3320" t="s">
        <v>3841</v>
      </c>
      <c r="S19" s="3321" t="s">
        <v>3842</v>
      </c>
      <c r="T19" s="3316">
        <v>153.43</v>
      </c>
      <c r="U19" s="3322" t="s">
        <v>3823</v>
      </c>
      <c r="V19" s="3318">
        <v>50</v>
      </c>
      <c r="W19" s="3319">
        <f t="shared" ref="W19:W24" si="5">T19*V19</f>
        <v>7671.5</v>
      </c>
      <c r="Z19" s="3320" t="s">
        <v>3841</v>
      </c>
      <c r="AA19" s="3321" t="s">
        <v>3842</v>
      </c>
      <c r="AB19" s="3316">
        <v>131.61000000000001</v>
      </c>
      <c r="AC19" s="3322" t="s">
        <v>3823</v>
      </c>
      <c r="AD19" s="3318">
        <v>50</v>
      </c>
      <c r="AE19" s="3319">
        <f t="shared" ref="AE19:AE24" si="6">AB19*AD19</f>
        <v>6580.5000000000009</v>
      </c>
    </row>
    <row r="20" spans="5:31" ht="101.25">
      <c r="R20" s="3320" t="s">
        <v>3843</v>
      </c>
      <c r="S20" s="3321" t="s">
        <v>3844</v>
      </c>
      <c r="T20" s="3316">
        <v>386.37389999999999</v>
      </c>
      <c r="U20" s="3322" t="s">
        <v>3823</v>
      </c>
      <c r="V20" s="3318">
        <v>95</v>
      </c>
      <c r="W20" s="3319">
        <f t="shared" si="5"/>
        <v>36705.520499999999</v>
      </c>
      <c r="Z20" s="3320" t="s">
        <v>3843</v>
      </c>
      <c r="AA20" s="3321" t="s">
        <v>3844</v>
      </c>
      <c r="AB20" s="3316">
        <v>305.11799999999999</v>
      </c>
      <c r="AC20" s="3322" t="s">
        <v>3823</v>
      </c>
      <c r="AD20" s="3318">
        <v>95</v>
      </c>
      <c r="AE20" s="3319">
        <f t="shared" si="6"/>
        <v>28986.21</v>
      </c>
    </row>
    <row r="21" spans="5:31" ht="33.75">
      <c r="E21" s="1405" t="s">
        <v>3437</v>
      </c>
      <c r="H21" s="3163">
        <v>0.1</v>
      </c>
      <c r="I21">
        <f>I17*H21</f>
        <v>51450.447999999997</v>
      </c>
      <c r="R21" s="3320" t="s">
        <v>3845</v>
      </c>
      <c r="S21" s="3321" t="s">
        <v>3846</v>
      </c>
      <c r="T21" s="3316">
        <v>344.57</v>
      </c>
      <c r="U21" s="3322" t="s">
        <v>3823</v>
      </c>
      <c r="V21" s="3318">
        <v>40</v>
      </c>
      <c r="W21" s="3319">
        <f t="shared" si="5"/>
        <v>13782.8</v>
      </c>
      <c r="Z21" s="3320" t="s">
        <v>3845</v>
      </c>
      <c r="AA21" s="3321" t="s">
        <v>3846</v>
      </c>
      <c r="AB21" s="3316">
        <v>248.42</v>
      </c>
      <c r="AC21" s="3322" t="s">
        <v>3823</v>
      </c>
      <c r="AD21" s="3318">
        <v>40</v>
      </c>
      <c r="AE21" s="3319">
        <f t="shared" si="6"/>
        <v>9936.7999999999993</v>
      </c>
    </row>
    <row r="22" spans="5:31">
      <c r="I22">
        <f>I17+I21</f>
        <v>565954.92799999996</v>
      </c>
      <c r="R22" s="3320" t="s">
        <v>3847</v>
      </c>
      <c r="S22" s="3321" t="s">
        <v>3848</v>
      </c>
      <c r="T22" s="3323">
        <v>1</v>
      </c>
      <c r="U22" s="3322" t="s">
        <v>3849</v>
      </c>
      <c r="V22" s="3318">
        <v>1500</v>
      </c>
      <c r="W22" s="3319">
        <f t="shared" si="5"/>
        <v>1500</v>
      </c>
      <c r="Z22" s="3320" t="s">
        <v>3847</v>
      </c>
      <c r="AA22" s="3321" t="s">
        <v>3848</v>
      </c>
      <c r="AB22" s="3323">
        <v>1</v>
      </c>
      <c r="AC22" s="3322" t="s">
        <v>3849</v>
      </c>
      <c r="AD22" s="3318">
        <v>1500</v>
      </c>
      <c r="AE22" s="3319">
        <f t="shared" si="6"/>
        <v>1500</v>
      </c>
    </row>
    <row r="23" spans="5:31">
      <c r="I23" s="3159">
        <f>I22/C4</f>
        <v>2140.4444915093982</v>
      </c>
      <c r="R23" s="3320" t="s">
        <v>3850</v>
      </c>
      <c r="S23" s="3321" t="s">
        <v>3851</v>
      </c>
      <c r="T23" s="3316">
        <v>8.64</v>
      </c>
      <c r="U23" s="3322" t="s">
        <v>3852</v>
      </c>
      <c r="V23" s="3318">
        <v>600</v>
      </c>
      <c r="W23" s="3319">
        <f t="shared" si="5"/>
        <v>5184</v>
      </c>
      <c r="Z23" s="3320" t="s">
        <v>3850</v>
      </c>
      <c r="AA23" s="3321" t="s">
        <v>3851</v>
      </c>
      <c r="AB23" s="3316">
        <v>5.94</v>
      </c>
      <c r="AC23" s="3322" t="s">
        <v>3852</v>
      </c>
      <c r="AD23" s="3318">
        <v>600</v>
      </c>
      <c r="AE23" s="3319">
        <f t="shared" si="6"/>
        <v>3564.0000000000005</v>
      </c>
    </row>
    <row r="24" spans="5:31">
      <c r="R24" s="3320" t="s">
        <v>3853</v>
      </c>
      <c r="S24" s="3321" t="s">
        <v>3854</v>
      </c>
      <c r="T24" s="3316">
        <v>7.2</v>
      </c>
      <c r="U24" s="3322" t="s">
        <v>3855</v>
      </c>
      <c r="V24" s="3318">
        <v>200</v>
      </c>
      <c r="W24" s="3319">
        <f t="shared" si="5"/>
        <v>1440</v>
      </c>
      <c r="Z24" s="3320" t="s">
        <v>3853</v>
      </c>
      <c r="AA24" s="3321" t="s">
        <v>3854</v>
      </c>
      <c r="AB24" s="3316">
        <v>7.2</v>
      </c>
      <c r="AC24" s="3322" t="s">
        <v>3855</v>
      </c>
      <c r="AD24" s="3318">
        <v>200</v>
      </c>
      <c r="AE24" s="3319">
        <f t="shared" si="6"/>
        <v>1440</v>
      </c>
    </row>
    <row r="25" spans="5:31">
      <c r="R25" s="3309" t="s">
        <v>3856</v>
      </c>
      <c r="S25" s="3310" t="s">
        <v>3857</v>
      </c>
      <c r="T25" s="3311"/>
      <c r="U25" s="3312"/>
      <c r="V25" s="3312"/>
      <c r="W25" s="3313"/>
      <c r="Z25" s="3309" t="s">
        <v>3856</v>
      </c>
      <c r="AA25" s="3310" t="s">
        <v>3857</v>
      </c>
      <c r="AB25" s="3311"/>
      <c r="AC25" s="3312"/>
      <c r="AD25" s="3312"/>
      <c r="AE25" s="3313"/>
    </row>
    <row r="26" spans="5:31">
      <c r="R26" s="3320" t="s">
        <v>3858</v>
      </c>
      <c r="S26" s="3321" t="s">
        <v>3859</v>
      </c>
      <c r="T26" s="3316">
        <v>353.1</v>
      </c>
      <c r="U26" s="3322" t="s">
        <v>3823</v>
      </c>
      <c r="V26" s="3318">
        <v>30</v>
      </c>
      <c r="W26" s="3319">
        <f t="shared" ref="W26:W28" si="7">T26*V26</f>
        <v>10593</v>
      </c>
      <c r="Z26" s="3320" t="s">
        <v>3858</v>
      </c>
      <c r="AA26" s="3321" t="s">
        <v>3859</v>
      </c>
      <c r="AB26" s="3316">
        <v>253.4</v>
      </c>
      <c r="AC26" s="3322" t="s">
        <v>3823</v>
      </c>
      <c r="AD26" s="3318">
        <v>30</v>
      </c>
      <c r="AE26" s="3319">
        <f t="shared" ref="AE26:AE28" si="8">AB26*AD26</f>
        <v>7602</v>
      </c>
    </row>
    <row r="27" spans="5:31">
      <c r="R27" s="3320" t="s">
        <v>3860</v>
      </c>
      <c r="S27" s="3321" t="s">
        <v>3861</v>
      </c>
      <c r="T27" s="3316">
        <v>353.1</v>
      </c>
      <c r="U27" s="3322" t="s">
        <v>3823</v>
      </c>
      <c r="V27" s="3318">
        <v>100</v>
      </c>
      <c r="W27" s="3319">
        <f t="shared" si="7"/>
        <v>35310</v>
      </c>
      <c r="Z27" s="3320" t="s">
        <v>3860</v>
      </c>
      <c r="AA27" s="3321" t="s">
        <v>3861</v>
      </c>
      <c r="AB27" s="3316">
        <v>253.4</v>
      </c>
      <c r="AC27" s="3322" t="s">
        <v>3823</v>
      </c>
      <c r="AD27" s="3318">
        <v>100</v>
      </c>
      <c r="AE27" s="3319">
        <f t="shared" si="8"/>
        <v>25340</v>
      </c>
    </row>
    <row r="28" spans="5:31">
      <c r="R28" s="3320" t="s">
        <v>3862</v>
      </c>
      <c r="S28" s="3321" t="s">
        <v>3863</v>
      </c>
      <c r="T28" s="3316">
        <v>353.1</v>
      </c>
      <c r="U28" s="3322" t="s">
        <v>3823</v>
      </c>
      <c r="V28" s="3318">
        <v>20</v>
      </c>
      <c r="W28" s="3319">
        <f t="shared" si="7"/>
        <v>7062</v>
      </c>
      <c r="Z28" s="3320" t="s">
        <v>3862</v>
      </c>
      <c r="AA28" s="3321" t="s">
        <v>3863</v>
      </c>
      <c r="AB28" s="3316">
        <v>253.4</v>
      </c>
      <c r="AC28" s="3322" t="s">
        <v>3823</v>
      </c>
      <c r="AD28" s="3318">
        <v>20</v>
      </c>
      <c r="AE28" s="3319">
        <f t="shared" si="8"/>
        <v>5068</v>
      </c>
    </row>
    <row r="29" spans="5:31">
      <c r="R29" s="3309" t="s">
        <v>3864</v>
      </c>
      <c r="S29" s="3310" t="s">
        <v>3865</v>
      </c>
      <c r="T29" s="3311"/>
      <c r="U29" s="3312"/>
      <c r="V29" s="3312"/>
      <c r="W29" s="3313"/>
      <c r="Z29" s="3309" t="s">
        <v>3864</v>
      </c>
      <c r="AA29" s="3310" t="s">
        <v>3865</v>
      </c>
      <c r="AB29" s="3311"/>
      <c r="AC29" s="3312"/>
      <c r="AD29" s="3312"/>
      <c r="AE29" s="3313"/>
    </row>
    <row r="30" spans="5:31">
      <c r="R30" s="3314" t="s">
        <v>3866</v>
      </c>
      <c r="S30" s="3315" t="s">
        <v>3867</v>
      </c>
      <c r="T30" s="3316">
        <v>353.1</v>
      </c>
      <c r="U30" s="3317" t="s">
        <v>3823</v>
      </c>
      <c r="V30" s="3318">
        <v>29</v>
      </c>
      <c r="W30" s="3319">
        <f t="shared" ref="W30:W34" si="9">T30*V30</f>
        <v>10239.900000000001</v>
      </c>
      <c r="Z30" s="3314" t="s">
        <v>3866</v>
      </c>
      <c r="AA30" s="3315" t="s">
        <v>3867</v>
      </c>
      <c r="AB30" s="3316">
        <v>253.4</v>
      </c>
      <c r="AC30" s="3317" t="s">
        <v>3823</v>
      </c>
      <c r="AD30" s="3318">
        <v>29</v>
      </c>
      <c r="AE30" s="3319">
        <f t="shared" ref="AE30:AE34" si="10">AB30*AD30</f>
        <v>7348.6</v>
      </c>
    </row>
    <row r="31" spans="5:31">
      <c r="R31" s="3314" t="s">
        <v>3868</v>
      </c>
      <c r="S31" s="3315" t="s">
        <v>3869</v>
      </c>
      <c r="T31" s="3316">
        <v>353.1</v>
      </c>
      <c r="U31" s="3317" t="s">
        <v>3823</v>
      </c>
      <c r="V31" s="3318">
        <v>30</v>
      </c>
      <c r="W31" s="3319">
        <f t="shared" si="9"/>
        <v>10593</v>
      </c>
      <c r="Z31" s="3314" t="s">
        <v>3868</v>
      </c>
      <c r="AA31" s="3315" t="s">
        <v>3869</v>
      </c>
      <c r="AB31" s="3316">
        <v>253.4</v>
      </c>
      <c r="AC31" s="3317" t="s">
        <v>3823</v>
      </c>
      <c r="AD31" s="3318">
        <v>30</v>
      </c>
      <c r="AE31" s="3319">
        <f t="shared" si="10"/>
        <v>7602</v>
      </c>
    </row>
    <row r="32" spans="5:31">
      <c r="R32" s="3314" t="s">
        <v>3870</v>
      </c>
      <c r="S32" s="3315" t="s">
        <v>3871</v>
      </c>
      <c r="T32" s="3316">
        <v>353.1</v>
      </c>
      <c r="U32" s="3317" t="s">
        <v>3823</v>
      </c>
      <c r="V32" s="3318">
        <v>200</v>
      </c>
      <c r="W32" s="3319">
        <f t="shared" si="9"/>
        <v>70620</v>
      </c>
      <c r="Z32" s="3314" t="s">
        <v>3870</v>
      </c>
      <c r="AA32" s="3315" t="s">
        <v>3871</v>
      </c>
      <c r="AB32" s="3316">
        <v>253.4</v>
      </c>
      <c r="AC32" s="3317" t="s">
        <v>3823</v>
      </c>
      <c r="AD32" s="3318">
        <v>200</v>
      </c>
      <c r="AE32" s="3319">
        <f t="shared" si="10"/>
        <v>50680</v>
      </c>
    </row>
    <row r="33" spans="18:31">
      <c r="R33" s="3314" t="s">
        <v>3872</v>
      </c>
      <c r="S33" s="3315" t="s">
        <v>3873</v>
      </c>
      <c r="T33" s="3316">
        <v>353.1</v>
      </c>
      <c r="U33" s="3317" t="s">
        <v>3823</v>
      </c>
      <c r="V33" s="3318">
        <v>10</v>
      </c>
      <c r="W33" s="3319">
        <f t="shared" si="9"/>
        <v>3531</v>
      </c>
      <c r="Z33" s="3314" t="s">
        <v>3872</v>
      </c>
      <c r="AA33" s="3315" t="s">
        <v>3873</v>
      </c>
      <c r="AB33" s="3316">
        <v>253.4</v>
      </c>
      <c r="AC33" s="3317" t="s">
        <v>3823</v>
      </c>
      <c r="AD33" s="3318">
        <v>10</v>
      </c>
      <c r="AE33" s="3319">
        <f t="shared" si="10"/>
        <v>2534</v>
      </c>
    </row>
    <row r="34" spans="18:31">
      <c r="R34" s="3314" t="s">
        <v>3874</v>
      </c>
      <c r="S34" s="3315" t="s">
        <v>3875</v>
      </c>
      <c r="T34" s="3316">
        <v>353.1</v>
      </c>
      <c r="U34" s="3317" t="s">
        <v>3823</v>
      </c>
      <c r="V34" s="3318">
        <v>20</v>
      </c>
      <c r="W34" s="3319">
        <f t="shared" si="9"/>
        <v>7062</v>
      </c>
      <c r="Z34" s="3314" t="s">
        <v>3874</v>
      </c>
      <c r="AA34" s="3315" t="s">
        <v>3875</v>
      </c>
      <c r="AB34" s="3316">
        <v>253.4</v>
      </c>
      <c r="AC34" s="3317" t="s">
        <v>3823</v>
      </c>
      <c r="AD34" s="3318">
        <v>20</v>
      </c>
      <c r="AE34" s="3319">
        <f t="shared" si="10"/>
        <v>5068</v>
      </c>
    </row>
    <row r="35" spans="18:31">
      <c r="R35" s="3309" t="s">
        <v>3876</v>
      </c>
      <c r="S35" s="3310" t="s">
        <v>3877</v>
      </c>
      <c r="T35" s="3311"/>
      <c r="U35" s="3312"/>
      <c r="V35" s="3312"/>
      <c r="W35" s="3313"/>
      <c r="Z35" s="3309" t="s">
        <v>3876</v>
      </c>
      <c r="AA35" s="3310" t="s">
        <v>3877</v>
      </c>
      <c r="AB35" s="3311"/>
      <c r="AC35" s="3312"/>
      <c r="AD35" s="3312"/>
      <c r="AE35" s="3313"/>
    </row>
    <row r="36" spans="18:31">
      <c r="R36" s="3314" t="s">
        <v>3833</v>
      </c>
      <c r="S36" s="3315" t="s">
        <v>3877</v>
      </c>
      <c r="T36" s="3316"/>
      <c r="U36" s="3317"/>
      <c r="V36" s="3324"/>
      <c r="W36" s="3325">
        <f>SUM(W7:W35)*0.09</f>
        <v>82606.568000399988</v>
      </c>
      <c r="Z36" s="3314" t="s">
        <v>3833</v>
      </c>
      <c r="AA36" s="3315" t="s">
        <v>3877</v>
      </c>
      <c r="AB36" s="3316"/>
      <c r="AC36" s="3317"/>
      <c r="AD36" s="3324"/>
      <c r="AE36" s="3325">
        <f>SUM(AE7:AE35)*0.09</f>
        <v>61306.090155000005</v>
      </c>
    </row>
    <row r="37" spans="18:31" ht="14.25" thickBot="1">
      <c r="R37" s="3326" t="s">
        <v>3878</v>
      </c>
      <c r="S37" s="3327" t="s">
        <v>3879</v>
      </c>
      <c r="T37" s="3328"/>
      <c r="U37" s="3329"/>
      <c r="V37" s="3329"/>
      <c r="W37" s="3330">
        <f>SUM(W5:W36)</f>
        <v>1000457.3235603999</v>
      </c>
      <c r="Z37" s="3326" t="s">
        <v>3878</v>
      </c>
      <c r="AA37" s="3327" t="s">
        <v>3879</v>
      </c>
      <c r="AB37" s="3328"/>
      <c r="AC37" s="3329"/>
      <c r="AD37" s="3329"/>
      <c r="AE37" s="3330">
        <f>SUM(AE5:AE36)</f>
        <v>742484.86965500005</v>
      </c>
    </row>
    <row r="38" spans="18:31">
      <c r="R38" s="3293"/>
      <c r="S38" s="3295"/>
      <c r="T38" s="3293"/>
      <c r="U38" s="3296"/>
      <c r="V38" s="3297"/>
      <c r="W38" s="3298"/>
      <c r="Z38" s="3293"/>
      <c r="AA38" s="3295"/>
      <c r="AB38" s="3293"/>
      <c r="AC38" s="3296"/>
      <c r="AD38" s="3297"/>
      <c r="AE38" s="3298"/>
    </row>
    <row r="39" spans="18:31">
      <c r="R39" s="3293"/>
      <c r="S39" s="3295"/>
      <c r="T39" s="3293"/>
      <c r="U39" s="3296"/>
      <c r="V39" s="3297" t="s">
        <v>3880</v>
      </c>
      <c r="W39" s="3298">
        <f>ROUND(W37/353.1,2)</f>
        <v>2833.35</v>
      </c>
      <c r="Z39" s="3293"/>
      <c r="AA39" s="3295"/>
      <c r="AB39" s="3293"/>
      <c r="AC39" s="3296"/>
      <c r="AD39" s="3297" t="s">
        <v>3880</v>
      </c>
      <c r="AE39" s="3298">
        <f>ROUND(AE37/253.4,2)</f>
        <v>2930.09</v>
      </c>
    </row>
    <row r="44" spans="18:31">
      <c r="Z44">
        <f>(W39+AE39)/2</f>
        <v>2881.7200000000003</v>
      </c>
    </row>
  </sheetData>
  <mergeCells count="2">
    <mergeCell ref="R2:W2"/>
    <mergeCell ref="Z2:AE2"/>
  </mergeCells>
  <phoneticPr fontId="136" type="noConversion"/>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B1:S36"/>
  <sheetViews>
    <sheetView workbookViewId="0">
      <selection activeCell="R19" sqref="R19"/>
    </sheetView>
  </sheetViews>
  <sheetFormatPr defaultColWidth="9" defaultRowHeight="14.25"/>
  <cols>
    <col min="1" max="2" width="20" style="3263" customWidth="1"/>
    <col min="3" max="3" width="32.125" style="3263" customWidth="1"/>
    <col min="4" max="9" width="20" style="3263" customWidth="1"/>
    <col min="10" max="11" width="20" style="3263" hidden="1" customWidth="1"/>
    <col min="12" max="12" width="20" style="3263" customWidth="1"/>
    <col min="13" max="13" width="20" style="3263" hidden="1" customWidth="1"/>
    <col min="14" max="14" width="20" style="3263" customWidth="1"/>
    <col min="15" max="16" width="20" style="3263" hidden="1" customWidth="1"/>
    <col min="17" max="20" width="20" style="3263" customWidth="1"/>
    <col min="21" max="16384" width="9" style="3263"/>
  </cols>
  <sheetData>
    <row r="1" spans="2:19">
      <c r="B1" s="3263" t="s">
        <v>3552</v>
      </c>
      <c r="C1" s="3263" t="s">
        <v>3553</v>
      </c>
      <c r="D1" s="3263" t="s">
        <v>3554</v>
      </c>
      <c r="E1" s="3263" t="s">
        <v>3555</v>
      </c>
      <c r="F1" s="3263" t="s">
        <v>3556</v>
      </c>
      <c r="G1" s="3263" t="s">
        <v>3557</v>
      </c>
      <c r="H1" s="3263" t="s">
        <v>3533</v>
      </c>
      <c r="I1" s="3263" t="s">
        <v>3558</v>
      </c>
      <c r="J1" s="3263" t="s">
        <v>3559</v>
      </c>
      <c r="K1" s="3263" t="s">
        <v>3560</v>
      </c>
      <c r="L1" s="3263" t="s">
        <v>3561</v>
      </c>
      <c r="M1" s="3263" t="s">
        <v>3562</v>
      </c>
      <c r="N1" s="3263" t="s">
        <v>3563</v>
      </c>
      <c r="O1" s="3263" t="s">
        <v>3564</v>
      </c>
      <c r="P1" s="3263" t="s">
        <v>3565</v>
      </c>
      <c r="Q1" s="3263" t="s">
        <v>3566</v>
      </c>
      <c r="R1" s="3263" t="s">
        <v>3567</v>
      </c>
      <c r="S1" s="3263" t="s">
        <v>3568</v>
      </c>
    </row>
    <row r="2" spans="2:19" s="3264" customFormat="1">
      <c r="B2" s="3264" t="s">
        <v>3569</v>
      </c>
      <c r="C2" s="3264" t="s">
        <v>3570</v>
      </c>
      <c r="D2" s="3264">
        <v>10021.99</v>
      </c>
      <c r="E2" s="3264">
        <v>21947.45</v>
      </c>
      <c r="F2" s="3264" t="s">
        <v>3571</v>
      </c>
      <c r="G2" s="3264" t="s">
        <v>3572</v>
      </c>
      <c r="H2" s="3264" t="s">
        <v>3573</v>
      </c>
      <c r="I2" s="3264">
        <v>2.19</v>
      </c>
      <c r="J2" s="3264" t="s">
        <v>3574</v>
      </c>
      <c r="K2" s="3265">
        <v>45678.333831018521</v>
      </c>
      <c r="L2" s="3265">
        <v>45678.333831018521</v>
      </c>
      <c r="M2" s="3264" t="s">
        <v>3575</v>
      </c>
      <c r="N2" s="3264" t="s">
        <v>3576</v>
      </c>
      <c r="O2" s="3264">
        <v>17778</v>
      </c>
      <c r="P2" s="3264">
        <v>3556</v>
      </c>
      <c r="Q2" s="3264">
        <v>17778</v>
      </c>
      <c r="R2" s="3264">
        <v>8100</v>
      </c>
      <c r="S2" s="3264">
        <v>0</v>
      </c>
    </row>
    <row r="3" spans="2:19">
      <c r="B3" s="3263" t="s">
        <v>3577</v>
      </c>
      <c r="C3" s="3263" t="s">
        <v>3578</v>
      </c>
      <c r="D3" s="3263">
        <v>44588.11</v>
      </c>
      <c r="E3" s="3263">
        <v>111470.28</v>
      </c>
      <c r="F3" s="3263" t="s">
        <v>3571</v>
      </c>
      <c r="G3" s="3263" t="s">
        <v>3579</v>
      </c>
      <c r="H3" s="3263" t="s">
        <v>3580</v>
      </c>
      <c r="I3" s="3263">
        <v>2.5</v>
      </c>
      <c r="J3" s="3263" t="s">
        <v>3574</v>
      </c>
      <c r="K3" s="3266">
        <v>45307.333831018521</v>
      </c>
      <c r="L3" s="3266">
        <v>45307.333831018521</v>
      </c>
      <c r="M3" s="3263" t="s">
        <v>3575</v>
      </c>
      <c r="N3" s="3263" t="s">
        <v>3581</v>
      </c>
      <c r="O3" s="3263">
        <v>19300</v>
      </c>
      <c r="P3" s="3263">
        <v>3860</v>
      </c>
      <c r="Q3" s="3263">
        <v>19300</v>
      </c>
      <c r="R3" s="3263">
        <v>1731</v>
      </c>
      <c r="S3" s="3263">
        <v>0</v>
      </c>
    </row>
    <row r="4" spans="2:19" s="3264" customFormat="1">
      <c r="B4" s="3264" t="s">
        <v>3582</v>
      </c>
      <c r="C4" s="3264" t="s">
        <v>3583</v>
      </c>
      <c r="D4" s="3264">
        <v>40701.78</v>
      </c>
      <c r="E4" s="3264">
        <v>118972.33</v>
      </c>
      <c r="F4" s="3264" t="s">
        <v>3571</v>
      </c>
      <c r="G4" s="3264" t="s">
        <v>3584</v>
      </c>
      <c r="H4" s="3264" t="s">
        <v>3585</v>
      </c>
      <c r="I4" s="3264">
        <v>2.93</v>
      </c>
      <c r="J4" s="3264" t="s">
        <v>3574</v>
      </c>
      <c r="K4" s="3265">
        <v>45272.333831018521</v>
      </c>
      <c r="L4" s="3265">
        <v>45272.333831018521</v>
      </c>
      <c r="M4" s="3264" t="s">
        <v>3575</v>
      </c>
      <c r="N4" s="3264" t="s">
        <v>3586</v>
      </c>
      <c r="O4" s="3264">
        <v>120300</v>
      </c>
      <c r="P4" s="3264">
        <v>24060</v>
      </c>
      <c r="Q4" s="3264">
        <v>120300</v>
      </c>
      <c r="R4" s="3264">
        <v>10112</v>
      </c>
      <c r="S4" s="3264">
        <v>0</v>
      </c>
    </row>
    <row r="5" spans="2:19" s="3264" customFormat="1">
      <c r="B5" s="3264" t="s">
        <v>3587</v>
      </c>
      <c r="C5" s="3264" t="s">
        <v>3588</v>
      </c>
      <c r="D5" s="3264">
        <v>35622.269999999997</v>
      </c>
      <c r="E5" s="3264">
        <v>89045.09</v>
      </c>
      <c r="F5" s="3264" t="s">
        <v>3571</v>
      </c>
      <c r="G5" s="3264" t="s">
        <v>3584</v>
      </c>
      <c r="H5" s="3264" t="s">
        <v>3580</v>
      </c>
      <c r="I5" s="3264">
        <v>2.5</v>
      </c>
      <c r="J5" s="3264" t="s">
        <v>3574</v>
      </c>
      <c r="K5" s="3265">
        <v>45272.333831018521</v>
      </c>
      <c r="L5" s="3265">
        <v>45272.333831018521</v>
      </c>
      <c r="M5" s="3264" t="s">
        <v>3575</v>
      </c>
      <c r="N5" s="3264" t="s">
        <v>3586</v>
      </c>
      <c r="O5" s="3264">
        <v>90000</v>
      </c>
      <c r="P5" s="3264">
        <v>18000</v>
      </c>
      <c r="Q5" s="3264">
        <v>90000</v>
      </c>
      <c r="R5" s="3264">
        <v>10107</v>
      </c>
      <c r="S5" s="3264">
        <v>0</v>
      </c>
    </row>
    <row r="6" spans="2:19">
      <c r="B6" s="3263" t="s">
        <v>3589</v>
      </c>
      <c r="C6" s="3263" t="s">
        <v>3590</v>
      </c>
      <c r="D6" s="3263">
        <v>23354.560000000001</v>
      </c>
      <c r="E6" s="3263">
        <v>45990.02</v>
      </c>
      <c r="F6" s="3263" t="s">
        <v>3571</v>
      </c>
      <c r="G6" s="3263" t="s">
        <v>3584</v>
      </c>
      <c r="H6" s="3263" t="s">
        <v>3591</v>
      </c>
      <c r="I6" s="3263">
        <v>1.97</v>
      </c>
      <c r="J6" s="3263" t="s">
        <v>3574</v>
      </c>
      <c r="K6" s="3266">
        <v>44497.333831018521</v>
      </c>
      <c r="L6" s="3266">
        <v>44497.333831018521</v>
      </c>
      <c r="M6" s="3263" t="s">
        <v>3575</v>
      </c>
      <c r="N6" s="3263" t="s">
        <v>3592</v>
      </c>
      <c r="O6" s="3263">
        <v>51100</v>
      </c>
      <c r="P6" s="3263">
        <v>25550</v>
      </c>
      <c r="Q6" s="3263">
        <v>60100</v>
      </c>
      <c r="R6" s="3263">
        <v>13068</v>
      </c>
      <c r="S6" s="3263">
        <v>0.17610000000000001</v>
      </c>
    </row>
    <row r="7" spans="2:19">
      <c r="B7" s="3263" t="s">
        <v>3593</v>
      </c>
      <c r="C7" s="3263" t="s">
        <v>3594</v>
      </c>
      <c r="D7" s="3263">
        <v>32048.94</v>
      </c>
      <c r="E7" s="3263">
        <v>64096.12</v>
      </c>
      <c r="F7" s="3263" t="s">
        <v>3571</v>
      </c>
      <c r="G7" s="3263" t="s">
        <v>3584</v>
      </c>
      <c r="H7" s="3263" t="s">
        <v>3595</v>
      </c>
      <c r="I7" s="3263">
        <v>2</v>
      </c>
      <c r="J7" s="3263" t="s">
        <v>3574</v>
      </c>
      <c r="K7" s="3266">
        <v>44488.333831018521</v>
      </c>
      <c r="L7" s="3266">
        <v>44488.333831018521</v>
      </c>
      <c r="M7" s="3263" t="s">
        <v>3575</v>
      </c>
      <c r="N7" s="3263" t="s">
        <v>3596</v>
      </c>
      <c r="O7" s="3263">
        <v>69800</v>
      </c>
      <c r="P7" s="3263">
        <v>34900</v>
      </c>
      <c r="Q7" s="3263">
        <v>69800</v>
      </c>
      <c r="R7" s="3263">
        <v>10890</v>
      </c>
      <c r="S7" s="3263">
        <v>0</v>
      </c>
    </row>
    <row r="8" spans="2:19">
      <c r="B8" s="3263" t="s">
        <v>3597</v>
      </c>
      <c r="C8" s="3263" t="s">
        <v>3598</v>
      </c>
      <c r="D8" s="3263">
        <v>33277.269999999997</v>
      </c>
      <c r="E8" s="3263">
        <v>66552.7</v>
      </c>
      <c r="F8" s="3263" t="s">
        <v>3571</v>
      </c>
      <c r="G8" s="3263" t="s">
        <v>3599</v>
      </c>
      <c r="H8" s="3263" t="s">
        <v>3600</v>
      </c>
      <c r="I8" s="3263">
        <v>2</v>
      </c>
      <c r="J8" s="3263" t="s">
        <v>3574</v>
      </c>
      <c r="K8" s="3266">
        <v>44484.333831018521</v>
      </c>
      <c r="L8" s="3266">
        <v>44484.333831018521</v>
      </c>
      <c r="M8" s="3263" t="s">
        <v>3575</v>
      </c>
      <c r="N8" s="3263" t="s">
        <v>3596</v>
      </c>
      <c r="O8" s="3263">
        <v>70300</v>
      </c>
      <c r="P8" s="3263">
        <v>35150</v>
      </c>
      <c r="Q8" s="3263">
        <v>70300</v>
      </c>
      <c r="R8" s="3263">
        <v>10563</v>
      </c>
      <c r="S8" s="3263">
        <v>0</v>
      </c>
    </row>
    <row r="9" spans="2:19">
      <c r="B9" s="3263" t="s">
        <v>3601</v>
      </c>
      <c r="C9" s="3263" t="s">
        <v>3602</v>
      </c>
      <c r="D9" s="3263">
        <v>50789.78</v>
      </c>
      <c r="E9" s="3263">
        <v>94976.89</v>
      </c>
      <c r="F9" s="3263" t="s">
        <v>3571</v>
      </c>
      <c r="G9" s="3263" t="s">
        <v>3584</v>
      </c>
      <c r="H9" s="3263" t="s">
        <v>3603</v>
      </c>
      <c r="I9" s="3263">
        <v>1.87</v>
      </c>
      <c r="J9" s="3263" t="s">
        <v>3574</v>
      </c>
      <c r="K9" s="3266">
        <v>44229.333831018521</v>
      </c>
      <c r="L9" s="3266">
        <v>44229.333831018521</v>
      </c>
      <c r="M9" s="3263" t="s">
        <v>3575</v>
      </c>
      <c r="N9" s="3263" t="s">
        <v>3604</v>
      </c>
      <c r="O9" s="3263">
        <v>96000</v>
      </c>
      <c r="P9" s="3263">
        <v>28800</v>
      </c>
      <c r="Q9" s="3263">
        <v>141900</v>
      </c>
      <c r="R9" s="3263">
        <v>14940</v>
      </c>
      <c r="S9" s="3263">
        <v>0.47810000000000002</v>
      </c>
    </row>
    <row r="10" spans="2:19">
      <c r="B10" s="3263" t="s">
        <v>3605</v>
      </c>
      <c r="C10" s="3263" t="s">
        <v>3606</v>
      </c>
      <c r="D10" s="3263">
        <v>75445</v>
      </c>
      <c r="E10" s="3263">
        <v>154520.49</v>
      </c>
      <c r="F10" s="3263" t="s">
        <v>3571</v>
      </c>
      <c r="G10" s="3263" t="s">
        <v>3584</v>
      </c>
      <c r="H10" s="3263" t="s">
        <v>3607</v>
      </c>
      <c r="I10" s="3263">
        <v>2.0499999999999998</v>
      </c>
      <c r="J10" s="3263" t="s">
        <v>3574</v>
      </c>
      <c r="K10" s="3266">
        <v>44211.333831018521</v>
      </c>
      <c r="L10" s="3266">
        <v>44211.333831018521</v>
      </c>
      <c r="M10" s="3263" t="s">
        <v>3575</v>
      </c>
      <c r="N10" s="3263" t="s">
        <v>3608</v>
      </c>
      <c r="O10" s="3263">
        <v>103400</v>
      </c>
      <c r="P10" s="3263">
        <v>51700</v>
      </c>
      <c r="Q10" s="3263">
        <v>103400</v>
      </c>
      <c r="R10" s="3263">
        <v>6692</v>
      </c>
      <c r="S10" s="3263">
        <v>0</v>
      </c>
    </row>
    <row r="11" spans="2:19">
      <c r="B11" s="3263" t="s">
        <v>3609</v>
      </c>
      <c r="C11" s="3263" t="s">
        <v>3610</v>
      </c>
      <c r="D11" s="3263">
        <v>135731</v>
      </c>
      <c r="E11" s="3263">
        <v>171881.64</v>
      </c>
      <c r="F11" s="3263" t="s">
        <v>3571</v>
      </c>
      <c r="G11" s="3263" t="s">
        <v>3584</v>
      </c>
      <c r="H11" s="3263" t="s">
        <v>3611</v>
      </c>
      <c r="I11" s="3263">
        <v>1.27</v>
      </c>
      <c r="J11" s="3263" t="s">
        <v>3574</v>
      </c>
      <c r="K11" s="3266">
        <v>44124.333831018521</v>
      </c>
      <c r="L11" s="3266">
        <v>44124.333831018521</v>
      </c>
      <c r="M11" s="3263" t="s">
        <v>3575</v>
      </c>
      <c r="N11" s="3263" t="s">
        <v>3612</v>
      </c>
      <c r="O11" s="3263">
        <v>74500</v>
      </c>
      <c r="P11" s="3263">
        <v>37250</v>
      </c>
      <c r="Q11" s="3263">
        <v>74500</v>
      </c>
      <c r="R11" s="3263">
        <v>4334</v>
      </c>
      <c r="S11" s="3263">
        <v>0</v>
      </c>
    </row>
    <row r="12" spans="2:19" s="3264" customFormat="1">
      <c r="B12" s="3264" t="s">
        <v>3613</v>
      </c>
      <c r="C12" s="3264" t="s">
        <v>3614</v>
      </c>
      <c r="D12" s="3264">
        <v>62758</v>
      </c>
      <c r="E12" s="3264">
        <v>131743.62</v>
      </c>
      <c r="F12" s="3264" t="s">
        <v>3571</v>
      </c>
      <c r="G12" s="3264" t="s">
        <v>3615</v>
      </c>
      <c r="H12" s="3264" t="s">
        <v>3616</v>
      </c>
      <c r="I12" s="3264">
        <v>2.1</v>
      </c>
      <c r="J12" s="3264" t="s">
        <v>3574</v>
      </c>
      <c r="K12" s="3265">
        <v>44041.333831018521</v>
      </c>
      <c r="L12" s="3265">
        <v>44041.333831018521</v>
      </c>
      <c r="M12" s="3264" t="s">
        <v>3575</v>
      </c>
      <c r="N12" s="3264" t="s">
        <v>3617</v>
      </c>
      <c r="O12" s="3264">
        <v>82700</v>
      </c>
      <c r="P12" s="3264">
        <v>41350</v>
      </c>
      <c r="Q12" s="3264">
        <v>112300</v>
      </c>
      <c r="R12" s="3264">
        <v>8524</v>
      </c>
      <c r="S12" s="3264">
        <v>0.3579</v>
      </c>
    </row>
    <row r="13" spans="2:19">
      <c r="B13" s="3263" t="s">
        <v>3618</v>
      </c>
      <c r="C13" s="3263" t="s">
        <v>3619</v>
      </c>
      <c r="D13" s="3263">
        <v>165047</v>
      </c>
      <c r="E13" s="3263">
        <v>260927.88</v>
      </c>
      <c r="F13" s="3263" t="s">
        <v>3571</v>
      </c>
      <c r="G13" s="3263" t="s">
        <v>3615</v>
      </c>
      <c r="H13" s="3263" t="s">
        <v>3620</v>
      </c>
      <c r="I13" s="3263">
        <v>1.58</v>
      </c>
      <c r="J13" s="3263" t="s">
        <v>3574</v>
      </c>
      <c r="K13" s="3266">
        <v>44029.333831018521</v>
      </c>
      <c r="L13" s="3266">
        <v>44029.333831018521</v>
      </c>
      <c r="M13" s="3263" t="s">
        <v>3575</v>
      </c>
      <c r="N13" s="3263" t="s">
        <v>3621</v>
      </c>
      <c r="O13" s="3263">
        <v>178400</v>
      </c>
      <c r="P13" s="3263">
        <v>89200</v>
      </c>
      <c r="Q13" s="3263">
        <v>241400</v>
      </c>
      <c r="R13" s="3263">
        <v>9252</v>
      </c>
      <c r="S13" s="3263">
        <v>0.35310000000000002</v>
      </c>
    </row>
    <row r="14" spans="2:19">
      <c r="B14" s="3263" t="s">
        <v>3622</v>
      </c>
      <c r="C14" s="3263" t="s">
        <v>3623</v>
      </c>
      <c r="D14" s="3263">
        <v>72984</v>
      </c>
      <c r="E14" s="3263">
        <v>124213.5</v>
      </c>
      <c r="F14" s="3263" t="s">
        <v>3571</v>
      </c>
      <c r="G14" s="3263" t="s">
        <v>3615</v>
      </c>
      <c r="H14" s="3263" t="s">
        <v>3624</v>
      </c>
      <c r="I14" s="3263">
        <v>1.7</v>
      </c>
      <c r="J14" s="3263" t="s">
        <v>3574</v>
      </c>
      <c r="K14" s="3266">
        <v>44029.333831018521</v>
      </c>
      <c r="L14" s="3266">
        <v>44029.333831018521</v>
      </c>
      <c r="M14" s="3263" t="s">
        <v>3575</v>
      </c>
      <c r="N14" s="3263" t="s">
        <v>3625</v>
      </c>
      <c r="O14" s="3263">
        <v>89600</v>
      </c>
      <c r="P14" s="3263">
        <v>44800</v>
      </c>
      <c r="Q14" s="3263">
        <v>105800</v>
      </c>
      <c r="R14" s="3263">
        <v>8518</v>
      </c>
      <c r="S14" s="3263">
        <v>0.18079999999999999</v>
      </c>
    </row>
    <row r="15" spans="2:19">
      <c r="B15" s="3263" t="s">
        <v>3626</v>
      </c>
      <c r="C15" s="3263" t="s">
        <v>3627</v>
      </c>
      <c r="D15" s="3263">
        <v>193892.57</v>
      </c>
      <c r="E15" s="3263">
        <v>432380.43</v>
      </c>
      <c r="F15" s="3263" t="s">
        <v>3571</v>
      </c>
      <c r="G15" s="3263" t="s">
        <v>3615</v>
      </c>
      <c r="H15" s="3263" t="s">
        <v>3628</v>
      </c>
      <c r="I15" s="3263">
        <v>2.23</v>
      </c>
      <c r="J15" s="3263" t="s">
        <v>3574</v>
      </c>
      <c r="K15" s="3266">
        <v>43830.333831018521</v>
      </c>
      <c r="L15" s="3266">
        <v>43830.333831018521</v>
      </c>
      <c r="M15" s="3263" t="s">
        <v>3575</v>
      </c>
      <c r="N15" s="3263" t="s">
        <v>3629</v>
      </c>
      <c r="O15" s="3263">
        <v>312000</v>
      </c>
      <c r="P15" s="3263">
        <v>62400</v>
      </c>
      <c r="Q15" s="3263">
        <v>312000</v>
      </c>
      <c r="R15" s="3263">
        <v>7216</v>
      </c>
      <c r="S15" s="3263">
        <v>0</v>
      </c>
    </row>
    <row r="16" spans="2:19">
      <c r="B16" s="3263" t="s">
        <v>3630</v>
      </c>
      <c r="C16" s="3263" t="s">
        <v>3631</v>
      </c>
      <c r="D16" s="3263">
        <v>94184.01</v>
      </c>
      <c r="E16" s="3263">
        <v>225099.78</v>
      </c>
      <c r="F16" s="3263" t="s">
        <v>3571</v>
      </c>
      <c r="G16" s="3263" t="s">
        <v>3615</v>
      </c>
      <c r="H16" s="3263" t="s">
        <v>3632</v>
      </c>
      <c r="I16" s="3263">
        <v>2.39</v>
      </c>
      <c r="J16" s="3263" t="s">
        <v>3574</v>
      </c>
      <c r="K16" s="3266">
        <v>43825.333831018521</v>
      </c>
      <c r="L16" s="3266">
        <v>43825.333831018521</v>
      </c>
      <c r="M16" s="3263" t="s">
        <v>3575</v>
      </c>
      <c r="N16" s="3263" t="s">
        <v>3633</v>
      </c>
      <c r="O16" s="3263">
        <v>184000</v>
      </c>
      <c r="P16" s="3263">
        <v>92000</v>
      </c>
      <c r="Q16" s="3263">
        <v>184000</v>
      </c>
      <c r="R16" s="3263">
        <v>8174</v>
      </c>
      <c r="S16" s="3263">
        <v>0</v>
      </c>
    </row>
    <row r="17" spans="2:19">
      <c r="B17" s="3263" t="s">
        <v>3634</v>
      </c>
      <c r="C17" s="3263" t="s">
        <v>3635</v>
      </c>
      <c r="D17" s="3263">
        <v>72674.22</v>
      </c>
      <c r="E17" s="3263">
        <v>144621.70000000001</v>
      </c>
      <c r="F17" s="3263" t="s">
        <v>3571</v>
      </c>
      <c r="G17" s="3263" t="s">
        <v>3615</v>
      </c>
      <c r="H17" s="3263" t="s">
        <v>3636</v>
      </c>
      <c r="I17" s="3263">
        <v>1.99</v>
      </c>
      <c r="J17" s="3263" t="s">
        <v>3574</v>
      </c>
      <c r="K17" s="3266">
        <v>43823.333831018521</v>
      </c>
      <c r="L17" s="3266">
        <v>43823.333831018521</v>
      </c>
      <c r="M17" s="3263" t="s">
        <v>3575</v>
      </c>
      <c r="N17" s="3263" t="s">
        <v>3637</v>
      </c>
      <c r="O17" s="3263">
        <v>70600</v>
      </c>
      <c r="P17" s="3263">
        <v>35300</v>
      </c>
      <c r="Q17" s="3263">
        <v>70600</v>
      </c>
      <c r="R17" s="3263">
        <v>4882</v>
      </c>
      <c r="S17" s="3263">
        <v>0</v>
      </c>
    </row>
    <row r="18" spans="2:19">
      <c r="B18" s="3263" t="s">
        <v>3638</v>
      </c>
      <c r="C18" s="3263" t="s">
        <v>3639</v>
      </c>
      <c r="D18" s="3263">
        <v>78084.210000000006</v>
      </c>
      <c r="E18" s="3263">
        <v>218635.79</v>
      </c>
      <c r="F18" s="3263" t="s">
        <v>3571</v>
      </c>
      <c r="G18" s="3263" t="s">
        <v>3615</v>
      </c>
      <c r="H18" s="3263" t="s">
        <v>3640</v>
      </c>
      <c r="I18" s="3263">
        <v>2.8</v>
      </c>
      <c r="J18" s="3263" t="s">
        <v>3574</v>
      </c>
      <c r="K18" s="3266">
        <v>43823.333831018521</v>
      </c>
      <c r="L18" s="3266">
        <v>43823.333831018521</v>
      </c>
      <c r="M18" s="3263" t="s">
        <v>3575</v>
      </c>
      <c r="N18" s="3263" t="s">
        <v>3641</v>
      </c>
      <c r="O18" s="3263">
        <v>63400</v>
      </c>
      <c r="P18" s="3263">
        <v>31700</v>
      </c>
      <c r="Q18" s="3263">
        <v>63400</v>
      </c>
      <c r="R18" s="3263">
        <v>2900</v>
      </c>
      <c r="S18" s="3263">
        <v>0</v>
      </c>
    </row>
    <row r="19" spans="2:19" s="3264" customFormat="1">
      <c r="B19" s="3264" t="s">
        <v>3642</v>
      </c>
      <c r="C19" s="3264" t="s">
        <v>3643</v>
      </c>
      <c r="D19" s="3264">
        <v>72044.5</v>
      </c>
      <c r="E19" s="3264">
        <v>115991.65</v>
      </c>
      <c r="F19" s="3264" t="s">
        <v>3571</v>
      </c>
      <c r="G19" s="3264" t="s">
        <v>3615</v>
      </c>
      <c r="H19" s="3264" t="s">
        <v>3644</v>
      </c>
      <c r="I19" s="3264">
        <v>1.61</v>
      </c>
      <c r="J19" s="3264" t="s">
        <v>3574</v>
      </c>
      <c r="K19" s="3265">
        <v>43803.333831018521</v>
      </c>
      <c r="L19" s="3265">
        <v>43803.333831018521</v>
      </c>
      <c r="M19" s="3264" t="s">
        <v>3575</v>
      </c>
      <c r="N19" s="3264" t="s">
        <v>3633</v>
      </c>
      <c r="O19" s="3264">
        <v>95500</v>
      </c>
      <c r="P19" s="3264">
        <v>47750</v>
      </c>
      <c r="Q19" s="3264">
        <v>106900</v>
      </c>
      <c r="R19" s="3264">
        <v>9216</v>
      </c>
      <c r="S19" s="3264">
        <v>0.11939999999999999</v>
      </c>
    </row>
    <row r="20" spans="2:19" s="3264" customFormat="1">
      <c r="B20" s="3264" t="s">
        <v>3645</v>
      </c>
      <c r="C20" s="3264" t="s">
        <v>3646</v>
      </c>
      <c r="D20" s="3264">
        <v>57312.53</v>
      </c>
      <c r="E20" s="3264">
        <v>90553.8</v>
      </c>
      <c r="F20" s="3264" t="s">
        <v>3571</v>
      </c>
      <c r="G20" s="3264" t="s">
        <v>3615</v>
      </c>
      <c r="H20" s="3264" t="s">
        <v>3620</v>
      </c>
      <c r="I20" s="3264">
        <v>1.58</v>
      </c>
      <c r="J20" s="3264" t="s">
        <v>3574</v>
      </c>
      <c r="K20" s="3265">
        <v>43768.333831018521</v>
      </c>
      <c r="L20" s="3265">
        <v>43768.333831018521</v>
      </c>
      <c r="M20" s="3264" t="s">
        <v>3575</v>
      </c>
      <c r="N20" s="3264" t="s">
        <v>3647</v>
      </c>
      <c r="O20" s="3264">
        <v>92100</v>
      </c>
      <c r="P20" s="3264">
        <v>46050</v>
      </c>
      <c r="Q20" s="3264">
        <v>117131.34</v>
      </c>
      <c r="R20" s="3264">
        <v>12935</v>
      </c>
      <c r="S20" s="3264">
        <v>0.27179999999999999</v>
      </c>
    </row>
    <row r="21" spans="2:19">
      <c r="B21" s="3263" t="s">
        <v>3648</v>
      </c>
      <c r="C21" s="3263" t="s">
        <v>3649</v>
      </c>
      <c r="D21" s="3263">
        <v>174003.6</v>
      </c>
      <c r="E21" s="3263">
        <v>224464.6</v>
      </c>
      <c r="F21" s="3263" t="s">
        <v>3571</v>
      </c>
      <c r="G21" s="3263" t="s">
        <v>3615</v>
      </c>
      <c r="H21" s="3263" t="s">
        <v>3650</v>
      </c>
      <c r="I21" s="3263">
        <v>1.29</v>
      </c>
      <c r="J21" s="3263" t="s">
        <v>3574</v>
      </c>
      <c r="K21" s="3266">
        <v>43553.333831018521</v>
      </c>
      <c r="L21" s="3266">
        <v>43553.333831018521</v>
      </c>
      <c r="M21" s="3263" t="s">
        <v>3575</v>
      </c>
      <c r="N21" s="3263" t="s">
        <v>3651</v>
      </c>
      <c r="O21" s="3263">
        <v>194500</v>
      </c>
      <c r="P21" s="3263">
        <v>97250</v>
      </c>
      <c r="Q21" s="3263">
        <v>272500</v>
      </c>
      <c r="R21" s="3263">
        <v>12140</v>
      </c>
      <c r="S21" s="3263">
        <v>0.40100000000000002</v>
      </c>
    </row>
    <row r="22" spans="2:19" s="3264" customFormat="1">
      <c r="B22" s="3264" t="s">
        <v>3652</v>
      </c>
      <c r="C22" s="3264" t="s">
        <v>3653</v>
      </c>
      <c r="D22" s="3264">
        <v>24748.01</v>
      </c>
      <c r="E22" s="3264">
        <v>49496.02</v>
      </c>
      <c r="F22" s="3264" t="s">
        <v>3571</v>
      </c>
      <c r="G22" s="3264" t="s">
        <v>3615</v>
      </c>
      <c r="H22" s="3264" t="s">
        <v>3654</v>
      </c>
      <c r="I22" s="3264">
        <v>2</v>
      </c>
      <c r="J22" s="3264" t="s">
        <v>3574</v>
      </c>
      <c r="K22" s="3265">
        <v>43553.333831018521</v>
      </c>
      <c r="L22" s="3265">
        <v>43553.333831018521</v>
      </c>
      <c r="M22" s="3264" t="s">
        <v>3575</v>
      </c>
      <c r="N22" s="3264" t="s">
        <v>3655</v>
      </c>
      <c r="O22" s="3264">
        <v>57800</v>
      </c>
      <c r="P22" s="3264">
        <v>28900</v>
      </c>
      <c r="Q22" s="3264">
        <v>86000</v>
      </c>
      <c r="R22" s="3264">
        <v>17375</v>
      </c>
      <c r="S22" s="3264">
        <v>0.4879</v>
      </c>
    </row>
    <row r="23" spans="2:19">
      <c r="B23" s="3263" t="s">
        <v>3656</v>
      </c>
      <c r="C23" s="3263" t="s">
        <v>3657</v>
      </c>
      <c r="D23" s="3263">
        <v>80447.289999999994</v>
      </c>
      <c r="E23" s="3263">
        <v>121475.4</v>
      </c>
      <c r="F23" s="3263" t="s">
        <v>3571</v>
      </c>
      <c r="G23" s="3263" t="s">
        <v>3615</v>
      </c>
      <c r="H23" s="3263" t="s">
        <v>3658</v>
      </c>
      <c r="I23" s="3263">
        <v>1.51</v>
      </c>
      <c r="J23" s="3263" t="s">
        <v>3574</v>
      </c>
      <c r="K23" s="3266">
        <v>43552.333831018521</v>
      </c>
      <c r="L23" s="3266">
        <v>43552.333831018521</v>
      </c>
      <c r="M23" s="3263" t="s">
        <v>3575</v>
      </c>
      <c r="N23" s="3263" t="s">
        <v>3659</v>
      </c>
      <c r="O23" s="3263">
        <v>36700</v>
      </c>
      <c r="P23" s="3263">
        <v>18300</v>
      </c>
      <c r="Q23" s="3263">
        <v>36700</v>
      </c>
      <c r="R23" s="3263">
        <v>3021</v>
      </c>
      <c r="S23" s="3263">
        <v>0</v>
      </c>
    </row>
    <row r="24" spans="2:19">
      <c r="B24" s="3263" t="s">
        <v>3660</v>
      </c>
      <c r="C24" s="3263" t="s">
        <v>3661</v>
      </c>
      <c r="D24" s="3263">
        <v>70292.13</v>
      </c>
      <c r="E24" s="3263">
        <v>160266.1</v>
      </c>
      <c r="F24" s="3263" t="s">
        <v>3571</v>
      </c>
      <c r="G24" s="3263" t="s">
        <v>3662</v>
      </c>
      <c r="H24" s="3263" t="s">
        <v>3663</v>
      </c>
      <c r="I24" s="3263">
        <v>2.2799999999999998</v>
      </c>
      <c r="J24" s="3263" t="s">
        <v>3574</v>
      </c>
      <c r="K24" s="3266">
        <v>43040.333831018521</v>
      </c>
      <c r="L24" s="3266">
        <v>43040.333831018521</v>
      </c>
      <c r="M24" s="3263" t="s">
        <v>3575</v>
      </c>
      <c r="N24" s="3263" t="s">
        <v>3664</v>
      </c>
      <c r="O24" s="3263">
        <v>16024.25</v>
      </c>
      <c r="P24" s="3263">
        <v>8000</v>
      </c>
      <c r="Q24" s="3263">
        <v>16024.25</v>
      </c>
      <c r="R24" s="3263">
        <v>1000</v>
      </c>
      <c r="S24" s="3263">
        <v>0</v>
      </c>
    </row>
    <row r="25" spans="2:19">
      <c r="B25" s="3263" t="s">
        <v>3665</v>
      </c>
      <c r="C25" s="3263" t="s">
        <v>3666</v>
      </c>
      <c r="D25" s="3263">
        <v>30811.759999999998</v>
      </c>
      <c r="E25" s="3263">
        <v>77029.399999999994</v>
      </c>
      <c r="F25" s="3263" t="s">
        <v>3571</v>
      </c>
      <c r="G25" s="3263" t="s">
        <v>3667</v>
      </c>
      <c r="H25" s="3263" t="s">
        <v>3668</v>
      </c>
      <c r="I25" s="3263">
        <v>2.5</v>
      </c>
      <c r="J25" s="3263" t="s">
        <v>3574</v>
      </c>
      <c r="K25" s="3266">
        <v>42845.333831018521</v>
      </c>
      <c r="L25" s="3266">
        <v>42845.333831018521</v>
      </c>
      <c r="M25" s="3263" t="s">
        <v>3575</v>
      </c>
      <c r="N25" s="3263" t="s">
        <v>3669</v>
      </c>
      <c r="O25" s="3263">
        <v>30811.759999999998</v>
      </c>
      <c r="P25" s="3263">
        <v>15400</v>
      </c>
      <c r="Q25" s="3263">
        <v>43445</v>
      </c>
      <c r="R25" s="3263">
        <v>5640</v>
      </c>
      <c r="S25" s="3263">
        <v>0.41</v>
      </c>
    </row>
    <row r="26" spans="2:19">
      <c r="B26" s="3263" t="s">
        <v>3670</v>
      </c>
      <c r="C26" s="3263" t="s">
        <v>3671</v>
      </c>
      <c r="D26" s="3263">
        <v>47530.25</v>
      </c>
      <c r="E26" s="3263">
        <v>118825.60000000001</v>
      </c>
      <c r="F26" s="3263" t="s">
        <v>3571</v>
      </c>
      <c r="G26" s="3263" t="s">
        <v>3667</v>
      </c>
      <c r="H26" s="3263" t="s">
        <v>3668</v>
      </c>
      <c r="I26" s="3263">
        <v>2.5</v>
      </c>
      <c r="J26" s="3263" t="s">
        <v>3574</v>
      </c>
      <c r="K26" s="3266">
        <v>42845.333831018521</v>
      </c>
      <c r="L26" s="3266">
        <v>42845.333831018521</v>
      </c>
      <c r="M26" s="3263" t="s">
        <v>3575</v>
      </c>
      <c r="N26" s="3263" t="s">
        <v>3672</v>
      </c>
      <c r="O26" s="3263">
        <v>47530.239999999998</v>
      </c>
      <c r="P26" s="3263">
        <v>23700</v>
      </c>
      <c r="Q26" s="3263">
        <v>68918.87</v>
      </c>
      <c r="R26" s="3263">
        <v>5800</v>
      </c>
      <c r="S26" s="3263">
        <v>0.45</v>
      </c>
    </row>
    <row r="27" spans="2:19">
      <c r="B27" s="3263" t="s">
        <v>3673</v>
      </c>
      <c r="C27" s="3263" t="s">
        <v>3674</v>
      </c>
      <c r="D27" s="3263">
        <v>10168.56</v>
      </c>
      <c r="E27" s="3263">
        <v>15252.84</v>
      </c>
      <c r="F27" s="3263" t="s">
        <v>3571</v>
      </c>
      <c r="G27" s="3263" t="s">
        <v>3675</v>
      </c>
      <c r="H27" s="3263" t="s">
        <v>3676</v>
      </c>
      <c r="I27" s="3263">
        <v>1.5</v>
      </c>
      <c r="J27" s="3263" t="s">
        <v>3574</v>
      </c>
      <c r="K27" s="3266">
        <v>42816.333831018521</v>
      </c>
      <c r="L27" s="3266">
        <v>42816.333831018521</v>
      </c>
      <c r="M27" s="3263" t="s">
        <v>3575</v>
      </c>
      <c r="N27" s="3263" t="s">
        <v>3677</v>
      </c>
      <c r="O27" s="3263">
        <v>1982.87</v>
      </c>
      <c r="P27" s="3263">
        <v>990</v>
      </c>
      <c r="Q27" s="3263">
        <v>1982.87</v>
      </c>
      <c r="R27" s="3263">
        <v>1300</v>
      </c>
      <c r="S27" s="3263">
        <v>0</v>
      </c>
    </row>
    <row r="28" spans="2:19" s="3264" customFormat="1">
      <c r="B28" s="3264" t="s">
        <v>3678</v>
      </c>
      <c r="C28" s="3264" t="s">
        <v>3679</v>
      </c>
      <c r="D28" s="3264">
        <v>78570.17</v>
      </c>
      <c r="E28" s="3264">
        <v>175320</v>
      </c>
      <c r="F28" s="3264" t="s">
        <v>3571</v>
      </c>
      <c r="G28" s="3264" t="s">
        <v>3680</v>
      </c>
      <c r="H28" s="3264" t="s">
        <v>3681</v>
      </c>
      <c r="I28" s="3264">
        <v>2.23</v>
      </c>
      <c r="J28" s="3264" t="s">
        <v>3574</v>
      </c>
      <c r="K28" s="3265">
        <v>42566.333831018521</v>
      </c>
      <c r="L28" s="3265">
        <v>42566.333831018521</v>
      </c>
      <c r="M28" s="3264" t="s">
        <v>3575</v>
      </c>
      <c r="N28" s="3264" t="s">
        <v>3682</v>
      </c>
      <c r="O28" s="3264">
        <v>69251.399999999994</v>
      </c>
      <c r="P28" s="3264">
        <v>21000</v>
      </c>
      <c r="Q28" s="3264">
        <v>333984.59999999998</v>
      </c>
      <c r="R28" s="3264">
        <v>19050</v>
      </c>
      <c r="S28" s="3264">
        <v>3.8227999999999995</v>
      </c>
    </row>
    <row r="29" spans="2:19" s="3264" customFormat="1">
      <c r="B29" s="3264" t="s">
        <v>3683</v>
      </c>
      <c r="C29" s="3264" t="s">
        <v>3684</v>
      </c>
      <c r="D29" s="3264">
        <v>49467.83</v>
      </c>
      <c r="E29" s="3264">
        <v>148403.5</v>
      </c>
      <c r="F29" s="3264" t="s">
        <v>3571</v>
      </c>
      <c r="G29" s="3264" t="s">
        <v>3685</v>
      </c>
      <c r="H29" s="3264" t="s">
        <v>3686</v>
      </c>
      <c r="I29" s="3264">
        <v>3</v>
      </c>
      <c r="J29" s="3264" t="s">
        <v>3574</v>
      </c>
      <c r="K29" s="3265">
        <v>42397.333831018521</v>
      </c>
      <c r="L29" s="3265">
        <v>42397.333831018521</v>
      </c>
      <c r="M29" s="3264" t="s">
        <v>3575</v>
      </c>
      <c r="N29" s="3264" t="s">
        <v>3687</v>
      </c>
      <c r="O29" s="3264">
        <v>53425.26</v>
      </c>
      <c r="P29" s="3264">
        <v>16000</v>
      </c>
      <c r="Q29" s="3264">
        <v>99754.41</v>
      </c>
      <c r="R29" s="3264">
        <v>6722</v>
      </c>
      <c r="S29" s="3264">
        <v>0.86719999999999997</v>
      </c>
    </row>
    <row r="30" spans="2:19">
      <c r="B30" s="3263" t="s">
        <v>3688</v>
      </c>
      <c r="C30" s="3263" t="s">
        <v>3689</v>
      </c>
      <c r="D30" s="3263">
        <v>5745.9</v>
      </c>
      <c r="E30" s="3263">
        <v>11491.8</v>
      </c>
      <c r="F30" s="3263" t="s">
        <v>3571</v>
      </c>
      <c r="G30" s="3263" t="s">
        <v>3690</v>
      </c>
      <c r="H30" s="3263" t="s">
        <v>3691</v>
      </c>
      <c r="I30" s="3263">
        <v>2</v>
      </c>
      <c r="J30" s="3263" t="s">
        <v>3574</v>
      </c>
      <c r="K30" s="3266">
        <v>41530.333831018521</v>
      </c>
      <c r="L30" s="3266">
        <v>41530.333831018521</v>
      </c>
      <c r="M30" s="3263" t="s">
        <v>3575</v>
      </c>
      <c r="N30" s="3263" t="s">
        <v>3692</v>
      </c>
      <c r="O30" s="3263">
        <v>2643</v>
      </c>
      <c r="P30" s="3263">
        <v>800</v>
      </c>
      <c r="Q30" s="3263">
        <v>4366.88</v>
      </c>
      <c r="R30" s="3263">
        <v>3800</v>
      </c>
      <c r="S30" s="3263">
        <v>0.6522</v>
      </c>
    </row>
    <row r="31" spans="2:19">
      <c r="B31" s="3263" t="s">
        <v>3693</v>
      </c>
      <c r="C31" s="3263" t="s">
        <v>3694</v>
      </c>
      <c r="D31" s="3263">
        <v>157363.1</v>
      </c>
      <c r="E31" s="3263">
        <v>158936.79999999999</v>
      </c>
      <c r="F31" s="3263" t="s">
        <v>3571</v>
      </c>
      <c r="G31" s="3263" t="s">
        <v>3695</v>
      </c>
      <c r="H31" s="3263" t="s">
        <v>3696</v>
      </c>
      <c r="I31" s="3263">
        <v>1.01</v>
      </c>
      <c r="J31" s="3263" t="s">
        <v>3574</v>
      </c>
      <c r="K31" s="3266">
        <v>41471.333831018521</v>
      </c>
      <c r="L31" s="3266">
        <v>41471.333831018521</v>
      </c>
      <c r="M31" s="3263" t="s">
        <v>3575</v>
      </c>
      <c r="N31" s="3263" t="s">
        <v>3697</v>
      </c>
      <c r="O31" s="3263">
        <v>15736</v>
      </c>
      <c r="P31" s="3263">
        <v>7800</v>
      </c>
      <c r="Q31" s="3263">
        <v>15893.68</v>
      </c>
      <c r="R31" s="3263">
        <v>1000</v>
      </c>
      <c r="S31" s="3263">
        <v>0.01</v>
      </c>
    </row>
    <row r="32" spans="2:19">
      <c r="B32" s="3263" t="s">
        <v>3693</v>
      </c>
      <c r="C32" s="3263" t="s">
        <v>3698</v>
      </c>
      <c r="D32" s="3263">
        <v>94914.32</v>
      </c>
      <c r="E32" s="3263">
        <v>104405.8</v>
      </c>
      <c r="F32" s="3263" t="s">
        <v>3571</v>
      </c>
      <c r="G32" s="3263" t="s">
        <v>3695</v>
      </c>
      <c r="H32" s="3263" t="s">
        <v>3699</v>
      </c>
      <c r="I32" s="3263">
        <v>1.1000000000000001</v>
      </c>
      <c r="J32" s="3263" t="s">
        <v>3574</v>
      </c>
      <c r="K32" s="3266">
        <v>41471.333831018521</v>
      </c>
      <c r="L32" s="3266">
        <v>41471.333831018521</v>
      </c>
      <c r="M32" s="3263" t="s">
        <v>3575</v>
      </c>
      <c r="N32" s="3263" t="s">
        <v>3697</v>
      </c>
      <c r="O32" s="3263">
        <v>9491</v>
      </c>
      <c r="P32" s="3263">
        <v>4700</v>
      </c>
      <c r="Q32" s="3263">
        <v>10440.58</v>
      </c>
      <c r="R32" s="3263">
        <v>1000</v>
      </c>
      <c r="S32" s="3263">
        <v>0.10009999999999999</v>
      </c>
    </row>
    <row r="33" spans="2:19" s="3264" customFormat="1">
      <c r="B33" s="3264" t="s">
        <v>3700</v>
      </c>
      <c r="C33" s="3264" t="s">
        <v>3701</v>
      </c>
      <c r="D33" s="3264">
        <v>88439.7</v>
      </c>
      <c r="E33" s="3264">
        <v>159191.5</v>
      </c>
      <c r="F33" s="3264" t="s">
        <v>3571</v>
      </c>
      <c r="G33" s="3264" t="s">
        <v>3690</v>
      </c>
      <c r="H33" s="3264" t="s">
        <v>3702</v>
      </c>
      <c r="I33" s="3264">
        <v>1.8</v>
      </c>
      <c r="J33" s="3264" t="s">
        <v>3574</v>
      </c>
      <c r="K33" s="3265">
        <v>41347.333831018521</v>
      </c>
      <c r="L33" s="3265">
        <v>41347.333831018521</v>
      </c>
      <c r="M33" s="3264" t="s">
        <v>3575</v>
      </c>
      <c r="N33" s="3264" t="s">
        <v>3703</v>
      </c>
      <c r="O33" s="3264">
        <v>15919</v>
      </c>
      <c r="P33" s="3264">
        <v>8600</v>
      </c>
      <c r="Q33" s="3264">
        <v>42026.55</v>
      </c>
      <c r="R33" s="3264">
        <v>2640</v>
      </c>
      <c r="S33" s="3264">
        <v>1.64</v>
      </c>
    </row>
    <row r="34" spans="2:19">
      <c r="B34" s="3263" t="s">
        <v>3704</v>
      </c>
      <c r="C34" s="3263" t="s">
        <v>3705</v>
      </c>
      <c r="D34" s="3263">
        <v>51080.800000000003</v>
      </c>
      <c r="E34" s="3263">
        <v>127702</v>
      </c>
      <c r="F34" s="3263" t="s">
        <v>3571</v>
      </c>
      <c r="G34" s="3263" t="s">
        <v>3690</v>
      </c>
      <c r="H34" s="3263" t="s">
        <v>3706</v>
      </c>
      <c r="I34" s="3263">
        <v>2.5</v>
      </c>
      <c r="J34" s="3263" t="s">
        <v>3574</v>
      </c>
      <c r="K34" s="3266">
        <v>41207.333831018521</v>
      </c>
      <c r="L34" s="3266">
        <v>41207.333831018521</v>
      </c>
      <c r="M34" s="3263" t="s">
        <v>3575</v>
      </c>
      <c r="N34" s="3263" t="s">
        <v>3707</v>
      </c>
      <c r="O34" s="3263">
        <v>22986.36</v>
      </c>
      <c r="P34" s="3263">
        <v>12000</v>
      </c>
      <c r="Q34" s="3263">
        <v>38566</v>
      </c>
      <c r="R34" s="3263">
        <v>3020</v>
      </c>
      <c r="S34" s="3263">
        <v>0.67779999999999996</v>
      </c>
    </row>
    <row r="35" spans="2:19">
      <c r="B35" s="3263" t="s">
        <v>3708</v>
      </c>
      <c r="C35" s="3263" t="s">
        <v>3709</v>
      </c>
      <c r="D35" s="3263">
        <v>39171.5</v>
      </c>
      <c r="E35" s="3263">
        <v>97928.75</v>
      </c>
      <c r="F35" s="3263" t="s">
        <v>3571</v>
      </c>
      <c r="G35" s="3263" t="s">
        <v>3690</v>
      </c>
      <c r="H35" s="3263" t="s">
        <v>3706</v>
      </c>
      <c r="I35" s="3263">
        <v>2.5</v>
      </c>
      <c r="J35" s="3263" t="s">
        <v>3574</v>
      </c>
      <c r="K35" s="3266">
        <v>41205.333831018521</v>
      </c>
      <c r="L35" s="3266">
        <v>41205.333831018521</v>
      </c>
      <c r="M35" s="3263" t="s">
        <v>3575</v>
      </c>
      <c r="N35" s="3263" t="s">
        <v>3710</v>
      </c>
      <c r="O35" s="3263">
        <v>11751.45</v>
      </c>
      <c r="P35" s="3263">
        <v>3600</v>
      </c>
      <c r="Q35" s="3263">
        <v>11751.45</v>
      </c>
      <c r="R35" s="3263">
        <v>1200</v>
      </c>
      <c r="S35" s="3263">
        <v>0</v>
      </c>
    </row>
    <row r="36" spans="2:19">
      <c r="B36" s="3263" t="s">
        <v>3708</v>
      </c>
      <c r="C36" s="3263" t="s">
        <v>3711</v>
      </c>
      <c r="D36" s="3263">
        <v>42221.2</v>
      </c>
      <c r="E36" s="3263">
        <v>105553</v>
      </c>
      <c r="F36" s="3263" t="s">
        <v>3571</v>
      </c>
      <c r="G36" s="3263" t="s">
        <v>3690</v>
      </c>
      <c r="H36" s="3263" t="s">
        <v>3706</v>
      </c>
      <c r="I36" s="3263">
        <v>2.5</v>
      </c>
      <c r="J36" s="3263" t="s">
        <v>3574</v>
      </c>
      <c r="K36" s="3266">
        <v>41205.333831018521</v>
      </c>
      <c r="L36" s="3266">
        <v>41205.333831018521</v>
      </c>
      <c r="M36" s="3263" t="s">
        <v>3575</v>
      </c>
      <c r="N36" s="3263" t="s">
        <v>3710</v>
      </c>
      <c r="O36" s="3263">
        <v>12666.36</v>
      </c>
      <c r="P36" s="3263">
        <v>3800</v>
      </c>
      <c r="Q36" s="3263">
        <v>12666.36</v>
      </c>
      <c r="R36" s="3263">
        <v>1200</v>
      </c>
      <c r="S36" s="3263">
        <v>0</v>
      </c>
    </row>
  </sheetData>
  <phoneticPr fontId="136" type="noConversion"/>
  <pageMargins left="0.7" right="0.7" top="0.75" bottom="0.75" header="0.3" footer="0.3"/>
  <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dimension ref="E1:R4"/>
  <sheetViews>
    <sheetView workbookViewId="0">
      <selection activeCell="E57" sqref="E57"/>
    </sheetView>
  </sheetViews>
  <sheetFormatPr defaultRowHeight="13.5"/>
  <cols>
    <col min="5" max="5" width="25.75" bestFit="1" customWidth="1"/>
  </cols>
  <sheetData>
    <row r="1" spans="5:18">
      <c r="P1" s="1405" t="s">
        <v>3493</v>
      </c>
      <c r="R1" s="3240" t="s">
        <v>3492</v>
      </c>
    </row>
    <row r="2" spans="5:18">
      <c r="E2" s="1405" t="s">
        <v>3489</v>
      </c>
      <c r="F2" s="3240" t="s">
        <v>3486</v>
      </c>
      <c r="I2">
        <v>120</v>
      </c>
      <c r="P2" s="1405" t="s">
        <v>3491</v>
      </c>
      <c r="R2" s="3240" t="s">
        <v>3490</v>
      </c>
    </row>
    <row r="3" spans="5:18">
      <c r="E3" s="1405" t="s">
        <v>3487</v>
      </c>
      <c r="F3" s="3240" t="s">
        <v>3486</v>
      </c>
      <c r="I3">
        <v>143</v>
      </c>
      <c r="P3" s="1405" t="s">
        <v>3715</v>
      </c>
      <c r="R3" s="3240" t="s">
        <v>3714</v>
      </c>
    </row>
    <row r="4" spans="5:18">
      <c r="E4" s="1405" t="s">
        <v>3488</v>
      </c>
      <c r="F4" s="3240" t="s">
        <v>3486</v>
      </c>
      <c r="I4">
        <v>143</v>
      </c>
    </row>
  </sheetData>
  <phoneticPr fontId="136" type="noConversion"/>
  <hyperlinks>
    <hyperlink ref="F3" r:id="rId1" display="https://zjj.zhuhai.gov.cn/zjj/zwgk/tzgg/content/post_3399897.html" xr:uid="{00000000-0004-0000-3900-000000000000}"/>
    <hyperlink ref="F4" r:id="rId2" display="https://zjj.zhuhai.gov.cn/zjj/zwgk/tzgg/content/post_3585955.html" xr:uid="{00000000-0004-0000-3900-000001000000}"/>
    <hyperlink ref="F2" r:id="rId3" display="https://zjj.zhuhai.gov.cn/zjj/zwgk/tzgg/content/post_3399604.html" xr:uid="{00000000-0004-0000-3900-000002000000}"/>
    <hyperlink ref="R2" r:id="rId4" location="142" display="https://zrzyj.zhuhai.gov.cn/gkmlpt/content/3/3678/post_3678030.html - 142" xr:uid="{00000000-0004-0000-3900-000003000000}"/>
    <hyperlink ref="R1" r:id="rId5" location="6232" display="https://zrzyj.zhuhai.gov.cn/gkmlpt/content/3/3013/post_3013162.html - 6232" xr:uid="{00000000-0004-0000-3900-000004000000}"/>
    <hyperlink ref="R3" r:id="rId6" display="https://baijiahao.baidu.com/s?id=1676314638647064781&amp;wfr=spider&amp;for=pc" xr:uid="{00000000-0004-0000-3900-000005000000}"/>
  </hyperlinks>
  <pageMargins left="0.7" right="0.7" top="0.75" bottom="0.75" header="0.3" footer="0.3"/>
  <drawing r:id="rId7"/>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dimension ref="A1:T831"/>
  <sheetViews>
    <sheetView zoomScaleNormal="100" workbookViewId="0">
      <pane xSplit="4" ySplit="1" topLeftCell="M2" activePane="bottomRight" state="frozen"/>
      <selection activeCell="P45" sqref="P45"/>
      <selection pane="topRight" activeCell="P45" sqref="P45"/>
      <selection pane="bottomLeft" activeCell="P45" sqref="P45"/>
      <selection pane="bottomRight" activeCell="P45" sqref="P45"/>
    </sheetView>
  </sheetViews>
  <sheetFormatPr defaultColWidth="9" defaultRowHeight="13.5"/>
  <cols>
    <col min="1" max="1" width="4.875" style="3213" customWidth="1"/>
    <col min="2" max="2" width="6.5" style="3213" customWidth="1"/>
    <col min="3" max="3" width="23.625" style="3213" bestFit="1" customWidth="1"/>
    <col min="4" max="4" width="19.25" style="3213" bestFit="1" customWidth="1"/>
    <col min="5" max="5" width="11.875" style="3213" customWidth="1"/>
    <col min="6" max="6" width="11.375" style="3213" bestFit="1" customWidth="1"/>
    <col min="7" max="7" width="9.375" style="3225" bestFit="1" customWidth="1"/>
    <col min="8" max="8" width="13.25" style="3233" bestFit="1" customWidth="1"/>
    <col min="9" max="10" width="12.5" style="3213" bestFit="1" customWidth="1"/>
    <col min="11" max="11" width="12.125" style="3213" customWidth="1"/>
    <col min="12" max="12" width="15.5" style="3234" bestFit="1" customWidth="1"/>
    <col min="13" max="13" width="16.625" style="3213" bestFit="1" customWidth="1"/>
    <col min="14" max="14" width="16.625" style="3235" customWidth="1"/>
    <col min="15" max="15" width="3.875" style="3235" customWidth="1"/>
    <col min="16" max="16" width="11.625" style="3213" bestFit="1" customWidth="1"/>
    <col min="17" max="17" width="9.375" style="3226" bestFit="1" customWidth="1"/>
    <col min="18" max="18" width="9.25" style="3227" bestFit="1" customWidth="1"/>
    <col min="19" max="19" width="9" style="3213"/>
    <col min="20" max="20" width="9" style="3228"/>
    <col min="21" max="16384" width="9" style="3213"/>
  </cols>
  <sheetData>
    <row r="1" spans="1:20">
      <c r="A1" s="3207" t="s">
        <v>3442</v>
      </c>
      <c r="B1" s="3207" t="s">
        <v>3443</v>
      </c>
      <c r="C1" s="3207" t="s">
        <v>3444</v>
      </c>
      <c r="D1" s="3236" t="s">
        <v>3445</v>
      </c>
      <c r="E1" s="3207" t="s">
        <v>3446</v>
      </c>
      <c r="F1" s="3207" t="s">
        <v>3447</v>
      </c>
      <c r="G1" s="3208" t="s">
        <v>3416</v>
      </c>
      <c r="H1" s="3230" t="s">
        <v>3448</v>
      </c>
      <c r="I1" s="3207" t="s">
        <v>3449</v>
      </c>
      <c r="J1" s="3207" t="s">
        <v>3450</v>
      </c>
      <c r="K1" s="3207" t="s">
        <v>3451</v>
      </c>
      <c r="L1" s="3231" t="s">
        <v>3452</v>
      </c>
      <c r="M1" s="3207" t="s">
        <v>3453</v>
      </c>
      <c r="N1" s="3232" t="s">
        <v>3454</v>
      </c>
      <c r="O1" s="3209" t="s">
        <v>3455</v>
      </c>
      <c r="P1" s="3207" t="s">
        <v>3456</v>
      </c>
      <c r="Q1" s="3210" t="s">
        <v>3457</v>
      </c>
      <c r="R1" s="3211" t="s">
        <v>3458</v>
      </c>
      <c r="S1" s="3207" t="s">
        <v>3459</v>
      </c>
      <c r="T1" s="3212" t="s">
        <v>3460</v>
      </c>
    </row>
    <row r="2" spans="1:20" s="3225" customFormat="1">
      <c r="A2" s="3208">
        <v>1</v>
      </c>
      <c r="B2" s="3208" t="s">
        <v>3461</v>
      </c>
      <c r="C2" s="3208" t="s">
        <v>3462</v>
      </c>
      <c r="D2" s="3221">
        <v>98</v>
      </c>
      <c r="E2" s="3222"/>
      <c r="F2" s="3222">
        <v>23</v>
      </c>
      <c r="G2" s="3208">
        <v>122.87</v>
      </c>
      <c r="H2" s="3208"/>
      <c r="I2" s="3208">
        <v>123.31</v>
      </c>
      <c r="J2" s="3208">
        <v>70.760000000000005</v>
      </c>
      <c r="K2" s="3208"/>
      <c r="L2" s="3208">
        <f>I2+J2</f>
        <v>194.07</v>
      </c>
      <c r="M2" s="3208">
        <v>253.4</v>
      </c>
      <c r="N2" s="3208">
        <f>I2+J2+M2</f>
        <v>447.47</v>
      </c>
      <c r="O2" s="3237">
        <v>44487</v>
      </c>
      <c r="P2" s="3238">
        <f>VLOOKUP(D2,房源表及成交价!D:R,13,0)</f>
        <v>44487</v>
      </c>
      <c r="Q2" s="3239">
        <f>VLOOKUP(D2,房源表及成交价!D:R,14,0)</f>
        <v>44528</v>
      </c>
      <c r="R2" s="3223">
        <f t="shared" ref="R2:R14" si="0">Q2/N2*10000</f>
        <v>995105.81714975298</v>
      </c>
      <c r="S2" s="3208" t="s">
        <v>3463</v>
      </c>
      <c r="T2" s="3224"/>
    </row>
    <row r="3" spans="1:20" s="3225" customFormat="1">
      <c r="A3" s="3208">
        <v>2</v>
      </c>
      <c r="B3" s="3208" t="s">
        <v>3461</v>
      </c>
      <c r="C3" s="3208" t="s">
        <v>3462</v>
      </c>
      <c r="D3" s="3221">
        <v>87</v>
      </c>
      <c r="E3" s="3222"/>
      <c r="F3" s="3222">
        <v>32</v>
      </c>
      <c r="G3" s="3218">
        <v>122.87</v>
      </c>
      <c r="H3" s="3208"/>
      <c r="I3" s="3208">
        <v>123.31</v>
      </c>
      <c r="J3" s="3208">
        <v>70.760000000000005</v>
      </c>
      <c r="K3" s="3208"/>
      <c r="L3" s="3208">
        <f>I3+J3</f>
        <v>194.07</v>
      </c>
      <c r="M3" s="3208">
        <v>205.8</v>
      </c>
      <c r="N3" s="3208">
        <f>I3+J3+M3</f>
        <v>399.87</v>
      </c>
      <c r="O3" s="3237">
        <v>44526</v>
      </c>
      <c r="P3" s="3238">
        <f>VLOOKUP(D3,房源表及成交价!D:R,13,0)</f>
        <v>44526</v>
      </c>
      <c r="Q3" s="3239">
        <f>VLOOKUP(D3,房源表及成交价!D:R,14,0)</f>
        <v>44783</v>
      </c>
      <c r="R3" s="3223">
        <f t="shared" si="0"/>
        <v>1119938.9801685549</v>
      </c>
      <c r="S3" s="3208" t="s">
        <v>3463</v>
      </c>
      <c r="T3" s="3224"/>
    </row>
    <row r="4" spans="1:20" s="3225" customFormat="1">
      <c r="A4" s="3208">
        <v>3</v>
      </c>
      <c r="B4" s="3208" t="s">
        <v>3461</v>
      </c>
      <c r="C4" s="3208" t="s">
        <v>3462</v>
      </c>
      <c r="D4" s="3221">
        <v>107</v>
      </c>
      <c r="E4" s="3222"/>
      <c r="F4" s="3208">
        <v>18</v>
      </c>
      <c r="G4" s="3220">
        <v>122.87</v>
      </c>
      <c r="H4" s="3208"/>
      <c r="I4" s="3208">
        <v>123.31</v>
      </c>
      <c r="J4" s="3208">
        <v>70.760000000000005</v>
      </c>
      <c r="K4" s="3208"/>
      <c r="L4" s="3208">
        <f>I4+J4+K4</f>
        <v>194.07</v>
      </c>
      <c r="M4" s="3208">
        <v>253.4</v>
      </c>
      <c r="N4" s="3208">
        <f>I4+J4+M4+K4</f>
        <v>447.47</v>
      </c>
      <c r="O4" s="3237">
        <v>44487</v>
      </c>
      <c r="P4" s="3238">
        <f>VLOOKUP(D4,房源表及成交价!D:R,13,0)</f>
        <v>44487</v>
      </c>
      <c r="Q4" s="3239">
        <f>VLOOKUP(D4,房源表及成交价!D:R,14,0)</f>
        <v>44792</v>
      </c>
      <c r="R4" s="3223">
        <f t="shared" si="0"/>
        <v>1001005.6540103247</v>
      </c>
      <c r="S4" s="3208" t="s">
        <v>3463</v>
      </c>
      <c r="T4" s="3224"/>
    </row>
    <row r="5" spans="1:20" s="3225" customFormat="1">
      <c r="A5" s="3208">
        <v>4</v>
      </c>
      <c r="B5" s="3208" t="s">
        <v>3461</v>
      </c>
      <c r="C5" s="3208" t="s">
        <v>3462</v>
      </c>
      <c r="D5" s="3221">
        <v>111</v>
      </c>
      <c r="E5" s="3222"/>
      <c r="F5" s="3208">
        <v>16</v>
      </c>
      <c r="G5" s="3218">
        <v>122.87</v>
      </c>
      <c r="H5" s="3208"/>
      <c r="I5" s="3208">
        <v>123.31</v>
      </c>
      <c r="J5" s="3208">
        <v>70.760000000000005</v>
      </c>
      <c r="K5" s="3208"/>
      <c r="L5" s="3208">
        <f>I5+J5</f>
        <v>194.07</v>
      </c>
      <c r="M5" s="3208">
        <v>266.26</v>
      </c>
      <c r="N5" s="3208">
        <f>I5+J5+M5</f>
        <v>460.33</v>
      </c>
      <c r="O5" s="3237">
        <v>44487</v>
      </c>
      <c r="P5" s="3238">
        <f>VLOOKUP(D5,房源表及成交价!D:R,13,0)</f>
        <v>44487</v>
      </c>
      <c r="Q5" s="3239">
        <f>VLOOKUP(D5,房源表及成交价!D:R,14,0)</f>
        <v>44891</v>
      </c>
      <c r="R5" s="3223">
        <f t="shared" si="0"/>
        <v>975191.71029478859</v>
      </c>
      <c r="S5" s="3208" t="s">
        <v>3463</v>
      </c>
      <c r="T5" s="3224"/>
    </row>
    <row r="6" spans="1:20" s="3225" customFormat="1">
      <c r="A6" s="3208">
        <v>5</v>
      </c>
      <c r="B6" s="3208" t="s">
        <v>3461</v>
      </c>
      <c r="C6" s="3208" t="s">
        <v>3462</v>
      </c>
      <c r="D6" s="3221">
        <v>7</v>
      </c>
      <c r="E6" s="3222"/>
      <c r="F6" s="3208">
        <v>44</v>
      </c>
      <c r="G6" s="3208">
        <v>122.87</v>
      </c>
      <c r="H6" s="3208"/>
      <c r="I6" s="3208">
        <v>123.31</v>
      </c>
      <c r="J6" s="3208">
        <v>70.760000000000005</v>
      </c>
      <c r="K6" s="3208"/>
      <c r="L6" s="3208">
        <f>I6+J6</f>
        <v>194.07</v>
      </c>
      <c r="M6" s="3208">
        <v>253.4</v>
      </c>
      <c r="N6" s="3208">
        <f>I6+J6+M6</f>
        <v>447.47</v>
      </c>
      <c r="O6" s="3237">
        <v>44578</v>
      </c>
      <c r="P6" s="3238">
        <f>VLOOKUP(D6,房源表及成交价!D:R,13,0)</f>
        <v>44578</v>
      </c>
      <c r="Q6" s="3239">
        <f>VLOOKUP(D6,房源表及成交价!D:R,14,0)</f>
        <v>44981</v>
      </c>
      <c r="R6" s="3223">
        <f t="shared" si="0"/>
        <v>1005229.4008536885</v>
      </c>
      <c r="S6" s="3208" t="s">
        <v>3463</v>
      </c>
      <c r="T6" s="3224"/>
    </row>
    <row r="7" spans="1:20" s="3225" customFormat="1">
      <c r="A7" s="3208">
        <v>11</v>
      </c>
      <c r="B7" s="3208" t="s">
        <v>3461</v>
      </c>
      <c r="C7" s="3208" t="s">
        <v>3462</v>
      </c>
      <c r="D7" s="3221">
        <v>88</v>
      </c>
      <c r="E7" s="3222"/>
      <c r="F7" s="3208">
        <v>31</v>
      </c>
      <c r="G7" s="3218">
        <v>122.87</v>
      </c>
      <c r="H7" s="3208"/>
      <c r="I7" s="3208">
        <v>123.31</v>
      </c>
      <c r="J7" s="3208">
        <v>70.760000000000005</v>
      </c>
      <c r="K7" s="3208"/>
      <c r="L7" s="3208">
        <f>I7+J7+K7</f>
        <v>194.07</v>
      </c>
      <c r="M7" s="3208">
        <v>205.8</v>
      </c>
      <c r="N7" s="3208">
        <f>I7+J7+M7+K7</f>
        <v>399.87</v>
      </c>
      <c r="O7" s="3237">
        <v>44526</v>
      </c>
      <c r="P7" s="3238">
        <f>VLOOKUP(D7,房源表及成交价!D:R,13,0)</f>
        <v>44526</v>
      </c>
      <c r="Q7" s="3239">
        <f>VLOOKUP(D7,房源表及成交价!D:R,14,0)</f>
        <v>45014</v>
      </c>
      <c r="R7" s="3223">
        <f t="shared" si="0"/>
        <v>1125715.8576537373</v>
      </c>
      <c r="S7" s="3208" t="s">
        <v>3463</v>
      </c>
      <c r="T7" s="3224"/>
    </row>
    <row r="8" spans="1:20" s="3225" customFormat="1" ht="15" customHeight="1">
      <c r="A8" s="3208">
        <v>6</v>
      </c>
      <c r="B8" s="3208" t="s">
        <v>3461</v>
      </c>
      <c r="C8" s="3208" t="s">
        <v>3462</v>
      </c>
      <c r="D8" s="3221">
        <v>117</v>
      </c>
      <c r="E8" s="3222"/>
      <c r="F8" s="3208">
        <v>11</v>
      </c>
      <c r="G8" s="3208">
        <v>122.87</v>
      </c>
      <c r="H8" s="3208"/>
      <c r="I8" s="3208">
        <v>123.31</v>
      </c>
      <c r="J8" s="3208">
        <v>70.760000000000005</v>
      </c>
      <c r="K8" s="3208"/>
      <c r="L8" s="3208">
        <f>I8+J8+K8</f>
        <v>194.07</v>
      </c>
      <c r="M8" s="3208">
        <v>236</v>
      </c>
      <c r="N8" s="3208">
        <f>I8+J8+M8+K8</f>
        <v>430.07</v>
      </c>
      <c r="O8" s="3237">
        <v>44487</v>
      </c>
      <c r="P8" s="3238">
        <f>VLOOKUP(D8,房源表及成交价!D:R,13,0)</f>
        <v>44487</v>
      </c>
      <c r="Q8" s="3239">
        <f>VLOOKUP(D8,房源表及成交价!D:R,14,0)</f>
        <v>45044</v>
      </c>
      <c r="R8" s="3223">
        <f t="shared" si="0"/>
        <v>1047364.3825423769</v>
      </c>
      <c r="S8" s="3208" t="s">
        <v>3463</v>
      </c>
      <c r="T8" s="3224"/>
    </row>
    <row r="9" spans="1:20" s="3225" customFormat="1">
      <c r="A9" s="3208">
        <v>7</v>
      </c>
      <c r="B9" s="3208" t="s">
        <v>3461</v>
      </c>
      <c r="C9" s="3208" t="s">
        <v>3462</v>
      </c>
      <c r="D9" s="3221">
        <v>85</v>
      </c>
      <c r="E9" s="3222"/>
      <c r="F9" s="3208">
        <v>34</v>
      </c>
      <c r="G9" s="3208">
        <v>122.87</v>
      </c>
      <c r="H9" s="3208"/>
      <c r="I9" s="3208">
        <v>123.31</v>
      </c>
      <c r="J9" s="3208">
        <v>70.760000000000005</v>
      </c>
      <c r="K9" s="3208"/>
      <c r="L9" s="3208">
        <f>I9+J9</f>
        <v>194.07</v>
      </c>
      <c r="M9" s="3208">
        <v>205.8</v>
      </c>
      <c r="N9" s="3208">
        <f>I9+J9+M9</f>
        <v>399.87</v>
      </c>
      <c r="O9" s="3237">
        <v>44578</v>
      </c>
      <c r="P9" s="3238">
        <f>VLOOKUP(D9,房源表及成交价!D:R,13,0)</f>
        <v>44578</v>
      </c>
      <c r="Q9" s="3239">
        <f>VLOOKUP(D9,房源表及成交价!D:R,14,0)</f>
        <v>45128</v>
      </c>
      <c r="R9" s="3223">
        <f t="shared" si="0"/>
        <v>1128566.7842048665</v>
      </c>
      <c r="S9" s="3208" t="s">
        <v>3463</v>
      </c>
      <c r="T9" s="3224"/>
    </row>
    <row r="10" spans="1:20" s="3225" customFormat="1">
      <c r="A10" s="3208">
        <v>8</v>
      </c>
      <c r="B10" s="3208" t="s">
        <v>3461</v>
      </c>
      <c r="C10" s="3208" t="s">
        <v>3462</v>
      </c>
      <c r="D10" s="3221">
        <v>14</v>
      </c>
      <c r="E10" s="3222"/>
      <c r="F10" s="3208">
        <v>41</v>
      </c>
      <c r="G10" s="3208">
        <v>122.87</v>
      </c>
      <c r="H10" s="3208"/>
      <c r="I10" s="3208">
        <v>123.31</v>
      </c>
      <c r="J10" s="3208">
        <v>70.760000000000005</v>
      </c>
      <c r="K10" s="3208"/>
      <c r="L10" s="3208">
        <f>I10+J10+K10</f>
        <v>194.07</v>
      </c>
      <c r="M10" s="3208">
        <v>255.11</v>
      </c>
      <c r="N10" s="3208">
        <f>I10+J10+M10+K10</f>
        <v>449.18</v>
      </c>
      <c r="O10" s="3237">
        <v>44578</v>
      </c>
      <c r="P10" s="3238">
        <f>VLOOKUP(D10,房源表及成交价!D:R,13,0)</f>
        <v>44578</v>
      </c>
      <c r="Q10" s="3239">
        <f>VLOOKUP(D10,房源表及成交价!D:R,14,0)</f>
        <v>45156</v>
      </c>
      <c r="R10" s="3223">
        <f t="shared" si="0"/>
        <v>1005298.5440135357</v>
      </c>
      <c r="S10" s="3208" t="s">
        <v>3463</v>
      </c>
      <c r="T10" s="3224"/>
    </row>
    <row r="11" spans="1:20" s="3225" customFormat="1">
      <c r="A11" s="3208">
        <v>9</v>
      </c>
      <c r="B11" s="3208" t="s">
        <v>3461</v>
      </c>
      <c r="C11" s="3208" t="s">
        <v>3462</v>
      </c>
      <c r="D11" s="3221">
        <v>86</v>
      </c>
      <c r="E11" s="3222"/>
      <c r="F11" s="3208">
        <v>33</v>
      </c>
      <c r="G11" s="3208">
        <v>122.87</v>
      </c>
      <c r="H11" s="3208"/>
      <c r="I11" s="3208">
        <v>123.31</v>
      </c>
      <c r="J11" s="3208">
        <v>70.760000000000005</v>
      </c>
      <c r="K11" s="3208"/>
      <c r="L11" s="3208">
        <f>I11+J11</f>
        <v>194.07</v>
      </c>
      <c r="M11" s="3208">
        <v>205.8</v>
      </c>
      <c r="N11" s="3208">
        <f>I11+J11+M11</f>
        <v>399.87</v>
      </c>
      <c r="O11" s="3237">
        <v>44526</v>
      </c>
      <c r="P11" s="3238">
        <f>VLOOKUP(D11,房源表及成交价!D:R,13,0)</f>
        <v>44526</v>
      </c>
      <c r="Q11" s="3239">
        <f>VLOOKUP(D11,房源表及成交价!D:R,14,0)</f>
        <v>45162</v>
      </c>
      <c r="R11" s="3223">
        <f t="shared" si="0"/>
        <v>1129417.0605446771</v>
      </c>
      <c r="S11" s="3208" t="s">
        <v>3463</v>
      </c>
      <c r="T11" s="3224"/>
    </row>
    <row r="12" spans="1:20" s="3225" customFormat="1">
      <c r="A12" s="3208">
        <v>10</v>
      </c>
      <c r="B12" s="3208" t="s">
        <v>3461</v>
      </c>
      <c r="C12" s="3208" t="s">
        <v>3462</v>
      </c>
      <c r="D12" s="3221">
        <v>80</v>
      </c>
      <c r="E12" s="3222"/>
      <c r="F12" s="3208">
        <v>39</v>
      </c>
      <c r="G12" s="3208">
        <v>122.87</v>
      </c>
      <c r="H12" s="3208"/>
      <c r="I12" s="3208">
        <v>123.31</v>
      </c>
      <c r="J12" s="3208">
        <v>70.760000000000005</v>
      </c>
      <c r="K12" s="3208"/>
      <c r="L12" s="3208">
        <f>I12+J12+K12</f>
        <v>194.07</v>
      </c>
      <c r="M12" s="3208">
        <v>203</v>
      </c>
      <c r="N12" s="3208">
        <f>I12+J12+M12+K12</f>
        <v>397.07</v>
      </c>
      <c r="O12" s="3237">
        <v>44578</v>
      </c>
      <c r="P12" s="3238">
        <f>VLOOKUP(D12,房源表及成交价!D:R,13,0)</f>
        <v>44578</v>
      </c>
      <c r="Q12" s="3239">
        <f>VLOOKUP(D12,房源表及成交价!D:R,14,0)</f>
        <v>45174</v>
      </c>
      <c r="R12" s="3223">
        <f t="shared" si="0"/>
        <v>1137683.5318709547</v>
      </c>
      <c r="S12" s="3208" t="s">
        <v>3463</v>
      </c>
      <c r="T12" s="3224" t="s">
        <v>3484</v>
      </c>
    </row>
    <row r="13" spans="1:20" s="3225" customFormat="1">
      <c r="A13" s="3208">
        <v>12</v>
      </c>
      <c r="B13" s="3208" t="s">
        <v>3461</v>
      </c>
      <c r="C13" s="3208" t="s">
        <v>3462</v>
      </c>
      <c r="D13" s="3221">
        <v>10</v>
      </c>
      <c r="E13" s="3222">
        <v>101</v>
      </c>
      <c r="F13" s="3208">
        <v>43</v>
      </c>
      <c r="G13" s="3208">
        <v>122.87</v>
      </c>
      <c r="H13" s="3208">
        <v>109.97</v>
      </c>
      <c r="I13" s="3208">
        <v>123.31</v>
      </c>
      <c r="J13" s="3208">
        <v>70.760000000000005</v>
      </c>
      <c r="K13" s="3208"/>
      <c r="L13" s="3208">
        <f>I13+J13+K13</f>
        <v>194.07</v>
      </c>
      <c r="M13" s="3208">
        <v>253.4</v>
      </c>
      <c r="N13" s="3208">
        <f>I13+J13+M13+K13</f>
        <v>447.47</v>
      </c>
      <c r="O13" s="3237">
        <v>44578</v>
      </c>
      <c r="P13" s="3238">
        <f>VLOOKUP(D13,房源表及成交价!D:R,13,0)</f>
        <v>44578</v>
      </c>
      <c r="Q13" s="3239">
        <f>VLOOKUP(D13,房源表及成交价!D:R,14,0)</f>
        <v>45320</v>
      </c>
      <c r="R13" s="3223">
        <f t="shared" si="0"/>
        <v>1012805.327731468</v>
      </c>
      <c r="S13" s="3208" t="s">
        <v>3463</v>
      </c>
      <c r="T13" s="3224" t="s">
        <v>3485</v>
      </c>
    </row>
    <row r="14" spans="1:20">
      <c r="A14" s="3208">
        <v>13</v>
      </c>
      <c r="B14" s="3207" t="s">
        <v>3464</v>
      </c>
      <c r="C14" s="3207" t="s">
        <v>3462</v>
      </c>
      <c r="D14" s="3214">
        <v>8</v>
      </c>
      <c r="E14" s="3215"/>
      <c r="F14" s="3207">
        <v>51</v>
      </c>
      <c r="G14" s="3208">
        <v>122.87</v>
      </c>
      <c r="H14" s="3207"/>
      <c r="I14" s="3207">
        <v>123.31</v>
      </c>
      <c r="J14" s="3207">
        <v>70.760000000000005</v>
      </c>
      <c r="K14" s="3207"/>
      <c r="L14" s="3207">
        <f>I14+J14</f>
        <v>194.07</v>
      </c>
      <c r="M14" s="3207">
        <v>253.4</v>
      </c>
      <c r="N14" s="3207">
        <f>I14+J14+M14</f>
        <v>447.47</v>
      </c>
      <c r="O14" s="3207"/>
      <c r="P14" s="3238">
        <f>VLOOKUP(D14,房源表及成交价!D:R,13,0)</f>
        <v>0</v>
      </c>
      <c r="Q14" s="3239">
        <f>VLOOKUP(D14,房源表及成交价!D:R,14,0)</f>
        <v>45446</v>
      </c>
      <c r="R14" s="3216">
        <f t="shared" si="0"/>
        <v>1015621.1589603771</v>
      </c>
      <c r="S14" s="3207" t="s">
        <v>3463</v>
      </c>
      <c r="T14" s="3212"/>
    </row>
    <row r="15" spans="1:20">
      <c r="H15" s="3213"/>
      <c r="L15" s="3213"/>
      <c r="N15" s="3213"/>
      <c r="O15" s="3213"/>
    </row>
    <row r="16" spans="1:20">
      <c r="H16" s="3213"/>
      <c r="L16" s="3213"/>
      <c r="N16" s="3213"/>
      <c r="O16" s="3213"/>
    </row>
    <row r="17" spans="8:15">
      <c r="H17" s="3213"/>
      <c r="L17" s="3213"/>
      <c r="N17" s="3213"/>
      <c r="O17" s="3213"/>
    </row>
    <row r="18" spans="8:15">
      <c r="H18" s="3213"/>
      <c r="L18" s="3213"/>
      <c r="N18" s="3213"/>
      <c r="O18" s="3213"/>
    </row>
    <row r="19" spans="8:15">
      <c r="H19" s="3213"/>
      <c r="L19" s="3213"/>
      <c r="N19" s="3213"/>
      <c r="O19" s="3213"/>
    </row>
    <row r="20" spans="8:15">
      <c r="H20" s="3213"/>
      <c r="L20" s="3213"/>
      <c r="N20" s="3213"/>
      <c r="O20" s="3213"/>
    </row>
    <row r="21" spans="8:15">
      <c r="H21" s="3213"/>
      <c r="L21" s="3213"/>
      <c r="N21" s="3213"/>
      <c r="O21" s="3213"/>
    </row>
    <row r="22" spans="8:15">
      <c r="H22" s="3213"/>
      <c r="L22" s="3213"/>
      <c r="N22" s="3213"/>
      <c r="O22" s="3213"/>
    </row>
    <row r="23" spans="8:15">
      <c r="H23" s="3213"/>
      <c r="L23" s="3213"/>
      <c r="N23" s="3213"/>
      <c r="O23" s="3213"/>
    </row>
    <row r="24" spans="8:15">
      <c r="H24" s="3213"/>
      <c r="L24" s="3213"/>
      <c r="N24" s="3213"/>
      <c r="O24" s="3213"/>
    </row>
    <row r="25" spans="8:15">
      <c r="H25" s="3213"/>
      <c r="L25" s="3213"/>
      <c r="N25" s="3213"/>
      <c r="O25" s="3213"/>
    </row>
    <row r="26" spans="8:15">
      <c r="H26" s="3213"/>
      <c r="L26" s="3213"/>
      <c r="N26" s="3213"/>
      <c r="O26" s="3213"/>
    </row>
    <row r="27" spans="8:15">
      <c r="H27" s="3213"/>
      <c r="L27" s="3213"/>
      <c r="N27" s="3213"/>
      <c r="O27" s="3213"/>
    </row>
    <row r="28" spans="8:15">
      <c r="H28" s="3213"/>
      <c r="L28" s="3213"/>
      <c r="N28" s="3213"/>
      <c r="O28" s="3213"/>
    </row>
    <row r="29" spans="8:15">
      <c r="H29" s="3213"/>
      <c r="L29" s="3213"/>
      <c r="N29" s="3213"/>
      <c r="O29" s="3213"/>
    </row>
    <row r="30" spans="8:15">
      <c r="H30" s="3213"/>
      <c r="L30" s="3213"/>
      <c r="N30" s="3213"/>
      <c r="O30" s="3213"/>
    </row>
    <row r="31" spans="8:15">
      <c r="H31" s="3213"/>
      <c r="L31" s="3213"/>
      <c r="N31" s="3213"/>
      <c r="O31" s="3213"/>
    </row>
    <row r="32" spans="8:15">
      <c r="H32" s="3213"/>
      <c r="L32" s="3213"/>
      <c r="N32" s="3213"/>
      <c r="O32" s="3213"/>
    </row>
    <row r="33" spans="8:15">
      <c r="H33" s="3213"/>
      <c r="L33" s="3213"/>
      <c r="N33" s="3213"/>
      <c r="O33" s="3213"/>
    </row>
    <row r="34" spans="8:15">
      <c r="H34" s="3213"/>
      <c r="L34" s="3213"/>
      <c r="N34" s="3213"/>
      <c r="O34" s="3213"/>
    </row>
    <row r="35" spans="8:15">
      <c r="H35" s="3213"/>
      <c r="L35" s="3213"/>
      <c r="N35" s="3213"/>
      <c r="O35" s="3213"/>
    </row>
    <row r="36" spans="8:15">
      <c r="H36" s="3213"/>
      <c r="L36" s="3213"/>
      <c r="N36" s="3213"/>
      <c r="O36" s="3213"/>
    </row>
    <row r="37" spans="8:15">
      <c r="H37" s="3213"/>
      <c r="L37" s="3213"/>
      <c r="N37" s="3213"/>
      <c r="O37" s="3213"/>
    </row>
    <row r="38" spans="8:15">
      <c r="H38" s="3213"/>
      <c r="L38" s="3213"/>
      <c r="N38" s="3213"/>
      <c r="O38" s="3213"/>
    </row>
    <row r="39" spans="8:15">
      <c r="H39" s="3213"/>
      <c r="L39" s="3213"/>
      <c r="N39" s="3213"/>
      <c r="O39" s="3213"/>
    </row>
    <row r="40" spans="8:15">
      <c r="H40" s="3213"/>
      <c r="L40" s="3213"/>
      <c r="N40" s="3213"/>
      <c r="O40" s="3213"/>
    </row>
    <row r="41" spans="8:15">
      <c r="H41" s="3213"/>
      <c r="L41" s="3213"/>
      <c r="N41" s="3213"/>
      <c r="O41" s="3213"/>
    </row>
    <row r="42" spans="8:15">
      <c r="H42" s="3213"/>
      <c r="L42" s="3213"/>
      <c r="N42" s="3213"/>
      <c r="O42" s="3213"/>
    </row>
    <row r="43" spans="8:15">
      <c r="H43" s="3213"/>
      <c r="L43" s="3213"/>
      <c r="N43" s="3213"/>
      <c r="O43" s="3213"/>
    </row>
    <row r="44" spans="8:15">
      <c r="H44" s="3213"/>
      <c r="L44" s="3213"/>
      <c r="N44" s="3213"/>
      <c r="O44" s="3213"/>
    </row>
    <row r="45" spans="8:15">
      <c r="H45" s="3213"/>
      <c r="L45" s="3213"/>
      <c r="N45" s="3213"/>
      <c r="O45" s="3213"/>
    </row>
    <row r="46" spans="8:15">
      <c r="H46" s="3213"/>
      <c r="L46" s="3213"/>
      <c r="N46" s="3213"/>
      <c r="O46" s="3213"/>
    </row>
    <row r="47" spans="8:15">
      <c r="H47" s="3213"/>
      <c r="L47" s="3213"/>
      <c r="N47" s="3213"/>
      <c r="O47" s="3213"/>
    </row>
    <row r="48" spans="8:15">
      <c r="H48" s="3213"/>
      <c r="L48" s="3213"/>
      <c r="N48" s="3213"/>
      <c r="O48" s="3213"/>
    </row>
    <row r="49" spans="8:15">
      <c r="H49" s="3213"/>
      <c r="L49" s="3213"/>
      <c r="N49" s="3213"/>
      <c r="O49" s="3213"/>
    </row>
    <row r="50" spans="8:15">
      <c r="H50" s="3213"/>
      <c r="L50" s="3213"/>
      <c r="N50" s="3213"/>
      <c r="O50" s="3213"/>
    </row>
    <row r="51" spans="8:15">
      <c r="H51" s="3213"/>
      <c r="L51" s="3213"/>
      <c r="N51" s="3213"/>
      <c r="O51" s="3213"/>
    </row>
    <row r="52" spans="8:15">
      <c r="H52" s="3213"/>
      <c r="L52" s="3213"/>
      <c r="N52" s="3213"/>
      <c r="O52" s="3213"/>
    </row>
    <row r="53" spans="8:15">
      <c r="H53" s="3213"/>
      <c r="L53" s="3213"/>
      <c r="N53" s="3213"/>
      <c r="O53" s="3213"/>
    </row>
    <row r="54" spans="8:15">
      <c r="H54" s="3213"/>
      <c r="L54" s="3213"/>
      <c r="N54" s="3213"/>
      <c r="O54" s="3213"/>
    </row>
    <row r="55" spans="8:15">
      <c r="H55" s="3213"/>
      <c r="L55" s="3213"/>
      <c r="N55" s="3213"/>
      <c r="O55" s="3213"/>
    </row>
    <row r="56" spans="8:15">
      <c r="H56" s="3213"/>
      <c r="L56" s="3213"/>
      <c r="N56" s="3213"/>
      <c r="O56" s="3213"/>
    </row>
    <row r="57" spans="8:15">
      <c r="H57" s="3213"/>
      <c r="L57" s="3213"/>
      <c r="N57" s="3213"/>
      <c r="O57" s="3213"/>
    </row>
    <row r="58" spans="8:15">
      <c r="H58" s="3213"/>
      <c r="L58" s="3213"/>
      <c r="N58" s="3213"/>
      <c r="O58" s="3213"/>
    </row>
    <row r="59" spans="8:15">
      <c r="H59" s="3213"/>
      <c r="L59" s="3213"/>
      <c r="N59" s="3213"/>
      <c r="O59" s="3213"/>
    </row>
    <row r="60" spans="8:15">
      <c r="H60" s="3213"/>
      <c r="L60" s="3213"/>
      <c r="N60" s="3213"/>
      <c r="O60" s="3213"/>
    </row>
    <row r="61" spans="8:15">
      <c r="H61" s="3213"/>
      <c r="L61" s="3213"/>
      <c r="N61" s="3213"/>
      <c r="O61" s="3213"/>
    </row>
    <row r="62" spans="8:15">
      <c r="H62" s="3213"/>
      <c r="L62" s="3213"/>
      <c r="N62" s="3213"/>
      <c r="O62" s="3213"/>
    </row>
    <row r="63" spans="8:15">
      <c r="H63" s="3213"/>
      <c r="L63" s="3213"/>
      <c r="N63" s="3213"/>
      <c r="O63" s="3213"/>
    </row>
    <row r="64" spans="8:15">
      <c r="H64" s="3213"/>
      <c r="L64" s="3213"/>
      <c r="N64" s="3213"/>
      <c r="O64" s="3213"/>
    </row>
    <row r="65" spans="8:15">
      <c r="H65" s="3213"/>
      <c r="L65" s="3213"/>
      <c r="N65" s="3213"/>
      <c r="O65" s="3213"/>
    </row>
    <row r="66" spans="8:15">
      <c r="H66" s="3213"/>
      <c r="L66" s="3213"/>
      <c r="N66" s="3213"/>
      <c r="O66" s="3213"/>
    </row>
    <row r="67" spans="8:15">
      <c r="H67" s="3213"/>
      <c r="L67" s="3213"/>
      <c r="N67" s="3213"/>
      <c r="O67" s="3213"/>
    </row>
    <row r="68" spans="8:15">
      <c r="H68" s="3213"/>
      <c r="L68" s="3213"/>
      <c r="N68" s="3213"/>
      <c r="O68" s="3213"/>
    </row>
    <row r="69" spans="8:15">
      <c r="H69" s="3213"/>
      <c r="L69" s="3213"/>
      <c r="N69" s="3213"/>
      <c r="O69" s="3213"/>
    </row>
    <row r="70" spans="8:15">
      <c r="H70" s="3213"/>
      <c r="L70" s="3213"/>
      <c r="N70" s="3213"/>
      <c r="O70" s="3213"/>
    </row>
    <row r="71" spans="8:15">
      <c r="H71" s="3213"/>
      <c r="L71" s="3213"/>
      <c r="N71" s="3213"/>
      <c r="O71" s="3213"/>
    </row>
    <row r="72" spans="8:15">
      <c r="H72" s="3213"/>
      <c r="L72" s="3213"/>
      <c r="N72" s="3213"/>
      <c r="O72" s="3213"/>
    </row>
    <row r="73" spans="8:15">
      <c r="H73" s="3213"/>
      <c r="L73" s="3213"/>
      <c r="N73" s="3213"/>
      <c r="O73" s="3213"/>
    </row>
    <row r="74" spans="8:15">
      <c r="H74" s="3213"/>
      <c r="L74" s="3213"/>
      <c r="N74" s="3213"/>
      <c r="O74" s="3213"/>
    </row>
    <row r="75" spans="8:15">
      <c r="H75" s="3213"/>
      <c r="L75" s="3213"/>
      <c r="N75" s="3213"/>
      <c r="O75" s="3213"/>
    </row>
    <row r="76" spans="8:15">
      <c r="H76" s="3213"/>
      <c r="L76" s="3213"/>
      <c r="N76" s="3213"/>
      <c r="O76" s="3213"/>
    </row>
    <row r="77" spans="8:15">
      <c r="H77" s="3213"/>
      <c r="L77" s="3213"/>
      <c r="N77" s="3213"/>
      <c r="O77" s="3213"/>
    </row>
    <row r="78" spans="8:15">
      <c r="H78" s="3213"/>
      <c r="L78" s="3213"/>
      <c r="N78" s="3213"/>
      <c r="O78" s="3213"/>
    </row>
    <row r="79" spans="8:15">
      <c r="H79" s="3213"/>
      <c r="L79" s="3213"/>
      <c r="N79" s="3213"/>
      <c r="O79" s="3213"/>
    </row>
    <row r="80" spans="8:15">
      <c r="H80" s="3213"/>
      <c r="L80" s="3213"/>
      <c r="N80" s="3213"/>
      <c r="O80" s="3213"/>
    </row>
    <row r="81" spans="8:15">
      <c r="H81" s="3213"/>
      <c r="L81" s="3213"/>
      <c r="N81" s="3213"/>
      <c r="O81" s="3213"/>
    </row>
    <row r="82" spans="8:15">
      <c r="H82" s="3213"/>
      <c r="L82" s="3213"/>
      <c r="N82" s="3213"/>
      <c r="O82" s="3213"/>
    </row>
    <row r="83" spans="8:15">
      <c r="H83" s="3213"/>
      <c r="L83" s="3213"/>
      <c r="N83" s="3213"/>
      <c r="O83" s="3213"/>
    </row>
    <row r="84" spans="8:15">
      <c r="H84" s="3213"/>
      <c r="L84" s="3213"/>
      <c r="N84" s="3213"/>
      <c r="O84" s="3213"/>
    </row>
    <row r="85" spans="8:15">
      <c r="H85" s="3213"/>
      <c r="L85" s="3213"/>
      <c r="N85" s="3213"/>
      <c r="O85" s="3213"/>
    </row>
    <row r="86" spans="8:15">
      <c r="H86" s="3213"/>
      <c r="L86" s="3213"/>
      <c r="N86" s="3213"/>
      <c r="O86" s="3213"/>
    </row>
    <row r="87" spans="8:15">
      <c r="H87" s="3213"/>
      <c r="L87" s="3213"/>
      <c r="N87" s="3213"/>
      <c r="O87" s="3213"/>
    </row>
    <row r="88" spans="8:15">
      <c r="H88" s="3213"/>
      <c r="L88" s="3213"/>
      <c r="N88" s="3213"/>
      <c r="O88" s="3213"/>
    </row>
    <row r="89" spans="8:15">
      <c r="H89" s="3213"/>
      <c r="L89" s="3213"/>
      <c r="N89" s="3213"/>
      <c r="O89" s="3213"/>
    </row>
    <row r="90" spans="8:15">
      <c r="H90" s="3213"/>
      <c r="L90" s="3213"/>
      <c r="N90" s="3213"/>
      <c r="O90" s="3213"/>
    </row>
    <row r="91" spans="8:15">
      <c r="H91" s="3213"/>
      <c r="L91" s="3213"/>
      <c r="N91" s="3213"/>
      <c r="O91" s="3213"/>
    </row>
    <row r="92" spans="8:15">
      <c r="H92" s="3213"/>
      <c r="L92" s="3213"/>
      <c r="N92" s="3213"/>
      <c r="O92" s="3213"/>
    </row>
    <row r="93" spans="8:15">
      <c r="H93" s="3213"/>
      <c r="L93" s="3213"/>
      <c r="N93" s="3213"/>
      <c r="O93" s="3213"/>
    </row>
    <row r="94" spans="8:15">
      <c r="H94" s="3213"/>
      <c r="L94" s="3213"/>
      <c r="N94" s="3213"/>
      <c r="O94" s="3213"/>
    </row>
    <row r="95" spans="8:15">
      <c r="H95" s="3213"/>
      <c r="L95" s="3213"/>
      <c r="N95" s="3213"/>
      <c r="O95" s="3213"/>
    </row>
    <row r="96" spans="8:15">
      <c r="H96" s="3213"/>
      <c r="L96" s="3213"/>
      <c r="N96" s="3213"/>
      <c r="O96" s="3213"/>
    </row>
    <row r="97" spans="8:15">
      <c r="H97" s="3213"/>
      <c r="L97" s="3213"/>
      <c r="N97" s="3213"/>
      <c r="O97" s="3213"/>
    </row>
    <row r="98" spans="8:15">
      <c r="H98" s="3213"/>
      <c r="L98" s="3213"/>
      <c r="N98" s="3213"/>
      <c r="O98" s="3213"/>
    </row>
    <row r="99" spans="8:15">
      <c r="H99" s="3213"/>
      <c r="L99" s="3213"/>
      <c r="N99" s="3213"/>
      <c r="O99" s="3213"/>
    </row>
    <row r="100" spans="8:15">
      <c r="H100" s="3213"/>
      <c r="L100" s="3213"/>
      <c r="N100" s="3213"/>
      <c r="O100" s="3213"/>
    </row>
    <row r="101" spans="8:15">
      <c r="H101" s="3213"/>
      <c r="L101" s="3213"/>
      <c r="N101" s="3213"/>
      <c r="O101" s="3213"/>
    </row>
    <row r="102" spans="8:15">
      <c r="H102" s="3213"/>
      <c r="L102" s="3213"/>
      <c r="N102" s="3213"/>
      <c r="O102" s="3213"/>
    </row>
    <row r="103" spans="8:15">
      <c r="H103" s="3213"/>
      <c r="L103" s="3213"/>
      <c r="N103" s="3213"/>
      <c r="O103" s="3213"/>
    </row>
    <row r="104" spans="8:15">
      <c r="H104" s="3213"/>
      <c r="L104" s="3213"/>
      <c r="N104" s="3213"/>
      <c r="O104" s="3213"/>
    </row>
    <row r="105" spans="8:15">
      <c r="H105" s="3213"/>
      <c r="L105" s="3213"/>
      <c r="N105" s="3213"/>
      <c r="O105" s="3213"/>
    </row>
    <row r="106" spans="8:15">
      <c r="H106" s="3213"/>
      <c r="L106" s="3213"/>
      <c r="N106" s="3213"/>
      <c r="O106" s="3213"/>
    </row>
    <row r="107" spans="8:15">
      <c r="H107" s="3213"/>
      <c r="L107" s="3213"/>
      <c r="N107" s="3213"/>
      <c r="O107" s="3213"/>
    </row>
    <row r="108" spans="8:15">
      <c r="H108" s="3213"/>
      <c r="L108" s="3213"/>
      <c r="N108" s="3213"/>
      <c r="O108" s="3213"/>
    </row>
    <row r="109" spans="8:15">
      <c r="H109" s="3213"/>
      <c r="L109" s="3213"/>
      <c r="N109" s="3213"/>
      <c r="O109" s="3213"/>
    </row>
    <row r="110" spans="8:15">
      <c r="H110" s="3213"/>
      <c r="L110" s="3213"/>
      <c r="N110" s="3213"/>
      <c r="O110" s="3213"/>
    </row>
    <row r="111" spans="8:15">
      <c r="H111" s="3213"/>
      <c r="L111" s="3213"/>
      <c r="N111" s="3213"/>
      <c r="O111" s="3213"/>
    </row>
    <row r="112" spans="8:15">
      <c r="H112" s="3213"/>
      <c r="L112" s="3213"/>
      <c r="N112" s="3213"/>
      <c r="O112" s="3213"/>
    </row>
    <row r="113" spans="8:15">
      <c r="H113" s="3213"/>
      <c r="L113" s="3213"/>
      <c r="N113" s="3213"/>
      <c r="O113" s="3213"/>
    </row>
    <row r="114" spans="8:15">
      <c r="H114" s="3213"/>
      <c r="L114" s="3213"/>
      <c r="N114" s="3213"/>
      <c r="O114" s="3213"/>
    </row>
    <row r="115" spans="8:15">
      <c r="H115" s="3213"/>
      <c r="L115" s="3213"/>
      <c r="N115" s="3213"/>
      <c r="O115" s="3213"/>
    </row>
    <row r="116" spans="8:15">
      <c r="H116" s="3213"/>
      <c r="L116" s="3213"/>
      <c r="N116" s="3213"/>
      <c r="O116" s="3213"/>
    </row>
    <row r="117" spans="8:15">
      <c r="H117" s="3213"/>
      <c r="L117" s="3213"/>
      <c r="N117" s="3213"/>
      <c r="O117" s="3213"/>
    </row>
    <row r="118" spans="8:15">
      <c r="H118" s="3213"/>
      <c r="L118" s="3213"/>
      <c r="N118" s="3213"/>
      <c r="O118" s="3213"/>
    </row>
    <row r="119" spans="8:15">
      <c r="H119" s="3213"/>
      <c r="L119" s="3213"/>
      <c r="N119" s="3213"/>
      <c r="O119" s="3213"/>
    </row>
    <row r="120" spans="8:15">
      <c r="H120" s="3213"/>
      <c r="L120" s="3213"/>
      <c r="N120" s="3213"/>
      <c r="O120" s="3213"/>
    </row>
    <row r="121" spans="8:15">
      <c r="H121" s="3213"/>
      <c r="L121" s="3213"/>
      <c r="N121" s="3213"/>
      <c r="O121" s="3213"/>
    </row>
    <row r="122" spans="8:15">
      <c r="H122" s="3213"/>
      <c r="L122" s="3213"/>
      <c r="N122" s="3213"/>
      <c r="O122" s="3213"/>
    </row>
    <row r="123" spans="8:15">
      <c r="H123" s="3213"/>
      <c r="L123" s="3213"/>
      <c r="N123" s="3213"/>
      <c r="O123" s="3213"/>
    </row>
    <row r="124" spans="8:15">
      <c r="H124" s="3213"/>
      <c r="L124" s="3213"/>
      <c r="N124" s="3213"/>
      <c r="O124" s="3213"/>
    </row>
    <row r="125" spans="8:15">
      <c r="H125" s="3213"/>
      <c r="L125" s="3213"/>
      <c r="N125" s="3213"/>
      <c r="O125" s="3213"/>
    </row>
    <row r="126" spans="8:15">
      <c r="H126" s="3213"/>
      <c r="L126" s="3213"/>
      <c r="N126" s="3213"/>
      <c r="O126" s="3213"/>
    </row>
    <row r="127" spans="8:15">
      <c r="H127" s="3213"/>
      <c r="L127" s="3213"/>
      <c r="N127" s="3213"/>
      <c r="O127" s="3213"/>
    </row>
    <row r="128" spans="8:15">
      <c r="H128" s="3213"/>
      <c r="L128" s="3213"/>
      <c r="N128" s="3213"/>
      <c r="O128" s="3213"/>
    </row>
    <row r="129" spans="8:15">
      <c r="H129" s="3213"/>
      <c r="L129" s="3213"/>
      <c r="N129" s="3213"/>
      <c r="O129" s="3213"/>
    </row>
    <row r="130" spans="8:15">
      <c r="H130" s="3213"/>
      <c r="L130" s="3213"/>
      <c r="N130" s="3213"/>
      <c r="O130" s="3213"/>
    </row>
    <row r="131" spans="8:15">
      <c r="H131" s="3213"/>
      <c r="L131" s="3213"/>
      <c r="N131" s="3213"/>
      <c r="O131" s="3213"/>
    </row>
    <row r="132" spans="8:15">
      <c r="H132" s="3213"/>
      <c r="L132" s="3213"/>
      <c r="N132" s="3213"/>
      <c r="O132" s="3213"/>
    </row>
    <row r="133" spans="8:15">
      <c r="H133" s="3213"/>
      <c r="L133" s="3213"/>
      <c r="N133" s="3213"/>
      <c r="O133" s="3213"/>
    </row>
    <row r="134" spans="8:15">
      <c r="H134" s="3213"/>
      <c r="L134" s="3213"/>
      <c r="N134" s="3213"/>
      <c r="O134" s="3213"/>
    </row>
    <row r="135" spans="8:15">
      <c r="H135" s="3213"/>
      <c r="L135" s="3213"/>
      <c r="N135" s="3213"/>
      <c r="O135" s="3213"/>
    </row>
    <row r="136" spans="8:15">
      <c r="H136" s="3213"/>
      <c r="L136" s="3213"/>
      <c r="N136" s="3213"/>
      <c r="O136" s="3213"/>
    </row>
    <row r="137" spans="8:15">
      <c r="H137" s="3213"/>
      <c r="L137" s="3213"/>
      <c r="N137" s="3213"/>
      <c r="O137" s="3213"/>
    </row>
    <row r="138" spans="8:15">
      <c r="H138" s="3213"/>
      <c r="L138" s="3213"/>
      <c r="N138" s="3213"/>
      <c r="O138" s="3213"/>
    </row>
    <row r="139" spans="8:15">
      <c r="H139" s="3213"/>
      <c r="L139" s="3213"/>
      <c r="N139" s="3213"/>
      <c r="O139" s="3213"/>
    </row>
    <row r="140" spans="8:15">
      <c r="H140" s="3213"/>
      <c r="L140" s="3213"/>
      <c r="N140" s="3213"/>
      <c r="O140" s="3213"/>
    </row>
    <row r="141" spans="8:15">
      <c r="H141" s="3213"/>
      <c r="L141" s="3213"/>
      <c r="N141" s="3213"/>
      <c r="O141" s="3213"/>
    </row>
    <row r="142" spans="8:15">
      <c r="H142" s="3213"/>
      <c r="L142" s="3213"/>
      <c r="N142" s="3213"/>
      <c r="O142" s="3213"/>
    </row>
    <row r="143" spans="8:15">
      <c r="H143" s="3213"/>
      <c r="L143" s="3213"/>
      <c r="N143" s="3213"/>
      <c r="O143" s="3213"/>
    </row>
    <row r="144" spans="8:15">
      <c r="H144" s="3213"/>
      <c r="L144" s="3213"/>
      <c r="N144" s="3213"/>
      <c r="O144" s="3213"/>
    </row>
    <row r="145" spans="8:15">
      <c r="H145" s="3213"/>
      <c r="L145" s="3213"/>
      <c r="N145" s="3213"/>
      <c r="O145" s="3213"/>
    </row>
    <row r="146" spans="8:15">
      <c r="H146" s="3213"/>
      <c r="L146" s="3213"/>
      <c r="N146" s="3213"/>
      <c r="O146" s="3213"/>
    </row>
    <row r="147" spans="8:15">
      <c r="H147" s="3213"/>
      <c r="L147" s="3213"/>
      <c r="N147" s="3213"/>
      <c r="O147" s="3213"/>
    </row>
    <row r="148" spans="8:15">
      <c r="H148" s="3213"/>
      <c r="L148" s="3213"/>
      <c r="N148" s="3213"/>
      <c r="O148" s="3213"/>
    </row>
    <row r="149" spans="8:15">
      <c r="H149" s="3213"/>
      <c r="L149" s="3213"/>
      <c r="N149" s="3213"/>
      <c r="O149" s="3213"/>
    </row>
    <row r="150" spans="8:15">
      <c r="H150" s="3213"/>
      <c r="L150" s="3213"/>
      <c r="N150" s="3213"/>
      <c r="O150" s="3213"/>
    </row>
    <row r="151" spans="8:15">
      <c r="H151" s="3213"/>
      <c r="L151" s="3213"/>
      <c r="N151" s="3213"/>
      <c r="O151" s="3213"/>
    </row>
    <row r="152" spans="8:15">
      <c r="H152" s="3213"/>
      <c r="L152" s="3213"/>
      <c r="N152" s="3213"/>
      <c r="O152" s="3213"/>
    </row>
    <row r="153" spans="8:15">
      <c r="H153" s="3213"/>
      <c r="L153" s="3213"/>
      <c r="N153" s="3213"/>
      <c r="O153" s="3213"/>
    </row>
    <row r="154" spans="8:15">
      <c r="H154" s="3213"/>
      <c r="L154" s="3213"/>
      <c r="N154" s="3213"/>
      <c r="O154" s="3213"/>
    </row>
    <row r="155" spans="8:15">
      <c r="H155" s="3213"/>
      <c r="L155" s="3213"/>
      <c r="N155" s="3213"/>
      <c r="O155" s="3213"/>
    </row>
    <row r="156" spans="8:15">
      <c r="H156" s="3213"/>
      <c r="L156" s="3213"/>
      <c r="N156" s="3213"/>
      <c r="O156" s="3213"/>
    </row>
    <row r="157" spans="8:15">
      <c r="H157" s="3213"/>
      <c r="L157" s="3213"/>
      <c r="N157" s="3213"/>
      <c r="O157" s="3213"/>
    </row>
    <row r="158" spans="8:15">
      <c r="H158" s="3213"/>
      <c r="L158" s="3213"/>
      <c r="N158" s="3213"/>
      <c r="O158" s="3213"/>
    </row>
    <row r="159" spans="8:15">
      <c r="H159" s="3213"/>
      <c r="L159" s="3213"/>
      <c r="N159" s="3213"/>
      <c r="O159" s="3213"/>
    </row>
    <row r="160" spans="8:15">
      <c r="H160" s="3213"/>
      <c r="L160" s="3213"/>
      <c r="N160" s="3213"/>
      <c r="O160" s="3213"/>
    </row>
    <row r="161" spans="8:15">
      <c r="H161" s="3213"/>
      <c r="L161" s="3213"/>
      <c r="N161" s="3213"/>
      <c r="O161" s="3213"/>
    </row>
    <row r="162" spans="8:15">
      <c r="H162" s="3213"/>
      <c r="L162" s="3213"/>
      <c r="N162" s="3213"/>
      <c r="O162" s="3213"/>
    </row>
    <row r="163" spans="8:15">
      <c r="H163" s="3213"/>
      <c r="L163" s="3213"/>
      <c r="N163" s="3213"/>
      <c r="O163" s="3213"/>
    </row>
    <row r="164" spans="8:15">
      <c r="H164" s="3213"/>
      <c r="L164" s="3213"/>
      <c r="N164" s="3213"/>
      <c r="O164" s="3213"/>
    </row>
    <row r="165" spans="8:15">
      <c r="H165" s="3213"/>
      <c r="L165" s="3213"/>
      <c r="N165" s="3213"/>
      <c r="O165" s="3213"/>
    </row>
    <row r="166" spans="8:15">
      <c r="H166" s="3213"/>
      <c r="L166" s="3213"/>
      <c r="N166" s="3213"/>
      <c r="O166" s="3213"/>
    </row>
    <row r="167" spans="8:15">
      <c r="H167" s="3213"/>
      <c r="L167" s="3213"/>
      <c r="N167" s="3213"/>
      <c r="O167" s="3213"/>
    </row>
    <row r="168" spans="8:15">
      <c r="H168" s="3213"/>
      <c r="L168" s="3213"/>
      <c r="N168" s="3213"/>
      <c r="O168" s="3213"/>
    </row>
    <row r="169" spans="8:15">
      <c r="H169" s="3213"/>
      <c r="L169" s="3213"/>
      <c r="N169" s="3213"/>
      <c r="O169" s="3213"/>
    </row>
    <row r="170" spans="8:15">
      <c r="H170" s="3213"/>
      <c r="L170" s="3213"/>
      <c r="N170" s="3213"/>
      <c r="O170" s="3213"/>
    </row>
    <row r="171" spans="8:15">
      <c r="H171" s="3213"/>
      <c r="L171" s="3213"/>
      <c r="N171" s="3213"/>
      <c r="O171" s="3213"/>
    </row>
    <row r="172" spans="8:15">
      <c r="H172" s="3213"/>
      <c r="L172" s="3213"/>
      <c r="N172" s="3213"/>
      <c r="O172" s="3213"/>
    </row>
    <row r="173" spans="8:15">
      <c r="H173" s="3213"/>
      <c r="L173" s="3213"/>
      <c r="N173" s="3213"/>
      <c r="O173" s="3213"/>
    </row>
    <row r="174" spans="8:15">
      <c r="H174" s="3213"/>
      <c r="L174" s="3213"/>
      <c r="N174" s="3213"/>
      <c r="O174" s="3213"/>
    </row>
    <row r="175" spans="8:15">
      <c r="H175" s="3213"/>
      <c r="L175" s="3213"/>
      <c r="N175" s="3213"/>
      <c r="O175" s="3213"/>
    </row>
    <row r="176" spans="8:15">
      <c r="H176" s="3213"/>
      <c r="L176" s="3213"/>
      <c r="N176" s="3213"/>
      <c r="O176" s="3213"/>
    </row>
    <row r="177" spans="8:15">
      <c r="H177" s="3213"/>
      <c r="L177" s="3213"/>
      <c r="N177" s="3213"/>
      <c r="O177" s="3213"/>
    </row>
    <row r="178" spans="8:15">
      <c r="H178" s="3213"/>
      <c r="L178" s="3213"/>
      <c r="N178" s="3213"/>
      <c r="O178" s="3213"/>
    </row>
    <row r="179" spans="8:15">
      <c r="H179" s="3213"/>
      <c r="L179" s="3213"/>
      <c r="N179" s="3213"/>
      <c r="O179" s="3213"/>
    </row>
    <row r="180" spans="8:15">
      <c r="H180" s="3213"/>
      <c r="L180" s="3213"/>
      <c r="N180" s="3213"/>
      <c r="O180" s="3213"/>
    </row>
    <row r="181" spans="8:15">
      <c r="H181" s="3213"/>
      <c r="L181" s="3213"/>
      <c r="N181" s="3213"/>
      <c r="O181" s="3213"/>
    </row>
    <row r="182" spans="8:15">
      <c r="H182" s="3213"/>
      <c r="L182" s="3213"/>
      <c r="N182" s="3213"/>
      <c r="O182" s="3213"/>
    </row>
    <row r="183" spans="8:15">
      <c r="H183" s="3213"/>
      <c r="L183" s="3213"/>
      <c r="N183" s="3213"/>
      <c r="O183" s="3213"/>
    </row>
    <row r="184" spans="8:15">
      <c r="H184" s="3213"/>
      <c r="L184" s="3213"/>
      <c r="N184" s="3213"/>
      <c r="O184" s="3213"/>
    </row>
    <row r="185" spans="8:15">
      <c r="H185" s="3213"/>
      <c r="L185" s="3213"/>
      <c r="N185" s="3213"/>
      <c r="O185" s="3213"/>
    </row>
    <row r="186" spans="8:15">
      <c r="H186" s="3213"/>
      <c r="L186" s="3213"/>
      <c r="N186" s="3213"/>
      <c r="O186" s="3213"/>
    </row>
    <row r="187" spans="8:15">
      <c r="H187" s="3213"/>
      <c r="L187" s="3213"/>
      <c r="N187" s="3213"/>
      <c r="O187" s="3213"/>
    </row>
    <row r="188" spans="8:15">
      <c r="H188" s="3213"/>
      <c r="L188" s="3213"/>
      <c r="N188" s="3213"/>
      <c r="O188" s="3213"/>
    </row>
    <row r="189" spans="8:15">
      <c r="H189" s="3213"/>
      <c r="L189" s="3213"/>
      <c r="N189" s="3213"/>
      <c r="O189" s="3213"/>
    </row>
    <row r="190" spans="8:15">
      <c r="H190" s="3213"/>
      <c r="L190" s="3213"/>
      <c r="N190" s="3213"/>
      <c r="O190" s="3213"/>
    </row>
    <row r="191" spans="8:15">
      <c r="H191" s="3213"/>
      <c r="L191" s="3213"/>
      <c r="N191" s="3213"/>
      <c r="O191" s="3213"/>
    </row>
    <row r="192" spans="8:15">
      <c r="H192" s="3213"/>
      <c r="L192" s="3213"/>
      <c r="N192" s="3213"/>
      <c r="O192" s="3213"/>
    </row>
    <row r="193" spans="8:15">
      <c r="H193" s="3213"/>
      <c r="L193" s="3213"/>
      <c r="N193" s="3213"/>
      <c r="O193" s="3213"/>
    </row>
    <row r="194" spans="8:15">
      <c r="H194" s="3213"/>
      <c r="L194" s="3213"/>
      <c r="N194" s="3213"/>
      <c r="O194" s="3213"/>
    </row>
    <row r="195" spans="8:15">
      <c r="H195" s="3213"/>
      <c r="L195" s="3213"/>
      <c r="N195" s="3213"/>
      <c r="O195" s="3213"/>
    </row>
    <row r="196" spans="8:15">
      <c r="H196" s="3213"/>
      <c r="L196" s="3213"/>
      <c r="N196" s="3213"/>
      <c r="O196" s="3213"/>
    </row>
    <row r="197" spans="8:15">
      <c r="H197" s="3213"/>
      <c r="L197" s="3213"/>
      <c r="N197" s="3213"/>
      <c r="O197" s="3213"/>
    </row>
    <row r="198" spans="8:15">
      <c r="H198" s="3213"/>
      <c r="L198" s="3213"/>
      <c r="N198" s="3213"/>
      <c r="O198" s="3213"/>
    </row>
    <row r="199" spans="8:15">
      <c r="H199" s="3213"/>
      <c r="L199" s="3213"/>
      <c r="N199" s="3213"/>
      <c r="O199" s="3213"/>
    </row>
    <row r="200" spans="8:15">
      <c r="H200" s="3213"/>
      <c r="L200" s="3213"/>
      <c r="N200" s="3213"/>
      <c r="O200" s="3213"/>
    </row>
    <row r="201" spans="8:15">
      <c r="H201" s="3213"/>
      <c r="L201" s="3213"/>
      <c r="N201" s="3213"/>
      <c r="O201" s="3213"/>
    </row>
    <row r="202" spans="8:15">
      <c r="H202" s="3213"/>
      <c r="L202" s="3213"/>
      <c r="N202" s="3213"/>
      <c r="O202" s="3213"/>
    </row>
    <row r="203" spans="8:15">
      <c r="H203" s="3213"/>
      <c r="L203" s="3213"/>
      <c r="N203" s="3213"/>
      <c r="O203" s="3213"/>
    </row>
    <row r="204" spans="8:15">
      <c r="H204" s="3213"/>
      <c r="L204" s="3213"/>
      <c r="N204" s="3213"/>
      <c r="O204" s="3213"/>
    </row>
    <row r="205" spans="8:15">
      <c r="H205" s="3213"/>
      <c r="L205" s="3213"/>
      <c r="N205" s="3213"/>
      <c r="O205" s="3213"/>
    </row>
    <row r="206" spans="8:15">
      <c r="H206" s="3213"/>
      <c r="L206" s="3213"/>
      <c r="N206" s="3213"/>
      <c r="O206" s="3213"/>
    </row>
    <row r="207" spans="8:15">
      <c r="H207" s="3213"/>
      <c r="L207" s="3213"/>
      <c r="N207" s="3213"/>
      <c r="O207" s="3213"/>
    </row>
    <row r="208" spans="8:15">
      <c r="H208" s="3213"/>
      <c r="L208" s="3213"/>
      <c r="N208" s="3213"/>
      <c r="O208" s="3213"/>
    </row>
    <row r="209" spans="8:15">
      <c r="H209" s="3213"/>
      <c r="L209" s="3213"/>
      <c r="N209" s="3213"/>
      <c r="O209" s="3213"/>
    </row>
    <row r="210" spans="8:15">
      <c r="H210" s="3213"/>
      <c r="L210" s="3213"/>
      <c r="N210" s="3213"/>
      <c r="O210" s="3213"/>
    </row>
    <row r="211" spans="8:15">
      <c r="H211" s="3213"/>
      <c r="L211" s="3213"/>
      <c r="N211" s="3213"/>
      <c r="O211" s="3213"/>
    </row>
    <row r="212" spans="8:15">
      <c r="H212" s="3213"/>
      <c r="L212" s="3213"/>
      <c r="N212" s="3213"/>
      <c r="O212" s="3213"/>
    </row>
    <row r="213" spans="8:15">
      <c r="H213" s="3213"/>
      <c r="L213" s="3213"/>
      <c r="N213" s="3213"/>
      <c r="O213" s="3213"/>
    </row>
    <row r="214" spans="8:15">
      <c r="H214" s="3213"/>
      <c r="L214" s="3213"/>
      <c r="N214" s="3213"/>
      <c r="O214" s="3213"/>
    </row>
    <row r="215" spans="8:15">
      <c r="H215" s="3213"/>
      <c r="L215" s="3213"/>
      <c r="N215" s="3213"/>
      <c r="O215" s="3213"/>
    </row>
    <row r="216" spans="8:15">
      <c r="H216" s="3213"/>
      <c r="L216" s="3213"/>
      <c r="N216" s="3213"/>
      <c r="O216" s="3213"/>
    </row>
    <row r="217" spans="8:15">
      <c r="H217" s="3213"/>
      <c r="L217" s="3213"/>
      <c r="N217" s="3213"/>
      <c r="O217" s="3213"/>
    </row>
    <row r="218" spans="8:15">
      <c r="H218" s="3213"/>
      <c r="L218" s="3213"/>
      <c r="N218" s="3213"/>
      <c r="O218" s="3213"/>
    </row>
    <row r="219" spans="8:15">
      <c r="H219" s="3213"/>
      <c r="L219" s="3213"/>
      <c r="N219" s="3213"/>
      <c r="O219" s="3213"/>
    </row>
    <row r="220" spans="8:15">
      <c r="H220" s="3213"/>
      <c r="L220" s="3213"/>
      <c r="N220" s="3213"/>
      <c r="O220" s="3213"/>
    </row>
    <row r="221" spans="8:15">
      <c r="H221" s="3213"/>
      <c r="L221" s="3213"/>
      <c r="N221" s="3213"/>
      <c r="O221" s="3213"/>
    </row>
    <row r="222" spans="8:15">
      <c r="H222" s="3213"/>
      <c r="L222" s="3213"/>
      <c r="N222" s="3213"/>
      <c r="O222" s="3213"/>
    </row>
    <row r="223" spans="8:15">
      <c r="H223" s="3213"/>
      <c r="L223" s="3213"/>
      <c r="N223" s="3213"/>
      <c r="O223" s="3213"/>
    </row>
    <row r="224" spans="8:15">
      <c r="H224" s="3213"/>
      <c r="L224" s="3213"/>
      <c r="N224" s="3213"/>
      <c r="O224" s="3213"/>
    </row>
    <row r="225" spans="8:15">
      <c r="H225" s="3213"/>
      <c r="L225" s="3213"/>
      <c r="N225" s="3213"/>
      <c r="O225" s="3213"/>
    </row>
    <row r="226" spans="8:15">
      <c r="H226" s="3213"/>
      <c r="L226" s="3213"/>
      <c r="N226" s="3213"/>
      <c r="O226" s="3213"/>
    </row>
    <row r="227" spans="8:15">
      <c r="H227" s="3213"/>
      <c r="L227" s="3213"/>
      <c r="N227" s="3213"/>
      <c r="O227" s="3213"/>
    </row>
    <row r="228" spans="8:15">
      <c r="H228" s="3213"/>
      <c r="L228" s="3213"/>
      <c r="N228" s="3213"/>
      <c r="O228" s="3213"/>
    </row>
    <row r="229" spans="8:15">
      <c r="H229" s="3213"/>
      <c r="L229" s="3213"/>
      <c r="N229" s="3213"/>
      <c r="O229" s="3213"/>
    </row>
    <row r="230" spans="8:15">
      <c r="H230" s="3213"/>
      <c r="L230" s="3213"/>
      <c r="N230" s="3213"/>
      <c r="O230" s="3213"/>
    </row>
    <row r="231" spans="8:15">
      <c r="H231" s="3213"/>
      <c r="L231" s="3213"/>
      <c r="N231" s="3213"/>
      <c r="O231" s="3213"/>
    </row>
    <row r="232" spans="8:15">
      <c r="H232" s="3213"/>
      <c r="L232" s="3213"/>
      <c r="N232" s="3213"/>
      <c r="O232" s="3213"/>
    </row>
    <row r="233" spans="8:15">
      <c r="H233" s="3213"/>
      <c r="L233" s="3213"/>
      <c r="N233" s="3213"/>
      <c r="O233" s="3213"/>
    </row>
    <row r="234" spans="8:15">
      <c r="H234" s="3213"/>
      <c r="L234" s="3213"/>
      <c r="N234" s="3213"/>
      <c r="O234" s="3213"/>
    </row>
    <row r="235" spans="8:15">
      <c r="H235" s="3213"/>
      <c r="L235" s="3213"/>
      <c r="N235" s="3213"/>
      <c r="O235" s="3213"/>
    </row>
    <row r="236" spans="8:15">
      <c r="H236" s="3213"/>
      <c r="L236" s="3213"/>
      <c r="N236" s="3213"/>
      <c r="O236" s="3213"/>
    </row>
    <row r="237" spans="8:15">
      <c r="H237" s="3213"/>
      <c r="L237" s="3213"/>
      <c r="N237" s="3213"/>
      <c r="O237" s="3213"/>
    </row>
    <row r="238" spans="8:15">
      <c r="H238" s="3213"/>
      <c r="L238" s="3213"/>
      <c r="N238" s="3213"/>
      <c r="O238" s="3213"/>
    </row>
    <row r="239" spans="8:15">
      <c r="H239" s="3213"/>
      <c r="L239" s="3213"/>
      <c r="N239" s="3213"/>
      <c r="O239" s="3213"/>
    </row>
    <row r="240" spans="8:15">
      <c r="H240" s="3213"/>
      <c r="L240" s="3213"/>
      <c r="N240" s="3213"/>
      <c r="O240" s="3213"/>
    </row>
    <row r="241" spans="8:15">
      <c r="H241" s="3213"/>
      <c r="L241" s="3213"/>
      <c r="N241" s="3213"/>
      <c r="O241" s="3213"/>
    </row>
    <row r="242" spans="8:15">
      <c r="H242" s="3213"/>
      <c r="L242" s="3213"/>
      <c r="N242" s="3213"/>
      <c r="O242" s="3213"/>
    </row>
    <row r="243" spans="8:15">
      <c r="H243" s="3213"/>
      <c r="L243" s="3213"/>
      <c r="N243" s="3213"/>
      <c r="O243" s="3213"/>
    </row>
    <row r="244" spans="8:15">
      <c r="H244" s="3213"/>
      <c r="L244" s="3213"/>
      <c r="N244" s="3213"/>
      <c r="O244" s="3213"/>
    </row>
    <row r="245" spans="8:15">
      <c r="H245" s="3213"/>
      <c r="L245" s="3213"/>
      <c r="N245" s="3213"/>
      <c r="O245" s="3213"/>
    </row>
    <row r="246" spans="8:15">
      <c r="H246" s="3213"/>
      <c r="L246" s="3213"/>
      <c r="N246" s="3213"/>
      <c r="O246" s="3213"/>
    </row>
    <row r="247" spans="8:15">
      <c r="H247" s="3213"/>
      <c r="L247" s="3213"/>
      <c r="N247" s="3213"/>
      <c r="O247" s="3213"/>
    </row>
    <row r="248" spans="8:15">
      <c r="H248" s="3213"/>
      <c r="L248" s="3213"/>
      <c r="N248" s="3213"/>
      <c r="O248" s="3213"/>
    </row>
    <row r="249" spans="8:15">
      <c r="H249" s="3213"/>
      <c r="L249" s="3213"/>
      <c r="N249" s="3213"/>
      <c r="O249" s="3213"/>
    </row>
    <row r="250" spans="8:15">
      <c r="H250" s="3213"/>
      <c r="L250" s="3213"/>
      <c r="N250" s="3213"/>
      <c r="O250" s="3213"/>
    </row>
    <row r="251" spans="8:15">
      <c r="H251" s="3213"/>
      <c r="L251" s="3213"/>
      <c r="N251" s="3213"/>
      <c r="O251" s="3213"/>
    </row>
    <row r="252" spans="8:15">
      <c r="H252" s="3213"/>
      <c r="L252" s="3213"/>
      <c r="N252" s="3213"/>
      <c r="O252" s="3213"/>
    </row>
    <row r="253" spans="8:15">
      <c r="H253" s="3213"/>
      <c r="L253" s="3213"/>
      <c r="N253" s="3213"/>
      <c r="O253" s="3213"/>
    </row>
    <row r="254" spans="8:15">
      <c r="H254" s="3213"/>
      <c r="L254" s="3213"/>
      <c r="N254" s="3213"/>
      <c r="O254" s="3213"/>
    </row>
    <row r="255" spans="8:15">
      <c r="H255" s="3213"/>
      <c r="L255" s="3213"/>
      <c r="N255" s="3213"/>
      <c r="O255" s="3213"/>
    </row>
    <row r="256" spans="8:15">
      <c r="H256" s="3213"/>
      <c r="L256" s="3213"/>
      <c r="N256" s="3213"/>
      <c r="O256" s="3213"/>
    </row>
    <row r="257" spans="8:15">
      <c r="H257" s="3213"/>
      <c r="L257" s="3213"/>
      <c r="N257" s="3213"/>
      <c r="O257" s="3213"/>
    </row>
    <row r="258" spans="8:15">
      <c r="H258" s="3213"/>
      <c r="L258" s="3213"/>
      <c r="N258" s="3213"/>
      <c r="O258" s="3213"/>
    </row>
    <row r="259" spans="8:15">
      <c r="H259" s="3213"/>
      <c r="L259" s="3213"/>
      <c r="N259" s="3213"/>
      <c r="O259" s="3213"/>
    </row>
    <row r="260" spans="8:15">
      <c r="H260" s="3213"/>
      <c r="L260" s="3213"/>
      <c r="N260" s="3213"/>
      <c r="O260" s="3213"/>
    </row>
    <row r="261" spans="8:15">
      <c r="H261" s="3213"/>
      <c r="L261" s="3213"/>
      <c r="N261" s="3213"/>
      <c r="O261" s="3213"/>
    </row>
    <row r="262" spans="8:15">
      <c r="H262" s="3213"/>
      <c r="L262" s="3213"/>
      <c r="N262" s="3213"/>
      <c r="O262" s="3213"/>
    </row>
    <row r="263" spans="8:15">
      <c r="H263" s="3213"/>
      <c r="L263" s="3213"/>
      <c r="N263" s="3213"/>
      <c r="O263" s="3213"/>
    </row>
    <row r="264" spans="8:15">
      <c r="H264" s="3213"/>
      <c r="L264" s="3213"/>
      <c r="N264" s="3213"/>
      <c r="O264" s="3213"/>
    </row>
    <row r="265" spans="8:15">
      <c r="H265" s="3213"/>
      <c r="L265" s="3213"/>
      <c r="N265" s="3213"/>
      <c r="O265" s="3213"/>
    </row>
    <row r="266" spans="8:15">
      <c r="H266" s="3213"/>
      <c r="L266" s="3213"/>
      <c r="N266" s="3213"/>
      <c r="O266" s="3213"/>
    </row>
    <row r="267" spans="8:15">
      <c r="H267" s="3213"/>
      <c r="L267" s="3213"/>
      <c r="N267" s="3213"/>
      <c r="O267" s="3213"/>
    </row>
    <row r="268" spans="8:15">
      <c r="H268" s="3213"/>
      <c r="L268" s="3213"/>
      <c r="N268" s="3213"/>
      <c r="O268" s="3213"/>
    </row>
    <row r="269" spans="8:15">
      <c r="H269" s="3213"/>
      <c r="L269" s="3213"/>
      <c r="N269" s="3213"/>
      <c r="O269" s="3213"/>
    </row>
    <row r="270" spans="8:15">
      <c r="H270" s="3213"/>
      <c r="L270" s="3213"/>
      <c r="N270" s="3213"/>
      <c r="O270" s="3213"/>
    </row>
    <row r="271" spans="8:15">
      <c r="H271" s="3213"/>
      <c r="L271" s="3213"/>
      <c r="N271" s="3213"/>
      <c r="O271" s="3213"/>
    </row>
    <row r="272" spans="8:15">
      <c r="H272" s="3213"/>
      <c r="L272" s="3213"/>
      <c r="N272" s="3213"/>
      <c r="O272" s="3213"/>
    </row>
    <row r="273" spans="8:15">
      <c r="H273" s="3213"/>
      <c r="L273" s="3213"/>
      <c r="N273" s="3213"/>
      <c r="O273" s="3213"/>
    </row>
    <row r="274" spans="8:15">
      <c r="H274" s="3213"/>
      <c r="L274" s="3213"/>
      <c r="N274" s="3213"/>
      <c r="O274" s="3213"/>
    </row>
    <row r="275" spans="8:15">
      <c r="H275" s="3213"/>
      <c r="L275" s="3213"/>
      <c r="N275" s="3213"/>
      <c r="O275" s="3213"/>
    </row>
    <row r="276" spans="8:15">
      <c r="H276" s="3213"/>
      <c r="L276" s="3213"/>
      <c r="N276" s="3213"/>
      <c r="O276" s="3213"/>
    </row>
    <row r="277" spans="8:15">
      <c r="H277" s="3213"/>
      <c r="L277" s="3213"/>
      <c r="N277" s="3213"/>
      <c r="O277" s="3213"/>
    </row>
    <row r="278" spans="8:15">
      <c r="H278" s="3213"/>
      <c r="L278" s="3213"/>
      <c r="N278" s="3213"/>
      <c r="O278" s="3213"/>
    </row>
    <row r="279" spans="8:15">
      <c r="H279" s="3213"/>
      <c r="L279" s="3213"/>
      <c r="N279" s="3213"/>
      <c r="O279" s="3213"/>
    </row>
    <row r="280" spans="8:15">
      <c r="H280" s="3213"/>
      <c r="L280" s="3213"/>
      <c r="N280" s="3213"/>
      <c r="O280" s="3213"/>
    </row>
    <row r="281" spans="8:15">
      <c r="H281" s="3213"/>
      <c r="L281" s="3213"/>
      <c r="N281" s="3213"/>
      <c r="O281" s="3213"/>
    </row>
    <row r="282" spans="8:15">
      <c r="H282" s="3213"/>
      <c r="L282" s="3213"/>
      <c r="N282" s="3213"/>
      <c r="O282" s="3213"/>
    </row>
    <row r="283" spans="8:15">
      <c r="H283" s="3213"/>
      <c r="L283" s="3213"/>
      <c r="N283" s="3213"/>
      <c r="O283" s="3213"/>
    </row>
    <row r="284" spans="8:15">
      <c r="H284" s="3213"/>
      <c r="L284" s="3213"/>
      <c r="N284" s="3213"/>
      <c r="O284" s="3213"/>
    </row>
    <row r="285" spans="8:15">
      <c r="H285" s="3213"/>
      <c r="L285" s="3213"/>
      <c r="N285" s="3213"/>
      <c r="O285" s="3213"/>
    </row>
    <row r="286" spans="8:15">
      <c r="H286" s="3213"/>
      <c r="L286" s="3213"/>
      <c r="N286" s="3213"/>
      <c r="O286" s="3213"/>
    </row>
    <row r="287" spans="8:15">
      <c r="H287" s="3213"/>
      <c r="L287" s="3213"/>
      <c r="N287" s="3213"/>
      <c r="O287" s="3213"/>
    </row>
    <row r="288" spans="8:15">
      <c r="H288" s="3213"/>
      <c r="L288" s="3213"/>
      <c r="N288" s="3213"/>
      <c r="O288" s="3213"/>
    </row>
    <row r="289" spans="8:15">
      <c r="H289" s="3213"/>
      <c r="L289" s="3213"/>
      <c r="N289" s="3213"/>
      <c r="O289" s="3213"/>
    </row>
    <row r="290" spans="8:15">
      <c r="H290" s="3213"/>
      <c r="L290" s="3213"/>
      <c r="N290" s="3213"/>
      <c r="O290" s="3213"/>
    </row>
    <row r="291" spans="8:15">
      <c r="H291" s="3213"/>
      <c r="L291" s="3213"/>
      <c r="N291" s="3213"/>
      <c r="O291" s="3213"/>
    </row>
    <row r="292" spans="8:15">
      <c r="H292" s="3213"/>
      <c r="L292" s="3213"/>
      <c r="N292" s="3213"/>
      <c r="O292" s="3213"/>
    </row>
    <row r="293" spans="8:15">
      <c r="H293" s="3213"/>
      <c r="L293" s="3213"/>
      <c r="N293" s="3213"/>
      <c r="O293" s="3213"/>
    </row>
    <row r="294" spans="8:15">
      <c r="H294" s="3213"/>
      <c r="L294" s="3213"/>
      <c r="N294" s="3213"/>
      <c r="O294" s="3213"/>
    </row>
    <row r="295" spans="8:15">
      <c r="H295" s="3213"/>
      <c r="L295" s="3213"/>
      <c r="N295" s="3213"/>
      <c r="O295" s="3213"/>
    </row>
    <row r="296" spans="8:15">
      <c r="H296" s="3213"/>
      <c r="L296" s="3213"/>
      <c r="N296" s="3213"/>
      <c r="O296" s="3213"/>
    </row>
    <row r="297" spans="8:15">
      <c r="H297" s="3213"/>
      <c r="L297" s="3213"/>
      <c r="N297" s="3213"/>
      <c r="O297" s="3213"/>
    </row>
    <row r="298" spans="8:15">
      <c r="H298" s="3213"/>
      <c r="L298" s="3213"/>
      <c r="N298" s="3213"/>
      <c r="O298" s="3213"/>
    </row>
    <row r="299" spans="8:15">
      <c r="H299" s="3213"/>
      <c r="L299" s="3213"/>
      <c r="N299" s="3213"/>
      <c r="O299" s="3213"/>
    </row>
    <row r="300" spans="8:15">
      <c r="H300" s="3213"/>
      <c r="L300" s="3213"/>
      <c r="N300" s="3213"/>
      <c r="O300" s="3213"/>
    </row>
    <row r="301" spans="8:15">
      <c r="H301" s="3213"/>
      <c r="L301" s="3213"/>
      <c r="N301" s="3213"/>
      <c r="O301" s="3213"/>
    </row>
    <row r="302" spans="8:15">
      <c r="H302" s="3213"/>
      <c r="L302" s="3213"/>
      <c r="N302" s="3213"/>
      <c r="O302" s="3213"/>
    </row>
    <row r="303" spans="8:15">
      <c r="H303" s="3213"/>
      <c r="L303" s="3213"/>
      <c r="N303" s="3213"/>
      <c r="O303" s="3213"/>
    </row>
    <row r="304" spans="8:15">
      <c r="H304" s="3213"/>
      <c r="L304" s="3213"/>
      <c r="N304" s="3213"/>
      <c r="O304" s="3213"/>
    </row>
    <row r="305" spans="8:15">
      <c r="H305" s="3213"/>
      <c r="L305" s="3213"/>
      <c r="N305" s="3213"/>
      <c r="O305" s="3213"/>
    </row>
    <row r="306" spans="8:15">
      <c r="H306" s="3213"/>
      <c r="L306" s="3213"/>
      <c r="N306" s="3213"/>
      <c r="O306" s="3213"/>
    </row>
    <row r="307" spans="8:15">
      <c r="H307" s="3213"/>
      <c r="L307" s="3213"/>
      <c r="N307" s="3213"/>
      <c r="O307" s="3213"/>
    </row>
    <row r="308" spans="8:15">
      <c r="H308" s="3213"/>
      <c r="L308" s="3213"/>
      <c r="N308" s="3213"/>
      <c r="O308" s="3213"/>
    </row>
    <row r="309" spans="8:15">
      <c r="H309" s="3213"/>
      <c r="L309" s="3213"/>
      <c r="N309" s="3213"/>
      <c r="O309" s="3213"/>
    </row>
    <row r="310" spans="8:15">
      <c r="H310" s="3213"/>
      <c r="L310" s="3213"/>
      <c r="N310" s="3213"/>
      <c r="O310" s="3213"/>
    </row>
    <row r="311" spans="8:15">
      <c r="H311" s="3213"/>
      <c r="L311" s="3213"/>
      <c r="N311" s="3213"/>
      <c r="O311" s="3213"/>
    </row>
    <row r="312" spans="8:15">
      <c r="H312" s="3213"/>
      <c r="L312" s="3213"/>
      <c r="N312" s="3213"/>
      <c r="O312" s="3213"/>
    </row>
    <row r="313" spans="8:15">
      <c r="H313" s="3213"/>
      <c r="L313" s="3213"/>
      <c r="N313" s="3213"/>
      <c r="O313" s="3213"/>
    </row>
    <row r="314" spans="8:15">
      <c r="H314" s="3213"/>
      <c r="L314" s="3213"/>
      <c r="N314" s="3213"/>
      <c r="O314" s="3213"/>
    </row>
    <row r="315" spans="8:15">
      <c r="H315" s="3213"/>
      <c r="L315" s="3213"/>
      <c r="N315" s="3213"/>
      <c r="O315" s="3213"/>
    </row>
    <row r="316" spans="8:15">
      <c r="H316" s="3213"/>
      <c r="L316" s="3213"/>
      <c r="N316" s="3213"/>
      <c r="O316" s="3213"/>
    </row>
    <row r="317" spans="8:15">
      <c r="H317" s="3213"/>
      <c r="L317" s="3213"/>
      <c r="N317" s="3213"/>
      <c r="O317" s="3213"/>
    </row>
    <row r="318" spans="8:15">
      <c r="H318" s="3213"/>
      <c r="L318" s="3213"/>
      <c r="N318" s="3213"/>
      <c r="O318" s="3213"/>
    </row>
    <row r="319" spans="8:15">
      <c r="H319" s="3213"/>
      <c r="L319" s="3213"/>
      <c r="N319" s="3213"/>
      <c r="O319" s="3213"/>
    </row>
    <row r="320" spans="8:15">
      <c r="H320" s="3213"/>
      <c r="L320" s="3213"/>
      <c r="N320" s="3213"/>
      <c r="O320" s="3213"/>
    </row>
    <row r="321" spans="8:15">
      <c r="H321" s="3213"/>
      <c r="L321" s="3213"/>
      <c r="N321" s="3213"/>
      <c r="O321" s="3213"/>
    </row>
    <row r="322" spans="8:15">
      <c r="H322" s="3213"/>
      <c r="L322" s="3213"/>
      <c r="N322" s="3213"/>
      <c r="O322" s="3213"/>
    </row>
    <row r="323" spans="8:15">
      <c r="H323" s="3213"/>
      <c r="L323" s="3213"/>
      <c r="N323" s="3213"/>
      <c r="O323" s="3213"/>
    </row>
    <row r="324" spans="8:15">
      <c r="H324" s="3213"/>
      <c r="L324" s="3213"/>
      <c r="N324" s="3213"/>
      <c r="O324" s="3213"/>
    </row>
    <row r="325" spans="8:15">
      <c r="H325" s="3213"/>
      <c r="L325" s="3213"/>
      <c r="N325" s="3213"/>
      <c r="O325" s="3213"/>
    </row>
    <row r="326" spans="8:15">
      <c r="H326" s="3213"/>
      <c r="L326" s="3213"/>
      <c r="N326" s="3213"/>
      <c r="O326" s="3213"/>
    </row>
    <row r="327" spans="8:15">
      <c r="H327" s="3213"/>
      <c r="L327" s="3213"/>
      <c r="N327" s="3213"/>
      <c r="O327" s="3213"/>
    </row>
    <row r="328" spans="8:15">
      <c r="H328" s="3213"/>
      <c r="L328" s="3213"/>
      <c r="N328" s="3213"/>
      <c r="O328" s="3213"/>
    </row>
    <row r="329" spans="8:15">
      <c r="H329" s="3213"/>
      <c r="L329" s="3213"/>
      <c r="N329" s="3213"/>
      <c r="O329" s="3213"/>
    </row>
    <row r="330" spans="8:15">
      <c r="H330" s="3213"/>
      <c r="L330" s="3213"/>
      <c r="N330" s="3213"/>
      <c r="O330" s="3213"/>
    </row>
    <row r="331" spans="8:15">
      <c r="H331" s="3213"/>
      <c r="L331" s="3213"/>
      <c r="N331" s="3213"/>
      <c r="O331" s="3213"/>
    </row>
    <row r="332" spans="8:15">
      <c r="H332" s="3213"/>
      <c r="L332" s="3213"/>
      <c r="N332" s="3213"/>
      <c r="O332" s="3213"/>
    </row>
    <row r="333" spans="8:15">
      <c r="H333" s="3213"/>
      <c r="L333" s="3213"/>
      <c r="N333" s="3213"/>
      <c r="O333" s="3213"/>
    </row>
    <row r="334" spans="8:15">
      <c r="H334" s="3213"/>
      <c r="L334" s="3213"/>
      <c r="N334" s="3213"/>
      <c r="O334" s="3213"/>
    </row>
    <row r="335" spans="8:15">
      <c r="H335" s="3213"/>
      <c r="L335" s="3213"/>
      <c r="N335" s="3213"/>
      <c r="O335" s="3213"/>
    </row>
    <row r="336" spans="8:15">
      <c r="H336" s="3213"/>
      <c r="L336" s="3213"/>
      <c r="N336" s="3213"/>
      <c r="O336" s="3213"/>
    </row>
    <row r="337" spans="8:15">
      <c r="H337" s="3213"/>
      <c r="L337" s="3213"/>
      <c r="N337" s="3213"/>
      <c r="O337" s="3213"/>
    </row>
    <row r="338" spans="8:15">
      <c r="H338" s="3213"/>
      <c r="L338" s="3213"/>
      <c r="N338" s="3213"/>
      <c r="O338" s="3213"/>
    </row>
    <row r="339" spans="8:15">
      <c r="H339" s="3213"/>
      <c r="L339" s="3213"/>
      <c r="N339" s="3213"/>
      <c r="O339" s="3213"/>
    </row>
    <row r="340" spans="8:15">
      <c r="H340" s="3213"/>
      <c r="L340" s="3213"/>
      <c r="N340" s="3213"/>
      <c r="O340" s="3213"/>
    </row>
    <row r="341" spans="8:15">
      <c r="H341" s="3213"/>
      <c r="L341" s="3213"/>
      <c r="N341" s="3213"/>
      <c r="O341" s="3213"/>
    </row>
    <row r="342" spans="8:15">
      <c r="H342" s="3213"/>
      <c r="L342" s="3213"/>
      <c r="N342" s="3213"/>
      <c r="O342" s="3213"/>
    </row>
    <row r="343" spans="8:15">
      <c r="H343" s="3213"/>
      <c r="L343" s="3213"/>
      <c r="N343" s="3213"/>
      <c r="O343" s="3213"/>
    </row>
    <row r="344" spans="8:15">
      <c r="H344" s="3213"/>
      <c r="L344" s="3213"/>
      <c r="N344" s="3213"/>
      <c r="O344" s="3213"/>
    </row>
    <row r="345" spans="8:15">
      <c r="H345" s="3213"/>
      <c r="L345" s="3213"/>
      <c r="N345" s="3213"/>
      <c r="O345" s="3213"/>
    </row>
    <row r="346" spans="8:15">
      <c r="H346" s="3213"/>
      <c r="L346" s="3213"/>
      <c r="N346" s="3213"/>
      <c r="O346" s="3213"/>
    </row>
    <row r="347" spans="8:15">
      <c r="H347" s="3213"/>
      <c r="L347" s="3213"/>
      <c r="N347" s="3213"/>
      <c r="O347" s="3213"/>
    </row>
    <row r="348" spans="8:15">
      <c r="H348" s="3213"/>
      <c r="L348" s="3213"/>
      <c r="N348" s="3213"/>
      <c r="O348" s="3213"/>
    </row>
    <row r="349" spans="8:15">
      <c r="H349" s="3213"/>
      <c r="L349" s="3213"/>
      <c r="N349" s="3213"/>
      <c r="O349" s="3213"/>
    </row>
    <row r="350" spans="8:15">
      <c r="H350" s="3213"/>
      <c r="L350" s="3213"/>
      <c r="N350" s="3213"/>
      <c r="O350" s="3213"/>
    </row>
    <row r="351" spans="8:15">
      <c r="H351" s="3213"/>
      <c r="L351" s="3213"/>
      <c r="N351" s="3213"/>
      <c r="O351" s="3213"/>
    </row>
    <row r="352" spans="8:15">
      <c r="H352" s="3213"/>
      <c r="L352" s="3213"/>
      <c r="N352" s="3213"/>
      <c r="O352" s="3213"/>
    </row>
    <row r="353" spans="8:15">
      <c r="H353" s="3213"/>
      <c r="L353" s="3213"/>
      <c r="N353" s="3213"/>
      <c r="O353" s="3213"/>
    </row>
    <row r="354" spans="8:15">
      <c r="H354" s="3213"/>
      <c r="L354" s="3213"/>
      <c r="N354" s="3213"/>
      <c r="O354" s="3213"/>
    </row>
    <row r="355" spans="8:15">
      <c r="H355" s="3213"/>
      <c r="L355" s="3213"/>
      <c r="N355" s="3213"/>
      <c r="O355" s="3213"/>
    </row>
    <row r="356" spans="8:15">
      <c r="H356" s="3213"/>
      <c r="L356" s="3213"/>
      <c r="N356" s="3213"/>
      <c r="O356" s="3213"/>
    </row>
    <row r="357" spans="8:15">
      <c r="H357" s="3213"/>
      <c r="L357" s="3213"/>
      <c r="N357" s="3213"/>
      <c r="O357" s="3213"/>
    </row>
    <row r="358" spans="8:15">
      <c r="H358" s="3213"/>
      <c r="L358" s="3213"/>
      <c r="N358" s="3213"/>
      <c r="O358" s="3213"/>
    </row>
    <row r="359" spans="8:15">
      <c r="H359" s="3213"/>
      <c r="L359" s="3213"/>
      <c r="N359" s="3213"/>
      <c r="O359" s="3213"/>
    </row>
    <row r="360" spans="8:15">
      <c r="H360" s="3213"/>
      <c r="L360" s="3213"/>
      <c r="N360" s="3213"/>
      <c r="O360" s="3213"/>
    </row>
    <row r="361" spans="8:15">
      <c r="H361" s="3213"/>
      <c r="L361" s="3213"/>
      <c r="N361" s="3213"/>
      <c r="O361" s="3213"/>
    </row>
    <row r="362" spans="8:15">
      <c r="H362" s="3213"/>
      <c r="L362" s="3213"/>
      <c r="N362" s="3213"/>
      <c r="O362" s="3213"/>
    </row>
    <row r="363" spans="8:15">
      <c r="H363" s="3213"/>
      <c r="L363" s="3213"/>
      <c r="N363" s="3213"/>
      <c r="O363" s="3213"/>
    </row>
    <row r="364" spans="8:15">
      <c r="H364" s="3213"/>
      <c r="L364" s="3213"/>
      <c r="N364" s="3213"/>
      <c r="O364" s="3213"/>
    </row>
    <row r="365" spans="8:15">
      <c r="H365" s="3213"/>
      <c r="L365" s="3213"/>
      <c r="N365" s="3213"/>
      <c r="O365" s="3213"/>
    </row>
    <row r="366" spans="8:15">
      <c r="H366" s="3213"/>
      <c r="L366" s="3213"/>
      <c r="N366" s="3213"/>
      <c r="O366" s="3213"/>
    </row>
    <row r="367" spans="8:15">
      <c r="H367" s="3213"/>
      <c r="L367" s="3213"/>
      <c r="N367" s="3213"/>
      <c r="O367" s="3213"/>
    </row>
    <row r="368" spans="8:15">
      <c r="H368" s="3213"/>
      <c r="L368" s="3213"/>
      <c r="N368" s="3213"/>
      <c r="O368" s="3213"/>
    </row>
    <row r="369" spans="8:15">
      <c r="H369" s="3213"/>
      <c r="L369" s="3213"/>
      <c r="N369" s="3213"/>
      <c r="O369" s="3213"/>
    </row>
    <row r="370" spans="8:15">
      <c r="H370" s="3213"/>
      <c r="L370" s="3213"/>
      <c r="N370" s="3213"/>
      <c r="O370" s="3213"/>
    </row>
    <row r="371" spans="8:15">
      <c r="H371" s="3213"/>
      <c r="L371" s="3213"/>
      <c r="N371" s="3213"/>
      <c r="O371" s="3213"/>
    </row>
    <row r="372" spans="8:15">
      <c r="H372" s="3213"/>
      <c r="L372" s="3213"/>
      <c r="N372" s="3213"/>
      <c r="O372" s="3213"/>
    </row>
    <row r="373" spans="8:15">
      <c r="H373" s="3213"/>
      <c r="L373" s="3213"/>
      <c r="N373" s="3213"/>
      <c r="O373" s="3213"/>
    </row>
    <row r="374" spans="8:15">
      <c r="H374" s="3213"/>
      <c r="L374" s="3213"/>
      <c r="N374" s="3213"/>
      <c r="O374" s="3213"/>
    </row>
    <row r="375" spans="8:15">
      <c r="H375" s="3213"/>
      <c r="L375" s="3213"/>
      <c r="N375" s="3213"/>
      <c r="O375" s="3213"/>
    </row>
    <row r="376" spans="8:15">
      <c r="H376" s="3213"/>
      <c r="L376" s="3213"/>
      <c r="N376" s="3213"/>
      <c r="O376" s="3213"/>
    </row>
    <row r="377" spans="8:15">
      <c r="H377" s="3213"/>
      <c r="L377" s="3213"/>
      <c r="N377" s="3213"/>
      <c r="O377" s="3213"/>
    </row>
    <row r="378" spans="8:15">
      <c r="H378" s="3213"/>
      <c r="L378" s="3213"/>
      <c r="N378" s="3213"/>
      <c r="O378" s="3213"/>
    </row>
    <row r="379" spans="8:15">
      <c r="H379" s="3213"/>
      <c r="L379" s="3213"/>
      <c r="N379" s="3213"/>
      <c r="O379" s="3213"/>
    </row>
    <row r="380" spans="8:15">
      <c r="H380" s="3213"/>
      <c r="L380" s="3213"/>
      <c r="N380" s="3213"/>
      <c r="O380" s="3213"/>
    </row>
    <row r="381" spans="8:15">
      <c r="H381" s="3213"/>
      <c r="L381" s="3213"/>
      <c r="N381" s="3213"/>
      <c r="O381" s="3213"/>
    </row>
    <row r="382" spans="8:15">
      <c r="H382" s="3213"/>
      <c r="L382" s="3213"/>
      <c r="N382" s="3213"/>
      <c r="O382" s="3213"/>
    </row>
    <row r="383" spans="8:15">
      <c r="H383" s="3213"/>
      <c r="L383" s="3213"/>
      <c r="N383" s="3213"/>
      <c r="O383" s="3213"/>
    </row>
    <row r="384" spans="8:15">
      <c r="H384" s="3213"/>
      <c r="L384" s="3213"/>
      <c r="N384" s="3213"/>
      <c r="O384" s="3213"/>
    </row>
    <row r="385" spans="8:15">
      <c r="H385" s="3213"/>
      <c r="L385" s="3213"/>
      <c r="N385" s="3213"/>
      <c r="O385" s="3213"/>
    </row>
    <row r="386" spans="8:15">
      <c r="H386" s="3213"/>
      <c r="L386" s="3213"/>
      <c r="N386" s="3213"/>
      <c r="O386" s="3213"/>
    </row>
    <row r="387" spans="8:15">
      <c r="H387" s="3213"/>
      <c r="L387" s="3213"/>
      <c r="N387" s="3213"/>
      <c r="O387" s="3213"/>
    </row>
    <row r="388" spans="8:15">
      <c r="H388" s="3213"/>
      <c r="L388" s="3213"/>
      <c r="N388" s="3213"/>
      <c r="O388" s="3213"/>
    </row>
    <row r="389" spans="8:15">
      <c r="H389" s="3213"/>
      <c r="L389" s="3213"/>
      <c r="N389" s="3213"/>
      <c r="O389" s="3213"/>
    </row>
    <row r="390" spans="8:15">
      <c r="H390" s="3213"/>
      <c r="L390" s="3213"/>
      <c r="N390" s="3213"/>
      <c r="O390" s="3213"/>
    </row>
    <row r="391" spans="8:15">
      <c r="H391" s="3213"/>
      <c r="L391" s="3213"/>
      <c r="N391" s="3213"/>
      <c r="O391" s="3213"/>
    </row>
    <row r="392" spans="8:15">
      <c r="H392" s="3213"/>
      <c r="L392" s="3213"/>
      <c r="N392" s="3213"/>
      <c r="O392" s="3213"/>
    </row>
    <row r="393" spans="8:15">
      <c r="H393" s="3213"/>
      <c r="L393" s="3213"/>
      <c r="N393" s="3213"/>
      <c r="O393" s="3213"/>
    </row>
    <row r="394" spans="8:15">
      <c r="H394" s="3213"/>
      <c r="L394" s="3213"/>
      <c r="N394" s="3213"/>
      <c r="O394" s="3213"/>
    </row>
    <row r="395" spans="8:15">
      <c r="H395" s="3213"/>
      <c r="L395" s="3213"/>
      <c r="N395" s="3213"/>
      <c r="O395" s="3213"/>
    </row>
    <row r="396" spans="8:15">
      <c r="H396" s="3213"/>
      <c r="L396" s="3213"/>
      <c r="N396" s="3213"/>
      <c r="O396" s="3213"/>
    </row>
    <row r="397" spans="8:15">
      <c r="H397" s="3213"/>
      <c r="L397" s="3213"/>
      <c r="N397" s="3213"/>
      <c r="O397" s="3213"/>
    </row>
    <row r="398" spans="8:15">
      <c r="H398" s="3213"/>
      <c r="L398" s="3213"/>
      <c r="N398" s="3213"/>
      <c r="O398" s="3213"/>
    </row>
    <row r="399" spans="8:15">
      <c r="H399" s="3213"/>
      <c r="L399" s="3213"/>
      <c r="N399" s="3213"/>
      <c r="O399" s="3213"/>
    </row>
    <row r="400" spans="8:15">
      <c r="H400" s="3213"/>
      <c r="L400" s="3213"/>
      <c r="N400" s="3213"/>
      <c r="O400" s="3213"/>
    </row>
    <row r="401" spans="8:15">
      <c r="H401" s="3213"/>
      <c r="L401" s="3213"/>
      <c r="N401" s="3213"/>
      <c r="O401" s="3213"/>
    </row>
    <row r="402" spans="8:15">
      <c r="H402" s="3213"/>
      <c r="L402" s="3213"/>
      <c r="N402" s="3213"/>
      <c r="O402" s="3213"/>
    </row>
    <row r="403" spans="8:15">
      <c r="H403" s="3213"/>
      <c r="L403" s="3213"/>
      <c r="N403" s="3213"/>
      <c r="O403" s="3213"/>
    </row>
    <row r="404" spans="8:15">
      <c r="H404" s="3213"/>
      <c r="L404" s="3213"/>
      <c r="N404" s="3213"/>
      <c r="O404" s="3213"/>
    </row>
    <row r="405" spans="8:15">
      <c r="H405" s="3213"/>
      <c r="L405" s="3213"/>
      <c r="N405" s="3213"/>
      <c r="O405" s="3213"/>
    </row>
    <row r="406" spans="8:15">
      <c r="H406" s="3213"/>
      <c r="L406" s="3213"/>
      <c r="N406" s="3213"/>
      <c r="O406" s="3213"/>
    </row>
    <row r="407" spans="8:15">
      <c r="H407" s="3213"/>
      <c r="L407" s="3213"/>
      <c r="N407" s="3213"/>
      <c r="O407" s="3213"/>
    </row>
    <row r="408" spans="8:15">
      <c r="H408" s="3213"/>
      <c r="L408" s="3213"/>
      <c r="N408" s="3213"/>
      <c r="O408" s="3213"/>
    </row>
    <row r="409" spans="8:15">
      <c r="H409" s="3213"/>
      <c r="L409" s="3213"/>
      <c r="N409" s="3213"/>
      <c r="O409" s="3213"/>
    </row>
    <row r="410" spans="8:15">
      <c r="H410" s="3213"/>
      <c r="L410" s="3213"/>
      <c r="N410" s="3213"/>
      <c r="O410" s="3213"/>
    </row>
    <row r="411" spans="8:15">
      <c r="H411" s="3213"/>
      <c r="L411" s="3213"/>
      <c r="N411" s="3213"/>
      <c r="O411" s="3213"/>
    </row>
    <row r="412" spans="8:15">
      <c r="H412" s="3213"/>
      <c r="L412" s="3213"/>
      <c r="N412" s="3213"/>
      <c r="O412" s="3213"/>
    </row>
    <row r="413" spans="8:15">
      <c r="H413" s="3213"/>
      <c r="L413" s="3213"/>
      <c r="N413" s="3213"/>
      <c r="O413" s="3213"/>
    </row>
    <row r="414" spans="8:15">
      <c r="H414" s="3213"/>
      <c r="L414" s="3213"/>
      <c r="N414" s="3213"/>
      <c r="O414" s="3213"/>
    </row>
    <row r="415" spans="8:15">
      <c r="H415" s="3213"/>
      <c r="L415" s="3213"/>
      <c r="N415" s="3213"/>
      <c r="O415" s="3213"/>
    </row>
    <row r="416" spans="8:15">
      <c r="H416" s="3213"/>
      <c r="L416" s="3213"/>
      <c r="N416" s="3213"/>
      <c r="O416" s="3213"/>
    </row>
    <row r="417" spans="8:15">
      <c r="H417" s="3213"/>
      <c r="L417" s="3213"/>
      <c r="N417" s="3213"/>
      <c r="O417" s="3213"/>
    </row>
    <row r="418" spans="8:15">
      <c r="H418" s="3213"/>
      <c r="L418" s="3213"/>
      <c r="N418" s="3213"/>
      <c r="O418" s="3213"/>
    </row>
    <row r="419" spans="8:15">
      <c r="H419" s="3213"/>
      <c r="L419" s="3213"/>
      <c r="N419" s="3213"/>
      <c r="O419" s="3213"/>
    </row>
    <row r="420" spans="8:15">
      <c r="H420" s="3213"/>
      <c r="L420" s="3213"/>
      <c r="N420" s="3213"/>
      <c r="O420" s="3213"/>
    </row>
    <row r="421" spans="8:15">
      <c r="H421" s="3213"/>
      <c r="L421" s="3213"/>
      <c r="N421" s="3213"/>
      <c r="O421" s="3213"/>
    </row>
    <row r="422" spans="8:15">
      <c r="H422" s="3213"/>
      <c r="L422" s="3213"/>
      <c r="N422" s="3213"/>
      <c r="O422" s="3213"/>
    </row>
    <row r="423" spans="8:15">
      <c r="H423" s="3213"/>
      <c r="L423" s="3213"/>
      <c r="N423" s="3213"/>
      <c r="O423" s="3213"/>
    </row>
    <row r="424" spans="8:15">
      <c r="H424" s="3213"/>
      <c r="L424" s="3213"/>
      <c r="N424" s="3213"/>
      <c r="O424" s="3213"/>
    </row>
    <row r="425" spans="8:15">
      <c r="H425" s="3213"/>
      <c r="L425" s="3213"/>
      <c r="N425" s="3213"/>
      <c r="O425" s="3213"/>
    </row>
    <row r="426" spans="8:15">
      <c r="H426" s="3213"/>
      <c r="L426" s="3213"/>
      <c r="N426" s="3213"/>
      <c r="O426" s="3213"/>
    </row>
    <row r="427" spans="8:15">
      <c r="H427" s="3213"/>
      <c r="L427" s="3213"/>
      <c r="N427" s="3213"/>
      <c r="O427" s="3213"/>
    </row>
    <row r="428" spans="8:15">
      <c r="H428" s="3213"/>
      <c r="L428" s="3213"/>
      <c r="N428" s="3213"/>
      <c r="O428" s="3213"/>
    </row>
    <row r="429" spans="8:15">
      <c r="H429" s="3213"/>
      <c r="L429" s="3213"/>
      <c r="N429" s="3213"/>
      <c r="O429" s="3213"/>
    </row>
    <row r="430" spans="8:15">
      <c r="H430" s="3213"/>
      <c r="L430" s="3213"/>
      <c r="N430" s="3213"/>
      <c r="O430" s="3213"/>
    </row>
    <row r="431" spans="8:15">
      <c r="H431" s="3213"/>
      <c r="L431" s="3213"/>
      <c r="N431" s="3213"/>
      <c r="O431" s="3213"/>
    </row>
    <row r="432" spans="8:15">
      <c r="H432" s="3213"/>
      <c r="L432" s="3213"/>
      <c r="N432" s="3213"/>
      <c r="O432" s="3213"/>
    </row>
    <row r="433" spans="8:15">
      <c r="H433" s="3213"/>
      <c r="L433" s="3213"/>
      <c r="N433" s="3213"/>
      <c r="O433" s="3213"/>
    </row>
    <row r="434" spans="8:15">
      <c r="H434" s="3213"/>
      <c r="L434" s="3213"/>
      <c r="N434" s="3213"/>
      <c r="O434" s="3213"/>
    </row>
    <row r="435" spans="8:15">
      <c r="H435" s="3213"/>
      <c r="L435" s="3213"/>
      <c r="N435" s="3213"/>
      <c r="O435" s="3213"/>
    </row>
    <row r="436" spans="8:15">
      <c r="H436" s="3213"/>
      <c r="L436" s="3213"/>
      <c r="N436" s="3213"/>
      <c r="O436" s="3213"/>
    </row>
    <row r="437" spans="8:15">
      <c r="H437" s="3213"/>
      <c r="L437" s="3213"/>
      <c r="N437" s="3213"/>
      <c r="O437" s="3213"/>
    </row>
    <row r="438" spans="8:15">
      <c r="H438" s="3213"/>
      <c r="L438" s="3213"/>
      <c r="N438" s="3213"/>
      <c r="O438" s="3213"/>
    </row>
    <row r="439" spans="8:15">
      <c r="H439" s="3213"/>
      <c r="L439" s="3213"/>
      <c r="N439" s="3213"/>
      <c r="O439" s="3213"/>
    </row>
    <row r="440" spans="8:15">
      <c r="H440" s="3213"/>
      <c r="L440" s="3213"/>
      <c r="N440" s="3213"/>
      <c r="O440" s="3213"/>
    </row>
    <row r="441" spans="8:15">
      <c r="H441" s="3213"/>
      <c r="L441" s="3213"/>
      <c r="N441" s="3213"/>
      <c r="O441" s="3213"/>
    </row>
    <row r="442" spans="8:15">
      <c r="H442" s="3213"/>
      <c r="L442" s="3213"/>
      <c r="N442" s="3213"/>
      <c r="O442" s="3213"/>
    </row>
    <row r="443" spans="8:15">
      <c r="H443" s="3213"/>
      <c r="L443" s="3213"/>
      <c r="N443" s="3213"/>
      <c r="O443" s="3213"/>
    </row>
    <row r="444" spans="8:15">
      <c r="H444" s="3213"/>
      <c r="L444" s="3213"/>
      <c r="N444" s="3213"/>
      <c r="O444" s="3213"/>
    </row>
    <row r="445" spans="8:15">
      <c r="H445" s="3213"/>
      <c r="L445" s="3213"/>
      <c r="N445" s="3213"/>
      <c r="O445" s="3213"/>
    </row>
    <row r="446" spans="8:15">
      <c r="H446" s="3213"/>
      <c r="L446" s="3213"/>
      <c r="N446" s="3213"/>
      <c r="O446" s="3213"/>
    </row>
    <row r="447" spans="8:15">
      <c r="H447" s="3213"/>
      <c r="L447" s="3213"/>
      <c r="N447" s="3213"/>
      <c r="O447" s="3213"/>
    </row>
    <row r="448" spans="8:15">
      <c r="H448" s="3213"/>
      <c r="L448" s="3213"/>
      <c r="N448" s="3213"/>
      <c r="O448" s="3213"/>
    </row>
    <row r="449" spans="8:15">
      <c r="H449" s="3213"/>
      <c r="L449" s="3213"/>
      <c r="N449" s="3213"/>
      <c r="O449" s="3213"/>
    </row>
    <row r="450" spans="8:15">
      <c r="H450" s="3213"/>
      <c r="L450" s="3213"/>
      <c r="N450" s="3213"/>
      <c r="O450" s="3213"/>
    </row>
    <row r="451" spans="8:15">
      <c r="H451" s="3213"/>
      <c r="L451" s="3213"/>
      <c r="N451" s="3213"/>
      <c r="O451" s="3213"/>
    </row>
    <row r="452" spans="8:15">
      <c r="H452" s="3213"/>
      <c r="L452" s="3213"/>
      <c r="N452" s="3213"/>
      <c r="O452" s="3213"/>
    </row>
    <row r="453" spans="8:15">
      <c r="H453" s="3213"/>
      <c r="L453" s="3213"/>
      <c r="N453" s="3213"/>
      <c r="O453" s="3213"/>
    </row>
    <row r="454" spans="8:15">
      <c r="H454" s="3213"/>
      <c r="L454" s="3213"/>
      <c r="N454" s="3213"/>
      <c r="O454" s="3213"/>
    </row>
    <row r="455" spans="8:15">
      <c r="H455" s="3213"/>
      <c r="L455" s="3213"/>
      <c r="N455" s="3213"/>
      <c r="O455" s="3213"/>
    </row>
    <row r="456" spans="8:15">
      <c r="H456" s="3213"/>
      <c r="L456" s="3213"/>
      <c r="N456" s="3213"/>
      <c r="O456" s="3213"/>
    </row>
    <row r="457" spans="8:15">
      <c r="H457" s="3213"/>
      <c r="L457" s="3213"/>
      <c r="N457" s="3213"/>
      <c r="O457" s="3213"/>
    </row>
    <row r="458" spans="8:15">
      <c r="H458" s="3213"/>
      <c r="L458" s="3213"/>
      <c r="N458" s="3213"/>
      <c r="O458" s="3213"/>
    </row>
    <row r="459" spans="8:15">
      <c r="H459" s="3213"/>
      <c r="L459" s="3213"/>
      <c r="N459" s="3213"/>
      <c r="O459" s="3213"/>
    </row>
    <row r="460" spans="8:15">
      <c r="H460" s="3213"/>
      <c r="L460" s="3213"/>
      <c r="N460" s="3213"/>
      <c r="O460" s="3213"/>
    </row>
    <row r="461" spans="8:15">
      <c r="H461" s="3213"/>
      <c r="L461" s="3213"/>
      <c r="N461" s="3213"/>
      <c r="O461" s="3213"/>
    </row>
    <row r="462" spans="8:15">
      <c r="H462" s="3213"/>
      <c r="L462" s="3213"/>
      <c r="N462" s="3213"/>
      <c r="O462" s="3213"/>
    </row>
    <row r="463" spans="8:15">
      <c r="H463" s="3213"/>
      <c r="L463" s="3213"/>
      <c r="N463" s="3213"/>
      <c r="O463" s="3213"/>
    </row>
    <row r="464" spans="8:15">
      <c r="H464" s="3213"/>
      <c r="L464" s="3213"/>
      <c r="N464" s="3213"/>
      <c r="O464" s="3213"/>
    </row>
    <row r="465" spans="8:15">
      <c r="H465" s="3213"/>
      <c r="L465" s="3213"/>
      <c r="N465" s="3213"/>
      <c r="O465" s="3213"/>
    </row>
    <row r="466" spans="8:15">
      <c r="H466" s="3213"/>
      <c r="L466" s="3213"/>
      <c r="N466" s="3213"/>
      <c r="O466" s="3213"/>
    </row>
    <row r="467" spans="8:15">
      <c r="H467" s="3213"/>
      <c r="L467" s="3213"/>
      <c r="N467" s="3213"/>
      <c r="O467" s="3213"/>
    </row>
    <row r="468" spans="8:15">
      <c r="H468" s="3213"/>
      <c r="L468" s="3213"/>
      <c r="N468" s="3213"/>
      <c r="O468" s="3213"/>
    </row>
    <row r="469" spans="8:15">
      <c r="H469" s="3213"/>
      <c r="L469" s="3213"/>
      <c r="N469" s="3213"/>
      <c r="O469" s="3213"/>
    </row>
    <row r="470" spans="8:15">
      <c r="H470" s="3213"/>
      <c r="L470" s="3213"/>
      <c r="N470" s="3213"/>
      <c r="O470" s="3213"/>
    </row>
    <row r="471" spans="8:15">
      <c r="H471" s="3213"/>
      <c r="L471" s="3213"/>
      <c r="N471" s="3213"/>
      <c r="O471" s="3213"/>
    </row>
    <row r="472" spans="8:15">
      <c r="H472" s="3213"/>
      <c r="L472" s="3213"/>
      <c r="N472" s="3213"/>
      <c r="O472" s="3213"/>
    </row>
    <row r="473" spans="8:15">
      <c r="H473" s="3213"/>
      <c r="L473" s="3213"/>
      <c r="N473" s="3213"/>
      <c r="O473" s="3213"/>
    </row>
    <row r="474" spans="8:15">
      <c r="H474" s="3213"/>
      <c r="L474" s="3213"/>
      <c r="N474" s="3213"/>
      <c r="O474" s="3213"/>
    </row>
    <row r="475" spans="8:15">
      <c r="H475" s="3213"/>
      <c r="L475" s="3213"/>
      <c r="N475" s="3213"/>
      <c r="O475" s="3213"/>
    </row>
    <row r="476" spans="8:15">
      <c r="H476" s="3213"/>
      <c r="L476" s="3213"/>
      <c r="N476" s="3213"/>
      <c r="O476" s="3213"/>
    </row>
    <row r="477" spans="8:15">
      <c r="H477" s="3213"/>
      <c r="L477" s="3213"/>
      <c r="N477" s="3213"/>
      <c r="O477" s="3213"/>
    </row>
    <row r="478" spans="8:15">
      <c r="H478" s="3213"/>
      <c r="L478" s="3213"/>
      <c r="N478" s="3213"/>
      <c r="O478" s="3213"/>
    </row>
    <row r="479" spans="8:15">
      <c r="H479" s="3213"/>
      <c r="L479" s="3213"/>
      <c r="N479" s="3213"/>
      <c r="O479" s="3213"/>
    </row>
    <row r="480" spans="8:15">
      <c r="H480" s="3213"/>
      <c r="L480" s="3213"/>
      <c r="N480" s="3213"/>
      <c r="O480" s="3213"/>
    </row>
    <row r="481" spans="8:15">
      <c r="H481" s="3213"/>
      <c r="L481" s="3213"/>
      <c r="N481" s="3213"/>
      <c r="O481" s="3213"/>
    </row>
    <row r="482" spans="8:15">
      <c r="H482" s="3213"/>
      <c r="L482" s="3213"/>
      <c r="N482" s="3213"/>
      <c r="O482" s="3213"/>
    </row>
    <row r="483" spans="8:15">
      <c r="H483" s="3213"/>
      <c r="L483" s="3213"/>
      <c r="N483" s="3213"/>
      <c r="O483" s="3213"/>
    </row>
    <row r="484" spans="8:15">
      <c r="H484" s="3213"/>
      <c r="L484" s="3213"/>
      <c r="N484" s="3213"/>
      <c r="O484" s="3213"/>
    </row>
    <row r="485" spans="8:15">
      <c r="H485" s="3213"/>
      <c r="L485" s="3213"/>
      <c r="N485" s="3213"/>
      <c r="O485" s="3213"/>
    </row>
    <row r="486" spans="8:15">
      <c r="H486" s="3213"/>
      <c r="L486" s="3213"/>
      <c r="N486" s="3213"/>
      <c r="O486" s="3213"/>
    </row>
    <row r="487" spans="8:15">
      <c r="H487" s="3213"/>
      <c r="L487" s="3213"/>
      <c r="N487" s="3213"/>
      <c r="O487" s="3213"/>
    </row>
    <row r="488" spans="8:15">
      <c r="H488" s="3213"/>
      <c r="L488" s="3213"/>
      <c r="N488" s="3213"/>
      <c r="O488" s="3213"/>
    </row>
    <row r="489" spans="8:15">
      <c r="H489" s="3213"/>
      <c r="L489" s="3213"/>
      <c r="N489" s="3213"/>
      <c r="O489" s="3213"/>
    </row>
    <row r="490" spans="8:15">
      <c r="H490" s="3213"/>
      <c r="L490" s="3213"/>
      <c r="N490" s="3213"/>
      <c r="O490" s="3213"/>
    </row>
    <row r="491" spans="8:15">
      <c r="H491" s="3213"/>
      <c r="L491" s="3213"/>
      <c r="N491" s="3213"/>
      <c r="O491" s="3213"/>
    </row>
    <row r="492" spans="8:15">
      <c r="H492" s="3213"/>
      <c r="L492" s="3213"/>
      <c r="N492" s="3213"/>
      <c r="O492" s="3213"/>
    </row>
    <row r="493" spans="8:15">
      <c r="H493" s="3213"/>
      <c r="L493" s="3213"/>
      <c r="N493" s="3213"/>
      <c r="O493" s="3213"/>
    </row>
    <row r="494" spans="8:15">
      <c r="H494" s="3213"/>
      <c r="L494" s="3213"/>
      <c r="N494" s="3213"/>
      <c r="O494" s="3213"/>
    </row>
    <row r="495" spans="8:15">
      <c r="H495" s="3213"/>
      <c r="L495" s="3213"/>
      <c r="N495" s="3213"/>
      <c r="O495" s="3213"/>
    </row>
    <row r="496" spans="8:15">
      <c r="H496" s="3213"/>
      <c r="L496" s="3213"/>
      <c r="N496" s="3213"/>
      <c r="O496" s="3213"/>
    </row>
    <row r="497" spans="8:15">
      <c r="H497" s="3213"/>
      <c r="L497" s="3213"/>
      <c r="N497" s="3213"/>
      <c r="O497" s="3213"/>
    </row>
    <row r="498" spans="8:15">
      <c r="H498" s="3213"/>
      <c r="L498" s="3213"/>
      <c r="N498" s="3213"/>
      <c r="O498" s="3213"/>
    </row>
    <row r="499" spans="8:15">
      <c r="H499" s="3213"/>
      <c r="L499" s="3213"/>
      <c r="N499" s="3213"/>
      <c r="O499" s="3213"/>
    </row>
    <row r="500" spans="8:15">
      <c r="H500" s="3213"/>
      <c r="L500" s="3213"/>
      <c r="N500" s="3213"/>
      <c r="O500" s="3213"/>
    </row>
    <row r="501" spans="8:15">
      <c r="H501" s="3213"/>
      <c r="L501" s="3213"/>
      <c r="N501" s="3213"/>
      <c r="O501" s="3213"/>
    </row>
    <row r="502" spans="8:15">
      <c r="H502" s="3213"/>
      <c r="L502" s="3213"/>
      <c r="N502" s="3213"/>
      <c r="O502" s="3213"/>
    </row>
    <row r="503" spans="8:15">
      <c r="H503" s="3213"/>
      <c r="L503" s="3213"/>
      <c r="N503" s="3213"/>
      <c r="O503" s="3213"/>
    </row>
    <row r="504" spans="8:15">
      <c r="H504" s="3213"/>
      <c r="L504" s="3213"/>
      <c r="N504" s="3213"/>
      <c r="O504" s="3213"/>
    </row>
    <row r="505" spans="8:15">
      <c r="H505" s="3213"/>
      <c r="L505" s="3213"/>
      <c r="N505" s="3213"/>
      <c r="O505" s="3213"/>
    </row>
    <row r="506" spans="8:15">
      <c r="H506" s="3213"/>
      <c r="L506" s="3213"/>
      <c r="N506" s="3213"/>
      <c r="O506" s="3213"/>
    </row>
    <row r="507" spans="8:15">
      <c r="H507" s="3213"/>
      <c r="L507" s="3213"/>
      <c r="N507" s="3213"/>
      <c r="O507" s="3213"/>
    </row>
    <row r="508" spans="8:15">
      <c r="H508" s="3213"/>
      <c r="L508" s="3213"/>
      <c r="N508" s="3213"/>
      <c r="O508" s="3213"/>
    </row>
    <row r="509" spans="8:15">
      <c r="H509" s="3213"/>
      <c r="L509" s="3213"/>
      <c r="N509" s="3213"/>
      <c r="O509" s="3213"/>
    </row>
    <row r="510" spans="8:15">
      <c r="H510" s="3213"/>
      <c r="L510" s="3213"/>
      <c r="N510" s="3213"/>
      <c r="O510" s="3213"/>
    </row>
    <row r="511" spans="8:15">
      <c r="H511" s="3213"/>
      <c r="L511" s="3213"/>
      <c r="N511" s="3213"/>
      <c r="O511" s="3213"/>
    </row>
    <row r="512" spans="8:15">
      <c r="H512" s="3213"/>
      <c r="L512" s="3213"/>
      <c r="N512" s="3213"/>
      <c r="O512" s="3213"/>
    </row>
    <row r="513" spans="8:15">
      <c r="H513" s="3213"/>
      <c r="L513" s="3213"/>
      <c r="N513" s="3213"/>
      <c r="O513" s="3213"/>
    </row>
    <row r="514" spans="8:15">
      <c r="H514" s="3213"/>
      <c r="L514" s="3213"/>
      <c r="N514" s="3213"/>
      <c r="O514" s="3213"/>
    </row>
    <row r="515" spans="8:15">
      <c r="H515" s="3213"/>
      <c r="L515" s="3213"/>
      <c r="N515" s="3213"/>
      <c r="O515" s="3213"/>
    </row>
    <row r="516" spans="8:15">
      <c r="H516" s="3213"/>
      <c r="L516" s="3213"/>
      <c r="N516" s="3213"/>
      <c r="O516" s="3213"/>
    </row>
    <row r="517" spans="8:15">
      <c r="H517" s="3213"/>
      <c r="L517" s="3213"/>
      <c r="N517" s="3213"/>
      <c r="O517" s="3213"/>
    </row>
    <row r="518" spans="8:15">
      <c r="H518" s="3213"/>
      <c r="L518" s="3213"/>
      <c r="N518" s="3213"/>
      <c r="O518" s="3213"/>
    </row>
    <row r="519" spans="8:15">
      <c r="H519" s="3213"/>
      <c r="L519" s="3213"/>
      <c r="N519" s="3213"/>
      <c r="O519" s="3213"/>
    </row>
    <row r="520" spans="8:15">
      <c r="H520" s="3213"/>
      <c r="L520" s="3213"/>
      <c r="N520" s="3213"/>
      <c r="O520" s="3213"/>
    </row>
    <row r="521" spans="8:15">
      <c r="H521" s="3213"/>
      <c r="L521" s="3213"/>
      <c r="N521" s="3213"/>
      <c r="O521" s="3213"/>
    </row>
    <row r="522" spans="8:15">
      <c r="H522" s="3213"/>
      <c r="L522" s="3213"/>
      <c r="N522" s="3213"/>
      <c r="O522" s="3213"/>
    </row>
    <row r="523" spans="8:15">
      <c r="H523" s="3213"/>
      <c r="L523" s="3213"/>
      <c r="N523" s="3213"/>
      <c r="O523" s="3213"/>
    </row>
    <row r="524" spans="8:15">
      <c r="H524" s="3213"/>
      <c r="L524" s="3213"/>
      <c r="N524" s="3213"/>
      <c r="O524" s="3213"/>
    </row>
    <row r="525" spans="8:15">
      <c r="H525" s="3213"/>
      <c r="L525" s="3213"/>
      <c r="N525" s="3213"/>
      <c r="O525" s="3213"/>
    </row>
    <row r="526" spans="8:15">
      <c r="H526" s="3213"/>
      <c r="L526" s="3213"/>
      <c r="N526" s="3213"/>
      <c r="O526" s="3213"/>
    </row>
    <row r="527" spans="8:15">
      <c r="H527" s="3213"/>
      <c r="L527" s="3213"/>
      <c r="N527" s="3213"/>
      <c r="O527" s="3213"/>
    </row>
    <row r="528" spans="8:15">
      <c r="H528" s="3213"/>
      <c r="L528" s="3213"/>
      <c r="N528" s="3213"/>
      <c r="O528" s="3213"/>
    </row>
    <row r="529" spans="8:15">
      <c r="H529" s="3213"/>
      <c r="L529" s="3213"/>
      <c r="N529" s="3213"/>
      <c r="O529" s="3213"/>
    </row>
    <row r="530" spans="8:15">
      <c r="H530" s="3213"/>
      <c r="L530" s="3213"/>
      <c r="N530" s="3213"/>
      <c r="O530" s="3213"/>
    </row>
    <row r="531" spans="8:15">
      <c r="H531" s="3213"/>
      <c r="L531" s="3213"/>
      <c r="N531" s="3213"/>
      <c r="O531" s="3213"/>
    </row>
    <row r="532" spans="8:15">
      <c r="H532" s="3213"/>
      <c r="L532" s="3213"/>
      <c r="N532" s="3213"/>
      <c r="O532" s="3213"/>
    </row>
    <row r="533" spans="8:15">
      <c r="H533" s="3213"/>
      <c r="L533" s="3213"/>
      <c r="N533" s="3213"/>
      <c r="O533" s="3213"/>
    </row>
    <row r="534" spans="8:15">
      <c r="H534" s="3213"/>
      <c r="L534" s="3213"/>
      <c r="N534" s="3213"/>
      <c r="O534" s="3213"/>
    </row>
    <row r="535" spans="8:15">
      <c r="H535" s="3213"/>
      <c r="L535" s="3213"/>
      <c r="N535" s="3213"/>
      <c r="O535" s="3213"/>
    </row>
    <row r="536" spans="8:15">
      <c r="H536" s="3213"/>
      <c r="L536" s="3213"/>
      <c r="N536" s="3213"/>
      <c r="O536" s="3213"/>
    </row>
    <row r="537" spans="8:15">
      <c r="H537" s="3213"/>
      <c r="L537" s="3213"/>
      <c r="N537" s="3213"/>
      <c r="O537" s="3213"/>
    </row>
    <row r="538" spans="8:15">
      <c r="H538" s="3213"/>
      <c r="L538" s="3213"/>
      <c r="N538" s="3213"/>
      <c r="O538" s="3213"/>
    </row>
    <row r="539" spans="8:15">
      <c r="H539" s="3213"/>
      <c r="L539" s="3213"/>
      <c r="N539" s="3213"/>
      <c r="O539" s="3213"/>
    </row>
    <row r="540" spans="8:15">
      <c r="H540" s="3213"/>
      <c r="L540" s="3213"/>
      <c r="N540" s="3213"/>
      <c r="O540" s="3213"/>
    </row>
    <row r="541" spans="8:15">
      <c r="H541" s="3213"/>
      <c r="L541" s="3213"/>
      <c r="N541" s="3213"/>
      <c r="O541" s="3213"/>
    </row>
    <row r="542" spans="8:15">
      <c r="H542" s="3213"/>
      <c r="L542" s="3213"/>
      <c r="N542" s="3213"/>
      <c r="O542" s="3213"/>
    </row>
    <row r="543" spans="8:15">
      <c r="H543" s="3213"/>
      <c r="L543" s="3213"/>
      <c r="N543" s="3213"/>
      <c r="O543" s="3213"/>
    </row>
    <row r="544" spans="8:15">
      <c r="H544" s="3213"/>
      <c r="L544" s="3213"/>
      <c r="N544" s="3213"/>
      <c r="O544" s="3213"/>
    </row>
    <row r="545" spans="8:15">
      <c r="H545" s="3213"/>
      <c r="L545" s="3213"/>
      <c r="N545" s="3213"/>
      <c r="O545" s="3213"/>
    </row>
    <row r="546" spans="8:15">
      <c r="H546" s="3213"/>
      <c r="L546" s="3213"/>
      <c r="N546" s="3213"/>
      <c r="O546" s="3213"/>
    </row>
    <row r="547" spans="8:15">
      <c r="H547" s="3213"/>
      <c r="L547" s="3213"/>
      <c r="N547" s="3213"/>
      <c r="O547" s="3213"/>
    </row>
    <row r="548" spans="8:15">
      <c r="H548" s="3213"/>
      <c r="L548" s="3213"/>
      <c r="N548" s="3213"/>
      <c r="O548" s="3213"/>
    </row>
    <row r="549" spans="8:15">
      <c r="H549" s="3213"/>
      <c r="L549" s="3213"/>
      <c r="N549" s="3213"/>
      <c r="O549" s="3213"/>
    </row>
    <row r="550" spans="8:15">
      <c r="H550" s="3213"/>
      <c r="L550" s="3213"/>
      <c r="N550" s="3213"/>
      <c r="O550" s="3213"/>
    </row>
    <row r="551" spans="8:15">
      <c r="H551" s="3213"/>
      <c r="L551" s="3213"/>
      <c r="N551" s="3213"/>
      <c r="O551" s="3213"/>
    </row>
    <row r="552" spans="8:15">
      <c r="H552" s="3213"/>
      <c r="L552" s="3213"/>
      <c r="N552" s="3213"/>
      <c r="O552" s="3213"/>
    </row>
    <row r="553" spans="8:15">
      <c r="H553" s="3213"/>
      <c r="L553" s="3213"/>
      <c r="N553" s="3213"/>
      <c r="O553" s="3213"/>
    </row>
    <row r="554" spans="8:15">
      <c r="H554" s="3213"/>
      <c r="L554" s="3213"/>
      <c r="N554" s="3213"/>
      <c r="O554" s="3213"/>
    </row>
    <row r="555" spans="8:15">
      <c r="H555" s="3213"/>
      <c r="L555" s="3213"/>
      <c r="N555" s="3213"/>
      <c r="O555" s="3213"/>
    </row>
    <row r="556" spans="8:15">
      <c r="H556" s="3213"/>
      <c r="L556" s="3213"/>
      <c r="N556" s="3213"/>
      <c r="O556" s="3213"/>
    </row>
    <row r="557" spans="8:15">
      <c r="H557" s="3213"/>
      <c r="L557" s="3213"/>
      <c r="N557" s="3213"/>
      <c r="O557" s="3213"/>
    </row>
    <row r="558" spans="8:15">
      <c r="H558" s="3213"/>
      <c r="L558" s="3213"/>
      <c r="N558" s="3213"/>
      <c r="O558" s="3213"/>
    </row>
    <row r="559" spans="8:15">
      <c r="H559" s="3213"/>
      <c r="L559" s="3213"/>
      <c r="N559" s="3213"/>
      <c r="O559" s="3213"/>
    </row>
    <row r="560" spans="8:15">
      <c r="H560" s="3213"/>
      <c r="L560" s="3213"/>
      <c r="N560" s="3213"/>
      <c r="O560" s="3213"/>
    </row>
    <row r="561" spans="8:15">
      <c r="H561" s="3213"/>
      <c r="L561" s="3213"/>
      <c r="N561" s="3213"/>
      <c r="O561" s="3213"/>
    </row>
    <row r="562" spans="8:15">
      <c r="H562" s="3213"/>
      <c r="L562" s="3213"/>
      <c r="N562" s="3213"/>
      <c r="O562" s="3213"/>
    </row>
    <row r="563" spans="8:15">
      <c r="H563" s="3213"/>
      <c r="L563" s="3213"/>
      <c r="N563" s="3213"/>
      <c r="O563" s="3213"/>
    </row>
    <row r="564" spans="8:15">
      <c r="H564" s="3213"/>
      <c r="L564" s="3213"/>
      <c r="N564" s="3213"/>
      <c r="O564" s="3213"/>
    </row>
    <row r="565" spans="8:15">
      <c r="H565" s="3213"/>
      <c r="L565" s="3213"/>
      <c r="N565" s="3213"/>
      <c r="O565" s="3213"/>
    </row>
    <row r="566" spans="8:15">
      <c r="H566" s="3213"/>
      <c r="L566" s="3213"/>
      <c r="N566" s="3213"/>
      <c r="O566" s="3213"/>
    </row>
    <row r="567" spans="8:15">
      <c r="H567" s="3213"/>
      <c r="L567" s="3213"/>
      <c r="N567" s="3213"/>
      <c r="O567" s="3213"/>
    </row>
    <row r="568" spans="8:15">
      <c r="H568" s="3213"/>
      <c r="L568" s="3213"/>
      <c r="N568" s="3213"/>
      <c r="O568" s="3213"/>
    </row>
    <row r="569" spans="8:15">
      <c r="H569" s="3213"/>
      <c r="L569" s="3213"/>
      <c r="N569" s="3213"/>
      <c r="O569" s="3213"/>
    </row>
    <row r="570" spans="8:15">
      <c r="H570" s="3213"/>
      <c r="L570" s="3213"/>
      <c r="N570" s="3213"/>
      <c r="O570" s="3213"/>
    </row>
    <row r="571" spans="8:15">
      <c r="H571" s="3213"/>
      <c r="L571" s="3213"/>
      <c r="N571" s="3213"/>
      <c r="O571" s="3213"/>
    </row>
    <row r="572" spans="8:15">
      <c r="H572" s="3213"/>
      <c r="L572" s="3213"/>
      <c r="N572" s="3213"/>
      <c r="O572" s="3213"/>
    </row>
    <row r="573" spans="8:15">
      <c r="H573" s="3213"/>
      <c r="L573" s="3213"/>
      <c r="N573" s="3213"/>
      <c r="O573" s="3213"/>
    </row>
    <row r="574" spans="8:15">
      <c r="H574" s="3213"/>
      <c r="L574" s="3213"/>
      <c r="N574" s="3213"/>
      <c r="O574" s="3213"/>
    </row>
    <row r="575" spans="8:15">
      <c r="H575" s="3213"/>
      <c r="L575" s="3213"/>
      <c r="N575" s="3213"/>
      <c r="O575" s="3213"/>
    </row>
    <row r="576" spans="8:15">
      <c r="H576" s="3213"/>
      <c r="L576" s="3213"/>
      <c r="N576" s="3213"/>
      <c r="O576" s="3213"/>
    </row>
    <row r="577" spans="8:15">
      <c r="H577" s="3213"/>
      <c r="L577" s="3213"/>
      <c r="N577" s="3213"/>
      <c r="O577" s="3213"/>
    </row>
    <row r="578" spans="8:15">
      <c r="H578" s="3213"/>
      <c r="L578" s="3213"/>
      <c r="N578" s="3213"/>
      <c r="O578" s="3213"/>
    </row>
    <row r="579" spans="8:15">
      <c r="H579" s="3213"/>
      <c r="L579" s="3213"/>
      <c r="N579" s="3213"/>
      <c r="O579" s="3213"/>
    </row>
    <row r="580" spans="8:15">
      <c r="H580" s="3213"/>
      <c r="L580" s="3213"/>
      <c r="N580" s="3213"/>
      <c r="O580" s="3213"/>
    </row>
    <row r="581" spans="8:15">
      <c r="H581" s="3213"/>
      <c r="L581" s="3213"/>
      <c r="N581" s="3213"/>
      <c r="O581" s="3213"/>
    </row>
    <row r="582" spans="8:15">
      <c r="H582" s="3213"/>
      <c r="L582" s="3213"/>
      <c r="N582" s="3213"/>
      <c r="O582" s="3213"/>
    </row>
    <row r="583" spans="8:15">
      <c r="H583" s="3213"/>
      <c r="L583" s="3213"/>
      <c r="N583" s="3213"/>
      <c r="O583" s="3213"/>
    </row>
    <row r="584" spans="8:15">
      <c r="H584" s="3213"/>
      <c r="L584" s="3213"/>
      <c r="N584" s="3213"/>
      <c r="O584" s="3213"/>
    </row>
    <row r="585" spans="8:15">
      <c r="H585" s="3213"/>
      <c r="L585" s="3213"/>
      <c r="N585" s="3213"/>
      <c r="O585" s="3213"/>
    </row>
    <row r="586" spans="8:15">
      <c r="H586" s="3213"/>
      <c r="L586" s="3213"/>
      <c r="N586" s="3213"/>
      <c r="O586" s="3213"/>
    </row>
    <row r="587" spans="8:15">
      <c r="H587" s="3213"/>
      <c r="L587" s="3213"/>
      <c r="N587" s="3213"/>
      <c r="O587" s="3213"/>
    </row>
    <row r="588" spans="8:15">
      <c r="H588" s="3213"/>
      <c r="L588" s="3213"/>
      <c r="N588" s="3213"/>
      <c r="O588" s="3213"/>
    </row>
    <row r="589" spans="8:15">
      <c r="H589" s="3213"/>
      <c r="L589" s="3213"/>
      <c r="N589" s="3213"/>
      <c r="O589" s="3213"/>
    </row>
    <row r="590" spans="8:15">
      <c r="H590" s="3213"/>
      <c r="L590" s="3213"/>
      <c r="N590" s="3213"/>
      <c r="O590" s="3213"/>
    </row>
    <row r="591" spans="8:15">
      <c r="H591" s="3213"/>
      <c r="L591" s="3213"/>
      <c r="N591" s="3213"/>
      <c r="O591" s="3213"/>
    </row>
    <row r="592" spans="8:15">
      <c r="H592" s="3213"/>
      <c r="L592" s="3213"/>
      <c r="N592" s="3213"/>
      <c r="O592" s="3213"/>
    </row>
    <row r="593" spans="8:15">
      <c r="H593" s="3213"/>
      <c r="L593" s="3213"/>
      <c r="N593" s="3213"/>
      <c r="O593" s="3213"/>
    </row>
    <row r="594" spans="8:15">
      <c r="H594" s="3213"/>
      <c r="L594" s="3213"/>
      <c r="N594" s="3213"/>
      <c r="O594" s="3213"/>
    </row>
    <row r="595" spans="8:15">
      <c r="H595" s="3213"/>
      <c r="L595" s="3213"/>
      <c r="N595" s="3213"/>
      <c r="O595" s="3213"/>
    </row>
    <row r="596" spans="8:15">
      <c r="H596" s="3213"/>
      <c r="L596" s="3213"/>
      <c r="N596" s="3213"/>
      <c r="O596" s="3213"/>
    </row>
    <row r="597" spans="8:15">
      <c r="H597" s="3213"/>
      <c r="L597" s="3213"/>
      <c r="N597" s="3213"/>
      <c r="O597" s="3213"/>
    </row>
    <row r="598" spans="8:15">
      <c r="H598" s="3213"/>
      <c r="L598" s="3213"/>
      <c r="N598" s="3213"/>
      <c r="O598" s="3213"/>
    </row>
    <row r="599" spans="8:15">
      <c r="H599" s="3213"/>
      <c r="L599" s="3213"/>
      <c r="N599" s="3213"/>
      <c r="O599" s="3213"/>
    </row>
    <row r="600" spans="8:15">
      <c r="H600" s="3213"/>
      <c r="L600" s="3213"/>
      <c r="N600" s="3213"/>
      <c r="O600" s="3213"/>
    </row>
    <row r="601" spans="8:15">
      <c r="H601" s="3213"/>
      <c r="L601" s="3213"/>
      <c r="N601" s="3213"/>
      <c r="O601" s="3213"/>
    </row>
    <row r="602" spans="8:15">
      <c r="H602" s="3213"/>
      <c r="L602" s="3213"/>
      <c r="N602" s="3213"/>
      <c r="O602" s="3213"/>
    </row>
    <row r="603" spans="8:15">
      <c r="H603" s="3213"/>
      <c r="L603" s="3213"/>
      <c r="N603" s="3213"/>
      <c r="O603" s="3213"/>
    </row>
    <row r="604" spans="8:15">
      <c r="H604" s="3213"/>
      <c r="L604" s="3213"/>
      <c r="N604" s="3213"/>
      <c r="O604" s="3213"/>
    </row>
    <row r="605" spans="8:15">
      <c r="H605" s="3213"/>
      <c r="L605" s="3213"/>
      <c r="N605" s="3213"/>
      <c r="O605" s="3213"/>
    </row>
    <row r="606" spans="8:15">
      <c r="H606" s="3213"/>
      <c r="L606" s="3213"/>
      <c r="N606" s="3213"/>
      <c r="O606" s="3213"/>
    </row>
    <row r="607" spans="8:15">
      <c r="H607" s="3213"/>
      <c r="L607" s="3213"/>
      <c r="N607" s="3213"/>
      <c r="O607" s="3213"/>
    </row>
    <row r="608" spans="8:15">
      <c r="H608" s="3213"/>
      <c r="L608" s="3213"/>
      <c r="N608" s="3213"/>
      <c r="O608" s="3213"/>
    </row>
    <row r="609" spans="8:15">
      <c r="H609" s="3213"/>
      <c r="L609" s="3213"/>
      <c r="N609" s="3213"/>
      <c r="O609" s="3213"/>
    </row>
    <row r="610" spans="8:15">
      <c r="H610" s="3213"/>
      <c r="L610" s="3213"/>
      <c r="N610" s="3213"/>
      <c r="O610" s="3213"/>
    </row>
    <row r="611" spans="8:15">
      <c r="H611" s="3213"/>
      <c r="L611" s="3213"/>
      <c r="N611" s="3213"/>
      <c r="O611" s="3213"/>
    </row>
    <row r="612" spans="8:15">
      <c r="H612" s="3213"/>
      <c r="L612" s="3213"/>
      <c r="N612" s="3213"/>
      <c r="O612" s="3213"/>
    </row>
    <row r="613" spans="8:15">
      <c r="H613" s="3213"/>
      <c r="L613" s="3213"/>
      <c r="N613" s="3213"/>
      <c r="O613" s="3213"/>
    </row>
    <row r="614" spans="8:15">
      <c r="H614" s="3213"/>
      <c r="L614" s="3213"/>
      <c r="N614" s="3213"/>
      <c r="O614" s="3213"/>
    </row>
    <row r="615" spans="8:15">
      <c r="H615" s="3213"/>
      <c r="L615" s="3213"/>
      <c r="N615" s="3213"/>
      <c r="O615" s="3213"/>
    </row>
    <row r="616" spans="8:15">
      <c r="H616" s="3213"/>
      <c r="L616" s="3213"/>
      <c r="N616" s="3213"/>
      <c r="O616" s="3213"/>
    </row>
    <row r="617" spans="8:15">
      <c r="H617" s="3213"/>
      <c r="L617" s="3213"/>
      <c r="N617" s="3213"/>
      <c r="O617" s="3213"/>
    </row>
    <row r="618" spans="8:15">
      <c r="H618" s="3213"/>
      <c r="L618" s="3213"/>
      <c r="N618" s="3213"/>
      <c r="O618" s="3213"/>
    </row>
    <row r="619" spans="8:15">
      <c r="H619" s="3213"/>
      <c r="L619" s="3213"/>
      <c r="N619" s="3213"/>
      <c r="O619" s="3213"/>
    </row>
    <row r="620" spans="8:15">
      <c r="H620" s="3213"/>
      <c r="L620" s="3213"/>
      <c r="N620" s="3213"/>
      <c r="O620" s="3213"/>
    </row>
    <row r="621" spans="8:15">
      <c r="H621" s="3213"/>
      <c r="L621" s="3213"/>
      <c r="N621" s="3213"/>
      <c r="O621" s="3213"/>
    </row>
    <row r="622" spans="8:15">
      <c r="H622" s="3213"/>
      <c r="L622" s="3213"/>
      <c r="N622" s="3213"/>
      <c r="O622" s="3213"/>
    </row>
    <row r="623" spans="8:15">
      <c r="H623" s="3213"/>
      <c r="L623" s="3213"/>
      <c r="N623" s="3213"/>
      <c r="O623" s="3213"/>
    </row>
    <row r="624" spans="8:15">
      <c r="H624" s="3213"/>
      <c r="L624" s="3213"/>
      <c r="N624" s="3213"/>
      <c r="O624" s="3213"/>
    </row>
    <row r="625" spans="8:15">
      <c r="H625" s="3213"/>
      <c r="L625" s="3213"/>
      <c r="N625" s="3213"/>
      <c r="O625" s="3213"/>
    </row>
    <row r="626" spans="8:15">
      <c r="H626" s="3213"/>
      <c r="L626" s="3213"/>
      <c r="N626" s="3213"/>
      <c r="O626" s="3213"/>
    </row>
    <row r="627" spans="8:15">
      <c r="H627" s="3213"/>
      <c r="L627" s="3213"/>
      <c r="N627" s="3213"/>
      <c r="O627" s="3213"/>
    </row>
    <row r="628" spans="8:15">
      <c r="H628" s="3213"/>
      <c r="L628" s="3213"/>
      <c r="N628" s="3213"/>
      <c r="O628" s="3213"/>
    </row>
    <row r="629" spans="8:15">
      <c r="H629" s="3213"/>
      <c r="L629" s="3213"/>
      <c r="N629" s="3213"/>
      <c r="O629" s="3213"/>
    </row>
    <row r="630" spans="8:15">
      <c r="H630" s="3213"/>
      <c r="L630" s="3213"/>
      <c r="N630" s="3213"/>
      <c r="O630" s="3213"/>
    </row>
    <row r="631" spans="8:15">
      <c r="H631" s="3213"/>
      <c r="L631" s="3213"/>
      <c r="N631" s="3213"/>
      <c r="O631" s="3213"/>
    </row>
    <row r="632" spans="8:15">
      <c r="H632" s="3213"/>
      <c r="L632" s="3213"/>
      <c r="N632" s="3213"/>
      <c r="O632" s="3213"/>
    </row>
    <row r="633" spans="8:15">
      <c r="H633" s="3213"/>
      <c r="L633" s="3213"/>
      <c r="N633" s="3213"/>
      <c r="O633" s="3213"/>
    </row>
    <row r="634" spans="8:15">
      <c r="H634" s="3213"/>
      <c r="L634" s="3213"/>
      <c r="N634" s="3213"/>
      <c r="O634" s="3213"/>
    </row>
    <row r="635" spans="8:15">
      <c r="H635" s="3213"/>
      <c r="L635" s="3213"/>
      <c r="N635" s="3213"/>
      <c r="O635" s="3213"/>
    </row>
    <row r="636" spans="8:15">
      <c r="H636" s="3213"/>
      <c r="L636" s="3213"/>
      <c r="N636" s="3213"/>
      <c r="O636" s="3213"/>
    </row>
    <row r="637" spans="8:15">
      <c r="H637" s="3213"/>
      <c r="L637" s="3213"/>
      <c r="N637" s="3213"/>
      <c r="O637" s="3213"/>
    </row>
    <row r="638" spans="8:15">
      <c r="H638" s="3213"/>
      <c r="L638" s="3213"/>
      <c r="N638" s="3213"/>
      <c r="O638" s="3213"/>
    </row>
    <row r="639" spans="8:15">
      <c r="H639" s="3213"/>
      <c r="L639" s="3213"/>
      <c r="N639" s="3213"/>
      <c r="O639" s="3213"/>
    </row>
    <row r="640" spans="8:15">
      <c r="H640" s="3213"/>
      <c r="L640" s="3213"/>
      <c r="N640" s="3213"/>
      <c r="O640" s="3213"/>
    </row>
    <row r="641" spans="8:15">
      <c r="H641" s="3213"/>
      <c r="L641" s="3213"/>
      <c r="N641" s="3213"/>
      <c r="O641" s="3213"/>
    </row>
    <row r="642" spans="8:15">
      <c r="H642" s="3213"/>
      <c r="L642" s="3213"/>
      <c r="N642" s="3213"/>
      <c r="O642" s="3213"/>
    </row>
    <row r="643" spans="8:15">
      <c r="H643" s="3213"/>
      <c r="L643" s="3213"/>
      <c r="N643" s="3213"/>
      <c r="O643" s="3213"/>
    </row>
    <row r="644" spans="8:15">
      <c r="H644" s="3213"/>
      <c r="L644" s="3213"/>
      <c r="N644" s="3213"/>
      <c r="O644" s="3213"/>
    </row>
    <row r="645" spans="8:15">
      <c r="H645" s="3213"/>
      <c r="L645" s="3213"/>
      <c r="N645" s="3213"/>
      <c r="O645" s="3213"/>
    </row>
    <row r="646" spans="8:15">
      <c r="H646" s="3213"/>
      <c r="L646" s="3213"/>
      <c r="N646" s="3213"/>
      <c r="O646" s="3213"/>
    </row>
    <row r="647" spans="8:15">
      <c r="H647" s="3213"/>
      <c r="L647" s="3213"/>
      <c r="N647" s="3213"/>
      <c r="O647" s="3213"/>
    </row>
    <row r="648" spans="8:15">
      <c r="H648" s="3213"/>
      <c r="L648" s="3213"/>
      <c r="N648" s="3213"/>
      <c r="O648" s="3213"/>
    </row>
    <row r="649" spans="8:15">
      <c r="H649" s="3213"/>
      <c r="L649" s="3213"/>
      <c r="N649" s="3213"/>
      <c r="O649" s="3213"/>
    </row>
    <row r="650" spans="8:15">
      <c r="H650" s="3213"/>
      <c r="L650" s="3213"/>
      <c r="N650" s="3213"/>
      <c r="O650" s="3213"/>
    </row>
    <row r="651" spans="8:15">
      <c r="H651" s="3213"/>
      <c r="L651" s="3213"/>
      <c r="N651" s="3213"/>
      <c r="O651" s="3213"/>
    </row>
    <row r="652" spans="8:15">
      <c r="H652" s="3213"/>
      <c r="L652" s="3213"/>
      <c r="N652" s="3213"/>
      <c r="O652" s="3213"/>
    </row>
    <row r="653" spans="8:15">
      <c r="H653" s="3213"/>
      <c r="L653" s="3213"/>
      <c r="N653" s="3213"/>
      <c r="O653" s="3213"/>
    </row>
    <row r="654" spans="8:15">
      <c r="H654" s="3213"/>
      <c r="L654" s="3213"/>
      <c r="N654" s="3213"/>
      <c r="O654" s="3213"/>
    </row>
    <row r="655" spans="8:15">
      <c r="H655" s="3213"/>
      <c r="L655" s="3213"/>
      <c r="N655" s="3213"/>
      <c r="O655" s="3213"/>
    </row>
    <row r="656" spans="8:15">
      <c r="H656" s="3213"/>
      <c r="L656" s="3213"/>
      <c r="N656" s="3213"/>
      <c r="O656" s="3213"/>
    </row>
    <row r="657" spans="8:15">
      <c r="H657" s="3213"/>
      <c r="L657" s="3213"/>
      <c r="N657" s="3213"/>
      <c r="O657" s="3213"/>
    </row>
    <row r="658" spans="8:15">
      <c r="H658" s="3213"/>
      <c r="L658" s="3213"/>
      <c r="N658" s="3213"/>
      <c r="O658" s="3213"/>
    </row>
    <row r="659" spans="8:15">
      <c r="H659" s="3213"/>
      <c r="L659" s="3213"/>
      <c r="N659" s="3213"/>
      <c r="O659" s="3213"/>
    </row>
    <row r="660" spans="8:15">
      <c r="H660" s="3213"/>
      <c r="L660" s="3213"/>
      <c r="N660" s="3213"/>
      <c r="O660" s="3213"/>
    </row>
    <row r="661" spans="8:15">
      <c r="H661" s="3213"/>
      <c r="L661" s="3213"/>
      <c r="N661" s="3213"/>
      <c r="O661" s="3213"/>
    </row>
    <row r="662" spans="8:15">
      <c r="H662" s="3213"/>
      <c r="L662" s="3213"/>
      <c r="N662" s="3213"/>
      <c r="O662" s="3213"/>
    </row>
    <row r="663" spans="8:15">
      <c r="H663" s="3213"/>
      <c r="L663" s="3213"/>
      <c r="N663" s="3213"/>
      <c r="O663" s="3213"/>
    </row>
    <row r="664" spans="8:15">
      <c r="H664" s="3213"/>
      <c r="L664" s="3213"/>
      <c r="N664" s="3213"/>
      <c r="O664" s="3213"/>
    </row>
    <row r="665" spans="8:15">
      <c r="H665" s="3213"/>
      <c r="L665" s="3213"/>
      <c r="N665" s="3213"/>
      <c r="O665" s="3213"/>
    </row>
    <row r="666" spans="8:15">
      <c r="H666" s="3213"/>
      <c r="L666" s="3213"/>
      <c r="N666" s="3213"/>
      <c r="O666" s="3213"/>
    </row>
    <row r="667" spans="8:15">
      <c r="H667" s="3213"/>
      <c r="L667" s="3213"/>
      <c r="N667" s="3213"/>
      <c r="O667" s="3213"/>
    </row>
    <row r="668" spans="8:15">
      <c r="H668" s="3213"/>
      <c r="L668" s="3213"/>
      <c r="N668" s="3213"/>
      <c r="O668" s="3213"/>
    </row>
    <row r="669" spans="8:15">
      <c r="H669" s="3213"/>
      <c r="L669" s="3213"/>
      <c r="N669" s="3213"/>
      <c r="O669" s="3213"/>
    </row>
    <row r="670" spans="8:15">
      <c r="H670" s="3213"/>
      <c r="L670" s="3213"/>
      <c r="N670" s="3213"/>
      <c r="O670" s="3213"/>
    </row>
    <row r="671" spans="8:15">
      <c r="H671" s="3213"/>
      <c r="L671" s="3213"/>
      <c r="N671" s="3213"/>
      <c r="O671" s="3213"/>
    </row>
    <row r="672" spans="8:15">
      <c r="H672" s="3213"/>
      <c r="L672" s="3213"/>
      <c r="N672" s="3213"/>
      <c r="O672" s="3213"/>
    </row>
    <row r="673" spans="8:15">
      <c r="H673" s="3213"/>
      <c r="L673" s="3213"/>
      <c r="N673" s="3213"/>
      <c r="O673" s="3213"/>
    </row>
    <row r="674" spans="8:15">
      <c r="H674" s="3213"/>
      <c r="L674" s="3213"/>
      <c r="N674" s="3213"/>
      <c r="O674" s="3213"/>
    </row>
    <row r="675" spans="8:15">
      <c r="H675" s="3213"/>
      <c r="L675" s="3213"/>
      <c r="N675" s="3213"/>
      <c r="O675" s="3213"/>
    </row>
    <row r="676" spans="8:15">
      <c r="H676" s="3213"/>
      <c r="L676" s="3213"/>
      <c r="N676" s="3213"/>
      <c r="O676" s="3213"/>
    </row>
    <row r="677" spans="8:15">
      <c r="H677" s="3213"/>
      <c r="L677" s="3213"/>
      <c r="N677" s="3213"/>
      <c r="O677" s="3213"/>
    </row>
    <row r="678" spans="8:15">
      <c r="H678" s="3213"/>
      <c r="L678" s="3213"/>
      <c r="N678" s="3213"/>
      <c r="O678" s="3213"/>
    </row>
    <row r="679" spans="8:15">
      <c r="H679" s="3213"/>
      <c r="L679" s="3213"/>
      <c r="N679" s="3213"/>
      <c r="O679" s="3213"/>
    </row>
    <row r="680" spans="8:15">
      <c r="H680" s="3213"/>
      <c r="L680" s="3213"/>
      <c r="N680" s="3213"/>
      <c r="O680" s="3213"/>
    </row>
    <row r="681" spans="8:15">
      <c r="H681" s="3213"/>
      <c r="L681" s="3213"/>
      <c r="N681" s="3213"/>
      <c r="O681" s="3213"/>
    </row>
    <row r="682" spans="8:15">
      <c r="H682" s="3213"/>
      <c r="L682" s="3213"/>
      <c r="N682" s="3213"/>
      <c r="O682" s="3213"/>
    </row>
    <row r="683" spans="8:15">
      <c r="H683" s="3213"/>
      <c r="L683" s="3213"/>
      <c r="N683" s="3213"/>
      <c r="O683" s="3213"/>
    </row>
    <row r="684" spans="8:15">
      <c r="H684" s="3213"/>
      <c r="L684" s="3213"/>
      <c r="N684" s="3213"/>
      <c r="O684" s="3213"/>
    </row>
    <row r="685" spans="8:15">
      <c r="H685" s="3213"/>
      <c r="L685" s="3213"/>
      <c r="N685" s="3213"/>
      <c r="O685" s="3213"/>
    </row>
    <row r="686" spans="8:15">
      <c r="H686" s="3213"/>
      <c r="L686" s="3213"/>
      <c r="N686" s="3213"/>
      <c r="O686" s="3213"/>
    </row>
    <row r="687" spans="8:15">
      <c r="H687" s="3213"/>
      <c r="L687" s="3213"/>
      <c r="N687" s="3213"/>
      <c r="O687" s="3213"/>
    </row>
    <row r="688" spans="8:15">
      <c r="H688" s="3213"/>
      <c r="L688" s="3213"/>
      <c r="N688" s="3213"/>
      <c r="O688" s="3213"/>
    </row>
    <row r="689" spans="8:15">
      <c r="H689" s="3213"/>
      <c r="L689" s="3213"/>
      <c r="N689" s="3213"/>
      <c r="O689" s="3213"/>
    </row>
    <row r="690" spans="8:15">
      <c r="H690" s="3213"/>
      <c r="L690" s="3213"/>
      <c r="N690" s="3213"/>
      <c r="O690" s="3213"/>
    </row>
    <row r="691" spans="8:15">
      <c r="H691" s="3213"/>
      <c r="L691" s="3213"/>
      <c r="N691" s="3213"/>
      <c r="O691" s="3213"/>
    </row>
    <row r="692" spans="8:15">
      <c r="H692" s="3213"/>
      <c r="L692" s="3213"/>
      <c r="N692" s="3213"/>
      <c r="O692" s="3213"/>
    </row>
    <row r="693" spans="8:15">
      <c r="H693" s="3213"/>
      <c r="L693" s="3213"/>
      <c r="N693" s="3213"/>
      <c r="O693" s="3213"/>
    </row>
    <row r="694" spans="8:15">
      <c r="H694" s="3213"/>
      <c r="L694" s="3213"/>
      <c r="N694" s="3213"/>
      <c r="O694" s="3213"/>
    </row>
    <row r="695" spans="8:15">
      <c r="H695" s="3213"/>
      <c r="L695" s="3213"/>
      <c r="N695" s="3213"/>
      <c r="O695" s="3213"/>
    </row>
    <row r="696" spans="8:15">
      <c r="H696" s="3213"/>
      <c r="L696" s="3213"/>
      <c r="N696" s="3213"/>
      <c r="O696" s="3213"/>
    </row>
    <row r="697" spans="8:15">
      <c r="H697" s="3213"/>
      <c r="L697" s="3213"/>
      <c r="N697" s="3213"/>
      <c r="O697" s="3213"/>
    </row>
    <row r="698" spans="8:15">
      <c r="H698" s="3213"/>
      <c r="L698" s="3213"/>
      <c r="N698" s="3213"/>
      <c r="O698" s="3213"/>
    </row>
    <row r="699" spans="8:15">
      <c r="H699" s="3213"/>
      <c r="L699" s="3213"/>
      <c r="N699" s="3213"/>
      <c r="O699" s="3213"/>
    </row>
    <row r="700" spans="8:15">
      <c r="H700" s="3213"/>
      <c r="L700" s="3213"/>
      <c r="N700" s="3213"/>
      <c r="O700" s="3213"/>
    </row>
    <row r="701" spans="8:15">
      <c r="H701" s="3213"/>
      <c r="L701" s="3213"/>
      <c r="N701" s="3213"/>
      <c r="O701" s="3213"/>
    </row>
    <row r="702" spans="8:15">
      <c r="H702" s="3213"/>
      <c r="L702" s="3213"/>
      <c r="N702" s="3213"/>
      <c r="O702" s="3213"/>
    </row>
    <row r="703" spans="8:15">
      <c r="H703" s="3213"/>
      <c r="L703" s="3213"/>
      <c r="N703" s="3213"/>
      <c r="O703" s="3213"/>
    </row>
    <row r="704" spans="8:15">
      <c r="H704" s="3213"/>
      <c r="L704" s="3213"/>
      <c r="N704" s="3213"/>
      <c r="O704" s="3213"/>
    </row>
    <row r="705" spans="8:15">
      <c r="H705" s="3213"/>
      <c r="L705" s="3213"/>
      <c r="N705" s="3213"/>
      <c r="O705" s="3213"/>
    </row>
    <row r="706" spans="8:15">
      <c r="H706" s="3213"/>
      <c r="L706" s="3213"/>
      <c r="N706" s="3213"/>
      <c r="O706" s="3213"/>
    </row>
    <row r="707" spans="8:15">
      <c r="H707" s="3213"/>
      <c r="L707" s="3213"/>
      <c r="N707" s="3213"/>
      <c r="O707" s="3213"/>
    </row>
    <row r="708" spans="8:15">
      <c r="H708" s="3213"/>
      <c r="L708" s="3213"/>
      <c r="N708" s="3213"/>
      <c r="O708" s="3213"/>
    </row>
    <row r="709" spans="8:15">
      <c r="H709" s="3213"/>
      <c r="L709" s="3213"/>
      <c r="N709" s="3213"/>
      <c r="O709" s="3213"/>
    </row>
    <row r="710" spans="8:15">
      <c r="H710" s="3213"/>
      <c r="L710" s="3213"/>
      <c r="N710" s="3213"/>
      <c r="O710" s="3213"/>
    </row>
    <row r="711" spans="8:15">
      <c r="H711" s="3213"/>
      <c r="L711" s="3213"/>
      <c r="N711" s="3213"/>
      <c r="O711" s="3213"/>
    </row>
    <row r="712" spans="8:15">
      <c r="H712" s="3213"/>
      <c r="L712" s="3213"/>
      <c r="N712" s="3213"/>
      <c r="O712" s="3213"/>
    </row>
    <row r="713" spans="8:15">
      <c r="H713" s="3213"/>
      <c r="L713" s="3213"/>
      <c r="N713" s="3213"/>
      <c r="O713" s="3213"/>
    </row>
    <row r="714" spans="8:15">
      <c r="H714" s="3213"/>
      <c r="L714" s="3213"/>
      <c r="N714" s="3213"/>
      <c r="O714" s="3213"/>
    </row>
    <row r="715" spans="8:15">
      <c r="H715" s="3213"/>
      <c r="L715" s="3213"/>
      <c r="N715" s="3213"/>
      <c r="O715" s="3213"/>
    </row>
    <row r="716" spans="8:15">
      <c r="H716" s="3213"/>
      <c r="L716" s="3213"/>
      <c r="N716" s="3213"/>
      <c r="O716" s="3213"/>
    </row>
    <row r="717" spans="8:15">
      <c r="H717" s="3213"/>
      <c r="L717" s="3213"/>
      <c r="N717" s="3213"/>
      <c r="O717" s="3213"/>
    </row>
    <row r="718" spans="8:15">
      <c r="H718" s="3213"/>
      <c r="L718" s="3213"/>
      <c r="N718" s="3213"/>
      <c r="O718" s="3213"/>
    </row>
    <row r="719" spans="8:15">
      <c r="H719" s="3213"/>
      <c r="L719" s="3213"/>
      <c r="N719" s="3213"/>
      <c r="O719" s="3213"/>
    </row>
    <row r="720" spans="8:15">
      <c r="H720" s="3213"/>
      <c r="L720" s="3213"/>
      <c r="N720" s="3213"/>
      <c r="O720" s="3213"/>
    </row>
    <row r="721" spans="8:15">
      <c r="H721" s="3213"/>
      <c r="L721" s="3213"/>
      <c r="N721" s="3213"/>
      <c r="O721" s="3213"/>
    </row>
    <row r="722" spans="8:15">
      <c r="H722" s="3213"/>
      <c r="L722" s="3213"/>
      <c r="N722" s="3213"/>
      <c r="O722" s="3213"/>
    </row>
    <row r="723" spans="8:15">
      <c r="H723" s="3213"/>
      <c r="L723" s="3213"/>
      <c r="N723" s="3213"/>
      <c r="O723" s="3213"/>
    </row>
    <row r="724" spans="8:15">
      <c r="H724" s="3213"/>
      <c r="L724" s="3213"/>
      <c r="N724" s="3213"/>
      <c r="O724" s="3213"/>
    </row>
    <row r="725" spans="8:15">
      <c r="H725" s="3213"/>
      <c r="L725" s="3213"/>
      <c r="N725" s="3213"/>
      <c r="O725" s="3213"/>
    </row>
    <row r="726" spans="8:15">
      <c r="H726" s="3213"/>
      <c r="L726" s="3213"/>
      <c r="N726" s="3213"/>
      <c r="O726" s="3213"/>
    </row>
    <row r="727" spans="8:15">
      <c r="H727" s="3213"/>
      <c r="L727" s="3213"/>
      <c r="N727" s="3213"/>
      <c r="O727" s="3213"/>
    </row>
    <row r="728" spans="8:15">
      <c r="H728" s="3213"/>
      <c r="L728" s="3213"/>
      <c r="N728" s="3213"/>
      <c r="O728" s="3213"/>
    </row>
    <row r="729" spans="8:15">
      <c r="H729" s="3213"/>
      <c r="L729" s="3213"/>
      <c r="N729" s="3213"/>
      <c r="O729" s="3213"/>
    </row>
    <row r="730" spans="8:15">
      <c r="H730" s="3213"/>
      <c r="L730" s="3213"/>
      <c r="N730" s="3213"/>
      <c r="O730" s="3213"/>
    </row>
    <row r="731" spans="8:15">
      <c r="H731" s="3213"/>
      <c r="L731" s="3213"/>
      <c r="N731" s="3213"/>
      <c r="O731" s="3213"/>
    </row>
    <row r="732" spans="8:15">
      <c r="H732" s="3213"/>
      <c r="L732" s="3213"/>
      <c r="N732" s="3213"/>
      <c r="O732" s="3213"/>
    </row>
    <row r="733" spans="8:15">
      <c r="H733" s="3213"/>
      <c r="L733" s="3213"/>
      <c r="N733" s="3213"/>
      <c r="O733" s="3213"/>
    </row>
    <row r="734" spans="8:15">
      <c r="H734" s="3213"/>
      <c r="L734" s="3213"/>
      <c r="N734" s="3213"/>
      <c r="O734" s="3213"/>
    </row>
    <row r="735" spans="8:15">
      <c r="H735" s="3213"/>
      <c r="L735" s="3213"/>
      <c r="N735" s="3213"/>
      <c r="O735" s="3213"/>
    </row>
    <row r="736" spans="8:15">
      <c r="H736" s="3213"/>
      <c r="L736" s="3213"/>
      <c r="N736" s="3213"/>
      <c r="O736" s="3213"/>
    </row>
    <row r="737" spans="8:15">
      <c r="H737" s="3213"/>
      <c r="L737" s="3213"/>
      <c r="N737" s="3213"/>
      <c r="O737" s="3213"/>
    </row>
    <row r="738" spans="8:15">
      <c r="H738" s="3213"/>
      <c r="L738" s="3213"/>
      <c r="N738" s="3213"/>
      <c r="O738" s="3213"/>
    </row>
    <row r="739" spans="8:15">
      <c r="H739" s="3213"/>
      <c r="L739" s="3213"/>
      <c r="N739" s="3213"/>
      <c r="O739" s="3213"/>
    </row>
    <row r="740" spans="8:15">
      <c r="H740" s="3213"/>
      <c r="L740" s="3213"/>
      <c r="N740" s="3213"/>
      <c r="O740" s="3213"/>
    </row>
    <row r="741" spans="8:15">
      <c r="H741" s="3213"/>
      <c r="L741" s="3213"/>
      <c r="N741" s="3213"/>
      <c r="O741" s="3213"/>
    </row>
    <row r="742" spans="8:15">
      <c r="H742" s="3213"/>
      <c r="L742" s="3213"/>
      <c r="N742" s="3213"/>
      <c r="O742" s="3213"/>
    </row>
    <row r="743" spans="8:15">
      <c r="H743" s="3213"/>
      <c r="L743" s="3213"/>
      <c r="N743" s="3213"/>
      <c r="O743" s="3213"/>
    </row>
    <row r="744" spans="8:15">
      <c r="H744" s="3213"/>
      <c r="L744" s="3213"/>
      <c r="N744" s="3213"/>
      <c r="O744" s="3213"/>
    </row>
    <row r="745" spans="8:15">
      <c r="H745" s="3213"/>
      <c r="L745" s="3213"/>
      <c r="N745" s="3213"/>
      <c r="O745" s="3213"/>
    </row>
    <row r="746" spans="8:15">
      <c r="H746" s="3213"/>
      <c r="L746" s="3213"/>
      <c r="N746" s="3213"/>
      <c r="O746" s="3213"/>
    </row>
    <row r="747" spans="8:15">
      <c r="H747" s="3213"/>
      <c r="L747" s="3213"/>
      <c r="N747" s="3213"/>
      <c r="O747" s="3213"/>
    </row>
    <row r="748" spans="8:15">
      <c r="H748" s="3213"/>
      <c r="L748" s="3213"/>
      <c r="N748" s="3213"/>
      <c r="O748" s="3213"/>
    </row>
    <row r="749" spans="8:15">
      <c r="H749" s="3213"/>
      <c r="L749" s="3213"/>
      <c r="N749" s="3213"/>
      <c r="O749" s="3213"/>
    </row>
    <row r="750" spans="8:15">
      <c r="H750" s="3213"/>
      <c r="L750" s="3213"/>
      <c r="N750" s="3213"/>
      <c r="O750" s="3213"/>
    </row>
    <row r="751" spans="8:15">
      <c r="H751" s="3213"/>
      <c r="L751" s="3213"/>
      <c r="N751" s="3213"/>
      <c r="O751" s="3213"/>
    </row>
    <row r="752" spans="8:15">
      <c r="H752" s="3213"/>
      <c r="L752" s="3213"/>
      <c r="N752" s="3213"/>
      <c r="O752" s="3213"/>
    </row>
    <row r="753" spans="8:15">
      <c r="H753" s="3213"/>
      <c r="L753" s="3213"/>
      <c r="N753" s="3213"/>
      <c r="O753" s="3213"/>
    </row>
    <row r="754" spans="8:15">
      <c r="H754" s="3213"/>
      <c r="L754" s="3213"/>
      <c r="N754" s="3213"/>
      <c r="O754" s="3213"/>
    </row>
    <row r="755" spans="8:15">
      <c r="H755" s="3213"/>
      <c r="L755" s="3213"/>
      <c r="N755" s="3213"/>
      <c r="O755" s="3213"/>
    </row>
    <row r="756" spans="8:15">
      <c r="H756" s="3213"/>
      <c r="L756" s="3213"/>
      <c r="N756" s="3213"/>
      <c r="O756" s="3213"/>
    </row>
    <row r="757" spans="8:15">
      <c r="H757" s="3213"/>
      <c r="L757" s="3213"/>
      <c r="N757" s="3213"/>
      <c r="O757" s="3213"/>
    </row>
    <row r="758" spans="8:15">
      <c r="H758" s="3213"/>
      <c r="L758" s="3213"/>
      <c r="N758" s="3213"/>
      <c r="O758" s="3213"/>
    </row>
    <row r="759" spans="8:15">
      <c r="H759" s="3213"/>
      <c r="L759" s="3213"/>
      <c r="N759" s="3213"/>
      <c r="O759" s="3213"/>
    </row>
    <row r="760" spans="8:15">
      <c r="H760" s="3213"/>
      <c r="L760" s="3213"/>
      <c r="N760" s="3213"/>
      <c r="O760" s="3213"/>
    </row>
    <row r="761" spans="8:15">
      <c r="H761" s="3213"/>
      <c r="L761" s="3213"/>
      <c r="N761" s="3213"/>
      <c r="O761" s="3213"/>
    </row>
    <row r="762" spans="8:15">
      <c r="H762" s="3213"/>
      <c r="L762" s="3213"/>
      <c r="N762" s="3213"/>
      <c r="O762" s="3213"/>
    </row>
    <row r="763" spans="8:15">
      <c r="H763" s="3213"/>
      <c r="L763" s="3213"/>
      <c r="N763" s="3213"/>
      <c r="O763" s="3213"/>
    </row>
    <row r="764" spans="8:15">
      <c r="H764" s="3213"/>
      <c r="L764" s="3213"/>
      <c r="N764" s="3213"/>
      <c r="O764" s="3213"/>
    </row>
    <row r="765" spans="8:15">
      <c r="H765" s="3213"/>
      <c r="L765" s="3213"/>
      <c r="N765" s="3213"/>
      <c r="O765" s="3213"/>
    </row>
    <row r="766" spans="8:15">
      <c r="H766" s="3213"/>
      <c r="L766" s="3213"/>
      <c r="N766" s="3213"/>
      <c r="O766" s="3213"/>
    </row>
    <row r="767" spans="8:15">
      <c r="H767" s="3213"/>
      <c r="L767" s="3213"/>
      <c r="N767" s="3213"/>
      <c r="O767" s="3213"/>
    </row>
    <row r="768" spans="8:15">
      <c r="H768" s="3213"/>
      <c r="L768" s="3213"/>
      <c r="N768" s="3213"/>
      <c r="O768" s="3213"/>
    </row>
    <row r="769" spans="8:15">
      <c r="H769" s="3213"/>
      <c r="L769" s="3213"/>
      <c r="N769" s="3213"/>
      <c r="O769" s="3213"/>
    </row>
    <row r="770" spans="8:15">
      <c r="H770" s="3213"/>
      <c r="L770" s="3213"/>
      <c r="N770" s="3213"/>
      <c r="O770" s="3213"/>
    </row>
    <row r="771" spans="8:15">
      <c r="H771" s="3213"/>
      <c r="L771" s="3213"/>
      <c r="N771" s="3213"/>
      <c r="O771" s="3213"/>
    </row>
    <row r="772" spans="8:15">
      <c r="H772" s="3213"/>
      <c r="L772" s="3213"/>
      <c r="N772" s="3213"/>
      <c r="O772" s="3213"/>
    </row>
    <row r="773" spans="8:15">
      <c r="H773" s="3213"/>
      <c r="L773" s="3213"/>
      <c r="N773" s="3213"/>
      <c r="O773" s="3213"/>
    </row>
    <row r="774" spans="8:15">
      <c r="H774" s="3213"/>
      <c r="L774" s="3213"/>
      <c r="N774" s="3213"/>
      <c r="O774" s="3213"/>
    </row>
    <row r="775" spans="8:15">
      <c r="H775" s="3213"/>
      <c r="L775" s="3213"/>
      <c r="N775" s="3213"/>
      <c r="O775" s="3213"/>
    </row>
    <row r="776" spans="8:15">
      <c r="H776" s="3213"/>
      <c r="L776" s="3213"/>
      <c r="N776" s="3213"/>
      <c r="O776" s="3213"/>
    </row>
    <row r="777" spans="8:15">
      <c r="H777" s="3213"/>
      <c r="L777" s="3213"/>
      <c r="N777" s="3213"/>
      <c r="O777" s="3213"/>
    </row>
    <row r="778" spans="8:15">
      <c r="H778" s="3213"/>
      <c r="L778" s="3213"/>
      <c r="N778" s="3213"/>
      <c r="O778" s="3213"/>
    </row>
    <row r="779" spans="8:15">
      <c r="H779" s="3213"/>
      <c r="L779" s="3213"/>
      <c r="N779" s="3213"/>
      <c r="O779" s="3213"/>
    </row>
    <row r="780" spans="8:15">
      <c r="H780" s="3213"/>
      <c r="L780" s="3213"/>
      <c r="N780" s="3213"/>
      <c r="O780" s="3213"/>
    </row>
    <row r="781" spans="8:15">
      <c r="H781" s="3213"/>
      <c r="L781" s="3213"/>
      <c r="N781" s="3213"/>
      <c r="O781" s="3213"/>
    </row>
    <row r="782" spans="8:15">
      <c r="H782" s="3213"/>
      <c r="L782" s="3213"/>
      <c r="N782" s="3213"/>
      <c r="O782" s="3213"/>
    </row>
    <row r="783" spans="8:15">
      <c r="H783" s="3213"/>
      <c r="L783" s="3213"/>
      <c r="N783" s="3213"/>
      <c r="O783" s="3213"/>
    </row>
    <row r="784" spans="8:15">
      <c r="H784" s="3213"/>
      <c r="L784" s="3213"/>
      <c r="N784" s="3213"/>
      <c r="O784" s="3213"/>
    </row>
    <row r="785" spans="8:15">
      <c r="H785" s="3213"/>
      <c r="L785" s="3213"/>
      <c r="N785" s="3213"/>
      <c r="O785" s="3213"/>
    </row>
    <row r="786" spans="8:15">
      <c r="H786" s="3213"/>
      <c r="L786" s="3213"/>
      <c r="N786" s="3213"/>
      <c r="O786" s="3213"/>
    </row>
    <row r="787" spans="8:15">
      <c r="H787" s="3213"/>
      <c r="L787" s="3213"/>
      <c r="N787" s="3213"/>
      <c r="O787" s="3213"/>
    </row>
    <row r="788" spans="8:15">
      <c r="H788" s="3213"/>
      <c r="L788" s="3213"/>
      <c r="N788" s="3213"/>
      <c r="O788" s="3213"/>
    </row>
    <row r="789" spans="8:15">
      <c r="H789" s="3213"/>
      <c r="L789" s="3213"/>
      <c r="N789" s="3213"/>
      <c r="O789" s="3213"/>
    </row>
    <row r="790" spans="8:15">
      <c r="H790" s="3213"/>
      <c r="L790" s="3213"/>
      <c r="N790" s="3213"/>
      <c r="O790" s="3213"/>
    </row>
    <row r="791" spans="8:15">
      <c r="H791" s="3213"/>
      <c r="L791" s="3213"/>
      <c r="N791" s="3213"/>
      <c r="O791" s="3213"/>
    </row>
    <row r="792" spans="8:15">
      <c r="H792" s="3213"/>
      <c r="L792" s="3213"/>
      <c r="N792" s="3213"/>
      <c r="O792" s="3213"/>
    </row>
    <row r="793" spans="8:15">
      <c r="H793" s="3213"/>
      <c r="L793" s="3213"/>
      <c r="N793" s="3213"/>
      <c r="O793" s="3213"/>
    </row>
    <row r="794" spans="8:15">
      <c r="H794" s="3213"/>
      <c r="L794" s="3213"/>
      <c r="N794" s="3213"/>
      <c r="O794" s="3213"/>
    </row>
    <row r="795" spans="8:15">
      <c r="H795" s="3213"/>
      <c r="L795" s="3213"/>
      <c r="N795" s="3213"/>
      <c r="O795" s="3213"/>
    </row>
    <row r="796" spans="8:15">
      <c r="H796" s="3213"/>
      <c r="L796" s="3213"/>
      <c r="N796" s="3213"/>
      <c r="O796" s="3213"/>
    </row>
    <row r="797" spans="8:15">
      <c r="H797" s="3213"/>
      <c r="L797" s="3213"/>
      <c r="N797" s="3213"/>
      <c r="O797" s="3213"/>
    </row>
    <row r="798" spans="8:15">
      <c r="H798" s="3213"/>
      <c r="L798" s="3213"/>
      <c r="N798" s="3213"/>
      <c r="O798" s="3213"/>
    </row>
    <row r="799" spans="8:15">
      <c r="H799" s="3213"/>
      <c r="L799" s="3213"/>
      <c r="N799" s="3213"/>
      <c r="O799" s="3213"/>
    </row>
    <row r="800" spans="8:15">
      <c r="H800" s="3213"/>
      <c r="L800" s="3213"/>
      <c r="N800" s="3213"/>
      <c r="O800" s="3213"/>
    </row>
    <row r="801" spans="8:15">
      <c r="H801" s="3213"/>
      <c r="L801" s="3213"/>
      <c r="N801" s="3213"/>
      <c r="O801" s="3213"/>
    </row>
    <row r="802" spans="8:15">
      <c r="H802" s="3213"/>
      <c r="L802" s="3213"/>
      <c r="N802" s="3213"/>
      <c r="O802" s="3213"/>
    </row>
    <row r="803" spans="8:15">
      <c r="H803" s="3213"/>
      <c r="L803" s="3213"/>
      <c r="N803" s="3213"/>
      <c r="O803" s="3213"/>
    </row>
    <row r="804" spans="8:15">
      <c r="H804" s="3213"/>
      <c r="L804" s="3213"/>
      <c r="N804" s="3213"/>
      <c r="O804" s="3213"/>
    </row>
    <row r="805" spans="8:15">
      <c r="H805" s="3213"/>
      <c r="L805" s="3213"/>
      <c r="N805" s="3213"/>
      <c r="O805" s="3213"/>
    </row>
    <row r="806" spans="8:15">
      <c r="H806" s="3213"/>
      <c r="L806" s="3213"/>
      <c r="N806" s="3213"/>
      <c r="O806" s="3213"/>
    </row>
    <row r="807" spans="8:15">
      <c r="H807" s="3213"/>
      <c r="L807" s="3213"/>
      <c r="N807" s="3213"/>
      <c r="O807" s="3213"/>
    </row>
    <row r="808" spans="8:15">
      <c r="H808" s="3213"/>
      <c r="L808" s="3213"/>
      <c r="N808" s="3213"/>
      <c r="O808" s="3213"/>
    </row>
    <row r="809" spans="8:15">
      <c r="H809" s="3213"/>
      <c r="L809" s="3213"/>
      <c r="N809" s="3213"/>
      <c r="O809" s="3213"/>
    </row>
    <row r="810" spans="8:15">
      <c r="H810" s="3213"/>
      <c r="L810" s="3213"/>
      <c r="N810" s="3213"/>
      <c r="O810" s="3213"/>
    </row>
    <row r="811" spans="8:15">
      <c r="H811" s="3213"/>
      <c r="L811" s="3213"/>
      <c r="N811" s="3213"/>
      <c r="O811" s="3213"/>
    </row>
    <row r="812" spans="8:15">
      <c r="H812" s="3213"/>
      <c r="L812" s="3213"/>
      <c r="N812" s="3213"/>
      <c r="O812" s="3213"/>
    </row>
    <row r="813" spans="8:15">
      <c r="H813" s="3213"/>
      <c r="L813" s="3213"/>
      <c r="N813" s="3213"/>
      <c r="O813" s="3213"/>
    </row>
    <row r="814" spans="8:15">
      <c r="H814" s="3213"/>
      <c r="L814" s="3213"/>
      <c r="N814" s="3213"/>
      <c r="O814" s="3213"/>
    </row>
    <row r="815" spans="8:15">
      <c r="H815" s="3213"/>
      <c r="L815" s="3213"/>
      <c r="N815" s="3213"/>
      <c r="O815" s="3213"/>
    </row>
    <row r="816" spans="8:15">
      <c r="H816" s="3213"/>
      <c r="L816" s="3213"/>
      <c r="N816" s="3213"/>
      <c r="O816" s="3213"/>
    </row>
    <row r="817" spans="8:15">
      <c r="H817" s="3213"/>
      <c r="L817" s="3213"/>
      <c r="N817" s="3213"/>
      <c r="O817" s="3213"/>
    </row>
    <row r="818" spans="8:15">
      <c r="H818" s="3213"/>
      <c r="L818" s="3213"/>
      <c r="N818" s="3213"/>
      <c r="O818" s="3213"/>
    </row>
    <row r="819" spans="8:15">
      <c r="H819" s="3213"/>
      <c r="L819" s="3213"/>
      <c r="N819" s="3213"/>
      <c r="O819" s="3213"/>
    </row>
    <row r="820" spans="8:15">
      <c r="H820" s="3213"/>
      <c r="L820" s="3213"/>
      <c r="N820" s="3213"/>
      <c r="O820" s="3213"/>
    </row>
    <row r="821" spans="8:15">
      <c r="H821" s="3213"/>
      <c r="L821" s="3213"/>
      <c r="N821" s="3213"/>
      <c r="O821" s="3213"/>
    </row>
    <row r="822" spans="8:15">
      <c r="H822" s="3213"/>
      <c r="L822" s="3213"/>
      <c r="N822" s="3213"/>
      <c r="O822" s="3213"/>
    </row>
    <row r="823" spans="8:15">
      <c r="H823" s="3213"/>
      <c r="L823" s="3213"/>
      <c r="N823" s="3213"/>
      <c r="O823" s="3213"/>
    </row>
    <row r="824" spans="8:15">
      <c r="H824" s="3213"/>
      <c r="L824" s="3213"/>
      <c r="N824" s="3213"/>
      <c r="O824" s="3213"/>
    </row>
    <row r="825" spans="8:15">
      <c r="H825" s="3213"/>
      <c r="L825" s="3213"/>
      <c r="N825" s="3213"/>
      <c r="O825" s="3213"/>
    </row>
    <row r="826" spans="8:15">
      <c r="H826" s="3213"/>
      <c r="L826" s="3213"/>
      <c r="N826" s="3213"/>
      <c r="O826" s="3213"/>
    </row>
    <row r="827" spans="8:15">
      <c r="H827" s="3213"/>
      <c r="L827" s="3213"/>
      <c r="N827" s="3213"/>
      <c r="O827" s="3213"/>
    </row>
    <row r="828" spans="8:15">
      <c r="H828" s="3213"/>
      <c r="L828" s="3213"/>
      <c r="N828" s="3213"/>
      <c r="O828" s="3213"/>
    </row>
    <row r="829" spans="8:15">
      <c r="H829" s="3213"/>
      <c r="L829" s="3213"/>
      <c r="N829" s="3213"/>
      <c r="O829" s="3213"/>
    </row>
    <row r="830" spans="8:15">
      <c r="H830" s="3213"/>
      <c r="L830" s="3213"/>
      <c r="N830" s="3213"/>
      <c r="O830" s="3213"/>
    </row>
    <row r="831" spans="8:15">
      <c r="H831" s="3213"/>
      <c r="L831" s="3213"/>
      <c r="N831" s="3213"/>
      <c r="O831" s="3213"/>
    </row>
  </sheetData>
  <autoFilter ref="A1:T14" xr:uid="{00000000-0009-0000-0000-00003A000000}"/>
  <phoneticPr fontId="136" type="noConversion"/>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405" t="s">
        <v>949</v>
      </c>
      <c r="B1" s="3405"/>
      <c r="C1" s="3405"/>
      <c r="D1" s="3405"/>
    </row>
    <row r="2" spans="1:4" ht="18">
      <c r="A2" s="3406" t="s">
        <v>933</v>
      </c>
      <c r="B2" s="3406"/>
      <c r="C2" s="3406"/>
      <c r="D2" s="3406"/>
    </row>
    <row r="3" spans="1:4" ht="18.75">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8">
      <c r="A6" s="3406" t="s">
        <v>939</v>
      </c>
      <c r="B6" s="3406"/>
      <c r="C6" s="3406"/>
      <c r="D6" s="3406"/>
    </row>
    <row r="7" spans="1:4" ht="18.75">
      <c r="A7" s="1407" t="s">
        <v>934</v>
      </c>
      <c r="B7" s="1409" t="s">
        <v>940</v>
      </c>
      <c r="C7" s="1407" t="s">
        <v>936</v>
      </c>
      <c r="D7" s="1407" t="s">
        <v>937</v>
      </c>
    </row>
    <row r="8" spans="1:4" ht="56.25" customHeight="1">
      <c r="A8" s="1413" t="s">
        <v>390</v>
      </c>
      <c r="B8" s="1413" t="s">
        <v>0</v>
      </c>
      <c r="C8" s="1410"/>
      <c r="D8" s="1411" t="s">
        <v>938</v>
      </c>
    </row>
    <row r="10" spans="1:4" ht="18.75">
      <c r="A10" s="1414" t="s">
        <v>941</v>
      </c>
    </row>
    <row r="11" spans="1:4" ht="30" customHeight="1">
      <c r="A11" s="3407" t="s">
        <v>942</v>
      </c>
      <c r="B11" s="3408"/>
      <c r="C11" s="3408"/>
      <c r="D11" s="3408"/>
    </row>
    <row r="12" spans="1:4" ht="15.75">
      <c r="A12" s="340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409"/>
      <c r="C12" s="3409"/>
      <c r="D12" s="3409"/>
    </row>
    <row r="13" spans="1:4" ht="30" customHeight="1">
      <c r="A13" s="3408" t="str">
        <f>IF(项目基本情况!B8="抵押","3.抵押双方在办理抵押登记手续时，应使用本公司出具的正式《房地产评估报告》，特提醒报告使用者注意。","——")</f>
        <v>——</v>
      </c>
      <c r="B13" s="3409"/>
      <c r="C13" s="3409"/>
      <c r="D13" s="3409"/>
    </row>
    <row r="14" spans="1:4" ht="15.75" customHeight="1">
      <c r="A14" s="3408" t="str">
        <f>IF(项目基本情况!B8="抵押","4.本次评估估价师所知悉的法定优先受偿款情况说明如下：","——")</f>
        <v>——</v>
      </c>
      <c r="B14" s="3409"/>
      <c r="C14" s="3409"/>
      <c r="D14" s="3409"/>
    </row>
    <row r="15" spans="1:4" ht="42" customHeight="1">
      <c r="A15" s="3408" t="str">
        <f>IF(项目基本情况!B8="抵押","（1）"&amp;CONCATENATE(项目基本情况!L20,项目基本情况!L21,项目基本情况!L22),"——")</f>
        <v>——</v>
      </c>
      <c r="B15" s="3408"/>
      <c r="C15" s="3408"/>
      <c r="D15" s="3408"/>
    </row>
    <row r="16" spans="1:4" ht="30" customHeight="1">
      <c r="A16" s="3411" t="s">
        <v>943</v>
      </c>
      <c r="B16" s="3411"/>
      <c r="C16" s="3411"/>
      <c r="D16" s="3411"/>
    </row>
    <row r="17" spans="1:4" ht="144" customHeight="1">
      <c r="A17" s="3411" t="s">
        <v>944</v>
      </c>
      <c r="B17" s="3411"/>
      <c r="C17" s="3411"/>
      <c r="D17" s="3411"/>
    </row>
    <row r="18" spans="1:4" ht="15.75" customHeight="1">
      <c r="A18" s="3408" t="str">
        <f>IF(项目基本情况!B8="抵押",结果表!K120,"——")</f>
        <v>——</v>
      </c>
      <c r="B18" s="3408"/>
      <c r="C18" s="3408"/>
      <c r="D18" s="3408"/>
    </row>
    <row r="19" spans="1:4" ht="46.5" customHeight="1">
      <c r="A19" s="340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08"/>
      <c r="C19" s="3408"/>
      <c r="D19" s="3408"/>
    </row>
    <row r="20" spans="1:4" ht="57.75" customHeight="1">
      <c r="A20" s="340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08"/>
      <c r="C20" s="3408"/>
      <c r="D20" s="3408"/>
    </row>
    <row r="21" spans="1:4" ht="57.75" customHeight="1">
      <c r="A21" s="341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12"/>
      <c r="C21" s="3412"/>
      <c r="D21" s="3412"/>
    </row>
    <row r="22" spans="1:4" ht="18.75" customHeight="1">
      <c r="A22" s="3413" t="s">
        <v>945</v>
      </c>
      <c r="B22" s="3413"/>
      <c r="C22" s="3413"/>
      <c r="D22" s="3413"/>
    </row>
    <row r="23" spans="1:4">
      <c r="A23" s="1415"/>
      <c r="B23" s="459"/>
      <c r="C23" s="459"/>
      <c r="D23" s="459"/>
    </row>
    <row r="24" spans="1:4">
      <c r="A24" s="1415"/>
      <c r="B24" s="459"/>
      <c r="C24" s="459"/>
      <c r="D24" s="459"/>
    </row>
    <row r="25" spans="1:4" ht="18.75">
      <c r="A25" s="1416" t="s">
        <v>946</v>
      </c>
    </row>
    <row r="26" spans="1:4" ht="18">
      <c r="A26" s="1387"/>
    </row>
    <row r="27" spans="1:4" ht="18.75">
      <c r="A27" s="1387" t="s">
        <v>947</v>
      </c>
    </row>
    <row r="30" spans="1:4" ht="18.75">
      <c r="D30" s="1416" t="s">
        <v>948</v>
      </c>
    </row>
    <row r="31" spans="1:4" ht="13.5" customHeight="1">
      <c r="C31" s="3410">
        <v>42551</v>
      </c>
      <c r="D31" s="3410"/>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2"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dimension ref="A1"/>
  <sheetViews>
    <sheetView workbookViewId="0">
      <selection activeCell="O57" sqref="O57"/>
    </sheetView>
  </sheetViews>
  <sheetFormatPr defaultRowHeight="13.5"/>
  <sheetData/>
  <phoneticPr fontId="136" type="noConversion"/>
  <pageMargins left="0.7" right="0.7" top="0.75" bottom="0.75" header="0.3" footer="0.3"/>
  <pageSetup paperSize="9" orientation="portrait"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BA2504-D4BF-4A05-8FF6-D7BA6E4B35DA}">
  <dimension ref="A1:BN707"/>
  <sheetViews>
    <sheetView workbookViewId="0">
      <selection activeCell="AF26" sqref="AF26"/>
    </sheetView>
  </sheetViews>
  <sheetFormatPr defaultColWidth="9" defaultRowHeight="13.5"/>
  <cols>
    <col min="1" max="1" width="4.875" style="3213" customWidth="1"/>
    <col min="2" max="2" width="6.5" style="3213" customWidth="1"/>
    <col min="3" max="3" width="23.625" style="3213" bestFit="1" customWidth="1"/>
    <col min="4" max="4" width="10.875" style="3213" customWidth="1"/>
    <col min="5" max="5" width="11.875" style="3213" hidden="1" customWidth="1"/>
    <col min="6" max="6" width="9.875" style="3213" hidden="1" customWidth="1"/>
    <col min="7" max="7" width="9.375" style="3225" hidden="1" customWidth="1"/>
    <col min="8" max="8" width="13.25" style="3213" hidden="1" customWidth="1"/>
    <col min="9" max="10" width="12.5" style="3213" hidden="1" customWidth="1"/>
    <col min="11" max="11" width="11.5" style="3213" customWidth="1"/>
    <col min="12" max="12" width="16.625" style="3213" bestFit="1" customWidth="1"/>
    <col min="13" max="13" width="10.625" style="3213" customWidth="1"/>
    <col min="14" max="14" width="11.625" style="3213" customWidth="1"/>
    <col min="15" max="15" width="12.75" style="3380" customWidth="1"/>
    <col min="16" max="16" width="10.5" style="3227" hidden="1" customWidth="1"/>
    <col min="17" max="17" width="11.75" style="3213" hidden="1" customWidth="1"/>
    <col min="18" max="18" width="10.75" style="3227" customWidth="1"/>
    <col min="19" max="19" width="17.25" style="3213" hidden="1" customWidth="1"/>
    <col min="20" max="21" width="0" style="3213" hidden="1" customWidth="1"/>
    <col min="22" max="22" width="16.625" style="3372" hidden="1" customWidth="1"/>
    <col min="23" max="23" width="17.625" style="3369" hidden="1" customWidth="1"/>
    <col min="24" max="24" width="20.75" style="3369" hidden="1" customWidth="1"/>
    <col min="25" max="25" width="17.25" style="3369" hidden="1" customWidth="1"/>
    <col min="26" max="26" width="11.375" style="3213" customWidth="1"/>
    <col min="27" max="27" width="38" style="3213" bestFit="1" customWidth="1"/>
    <col min="28" max="28" width="17.375" style="3213" customWidth="1"/>
    <col min="29" max="29" width="12.5" style="3213" bestFit="1" customWidth="1"/>
    <col min="30" max="16384" width="9" style="3213"/>
  </cols>
  <sheetData>
    <row r="1" spans="1:66" ht="40.5">
      <c r="A1" s="3363" t="s">
        <v>3442</v>
      </c>
      <c r="B1" s="3363" t="s">
        <v>3443</v>
      </c>
      <c r="C1" s="3363" t="s">
        <v>3444</v>
      </c>
      <c r="D1" s="3363" t="s">
        <v>3445</v>
      </c>
      <c r="E1" s="3363" t="s">
        <v>3446</v>
      </c>
      <c r="F1" s="3363" t="s">
        <v>3447</v>
      </c>
      <c r="G1" s="3367" t="s">
        <v>3416</v>
      </c>
      <c r="H1" s="3363" t="s">
        <v>3448</v>
      </c>
      <c r="I1" s="3363" t="s">
        <v>3449</v>
      </c>
      <c r="J1" s="3363" t="s">
        <v>3450</v>
      </c>
      <c r="K1" s="3363" t="s">
        <v>3452</v>
      </c>
      <c r="L1" s="3363" t="s">
        <v>3453</v>
      </c>
      <c r="M1" s="3363" t="s">
        <v>3926</v>
      </c>
      <c r="N1" s="3363" t="s">
        <v>3456</v>
      </c>
      <c r="O1" s="3378" t="s">
        <v>3927</v>
      </c>
      <c r="P1" s="3364" t="s">
        <v>3928</v>
      </c>
      <c r="Q1" s="3363" t="s">
        <v>3882</v>
      </c>
      <c r="R1" s="3364" t="s">
        <v>3929</v>
      </c>
      <c r="S1" s="3363" t="s">
        <v>3910</v>
      </c>
      <c r="V1" s="3363" t="s">
        <v>3936</v>
      </c>
      <c r="W1" s="3369" t="s">
        <v>3938</v>
      </c>
      <c r="X1" s="3369" t="s">
        <v>3940</v>
      </c>
      <c r="Y1" s="3369" t="s">
        <v>3942</v>
      </c>
      <c r="Z1" s="3369" t="s">
        <v>3944</v>
      </c>
      <c r="AA1" s="3369" t="s">
        <v>3945</v>
      </c>
      <c r="AB1" s="3369" t="s">
        <v>3951</v>
      </c>
      <c r="AC1" s="3369" t="s">
        <v>3947</v>
      </c>
      <c r="AD1" s="3213" t="s">
        <v>3948</v>
      </c>
    </row>
    <row r="2" spans="1:66" ht="27">
      <c r="A2" s="3208">
        <v>12</v>
      </c>
      <c r="B2" s="3208" t="s">
        <v>3461</v>
      </c>
      <c r="C2" s="3208" t="s">
        <v>3462</v>
      </c>
      <c r="D2" s="3221">
        <v>7</v>
      </c>
      <c r="E2" s="3222">
        <v>101</v>
      </c>
      <c r="F2" s="3208">
        <v>44</v>
      </c>
      <c r="G2" s="3208">
        <v>122.87</v>
      </c>
      <c r="H2" s="3334">
        <f ca="1">ROUND(M2*$Q$2,2)</f>
        <v>109.97</v>
      </c>
      <c r="I2" s="3208">
        <v>123.31</v>
      </c>
      <c r="J2" s="3208">
        <v>70.760000000000005</v>
      </c>
      <c r="K2" s="3208">
        <f t="shared" ref="K2:K17" si="0">I2+J2</f>
        <v>194.07</v>
      </c>
      <c r="L2" s="3208">
        <v>253.4</v>
      </c>
      <c r="M2" s="3208">
        <f t="shared" ref="M2:M17" si="1">I2+J2+L2</f>
        <v>447.47</v>
      </c>
      <c r="N2" s="3238">
        <v>44981</v>
      </c>
      <c r="O2" s="3379">
        <v>1470.7482</v>
      </c>
      <c r="P2" s="3223">
        <f t="shared" ref="P2:P17" si="2">O2/M2*10000</f>
        <v>32868.085011285671</v>
      </c>
      <c r="Q2" s="3339">
        <f t="shared" ref="Q2:Q17" ca="1" si="3">H2/M2</f>
        <v>0.2457594922564641</v>
      </c>
      <c r="R2" s="3377">
        <f ca="1">VLOOKUP(D2,房源修正表!$D$1:$AL$49,34,0)/10000</f>
        <v>337.95958000000002</v>
      </c>
      <c r="S2" s="3338">
        <f t="shared" ref="S2:S17" ca="1" si="4">R2/O2</f>
        <v>0.22978751903282971</v>
      </c>
      <c r="T2" s="3243">
        <f t="shared" ref="T2:T17" ca="1" si="5">R2/L2</f>
        <v>1.3337000000000001</v>
      </c>
      <c r="U2" s="3243">
        <f t="shared" ref="U2:U17" ca="1" si="6">R2/M2</f>
        <v>0.75526757101034703</v>
      </c>
      <c r="V2" s="3370" t="s">
        <v>3937</v>
      </c>
      <c r="W2" s="3370" t="s">
        <v>3939</v>
      </c>
      <c r="X2" s="3373" t="s">
        <v>3941</v>
      </c>
      <c r="Y2" s="3371" t="s">
        <v>3943</v>
      </c>
      <c r="Z2" s="3213">
        <v>2023080232</v>
      </c>
      <c r="AA2" s="3371" t="s">
        <v>3946</v>
      </c>
      <c r="AB2" s="3374">
        <v>44981</v>
      </c>
      <c r="AC2" s="3213" t="s">
        <v>3984</v>
      </c>
      <c r="AD2" s="3213" t="s">
        <v>3949</v>
      </c>
    </row>
    <row r="3" spans="1:66" ht="27">
      <c r="A3" s="3208">
        <v>10</v>
      </c>
      <c r="B3" s="3208" t="s">
        <v>3464</v>
      </c>
      <c r="C3" s="3208" t="s">
        <v>3462</v>
      </c>
      <c r="D3" s="3221">
        <v>8</v>
      </c>
      <c r="E3" s="3222">
        <v>101</v>
      </c>
      <c r="F3" s="3208">
        <v>51</v>
      </c>
      <c r="G3" s="3208">
        <v>122.87</v>
      </c>
      <c r="H3" s="3334">
        <v>109.97</v>
      </c>
      <c r="I3" s="3208">
        <v>123.31</v>
      </c>
      <c r="J3" s="3208">
        <v>70.760000000000005</v>
      </c>
      <c r="K3" s="3208">
        <f t="shared" si="0"/>
        <v>194.07</v>
      </c>
      <c r="L3" s="3208">
        <v>253.4</v>
      </c>
      <c r="M3" s="3208">
        <f t="shared" si="1"/>
        <v>447.47</v>
      </c>
      <c r="N3" s="3238">
        <v>45446</v>
      </c>
      <c r="O3" s="3379">
        <v>1377.7284999999999</v>
      </c>
      <c r="P3" s="3223">
        <f t="shared" si="2"/>
        <v>30789.293136970075</v>
      </c>
      <c r="Q3" s="3339">
        <f t="shared" si="3"/>
        <v>0.2457594922564641</v>
      </c>
      <c r="R3" s="3377">
        <f ca="1">VLOOKUP(D3,房源修正表!$D$1:$AL$49,34,0)/10000</f>
        <v>305.32166000000001</v>
      </c>
      <c r="S3" s="3338">
        <f t="shared" ca="1" si="4"/>
        <v>0.22161235686131195</v>
      </c>
      <c r="T3" s="3243">
        <f t="shared" ca="1" si="5"/>
        <v>1.2049000000000001</v>
      </c>
      <c r="U3" s="3243">
        <f t="shared" ca="1" si="6"/>
        <v>0.68232878181777545</v>
      </c>
      <c r="V3" s="3370" t="s">
        <v>3937</v>
      </c>
      <c r="W3" s="3370" t="s">
        <v>3993</v>
      </c>
      <c r="X3" s="3373" t="s">
        <v>3994</v>
      </c>
      <c r="Y3" s="3371" t="s">
        <v>3943</v>
      </c>
      <c r="Z3" s="3213">
        <v>2023080671</v>
      </c>
      <c r="AA3" s="3371" t="s">
        <v>3978</v>
      </c>
      <c r="AB3" s="3374">
        <v>45446</v>
      </c>
      <c r="AC3" s="3213" t="s">
        <v>3979</v>
      </c>
      <c r="AD3" s="3381" t="s">
        <v>3980</v>
      </c>
    </row>
    <row r="4" spans="1:66" ht="27">
      <c r="A4" s="3208">
        <v>13</v>
      </c>
      <c r="B4" s="3208" t="s">
        <v>3461</v>
      </c>
      <c r="C4" s="3208" t="s">
        <v>3462</v>
      </c>
      <c r="D4" s="3221">
        <v>10</v>
      </c>
      <c r="E4" s="3222">
        <v>101</v>
      </c>
      <c r="F4" s="3208">
        <v>43</v>
      </c>
      <c r="G4" s="3208">
        <v>122.87</v>
      </c>
      <c r="H4" s="3334">
        <v>109.97</v>
      </c>
      <c r="I4" s="3208">
        <v>123.31</v>
      </c>
      <c r="J4" s="3208">
        <v>70.760000000000005</v>
      </c>
      <c r="K4" s="3208">
        <f t="shared" si="0"/>
        <v>194.07</v>
      </c>
      <c r="L4" s="3376">
        <v>253.4</v>
      </c>
      <c r="M4" s="3208">
        <f t="shared" si="1"/>
        <v>447.47</v>
      </c>
      <c r="N4" s="3238">
        <v>45320</v>
      </c>
      <c r="O4" s="3379">
        <v>1521.0175999999999</v>
      </c>
      <c r="P4" s="3223">
        <f t="shared" si="2"/>
        <v>33991.498871432719</v>
      </c>
      <c r="Q4" s="3339">
        <f t="shared" si="3"/>
        <v>0.2457594922564641</v>
      </c>
      <c r="R4" s="3377">
        <f ca="1">VLOOKUP(D4,房源修正表!$D$1:$AL$49,34,0)/10000</f>
        <v>355.59622000000002</v>
      </c>
      <c r="S4" s="3338">
        <f t="shared" ca="1" si="4"/>
        <v>0.23378836641995468</v>
      </c>
      <c r="T4" s="3243">
        <f t="shared" ca="1" si="5"/>
        <v>1.4033</v>
      </c>
      <c r="U4" s="3243">
        <f t="shared" ca="1" si="6"/>
        <v>0.79468169933179877</v>
      </c>
      <c r="V4" s="3370" t="s">
        <v>3937</v>
      </c>
      <c r="W4" s="3370" t="s">
        <v>3939</v>
      </c>
      <c r="X4" s="3373" t="s">
        <v>3941</v>
      </c>
      <c r="Y4" s="3371" t="s">
        <v>3943</v>
      </c>
      <c r="Z4" s="3213">
        <v>2023080231</v>
      </c>
      <c r="AA4" s="3371" t="s">
        <v>3952</v>
      </c>
      <c r="AB4" s="3374">
        <v>45320</v>
      </c>
      <c r="AC4" s="3213" t="s">
        <v>3985</v>
      </c>
      <c r="AD4" s="3213" t="s">
        <v>3950</v>
      </c>
    </row>
    <row r="5" spans="1:66" ht="27">
      <c r="A5" s="3208">
        <v>7</v>
      </c>
      <c r="B5" s="3208" t="s">
        <v>3461</v>
      </c>
      <c r="C5" s="3208" t="s">
        <v>3462</v>
      </c>
      <c r="D5" s="3221">
        <v>14</v>
      </c>
      <c r="E5" s="3222">
        <v>101</v>
      </c>
      <c r="F5" s="3208">
        <v>41</v>
      </c>
      <c r="G5" s="3208">
        <v>122.87</v>
      </c>
      <c r="H5" s="3334">
        <f ca="1">ROUND(M5*$Q$2,2)</f>
        <v>110.39</v>
      </c>
      <c r="I5" s="3208">
        <v>123.31</v>
      </c>
      <c r="J5" s="3208">
        <v>70.760000000000005</v>
      </c>
      <c r="K5" s="3208">
        <f t="shared" si="0"/>
        <v>194.07</v>
      </c>
      <c r="L5" s="3208">
        <v>255.11</v>
      </c>
      <c r="M5" s="3208">
        <f t="shared" si="1"/>
        <v>449.18</v>
      </c>
      <c r="N5" s="3238">
        <v>45156</v>
      </c>
      <c r="O5" s="3379">
        <v>1262.8794</v>
      </c>
      <c r="P5" s="3223">
        <f t="shared" si="2"/>
        <v>28115.21884322543</v>
      </c>
      <c r="Q5" s="3339">
        <f t="shared" ca="1" si="3"/>
        <v>0.24575893851017408</v>
      </c>
      <c r="R5" s="3377">
        <f ca="1">VLOOKUP(D5,房源修正表!$D$1:$AL$49,34,0)/10000</f>
        <v>265.77359799999999</v>
      </c>
      <c r="S5" s="3338">
        <f t="shared" ca="1" si="4"/>
        <v>0.21045049749010078</v>
      </c>
      <c r="T5" s="3243">
        <f t="shared" ca="1" si="5"/>
        <v>1.0417999999999998</v>
      </c>
      <c r="U5" s="3243">
        <f t="shared" ca="1" si="6"/>
        <v>0.59168617925998479</v>
      </c>
      <c r="V5" s="3370" t="s">
        <v>3937</v>
      </c>
      <c r="W5" s="3370" t="s">
        <v>3939</v>
      </c>
      <c r="X5" s="3373" t="s">
        <v>3941</v>
      </c>
      <c r="Y5" s="3371" t="s">
        <v>3943</v>
      </c>
      <c r="Z5" s="3213">
        <v>2023080229</v>
      </c>
      <c r="AA5" s="3371" t="s">
        <v>3953</v>
      </c>
      <c r="AB5" s="3374">
        <v>45156</v>
      </c>
      <c r="AC5" s="3213" t="s">
        <v>3955</v>
      </c>
      <c r="AD5" s="3381" t="s">
        <v>3954</v>
      </c>
      <c r="AF5" s="3225"/>
      <c r="AG5" s="3225"/>
      <c r="AH5" s="3225"/>
      <c r="AI5" s="3225"/>
      <c r="AJ5" s="3225"/>
      <c r="AK5" s="3225"/>
      <c r="AL5" s="3225"/>
      <c r="AM5" s="3225"/>
      <c r="AN5" s="3225"/>
      <c r="AO5" s="3225"/>
      <c r="AP5" s="3225"/>
      <c r="AQ5" s="3225"/>
      <c r="AR5" s="3225"/>
      <c r="AS5" s="3225"/>
      <c r="AT5" s="3225"/>
      <c r="AU5" s="3225"/>
      <c r="AV5" s="3225"/>
      <c r="AW5" s="3225"/>
      <c r="AX5" s="3225"/>
      <c r="AY5" s="3225"/>
      <c r="AZ5" s="3225"/>
      <c r="BA5" s="3225"/>
      <c r="BB5" s="3225"/>
      <c r="BC5" s="3225"/>
      <c r="BD5" s="3225"/>
      <c r="BE5" s="3225"/>
      <c r="BF5" s="3225"/>
      <c r="BG5" s="3225"/>
      <c r="BH5" s="3225"/>
      <c r="BI5" s="3225"/>
      <c r="BJ5" s="3225"/>
      <c r="BK5" s="3225"/>
      <c r="BL5" s="3225"/>
      <c r="BM5" s="3225"/>
      <c r="BN5" s="3225"/>
    </row>
    <row r="6" spans="1:66" s="3225" customFormat="1" ht="27">
      <c r="A6" s="3208">
        <v>15</v>
      </c>
      <c r="B6" s="3208" t="s">
        <v>3464</v>
      </c>
      <c r="C6" s="3208" t="s">
        <v>3462</v>
      </c>
      <c r="D6" s="3221">
        <v>31</v>
      </c>
      <c r="E6" s="3222">
        <v>101</v>
      </c>
      <c r="F6" s="3208">
        <v>104</v>
      </c>
      <c r="G6" s="3208">
        <v>199.49</v>
      </c>
      <c r="H6" s="3334">
        <f ca="1">ROUND(M6*$Q$2,2)</f>
        <v>193.02</v>
      </c>
      <c r="I6" s="3208">
        <v>199.67</v>
      </c>
      <c r="J6" s="3208">
        <v>134.57</v>
      </c>
      <c r="K6" s="3208">
        <f t="shared" si="0"/>
        <v>334.24</v>
      </c>
      <c r="L6" s="3208">
        <v>451.21</v>
      </c>
      <c r="M6" s="3208">
        <f t="shared" si="1"/>
        <v>785.45</v>
      </c>
      <c r="N6" s="3238">
        <v>44941</v>
      </c>
      <c r="O6" s="3379">
        <v>2624.7078000000001</v>
      </c>
      <c r="P6" s="3223">
        <f t="shared" si="2"/>
        <v>33416.612133172064</v>
      </c>
      <c r="Q6" s="3339">
        <f t="shared" ca="1" si="3"/>
        <v>0.24574447768794958</v>
      </c>
      <c r="R6" s="3377">
        <f ca="1">VLOOKUP(D6,房源修正表!$D$1:$AL$49,34,0)/10000</f>
        <v>506.39298300000002</v>
      </c>
      <c r="S6" s="3338">
        <f t="shared" ca="1" si="4"/>
        <v>0.19293308878039681</v>
      </c>
      <c r="T6" s="3243">
        <f t="shared" ca="1" si="5"/>
        <v>1.1223000000000001</v>
      </c>
      <c r="U6" s="3243">
        <f t="shared" ca="1" si="6"/>
        <v>0.64471701954293714</v>
      </c>
      <c r="V6" s="3370" t="s">
        <v>3937</v>
      </c>
      <c r="W6" s="3370" t="s">
        <v>3993</v>
      </c>
      <c r="X6" s="3373" t="s">
        <v>3994</v>
      </c>
      <c r="Y6" s="3371" t="s">
        <v>3943</v>
      </c>
      <c r="Z6" s="3213">
        <v>2023080555</v>
      </c>
      <c r="AA6" s="3371" t="s">
        <v>3981</v>
      </c>
      <c r="AB6" s="3374">
        <v>44941</v>
      </c>
      <c r="AC6" s="3213" t="s">
        <v>3982</v>
      </c>
      <c r="AD6" s="3213" t="s">
        <v>3986</v>
      </c>
      <c r="AE6" s="3213"/>
    </row>
    <row r="7" spans="1:66" s="3225" customFormat="1" ht="27">
      <c r="A7" s="3208">
        <v>16</v>
      </c>
      <c r="B7" s="3208" t="s">
        <v>3464</v>
      </c>
      <c r="C7" s="3208" t="s">
        <v>3462</v>
      </c>
      <c r="D7" s="3221">
        <v>48</v>
      </c>
      <c r="E7" s="3222">
        <v>101</v>
      </c>
      <c r="F7" s="3208">
        <v>108</v>
      </c>
      <c r="G7" s="3208">
        <v>199.49</v>
      </c>
      <c r="H7" s="3334">
        <v>168.91</v>
      </c>
      <c r="I7" s="3208">
        <v>199.67</v>
      </c>
      <c r="J7" s="3208">
        <v>134.57</v>
      </c>
      <c r="K7" s="3208">
        <f t="shared" si="0"/>
        <v>334.24</v>
      </c>
      <c r="L7" s="3208">
        <v>353.1</v>
      </c>
      <c r="M7" s="3208">
        <f t="shared" si="1"/>
        <v>687.34</v>
      </c>
      <c r="N7" s="3238">
        <v>45585</v>
      </c>
      <c r="O7" s="3379">
        <v>2784.9094</v>
      </c>
      <c r="P7" s="3223">
        <f t="shared" si="2"/>
        <v>40517.202548956848</v>
      </c>
      <c r="Q7" s="3339">
        <f t="shared" si="3"/>
        <v>0.24574446416620593</v>
      </c>
      <c r="R7" s="3377">
        <f ca="1">VLOOKUP(D7,房源修正表!$D$1:$AL$49,34,0)/10000</f>
        <v>485.65374000000003</v>
      </c>
      <c r="S7" s="3338">
        <f t="shared" ca="1" si="4"/>
        <v>0.17438762639818733</v>
      </c>
      <c r="T7" s="3243">
        <f t="shared" ca="1" si="5"/>
        <v>1.3754</v>
      </c>
      <c r="U7" s="3243">
        <f t="shared" ca="1" si="6"/>
        <v>0.70656987808071703</v>
      </c>
      <c r="V7" s="3370" t="s">
        <v>3937</v>
      </c>
      <c r="W7" s="3370" t="s">
        <v>3993</v>
      </c>
      <c r="X7" s="3373" t="s">
        <v>3994</v>
      </c>
      <c r="Y7" s="3371" t="s">
        <v>3943</v>
      </c>
      <c r="Z7" s="3213">
        <v>2023080548</v>
      </c>
      <c r="AA7" s="3371" t="s">
        <v>3988</v>
      </c>
      <c r="AB7" s="3374">
        <v>45585</v>
      </c>
      <c r="AC7" s="3213" t="s">
        <v>3992</v>
      </c>
      <c r="AD7" s="3213" t="s">
        <v>3989</v>
      </c>
      <c r="AE7" s="3213"/>
    </row>
    <row r="8" spans="1:66" ht="27">
      <c r="A8" s="3208">
        <v>1</v>
      </c>
      <c r="B8" s="3208" t="s">
        <v>3461</v>
      </c>
      <c r="C8" s="3208" t="s">
        <v>3462</v>
      </c>
      <c r="D8" s="3221">
        <v>80</v>
      </c>
      <c r="E8" s="3222">
        <v>101</v>
      </c>
      <c r="F8" s="3208">
        <v>39</v>
      </c>
      <c r="G8" s="3208">
        <v>122.87</v>
      </c>
      <c r="H8" s="3334">
        <v>97.58</v>
      </c>
      <c r="I8" s="3208">
        <v>123.31</v>
      </c>
      <c r="J8" s="3208">
        <v>70.760000000000005</v>
      </c>
      <c r="K8" s="3208">
        <f t="shared" si="0"/>
        <v>194.07</v>
      </c>
      <c r="L8" s="3208">
        <v>203</v>
      </c>
      <c r="M8" s="3208">
        <f t="shared" si="1"/>
        <v>397.07</v>
      </c>
      <c r="N8" s="3238">
        <v>45174</v>
      </c>
      <c r="O8" s="3379">
        <v>1067.2199000000001</v>
      </c>
      <c r="P8" s="3223">
        <f t="shared" si="2"/>
        <v>26877.374266502131</v>
      </c>
      <c r="Q8" s="3339">
        <f t="shared" si="3"/>
        <v>0.24575011962626236</v>
      </c>
      <c r="R8" s="3377">
        <f ca="1">VLOOKUP(D8,房源修正表!$D$1:$AL$49,34,0)/10000</f>
        <v>179.81739999999999</v>
      </c>
      <c r="S8" s="3338">
        <f t="shared" ca="1" si="4"/>
        <v>0.16849142337019762</v>
      </c>
      <c r="T8" s="3243">
        <f t="shared" ca="1" si="5"/>
        <v>0.88579999999999992</v>
      </c>
      <c r="U8" s="3243">
        <f t="shared" ca="1" si="6"/>
        <v>0.45286070466164657</v>
      </c>
      <c r="V8" s="3370" t="s">
        <v>3937</v>
      </c>
      <c r="W8" s="3370" t="s">
        <v>3939</v>
      </c>
      <c r="X8" s="3373" t="s">
        <v>3941</v>
      </c>
      <c r="Y8" s="3371" t="s">
        <v>3943</v>
      </c>
      <c r="Z8" s="3213">
        <v>2023080227</v>
      </c>
      <c r="AA8" s="3371" t="s">
        <v>3956</v>
      </c>
      <c r="AB8" s="3374">
        <v>45174</v>
      </c>
      <c r="AC8" s="3213" t="s">
        <v>3957</v>
      </c>
      <c r="AD8" s="3371" t="s">
        <v>3995</v>
      </c>
      <c r="AE8" s="3213" t="s">
        <v>3996</v>
      </c>
    </row>
    <row r="9" spans="1:66" ht="27">
      <c r="A9" s="3208">
        <v>5</v>
      </c>
      <c r="B9" s="3208" t="s">
        <v>3461</v>
      </c>
      <c r="C9" s="3208" t="s">
        <v>3462</v>
      </c>
      <c r="D9" s="3221">
        <v>85</v>
      </c>
      <c r="E9" s="3222">
        <v>101</v>
      </c>
      <c r="F9" s="3208">
        <v>34</v>
      </c>
      <c r="G9" s="3208">
        <v>122.87</v>
      </c>
      <c r="H9" s="3208">
        <v>98.27</v>
      </c>
      <c r="I9" s="3208">
        <v>123.31</v>
      </c>
      <c r="J9" s="3208">
        <v>70.760000000000005</v>
      </c>
      <c r="K9" s="3208">
        <f t="shared" si="0"/>
        <v>194.07</v>
      </c>
      <c r="L9" s="3256">
        <v>205.8</v>
      </c>
      <c r="M9" s="3208">
        <f t="shared" si="1"/>
        <v>399.87</v>
      </c>
      <c r="N9" s="3238">
        <v>45128</v>
      </c>
      <c r="O9" s="3379">
        <v>1209.0226</v>
      </c>
      <c r="P9" s="3223">
        <f t="shared" si="2"/>
        <v>30235.391502238228</v>
      </c>
      <c r="Q9" s="3336">
        <f t="shared" si="3"/>
        <v>0.24575487033285817</v>
      </c>
      <c r="R9" s="3377">
        <f ca="1">VLOOKUP(D9,房源修正表!$D$1:$AL$49,34,0)/10000</f>
        <v>224.19852000000003</v>
      </c>
      <c r="S9" s="3338">
        <f t="shared" ca="1" si="4"/>
        <v>0.18543782390833721</v>
      </c>
      <c r="T9" s="3243">
        <f t="shared" ca="1" si="5"/>
        <v>1.0894000000000001</v>
      </c>
      <c r="U9" s="3243">
        <f t="shared" ca="1" si="6"/>
        <v>0.56067852051916878</v>
      </c>
      <c r="V9" s="3370" t="s">
        <v>3937</v>
      </c>
      <c r="W9" s="3370" t="s">
        <v>3939</v>
      </c>
      <c r="X9" s="3373" t="s">
        <v>3941</v>
      </c>
      <c r="Y9" s="3371" t="s">
        <v>3943</v>
      </c>
      <c r="Z9" s="3225">
        <v>2023080222</v>
      </c>
      <c r="AA9" s="3225" t="s">
        <v>3958</v>
      </c>
      <c r="AB9" s="3375">
        <v>45128</v>
      </c>
      <c r="AC9" s="3225"/>
      <c r="AD9" s="3225" t="s">
        <v>3959</v>
      </c>
      <c r="AE9" s="3225"/>
    </row>
    <row r="10" spans="1:66" ht="27">
      <c r="A10" s="3208">
        <v>4</v>
      </c>
      <c r="B10" s="3208" t="s">
        <v>3461</v>
      </c>
      <c r="C10" s="3208" t="s">
        <v>3462</v>
      </c>
      <c r="D10" s="3221">
        <v>86</v>
      </c>
      <c r="E10" s="3222">
        <v>101</v>
      </c>
      <c r="F10" s="3208">
        <v>33</v>
      </c>
      <c r="G10" s="3208">
        <v>122.87</v>
      </c>
      <c r="H10" s="3334">
        <f ca="1">ROUND(M10*$Q$2,2)</f>
        <v>98.27</v>
      </c>
      <c r="I10" s="3208">
        <v>123.31</v>
      </c>
      <c r="J10" s="3208">
        <v>70.760000000000005</v>
      </c>
      <c r="K10" s="3208">
        <f t="shared" si="0"/>
        <v>194.07</v>
      </c>
      <c r="L10" s="3208">
        <v>205.8</v>
      </c>
      <c r="M10" s="3208">
        <f t="shared" si="1"/>
        <v>399.87</v>
      </c>
      <c r="N10" s="3238">
        <v>45162</v>
      </c>
      <c r="O10" s="3379">
        <v>1197.7209</v>
      </c>
      <c r="P10" s="3223">
        <f t="shared" si="2"/>
        <v>29952.757146072476</v>
      </c>
      <c r="Q10" s="3339">
        <f t="shared" ca="1" si="3"/>
        <v>0.24575487033285817</v>
      </c>
      <c r="R10" s="3377">
        <f ca="1">VLOOKUP(D10,房源修正表!$D$1:$AL$49,34,0)/10000</f>
        <v>220.76166000000001</v>
      </c>
      <c r="S10" s="3338">
        <f t="shared" ca="1" si="4"/>
        <v>0.18431811618215896</v>
      </c>
      <c r="T10" s="3243">
        <f t="shared" ca="1" si="5"/>
        <v>1.0727</v>
      </c>
      <c r="U10" s="3243">
        <f t="shared" ca="1" si="6"/>
        <v>0.55208357716257783</v>
      </c>
      <c r="V10" s="3370" t="s">
        <v>3937</v>
      </c>
      <c r="W10" s="3370" t="s">
        <v>3939</v>
      </c>
      <c r="X10" s="3373" t="s">
        <v>3941</v>
      </c>
      <c r="Y10" s="3371" t="s">
        <v>3943</v>
      </c>
      <c r="Z10" s="3225">
        <v>2023080221</v>
      </c>
      <c r="AA10" s="3225" t="s">
        <v>3960</v>
      </c>
      <c r="AB10" s="3375">
        <v>45162</v>
      </c>
      <c r="AC10" s="3225" t="s">
        <v>3961</v>
      </c>
      <c r="AD10" s="3225" t="s">
        <v>3962</v>
      </c>
      <c r="AE10" s="3225"/>
    </row>
    <row r="11" spans="1:66" ht="27">
      <c r="A11" s="3208">
        <v>3</v>
      </c>
      <c r="B11" s="3208" t="s">
        <v>3461</v>
      </c>
      <c r="C11" s="3208" t="s">
        <v>3462</v>
      </c>
      <c r="D11" s="3221">
        <v>87</v>
      </c>
      <c r="E11" s="3222">
        <v>101</v>
      </c>
      <c r="F11" s="3222">
        <v>32</v>
      </c>
      <c r="G11" s="3208">
        <v>122.87</v>
      </c>
      <c r="H11" s="3208">
        <v>98.27</v>
      </c>
      <c r="I11" s="3208">
        <v>123.31</v>
      </c>
      <c r="J11" s="3208">
        <v>70.760000000000005</v>
      </c>
      <c r="K11" s="3208">
        <f t="shared" si="0"/>
        <v>194.07</v>
      </c>
      <c r="L11" s="3208">
        <v>205.8</v>
      </c>
      <c r="M11" s="3208">
        <f t="shared" si="1"/>
        <v>399.87</v>
      </c>
      <c r="N11" s="3238">
        <v>44783</v>
      </c>
      <c r="O11" s="3379">
        <v>1166.1550999999999</v>
      </c>
      <c r="P11" s="3223">
        <f t="shared" si="2"/>
        <v>29163.355590566931</v>
      </c>
      <c r="Q11" s="3336">
        <f t="shared" si="3"/>
        <v>0.24575487033285817</v>
      </c>
      <c r="R11" s="3377">
        <f ca="1">VLOOKUP(D11,房源修正表!$D$1:$AL$49,34,0)/10000</f>
        <v>211.13022000000001</v>
      </c>
      <c r="S11" s="3338">
        <f t="shared" ca="1" si="4"/>
        <v>0.18104814702606883</v>
      </c>
      <c r="T11" s="3243">
        <f t="shared" ca="1" si="5"/>
        <v>1.0259</v>
      </c>
      <c r="U11" s="3243">
        <f t="shared" ca="1" si="6"/>
        <v>0.52799714907344886</v>
      </c>
      <c r="V11" s="3370" t="s">
        <v>3937</v>
      </c>
      <c r="W11" s="3370" t="s">
        <v>3939</v>
      </c>
      <c r="X11" s="3373" t="s">
        <v>3941</v>
      </c>
      <c r="Y11" s="3371" t="s">
        <v>3943</v>
      </c>
      <c r="Z11" s="3213">
        <v>2023080220</v>
      </c>
      <c r="AA11" s="3213" t="s">
        <v>3963</v>
      </c>
      <c r="AB11" s="3374">
        <v>44783</v>
      </c>
      <c r="AC11" s="3213" t="s">
        <v>3964</v>
      </c>
      <c r="AD11" s="3213" t="s">
        <v>3965</v>
      </c>
    </row>
    <row r="12" spans="1:66" ht="27">
      <c r="A12" s="3208">
        <v>2</v>
      </c>
      <c r="B12" s="3208" t="s">
        <v>3461</v>
      </c>
      <c r="C12" s="3208" t="s">
        <v>3462</v>
      </c>
      <c r="D12" s="3221">
        <v>88</v>
      </c>
      <c r="E12" s="3222">
        <v>101</v>
      </c>
      <c r="F12" s="3208">
        <v>31</v>
      </c>
      <c r="G12" s="3208">
        <v>122.87</v>
      </c>
      <c r="H12" s="3334">
        <f ca="1">ROUND(M12*$Q$2,2)</f>
        <v>98.27</v>
      </c>
      <c r="I12" s="3208">
        <v>123.31</v>
      </c>
      <c r="J12" s="3208">
        <v>70.760000000000005</v>
      </c>
      <c r="K12" s="3208">
        <f t="shared" si="0"/>
        <v>194.07</v>
      </c>
      <c r="L12" s="3208">
        <v>205.8</v>
      </c>
      <c r="M12" s="3208">
        <f t="shared" si="1"/>
        <v>399.87</v>
      </c>
      <c r="N12" s="3238">
        <v>45014</v>
      </c>
      <c r="O12" s="3379">
        <v>1124.923</v>
      </c>
      <c r="P12" s="3223">
        <f t="shared" si="2"/>
        <v>28132.217970840524</v>
      </c>
      <c r="Q12" s="3339">
        <f t="shared" ca="1" si="3"/>
        <v>0.24575487033285817</v>
      </c>
      <c r="R12" s="3377">
        <f ca="1">VLOOKUP(D12,房源修正表!$D$1:$AL$49,34,0)/10000</f>
        <v>198.55584000000002</v>
      </c>
      <c r="S12" s="3338">
        <f t="shared" ca="1" si="4"/>
        <v>0.17650616086612153</v>
      </c>
      <c r="T12" s="3243">
        <f t="shared" ca="1" si="5"/>
        <v>0.96479999999999999</v>
      </c>
      <c r="U12" s="3243">
        <f t="shared" ca="1" si="6"/>
        <v>0.49655097906819723</v>
      </c>
      <c r="V12" s="3370" t="s">
        <v>3937</v>
      </c>
      <c r="W12" s="3370" t="s">
        <v>3939</v>
      </c>
      <c r="X12" s="3373" t="s">
        <v>3941</v>
      </c>
      <c r="Y12" s="3371" t="s">
        <v>3943</v>
      </c>
      <c r="Z12" s="3213">
        <v>2023080219</v>
      </c>
      <c r="AA12" s="3213" t="s">
        <v>3966</v>
      </c>
      <c r="AB12" s="3374">
        <v>45014</v>
      </c>
      <c r="AC12" s="3213" t="s">
        <v>3997</v>
      </c>
      <c r="AD12" s="3213" t="s">
        <v>3968</v>
      </c>
    </row>
    <row r="13" spans="1:66" ht="27">
      <c r="A13" s="3208">
        <v>9</v>
      </c>
      <c r="B13" s="3208" t="s">
        <v>3461</v>
      </c>
      <c r="C13" s="3208" t="s">
        <v>3462</v>
      </c>
      <c r="D13" s="3221">
        <v>98</v>
      </c>
      <c r="E13" s="3222">
        <v>101</v>
      </c>
      <c r="F13" s="3208">
        <v>23</v>
      </c>
      <c r="G13" s="3208">
        <v>122.87</v>
      </c>
      <c r="H13" s="3334">
        <f ca="1">ROUND(M13*$Q$2,2)</f>
        <v>109.97</v>
      </c>
      <c r="I13" s="3208">
        <v>123.31</v>
      </c>
      <c r="J13" s="3208">
        <v>70.760000000000005</v>
      </c>
      <c r="K13" s="3208">
        <f t="shared" si="0"/>
        <v>194.07</v>
      </c>
      <c r="L13" s="3208">
        <v>253.4</v>
      </c>
      <c r="M13" s="3208">
        <f t="shared" si="1"/>
        <v>447.47</v>
      </c>
      <c r="N13" s="3238">
        <v>44528</v>
      </c>
      <c r="O13" s="3379">
        <v>1285.1251999999999</v>
      </c>
      <c r="P13" s="3223">
        <f t="shared" si="2"/>
        <v>28719.806914430013</v>
      </c>
      <c r="Q13" s="3339">
        <f t="shared" ca="1" si="3"/>
        <v>0.2457594922564641</v>
      </c>
      <c r="R13" s="3377">
        <f ca="1">VLOOKUP(D13,房源修正表!$D$1:$AL$49,34,0)/10000</f>
        <v>272.83578</v>
      </c>
      <c r="S13" s="3338">
        <f t="shared" ca="1" si="4"/>
        <v>0.21230287912804138</v>
      </c>
      <c r="T13" s="3243">
        <f t="shared" ca="1" si="5"/>
        <v>1.0767</v>
      </c>
      <c r="U13" s="3243">
        <f t="shared" ca="1" si="6"/>
        <v>0.60972976959349223</v>
      </c>
      <c r="V13" s="3370" t="s">
        <v>3937</v>
      </c>
      <c r="W13" s="3370" t="s">
        <v>3939</v>
      </c>
      <c r="X13" s="3373" t="s">
        <v>3941</v>
      </c>
      <c r="Y13" s="3371" t="s">
        <v>3943</v>
      </c>
      <c r="Z13" s="3213">
        <v>2023080207</v>
      </c>
      <c r="AA13" s="3371" t="s">
        <v>3969</v>
      </c>
      <c r="AB13" s="3374">
        <v>44528</v>
      </c>
      <c r="AC13" s="3213" t="s">
        <v>3970</v>
      </c>
      <c r="AD13" s="3213" t="s">
        <v>3971</v>
      </c>
    </row>
    <row r="14" spans="1:66" ht="27">
      <c r="A14" s="3208">
        <v>14</v>
      </c>
      <c r="B14" s="3208" t="s">
        <v>3464</v>
      </c>
      <c r="C14" s="3208" t="s">
        <v>3462</v>
      </c>
      <c r="D14" s="3221">
        <v>100</v>
      </c>
      <c r="E14" s="3222">
        <v>101</v>
      </c>
      <c r="F14" s="3208">
        <v>122</v>
      </c>
      <c r="G14" s="3208">
        <v>153.27000000000001</v>
      </c>
      <c r="H14" s="3334">
        <v>136.96</v>
      </c>
      <c r="I14" s="3208">
        <v>153.61000000000001</v>
      </c>
      <c r="J14" s="3208">
        <v>92.47</v>
      </c>
      <c r="K14" s="3208">
        <f t="shared" si="0"/>
        <v>246.08</v>
      </c>
      <c r="L14" s="3208">
        <v>311.24</v>
      </c>
      <c r="M14" s="3208">
        <f t="shared" si="1"/>
        <v>557.32000000000005</v>
      </c>
      <c r="N14" s="3238">
        <v>44696</v>
      </c>
      <c r="O14" s="3379">
        <v>1812.1902</v>
      </c>
      <c r="P14" s="3223">
        <f t="shared" si="2"/>
        <v>32516.152300294263</v>
      </c>
      <c r="Q14" s="3339">
        <f t="shared" si="3"/>
        <v>0.24574750592119429</v>
      </c>
      <c r="R14" s="3377">
        <f ca="1">VLOOKUP(D14,房源修正表!$D$1:$AL$49,34,0)/10000</f>
        <v>327.01986800000003</v>
      </c>
      <c r="S14" s="3338">
        <f t="shared" ca="1" si="4"/>
        <v>0.18045559897631056</v>
      </c>
      <c r="T14" s="3243">
        <f t="shared" ca="1" si="5"/>
        <v>1.0507</v>
      </c>
      <c r="U14" s="3243">
        <f t="shared" ca="1" si="6"/>
        <v>0.586772173975454</v>
      </c>
      <c r="V14" s="3370" t="s">
        <v>3937</v>
      </c>
      <c r="W14" s="3370" t="s">
        <v>3993</v>
      </c>
      <c r="X14" s="3373" t="s">
        <v>3994</v>
      </c>
      <c r="Y14" s="3371" t="s">
        <v>3943</v>
      </c>
      <c r="Z14" s="3213">
        <v>2023080951</v>
      </c>
      <c r="AA14" s="3371" t="s">
        <v>3990</v>
      </c>
      <c r="AB14" s="3374">
        <v>44697</v>
      </c>
      <c r="AD14" s="3213" t="s">
        <v>3991</v>
      </c>
    </row>
    <row r="15" spans="1:66" ht="27">
      <c r="A15" s="3208">
        <v>6</v>
      </c>
      <c r="B15" s="3208" t="s">
        <v>3461</v>
      </c>
      <c r="C15" s="3208" t="s">
        <v>3462</v>
      </c>
      <c r="D15" s="3221">
        <v>107</v>
      </c>
      <c r="E15" s="3222">
        <v>101</v>
      </c>
      <c r="F15" s="3208">
        <v>18</v>
      </c>
      <c r="G15" s="3208">
        <v>122.87</v>
      </c>
      <c r="H15" s="3208">
        <v>109.97</v>
      </c>
      <c r="I15" s="3208">
        <v>123.31</v>
      </c>
      <c r="J15" s="3208">
        <v>70.760000000000005</v>
      </c>
      <c r="K15" s="3208">
        <f t="shared" si="0"/>
        <v>194.07</v>
      </c>
      <c r="L15" s="3208">
        <v>253.4</v>
      </c>
      <c r="M15" s="3208">
        <f t="shared" si="1"/>
        <v>447.47</v>
      </c>
      <c r="N15" s="3238">
        <v>44792</v>
      </c>
      <c r="O15" s="3379">
        <v>1253.2926</v>
      </c>
      <c r="P15" s="3223">
        <f t="shared" si="2"/>
        <v>28008.416206673071</v>
      </c>
      <c r="Q15" s="3336">
        <f t="shared" si="3"/>
        <v>0.2457594922564641</v>
      </c>
      <c r="R15" s="3377">
        <f ca="1">VLOOKUP(D15,房源修正表!$D$1:$AL$49,34,0)/10000</f>
        <v>261.66084000000001</v>
      </c>
      <c r="S15" s="3338">
        <f t="shared" ca="1" si="4"/>
        <v>0.20877873211730447</v>
      </c>
      <c r="T15" s="3243">
        <f t="shared" ca="1" si="5"/>
        <v>1.0326</v>
      </c>
      <c r="U15" s="3243">
        <f t="shared" ca="1" si="6"/>
        <v>0.58475616242429662</v>
      </c>
      <c r="V15" s="3370" t="s">
        <v>3937</v>
      </c>
      <c r="W15" s="3370" t="s">
        <v>3939</v>
      </c>
      <c r="X15" s="3373" t="s">
        <v>3941</v>
      </c>
      <c r="Y15" s="3371" t="s">
        <v>3943</v>
      </c>
      <c r="Z15" s="3225">
        <v>2023080201</v>
      </c>
      <c r="AA15" s="3225" t="s">
        <v>3972</v>
      </c>
      <c r="AB15" s="3375">
        <v>44792</v>
      </c>
      <c r="AC15" s="3225"/>
      <c r="AD15" s="3225" t="s">
        <v>3973</v>
      </c>
      <c r="AE15" s="3225"/>
    </row>
    <row r="16" spans="1:66" ht="27">
      <c r="A16" s="3208">
        <v>8</v>
      </c>
      <c r="B16" s="3208" t="s">
        <v>3461</v>
      </c>
      <c r="C16" s="3208" t="s">
        <v>3462</v>
      </c>
      <c r="D16" s="3221">
        <v>111</v>
      </c>
      <c r="E16" s="3222">
        <v>101</v>
      </c>
      <c r="F16" s="3208">
        <v>16</v>
      </c>
      <c r="G16" s="3208">
        <v>122.87</v>
      </c>
      <c r="H16" s="3334">
        <v>113.13</v>
      </c>
      <c r="I16" s="3208">
        <v>123.31</v>
      </c>
      <c r="J16" s="3208">
        <v>70.760000000000005</v>
      </c>
      <c r="K16" s="3208">
        <f t="shared" si="0"/>
        <v>194.07</v>
      </c>
      <c r="L16" s="3208">
        <v>266.26</v>
      </c>
      <c r="M16" s="3208">
        <f t="shared" si="1"/>
        <v>460.33</v>
      </c>
      <c r="N16" s="3238">
        <v>44891</v>
      </c>
      <c r="O16" s="3379">
        <v>1263.2236</v>
      </c>
      <c r="P16" s="3223">
        <f t="shared" si="2"/>
        <v>27441.696174483524</v>
      </c>
      <c r="Q16" s="3339">
        <f t="shared" si="3"/>
        <v>0.2457584776138857</v>
      </c>
      <c r="R16" s="3377">
        <f ca="1">VLOOKUP(D16,房源修正表!$D$1:$AL$49,34,0)/10000</f>
        <v>270.46690799999999</v>
      </c>
      <c r="S16" s="3338">
        <f t="shared" ca="1" si="4"/>
        <v>0.21410849828961395</v>
      </c>
      <c r="T16" s="3243">
        <f t="shared" ca="1" si="5"/>
        <v>1.0158</v>
      </c>
      <c r="U16" s="3243">
        <f t="shared" ca="1" si="6"/>
        <v>0.58755003584385113</v>
      </c>
      <c r="V16" s="3370" t="s">
        <v>3937</v>
      </c>
      <c r="W16" s="3370" t="s">
        <v>3939</v>
      </c>
      <c r="X16" s="3373" t="s">
        <v>3941</v>
      </c>
      <c r="Y16" s="3371" t="s">
        <v>3943</v>
      </c>
      <c r="Z16" s="3213">
        <v>2023080173</v>
      </c>
      <c r="AA16" s="3371" t="s">
        <v>3974</v>
      </c>
      <c r="AB16" s="3374">
        <v>44891</v>
      </c>
      <c r="AC16" s="3213" t="s">
        <v>3987</v>
      </c>
      <c r="AD16" s="3213" t="s">
        <v>3975</v>
      </c>
    </row>
    <row r="17" spans="1:30" ht="27">
      <c r="A17" s="3208">
        <v>11</v>
      </c>
      <c r="B17" s="3208" t="s">
        <v>3461</v>
      </c>
      <c r="C17" s="3208" t="s">
        <v>3462</v>
      </c>
      <c r="D17" s="3221">
        <v>117</v>
      </c>
      <c r="E17" s="3222">
        <v>101</v>
      </c>
      <c r="F17" s="3208">
        <v>11</v>
      </c>
      <c r="G17" s="3208">
        <v>122.87</v>
      </c>
      <c r="H17" s="3334">
        <f ca="1">ROUND(M17*$Q$2,2)</f>
        <v>105.69</v>
      </c>
      <c r="I17" s="3208">
        <v>123.31</v>
      </c>
      <c r="J17" s="3208">
        <v>70.760000000000005</v>
      </c>
      <c r="K17" s="3208">
        <f t="shared" si="0"/>
        <v>194.07</v>
      </c>
      <c r="L17" s="3208">
        <v>236</v>
      </c>
      <c r="M17" s="3208">
        <f t="shared" si="1"/>
        <v>430.07</v>
      </c>
      <c r="N17" s="3238">
        <v>45044</v>
      </c>
      <c r="O17" s="3379">
        <v>1545.08</v>
      </c>
      <c r="P17" s="3223">
        <f t="shared" si="2"/>
        <v>35926.244564838278</v>
      </c>
      <c r="Q17" s="3339">
        <f t="shared" ca="1" si="3"/>
        <v>0.24575069174785499</v>
      </c>
      <c r="R17" s="3377">
        <f ca="1">VLOOKUP(D17,房源修正表!$D$1:$AL$49,34,0)/10000</f>
        <v>351.52199999999999</v>
      </c>
      <c r="S17" s="3338">
        <f t="shared" ca="1" si="4"/>
        <v>0.22751054961555389</v>
      </c>
      <c r="T17" s="3243">
        <f t="shared" ca="1" si="5"/>
        <v>1.4895</v>
      </c>
      <c r="U17" s="3243">
        <f t="shared" ca="1" si="6"/>
        <v>0.81735996465691629</v>
      </c>
      <c r="V17" s="3370" t="s">
        <v>3937</v>
      </c>
      <c r="W17" s="3370" t="s">
        <v>3939</v>
      </c>
      <c r="X17" s="3373" t="s">
        <v>3941</v>
      </c>
      <c r="Y17" s="3371" t="s">
        <v>3943</v>
      </c>
      <c r="Z17" s="3213">
        <v>2023080161</v>
      </c>
      <c r="AA17" s="3371" t="s">
        <v>3976</v>
      </c>
      <c r="AB17" s="3374">
        <v>45044</v>
      </c>
      <c r="AC17" s="3213" t="s">
        <v>3977</v>
      </c>
      <c r="AD17" s="3213" t="s">
        <v>3983</v>
      </c>
    </row>
    <row r="18" spans="1:30">
      <c r="A18" s="3208"/>
      <c r="B18" s="3208"/>
      <c r="C18" s="3208"/>
      <c r="D18" s="3221"/>
      <c r="E18" s="3222"/>
      <c r="F18" s="3208"/>
      <c r="G18" s="3208"/>
      <c r="H18" s="3334"/>
      <c r="I18" s="3208"/>
      <c r="J18" s="3208"/>
      <c r="K18" s="3208"/>
      <c r="L18" s="3208"/>
      <c r="M18" s="3208"/>
      <c r="N18" s="3238"/>
      <c r="O18" s="3379"/>
      <c r="P18" s="3223"/>
      <c r="Q18" s="3339"/>
      <c r="R18" s="3337"/>
      <c r="S18" s="3338"/>
      <c r="T18" s="3243"/>
      <c r="U18" s="3243"/>
      <c r="V18" s="3370"/>
      <c r="W18" s="3370"/>
      <c r="X18" s="3373"/>
      <c r="Y18" s="3371"/>
      <c r="AA18" s="3371"/>
      <c r="AB18" s="3374"/>
    </row>
    <row r="20" spans="1:30">
      <c r="T20" s="3243"/>
      <c r="AC20" s="3225"/>
    </row>
    <row r="21" spans="1:30">
      <c r="T21" s="3243"/>
    </row>
    <row r="22" spans="1:30">
      <c r="G22" s="3213"/>
      <c r="P22" s="3213"/>
      <c r="R22" s="3213"/>
      <c r="V22" s="3369"/>
    </row>
    <row r="23" spans="1:30">
      <c r="G23" s="3213"/>
      <c r="P23" s="3213"/>
      <c r="R23" s="3213"/>
      <c r="V23" s="3369"/>
    </row>
    <row r="24" spans="1:30">
      <c r="G24" s="3213"/>
      <c r="P24" s="3213"/>
      <c r="R24" s="3213"/>
      <c r="V24" s="3369"/>
    </row>
    <row r="25" spans="1:30">
      <c r="G25" s="3213"/>
      <c r="P25" s="3213"/>
      <c r="R25" s="3213"/>
      <c r="V25" s="3369"/>
    </row>
    <row r="26" spans="1:30">
      <c r="G26" s="3213"/>
      <c r="P26" s="3213"/>
      <c r="R26" s="3213"/>
      <c r="V26" s="3369"/>
    </row>
    <row r="27" spans="1:30">
      <c r="G27" s="3213"/>
      <c r="P27" s="3213"/>
      <c r="R27" s="3213"/>
      <c r="V27" s="3369"/>
    </row>
    <row r="28" spans="1:30">
      <c r="G28" s="3213"/>
      <c r="P28" s="3213"/>
      <c r="R28" s="3213"/>
      <c r="V28" s="3369"/>
    </row>
    <row r="29" spans="1:30">
      <c r="G29" s="3213"/>
      <c r="P29" s="3213"/>
      <c r="R29" s="3213"/>
      <c r="V29" s="3369"/>
    </row>
    <row r="30" spans="1:30">
      <c r="G30" s="3213"/>
      <c r="P30" s="3213"/>
      <c r="R30" s="3213"/>
      <c r="V30" s="3369"/>
    </row>
    <row r="31" spans="1:30">
      <c r="G31" s="3213"/>
      <c r="P31" s="3213"/>
      <c r="R31" s="3213"/>
      <c r="V31" s="3369"/>
    </row>
    <row r="32" spans="1:30">
      <c r="G32" s="3213"/>
      <c r="P32" s="3213"/>
      <c r="R32" s="3213"/>
      <c r="V32" s="3369"/>
    </row>
    <row r="33" spans="7:22">
      <c r="G33" s="3213"/>
      <c r="P33" s="3213"/>
      <c r="R33" s="3213"/>
      <c r="V33" s="3369"/>
    </row>
    <row r="34" spans="7:22">
      <c r="G34" s="3213"/>
      <c r="P34" s="3213"/>
      <c r="R34" s="3213"/>
      <c r="V34" s="3369"/>
    </row>
    <row r="35" spans="7:22">
      <c r="G35" s="3213"/>
      <c r="P35" s="3213"/>
      <c r="R35" s="3213"/>
      <c r="V35" s="3369"/>
    </row>
    <row r="36" spans="7:22">
      <c r="G36" s="3213"/>
      <c r="P36" s="3213"/>
      <c r="R36" s="3213"/>
      <c r="V36" s="3369"/>
    </row>
    <row r="37" spans="7:22">
      <c r="G37" s="3213"/>
      <c r="P37" s="3213"/>
      <c r="R37" s="3213"/>
      <c r="V37" s="3369"/>
    </row>
    <row r="38" spans="7:22">
      <c r="G38" s="3213"/>
      <c r="P38" s="3213"/>
      <c r="R38" s="3213"/>
      <c r="V38" s="3369"/>
    </row>
    <row r="39" spans="7:22">
      <c r="G39" s="3213"/>
      <c r="P39" s="3213"/>
      <c r="R39" s="3213"/>
      <c r="V39" s="3369"/>
    </row>
    <row r="40" spans="7:22">
      <c r="G40" s="3213"/>
      <c r="P40" s="3213"/>
      <c r="R40" s="3213"/>
      <c r="V40" s="3369"/>
    </row>
    <row r="41" spans="7:22">
      <c r="G41" s="3213"/>
      <c r="P41" s="3213"/>
      <c r="R41" s="3213"/>
      <c r="V41" s="3369"/>
    </row>
    <row r="42" spans="7:22">
      <c r="G42" s="3213"/>
      <c r="P42" s="3213"/>
      <c r="R42" s="3213"/>
      <c r="V42" s="3369"/>
    </row>
    <row r="43" spans="7:22">
      <c r="G43" s="3213"/>
      <c r="P43" s="3213"/>
      <c r="R43" s="3213"/>
      <c r="V43" s="3369"/>
    </row>
    <row r="44" spans="7:22">
      <c r="G44" s="3213"/>
      <c r="P44" s="3213"/>
      <c r="R44" s="3213"/>
      <c r="V44" s="3369"/>
    </row>
    <row r="45" spans="7:22">
      <c r="G45" s="3213"/>
      <c r="P45" s="3213"/>
      <c r="R45" s="3213"/>
      <c r="V45" s="3369"/>
    </row>
    <row r="46" spans="7:22">
      <c r="G46" s="3213"/>
      <c r="P46" s="3213"/>
      <c r="R46" s="3213"/>
      <c r="V46" s="3369"/>
    </row>
    <row r="47" spans="7:22">
      <c r="G47" s="3213"/>
      <c r="P47" s="3213"/>
      <c r="R47" s="3213"/>
      <c r="V47" s="3369"/>
    </row>
    <row r="48" spans="7:22">
      <c r="G48" s="3213"/>
      <c r="P48" s="3213"/>
      <c r="R48" s="3213"/>
      <c r="V48" s="3369"/>
    </row>
    <row r="49" spans="7:22">
      <c r="G49" s="3213"/>
      <c r="P49" s="3213"/>
      <c r="R49" s="3213"/>
      <c r="V49" s="3369"/>
    </row>
    <row r="50" spans="7:22">
      <c r="G50" s="3213"/>
      <c r="P50" s="3213"/>
      <c r="R50" s="3213"/>
      <c r="V50" s="3369"/>
    </row>
    <row r="51" spans="7:22">
      <c r="G51" s="3213"/>
      <c r="P51" s="3213"/>
      <c r="R51" s="3213"/>
      <c r="V51" s="3369"/>
    </row>
    <row r="52" spans="7:22">
      <c r="G52" s="3213"/>
      <c r="P52" s="3213"/>
      <c r="R52" s="3213"/>
      <c r="V52" s="3369"/>
    </row>
    <row r="53" spans="7:22">
      <c r="G53" s="3213"/>
      <c r="P53" s="3213"/>
      <c r="R53" s="3213"/>
      <c r="V53" s="3369"/>
    </row>
    <row r="54" spans="7:22">
      <c r="G54" s="3213"/>
      <c r="P54" s="3213"/>
      <c r="R54" s="3213"/>
      <c r="V54" s="3369"/>
    </row>
    <row r="55" spans="7:22">
      <c r="G55" s="3213"/>
      <c r="P55" s="3213"/>
      <c r="R55" s="3213"/>
      <c r="V55" s="3369"/>
    </row>
    <row r="56" spans="7:22">
      <c r="G56" s="3213"/>
      <c r="P56" s="3213"/>
      <c r="R56" s="3213"/>
      <c r="V56" s="3369"/>
    </row>
    <row r="57" spans="7:22">
      <c r="G57" s="3213"/>
      <c r="P57" s="3213"/>
      <c r="R57" s="3213"/>
      <c r="V57" s="3369"/>
    </row>
    <row r="58" spans="7:22">
      <c r="G58" s="3213"/>
      <c r="P58" s="3213"/>
      <c r="R58" s="3213"/>
      <c r="V58" s="3369"/>
    </row>
    <row r="59" spans="7:22">
      <c r="G59" s="3213"/>
      <c r="P59" s="3213"/>
      <c r="R59" s="3213"/>
      <c r="V59" s="3369"/>
    </row>
    <row r="60" spans="7:22">
      <c r="G60" s="3213"/>
      <c r="P60" s="3213"/>
      <c r="R60" s="3213"/>
      <c r="V60" s="3369"/>
    </row>
    <row r="61" spans="7:22">
      <c r="G61" s="3213"/>
      <c r="P61" s="3213"/>
      <c r="R61" s="3213"/>
      <c r="V61" s="3369"/>
    </row>
    <row r="62" spans="7:22">
      <c r="G62" s="3213"/>
      <c r="P62" s="3213"/>
      <c r="R62" s="3213"/>
      <c r="V62" s="3369"/>
    </row>
    <row r="63" spans="7:22">
      <c r="G63" s="3213"/>
      <c r="P63" s="3213"/>
      <c r="R63" s="3213"/>
      <c r="V63" s="3369"/>
    </row>
    <row r="64" spans="7:22">
      <c r="G64" s="3213"/>
      <c r="P64" s="3213"/>
      <c r="R64" s="3213"/>
      <c r="V64" s="3369"/>
    </row>
    <row r="65" spans="7:22">
      <c r="G65" s="3213"/>
      <c r="P65" s="3213"/>
      <c r="R65" s="3213"/>
      <c r="V65" s="3369"/>
    </row>
    <row r="66" spans="7:22">
      <c r="G66" s="3213"/>
      <c r="P66" s="3213"/>
      <c r="R66" s="3213"/>
      <c r="V66" s="3369"/>
    </row>
    <row r="67" spans="7:22">
      <c r="G67" s="3213"/>
      <c r="P67" s="3213"/>
      <c r="R67" s="3213"/>
      <c r="V67" s="3369"/>
    </row>
    <row r="68" spans="7:22">
      <c r="G68" s="3213"/>
      <c r="P68" s="3213"/>
      <c r="R68" s="3213"/>
      <c r="V68" s="3369"/>
    </row>
    <row r="69" spans="7:22">
      <c r="G69" s="3213"/>
      <c r="P69" s="3213"/>
      <c r="R69" s="3213"/>
      <c r="V69" s="3369"/>
    </row>
    <row r="70" spans="7:22">
      <c r="G70" s="3213"/>
      <c r="P70" s="3213"/>
      <c r="R70" s="3213"/>
      <c r="V70" s="3369"/>
    </row>
    <row r="71" spans="7:22">
      <c r="G71" s="3213"/>
      <c r="P71" s="3213"/>
      <c r="R71" s="3213"/>
      <c r="V71" s="3369"/>
    </row>
    <row r="72" spans="7:22">
      <c r="G72" s="3213"/>
      <c r="P72" s="3213"/>
      <c r="R72" s="3213"/>
      <c r="V72" s="3369"/>
    </row>
    <row r="73" spans="7:22">
      <c r="G73" s="3213"/>
      <c r="P73" s="3213"/>
      <c r="R73" s="3213"/>
      <c r="V73" s="3369"/>
    </row>
    <row r="74" spans="7:22">
      <c r="G74" s="3213"/>
      <c r="P74" s="3213"/>
      <c r="R74" s="3213"/>
      <c r="V74" s="3369"/>
    </row>
    <row r="75" spans="7:22">
      <c r="G75" s="3213"/>
      <c r="P75" s="3213"/>
      <c r="R75" s="3213"/>
      <c r="V75" s="3369"/>
    </row>
    <row r="76" spans="7:22">
      <c r="G76" s="3213"/>
      <c r="P76" s="3213"/>
      <c r="R76" s="3213"/>
      <c r="V76" s="3369"/>
    </row>
    <row r="77" spans="7:22">
      <c r="G77" s="3213"/>
      <c r="P77" s="3213"/>
      <c r="R77" s="3213"/>
      <c r="V77" s="3369"/>
    </row>
    <row r="78" spans="7:22">
      <c r="G78" s="3213"/>
      <c r="P78" s="3213"/>
      <c r="R78" s="3213"/>
      <c r="V78" s="3369"/>
    </row>
    <row r="79" spans="7:22">
      <c r="G79" s="3213"/>
      <c r="P79" s="3213"/>
      <c r="R79" s="3213"/>
      <c r="V79" s="3369"/>
    </row>
    <row r="80" spans="7:22">
      <c r="G80" s="3213"/>
      <c r="P80" s="3213"/>
      <c r="R80" s="3213"/>
      <c r="V80" s="3369"/>
    </row>
    <row r="81" spans="7:22">
      <c r="G81" s="3213"/>
      <c r="P81" s="3213"/>
      <c r="R81" s="3213"/>
      <c r="V81" s="3369"/>
    </row>
    <row r="82" spans="7:22">
      <c r="G82" s="3213"/>
      <c r="P82" s="3213"/>
      <c r="R82" s="3213"/>
      <c r="V82" s="3369"/>
    </row>
    <row r="83" spans="7:22">
      <c r="G83" s="3213"/>
      <c r="P83" s="3213"/>
      <c r="R83" s="3213"/>
      <c r="V83" s="3369"/>
    </row>
    <row r="84" spans="7:22">
      <c r="G84" s="3213"/>
      <c r="P84" s="3213"/>
      <c r="R84" s="3213"/>
      <c r="V84" s="3369"/>
    </row>
    <row r="85" spans="7:22">
      <c r="G85" s="3213"/>
      <c r="P85" s="3213"/>
      <c r="R85" s="3213"/>
      <c r="V85" s="3369"/>
    </row>
    <row r="86" spans="7:22">
      <c r="G86" s="3213"/>
      <c r="P86" s="3213"/>
      <c r="R86" s="3213"/>
      <c r="V86" s="3369"/>
    </row>
    <row r="87" spans="7:22">
      <c r="G87" s="3213"/>
      <c r="P87" s="3213"/>
      <c r="R87" s="3213"/>
      <c r="V87" s="3369"/>
    </row>
    <row r="88" spans="7:22">
      <c r="G88" s="3213"/>
      <c r="P88" s="3213"/>
      <c r="R88" s="3213"/>
      <c r="V88" s="3369"/>
    </row>
    <row r="89" spans="7:22">
      <c r="G89" s="3213"/>
      <c r="P89" s="3213"/>
      <c r="R89" s="3213"/>
      <c r="V89" s="3369"/>
    </row>
    <row r="90" spans="7:22">
      <c r="G90" s="3213"/>
      <c r="P90" s="3213"/>
      <c r="R90" s="3213"/>
      <c r="V90" s="3369"/>
    </row>
    <row r="91" spans="7:22">
      <c r="G91" s="3213"/>
      <c r="P91" s="3213"/>
      <c r="R91" s="3213"/>
      <c r="V91" s="3369"/>
    </row>
    <row r="92" spans="7:22">
      <c r="G92" s="3213"/>
      <c r="P92" s="3213"/>
      <c r="R92" s="3213"/>
      <c r="V92" s="3369"/>
    </row>
    <row r="93" spans="7:22">
      <c r="G93" s="3213"/>
      <c r="P93" s="3213"/>
      <c r="R93" s="3213"/>
      <c r="V93" s="3369"/>
    </row>
    <row r="94" spans="7:22">
      <c r="G94" s="3213"/>
      <c r="P94" s="3213"/>
      <c r="R94" s="3213"/>
      <c r="V94" s="3369"/>
    </row>
    <row r="95" spans="7:22">
      <c r="G95" s="3213"/>
      <c r="P95" s="3213"/>
      <c r="R95" s="3213"/>
      <c r="V95" s="3369"/>
    </row>
    <row r="96" spans="7:22">
      <c r="G96" s="3213"/>
      <c r="P96" s="3213"/>
      <c r="R96" s="3213"/>
      <c r="V96" s="3369"/>
    </row>
    <row r="97" spans="7:22">
      <c r="G97" s="3213"/>
      <c r="P97" s="3213"/>
      <c r="R97" s="3213"/>
      <c r="V97" s="3369"/>
    </row>
    <row r="98" spans="7:22">
      <c r="G98" s="3213"/>
      <c r="P98" s="3213"/>
      <c r="R98" s="3213"/>
      <c r="V98" s="3369"/>
    </row>
    <row r="99" spans="7:22">
      <c r="G99" s="3213"/>
      <c r="P99" s="3213"/>
      <c r="R99" s="3213"/>
      <c r="V99" s="3369"/>
    </row>
    <row r="100" spans="7:22">
      <c r="G100" s="3213"/>
      <c r="P100" s="3213"/>
      <c r="R100" s="3213"/>
      <c r="V100" s="3369"/>
    </row>
    <row r="101" spans="7:22">
      <c r="G101" s="3213"/>
      <c r="P101" s="3213"/>
      <c r="R101" s="3213"/>
      <c r="V101" s="3369"/>
    </row>
    <row r="102" spans="7:22">
      <c r="G102" s="3213"/>
      <c r="P102" s="3213"/>
      <c r="R102" s="3213"/>
      <c r="V102" s="3369"/>
    </row>
    <row r="103" spans="7:22">
      <c r="G103" s="3213"/>
      <c r="P103" s="3213"/>
      <c r="R103" s="3213"/>
      <c r="V103" s="3369"/>
    </row>
    <row r="104" spans="7:22">
      <c r="G104" s="3213"/>
      <c r="P104" s="3213"/>
      <c r="R104" s="3213"/>
      <c r="V104" s="3369"/>
    </row>
    <row r="105" spans="7:22">
      <c r="G105" s="3213"/>
      <c r="P105" s="3213"/>
      <c r="R105" s="3213"/>
      <c r="V105" s="3369"/>
    </row>
    <row r="106" spans="7:22">
      <c r="G106" s="3213"/>
      <c r="P106" s="3213"/>
      <c r="R106" s="3213"/>
      <c r="V106" s="3369"/>
    </row>
    <row r="107" spans="7:22">
      <c r="G107" s="3213"/>
      <c r="P107" s="3213"/>
      <c r="R107" s="3213"/>
      <c r="V107" s="3369"/>
    </row>
    <row r="108" spans="7:22">
      <c r="G108" s="3213"/>
      <c r="P108" s="3213"/>
      <c r="R108" s="3213"/>
      <c r="V108" s="3369"/>
    </row>
    <row r="109" spans="7:22">
      <c r="G109" s="3213"/>
      <c r="P109" s="3213"/>
      <c r="R109" s="3213"/>
      <c r="V109" s="3369"/>
    </row>
    <row r="110" spans="7:22">
      <c r="G110" s="3213"/>
      <c r="P110" s="3213"/>
      <c r="R110" s="3213"/>
      <c r="V110" s="3369"/>
    </row>
    <row r="111" spans="7:22">
      <c r="G111" s="3213"/>
      <c r="P111" s="3213"/>
      <c r="R111" s="3213"/>
      <c r="V111" s="3369"/>
    </row>
    <row r="112" spans="7:22">
      <c r="G112" s="3213"/>
      <c r="P112" s="3213"/>
      <c r="R112" s="3213"/>
      <c r="V112" s="3369"/>
    </row>
    <row r="113" spans="7:22">
      <c r="G113" s="3213"/>
      <c r="P113" s="3213"/>
      <c r="R113" s="3213"/>
      <c r="V113" s="3369"/>
    </row>
    <row r="114" spans="7:22">
      <c r="G114" s="3213"/>
      <c r="P114" s="3213"/>
      <c r="R114" s="3213"/>
      <c r="V114" s="3369"/>
    </row>
    <row r="115" spans="7:22">
      <c r="G115" s="3213"/>
      <c r="P115" s="3213"/>
      <c r="R115" s="3213"/>
      <c r="V115" s="3369"/>
    </row>
    <row r="116" spans="7:22">
      <c r="G116" s="3213"/>
      <c r="P116" s="3213"/>
      <c r="R116" s="3213"/>
      <c r="V116" s="3369"/>
    </row>
    <row r="117" spans="7:22">
      <c r="G117" s="3213"/>
      <c r="P117" s="3213"/>
      <c r="R117" s="3213"/>
      <c r="V117" s="3369"/>
    </row>
    <row r="118" spans="7:22">
      <c r="G118" s="3213"/>
      <c r="P118" s="3213"/>
      <c r="R118" s="3213"/>
      <c r="V118" s="3369"/>
    </row>
    <row r="119" spans="7:22">
      <c r="G119" s="3213"/>
      <c r="P119" s="3213"/>
      <c r="R119" s="3213"/>
      <c r="V119" s="3369"/>
    </row>
    <row r="120" spans="7:22">
      <c r="G120" s="3213"/>
      <c r="P120" s="3213"/>
      <c r="R120" s="3213"/>
      <c r="V120" s="3369"/>
    </row>
    <row r="121" spans="7:22">
      <c r="G121" s="3213"/>
      <c r="P121" s="3213"/>
      <c r="R121" s="3213"/>
      <c r="V121" s="3369"/>
    </row>
    <row r="122" spans="7:22">
      <c r="G122" s="3213"/>
      <c r="P122" s="3213"/>
      <c r="R122" s="3213"/>
      <c r="V122" s="3369"/>
    </row>
    <row r="123" spans="7:22">
      <c r="G123" s="3213"/>
      <c r="P123" s="3213"/>
      <c r="R123" s="3213"/>
      <c r="V123" s="3369"/>
    </row>
    <row r="124" spans="7:22">
      <c r="G124" s="3213"/>
      <c r="P124" s="3213"/>
      <c r="R124" s="3213"/>
      <c r="V124" s="3369"/>
    </row>
    <row r="125" spans="7:22">
      <c r="G125" s="3213"/>
      <c r="P125" s="3213"/>
      <c r="R125" s="3213"/>
      <c r="V125" s="3369"/>
    </row>
    <row r="126" spans="7:22">
      <c r="G126" s="3213"/>
      <c r="P126" s="3213"/>
      <c r="R126" s="3213"/>
      <c r="V126" s="3369"/>
    </row>
    <row r="127" spans="7:22">
      <c r="G127" s="3213"/>
      <c r="P127" s="3213"/>
      <c r="R127" s="3213"/>
      <c r="V127" s="3369"/>
    </row>
    <row r="128" spans="7:22">
      <c r="G128" s="3213"/>
      <c r="P128" s="3213"/>
      <c r="R128" s="3213"/>
      <c r="V128" s="3369"/>
    </row>
    <row r="129" spans="7:22">
      <c r="G129" s="3213"/>
      <c r="P129" s="3213"/>
      <c r="R129" s="3213"/>
      <c r="V129" s="3369"/>
    </row>
    <row r="130" spans="7:22">
      <c r="G130" s="3213"/>
      <c r="P130" s="3213"/>
      <c r="R130" s="3213"/>
      <c r="V130" s="3369"/>
    </row>
    <row r="131" spans="7:22">
      <c r="G131" s="3213"/>
      <c r="P131" s="3213"/>
      <c r="R131" s="3213"/>
      <c r="V131" s="3369"/>
    </row>
    <row r="132" spans="7:22">
      <c r="G132" s="3213"/>
      <c r="P132" s="3213"/>
      <c r="R132" s="3213"/>
      <c r="V132" s="3369"/>
    </row>
    <row r="133" spans="7:22">
      <c r="G133" s="3213"/>
      <c r="P133" s="3213"/>
      <c r="R133" s="3213"/>
      <c r="V133" s="3369"/>
    </row>
    <row r="134" spans="7:22">
      <c r="G134" s="3213"/>
      <c r="P134" s="3213"/>
      <c r="R134" s="3213"/>
      <c r="V134" s="3369"/>
    </row>
    <row r="135" spans="7:22">
      <c r="G135" s="3213"/>
      <c r="P135" s="3213"/>
      <c r="R135" s="3213"/>
      <c r="V135" s="3369"/>
    </row>
    <row r="136" spans="7:22">
      <c r="G136" s="3213"/>
      <c r="P136" s="3213"/>
      <c r="R136" s="3213"/>
      <c r="V136" s="3369"/>
    </row>
    <row r="137" spans="7:22">
      <c r="G137" s="3213"/>
      <c r="P137" s="3213"/>
      <c r="R137" s="3213"/>
      <c r="V137" s="3369"/>
    </row>
    <row r="138" spans="7:22">
      <c r="G138" s="3213"/>
      <c r="P138" s="3213"/>
      <c r="R138" s="3213"/>
      <c r="V138" s="3369"/>
    </row>
    <row r="139" spans="7:22">
      <c r="G139" s="3213"/>
      <c r="P139" s="3213"/>
      <c r="R139" s="3213"/>
      <c r="V139" s="3369"/>
    </row>
    <row r="140" spans="7:22">
      <c r="G140" s="3213"/>
      <c r="P140" s="3213"/>
      <c r="R140" s="3213"/>
      <c r="V140" s="3369"/>
    </row>
    <row r="141" spans="7:22">
      <c r="G141" s="3213"/>
      <c r="P141" s="3213"/>
      <c r="R141" s="3213"/>
      <c r="V141" s="3369"/>
    </row>
    <row r="142" spans="7:22">
      <c r="G142" s="3213"/>
      <c r="P142" s="3213"/>
      <c r="R142" s="3213"/>
      <c r="V142" s="3369"/>
    </row>
    <row r="143" spans="7:22">
      <c r="G143" s="3213"/>
      <c r="P143" s="3213"/>
      <c r="R143" s="3213"/>
      <c r="V143" s="3369"/>
    </row>
    <row r="144" spans="7:22">
      <c r="G144" s="3213"/>
      <c r="P144" s="3213"/>
      <c r="R144" s="3213"/>
      <c r="V144" s="3369"/>
    </row>
    <row r="145" spans="7:22">
      <c r="G145" s="3213"/>
      <c r="P145" s="3213"/>
      <c r="R145" s="3213"/>
      <c r="V145" s="3369"/>
    </row>
    <row r="146" spans="7:22">
      <c r="G146" s="3213"/>
      <c r="P146" s="3213"/>
      <c r="R146" s="3213"/>
      <c r="V146" s="3369"/>
    </row>
    <row r="147" spans="7:22">
      <c r="G147" s="3213"/>
      <c r="P147" s="3213"/>
      <c r="R147" s="3213"/>
      <c r="V147" s="3369"/>
    </row>
    <row r="148" spans="7:22">
      <c r="G148" s="3213"/>
      <c r="P148" s="3213"/>
      <c r="R148" s="3213"/>
      <c r="V148" s="3369"/>
    </row>
    <row r="149" spans="7:22">
      <c r="G149" s="3213"/>
      <c r="P149" s="3213"/>
      <c r="R149" s="3213"/>
      <c r="V149" s="3369"/>
    </row>
    <row r="150" spans="7:22">
      <c r="G150" s="3213"/>
      <c r="P150" s="3213"/>
      <c r="R150" s="3213"/>
      <c r="V150" s="3369"/>
    </row>
    <row r="151" spans="7:22">
      <c r="G151" s="3213"/>
      <c r="P151" s="3213"/>
      <c r="R151" s="3213"/>
      <c r="V151" s="3369"/>
    </row>
    <row r="152" spans="7:22">
      <c r="G152" s="3213"/>
      <c r="P152" s="3213"/>
      <c r="R152" s="3213"/>
      <c r="V152" s="3369"/>
    </row>
    <row r="153" spans="7:22">
      <c r="G153" s="3213"/>
      <c r="P153" s="3213"/>
      <c r="R153" s="3213"/>
      <c r="V153" s="3369"/>
    </row>
    <row r="154" spans="7:22">
      <c r="G154" s="3213"/>
      <c r="P154" s="3213"/>
      <c r="R154" s="3213"/>
      <c r="V154" s="3369"/>
    </row>
    <row r="155" spans="7:22">
      <c r="G155" s="3213"/>
      <c r="P155" s="3213"/>
      <c r="R155" s="3213"/>
      <c r="V155" s="3369"/>
    </row>
    <row r="156" spans="7:22">
      <c r="G156" s="3213"/>
      <c r="P156" s="3213"/>
      <c r="R156" s="3213"/>
      <c r="V156" s="3369"/>
    </row>
    <row r="157" spans="7:22">
      <c r="G157" s="3213"/>
      <c r="P157" s="3213"/>
      <c r="R157" s="3213"/>
      <c r="V157" s="3369"/>
    </row>
    <row r="158" spans="7:22">
      <c r="G158" s="3213"/>
      <c r="P158" s="3213"/>
      <c r="R158" s="3213"/>
      <c r="V158" s="3369"/>
    </row>
    <row r="159" spans="7:22">
      <c r="G159" s="3213"/>
      <c r="P159" s="3213"/>
      <c r="R159" s="3213"/>
      <c r="V159" s="3369"/>
    </row>
    <row r="160" spans="7:22">
      <c r="G160" s="3213"/>
      <c r="P160" s="3213"/>
      <c r="R160" s="3213"/>
      <c r="V160" s="3369"/>
    </row>
    <row r="161" spans="7:22">
      <c r="G161" s="3213"/>
      <c r="P161" s="3213"/>
      <c r="R161" s="3213"/>
      <c r="V161" s="3369"/>
    </row>
    <row r="162" spans="7:22">
      <c r="G162" s="3213"/>
      <c r="P162" s="3213"/>
      <c r="R162" s="3213"/>
      <c r="V162" s="3369"/>
    </row>
    <row r="163" spans="7:22">
      <c r="G163" s="3213"/>
      <c r="P163" s="3213"/>
      <c r="R163" s="3213"/>
      <c r="V163" s="3369"/>
    </row>
    <row r="164" spans="7:22">
      <c r="G164" s="3213"/>
      <c r="P164" s="3213"/>
      <c r="R164" s="3213"/>
      <c r="V164" s="3369"/>
    </row>
    <row r="165" spans="7:22">
      <c r="G165" s="3213"/>
      <c r="P165" s="3213"/>
      <c r="R165" s="3213"/>
      <c r="V165" s="3369"/>
    </row>
    <row r="166" spans="7:22">
      <c r="G166" s="3213"/>
      <c r="P166" s="3213"/>
      <c r="R166" s="3213"/>
      <c r="V166" s="3369"/>
    </row>
    <row r="167" spans="7:22">
      <c r="G167" s="3213"/>
      <c r="P167" s="3213"/>
      <c r="R167" s="3213"/>
      <c r="V167" s="3369"/>
    </row>
    <row r="168" spans="7:22">
      <c r="G168" s="3213"/>
      <c r="P168" s="3213"/>
      <c r="R168" s="3213"/>
      <c r="V168" s="3369"/>
    </row>
    <row r="169" spans="7:22">
      <c r="G169" s="3213"/>
      <c r="P169" s="3213"/>
      <c r="R169" s="3213"/>
      <c r="V169" s="3369"/>
    </row>
    <row r="170" spans="7:22">
      <c r="G170" s="3213"/>
      <c r="P170" s="3213"/>
      <c r="R170" s="3213"/>
      <c r="V170" s="3369"/>
    </row>
    <row r="171" spans="7:22">
      <c r="G171" s="3213"/>
      <c r="P171" s="3213"/>
      <c r="R171" s="3213"/>
      <c r="V171" s="3369"/>
    </row>
    <row r="172" spans="7:22">
      <c r="G172" s="3213"/>
      <c r="P172" s="3213"/>
      <c r="R172" s="3213"/>
      <c r="V172" s="3369"/>
    </row>
    <row r="173" spans="7:22">
      <c r="G173" s="3213"/>
      <c r="P173" s="3213"/>
      <c r="R173" s="3213"/>
      <c r="V173" s="3369"/>
    </row>
    <row r="174" spans="7:22">
      <c r="G174" s="3213"/>
      <c r="P174" s="3213"/>
      <c r="R174" s="3213"/>
      <c r="V174" s="3369"/>
    </row>
    <row r="175" spans="7:22">
      <c r="G175" s="3213"/>
      <c r="P175" s="3213"/>
      <c r="R175" s="3213"/>
      <c r="V175" s="3369"/>
    </row>
    <row r="176" spans="7:22">
      <c r="G176" s="3213"/>
      <c r="P176" s="3213"/>
      <c r="R176" s="3213"/>
      <c r="V176" s="3369"/>
    </row>
    <row r="177" spans="7:22">
      <c r="G177" s="3213"/>
      <c r="P177" s="3213"/>
      <c r="R177" s="3213"/>
      <c r="V177" s="3369"/>
    </row>
    <row r="178" spans="7:22">
      <c r="G178" s="3213"/>
      <c r="P178" s="3213"/>
      <c r="R178" s="3213"/>
      <c r="V178" s="3369"/>
    </row>
    <row r="179" spans="7:22">
      <c r="G179" s="3213"/>
      <c r="P179" s="3213"/>
      <c r="R179" s="3213"/>
      <c r="V179" s="3369"/>
    </row>
    <row r="180" spans="7:22">
      <c r="G180" s="3213"/>
      <c r="P180" s="3213"/>
      <c r="R180" s="3213"/>
      <c r="V180" s="3369"/>
    </row>
    <row r="181" spans="7:22">
      <c r="G181" s="3213"/>
      <c r="P181" s="3213"/>
      <c r="R181" s="3213"/>
      <c r="V181" s="3369"/>
    </row>
    <row r="182" spans="7:22">
      <c r="G182" s="3213"/>
      <c r="P182" s="3213"/>
      <c r="R182" s="3213"/>
      <c r="V182" s="3369"/>
    </row>
    <row r="183" spans="7:22">
      <c r="G183" s="3213"/>
      <c r="P183" s="3213"/>
      <c r="R183" s="3213"/>
      <c r="V183" s="3369"/>
    </row>
    <row r="184" spans="7:22">
      <c r="G184" s="3213"/>
      <c r="P184" s="3213"/>
      <c r="R184" s="3213"/>
      <c r="V184" s="3369"/>
    </row>
    <row r="185" spans="7:22">
      <c r="G185" s="3213"/>
      <c r="P185" s="3213"/>
      <c r="R185" s="3213"/>
      <c r="V185" s="3369"/>
    </row>
    <row r="186" spans="7:22">
      <c r="G186" s="3213"/>
      <c r="P186" s="3213"/>
      <c r="R186" s="3213"/>
      <c r="V186" s="3369"/>
    </row>
    <row r="187" spans="7:22">
      <c r="G187" s="3213"/>
      <c r="P187" s="3213"/>
      <c r="R187" s="3213"/>
      <c r="V187" s="3369"/>
    </row>
    <row r="188" spans="7:22">
      <c r="G188" s="3213"/>
      <c r="P188" s="3213"/>
      <c r="R188" s="3213"/>
      <c r="V188" s="3369"/>
    </row>
    <row r="189" spans="7:22">
      <c r="G189" s="3213"/>
      <c r="P189" s="3213"/>
      <c r="R189" s="3213"/>
      <c r="V189" s="3369"/>
    </row>
    <row r="190" spans="7:22">
      <c r="G190" s="3213"/>
      <c r="P190" s="3213"/>
      <c r="R190" s="3213"/>
      <c r="V190" s="3369"/>
    </row>
    <row r="191" spans="7:22">
      <c r="G191" s="3213"/>
      <c r="P191" s="3213"/>
      <c r="R191" s="3213"/>
      <c r="V191" s="3369"/>
    </row>
    <row r="192" spans="7:22">
      <c r="G192" s="3213"/>
      <c r="P192" s="3213"/>
      <c r="R192" s="3213"/>
      <c r="V192" s="3369"/>
    </row>
    <row r="193" spans="7:22">
      <c r="G193" s="3213"/>
      <c r="P193" s="3213"/>
      <c r="R193" s="3213"/>
      <c r="V193" s="3369"/>
    </row>
    <row r="194" spans="7:22">
      <c r="G194" s="3213"/>
      <c r="P194" s="3213"/>
      <c r="R194" s="3213"/>
      <c r="V194" s="3369"/>
    </row>
    <row r="195" spans="7:22">
      <c r="G195" s="3213"/>
      <c r="P195" s="3213"/>
      <c r="R195" s="3213"/>
      <c r="V195" s="3369"/>
    </row>
    <row r="196" spans="7:22">
      <c r="G196" s="3213"/>
      <c r="P196" s="3213"/>
      <c r="R196" s="3213"/>
      <c r="V196" s="3369"/>
    </row>
    <row r="197" spans="7:22">
      <c r="G197" s="3213"/>
      <c r="P197" s="3213"/>
      <c r="R197" s="3213"/>
      <c r="V197" s="3369"/>
    </row>
    <row r="198" spans="7:22">
      <c r="G198" s="3213"/>
      <c r="P198" s="3213"/>
      <c r="R198" s="3213"/>
      <c r="V198" s="3369"/>
    </row>
    <row r="199" spans="7:22">
      <c r="G199" s="3213"/>
      <c r="P199" s="3213"/>
      <c r="R199" s="3213"/>
      <c r="V199" s="3369"/>
    </row>
    <row r="200" spans="7:22">
      <c r="G200" s="3213"/>
      <c r="P200" s="3213"/>
      <c r="R200" s="3213"/>
      <c r="V200" s="3369"/>
    </row>
    <row r="201" spans="7:22">
      <c r="G201" s="3213"/>
      <c r="P201" s="3213"/>
      <c r="R201" s="3213"/>
      <c r="V201" s="3369"/>
    </row>
    <row r="202" spans="7:22">
      <c r="G202" s="3213"/>
      <c r="P202" s="3213"/>
      <c r="R202" s="3213"/>
      <c r="V202" s="3369"/>
    </row>
    <row r="203" spans="7:22">
      <c r="G203" s="3213"/>
      <c r="P203" s="3213"/>
      <c r="R203" s="3213"/>
      <c r="V203" s="3369"/>
    </row>
    <row r="204" spans="7:22">
      <c r="G204" s="3213"/>
      <c r="P204" s="3213"/>
      <c r="R204" s="3213"/>
      <c r="V204" s="3369"/>
    </row>
    <row r="205" spans="7:22">
      <c r="G205" s="3213"/>
      <c r="P205" s="3213"/>
      <c r="R205" s="3213"/>
      <c r="V205" s="3369"/>
    </row>
    <row r="206" spans="7:22">
      <c r="G206" s="3213"/>
      <c r="P206" s="3213"/>
      <c r="R206" s="3213"/>
      <c r="V206" s="3369"/>
    </row>
    <row r="207" spans="7:22">
      <c r="G207" s="3213"/>
      <c r="P207" s="3213"/>
      <c r="R207" s="3213"/>
      <c r="V207" s="3369"/>
    </row>
    <row r="208" spans="7:22">
      <c r="G208" s="3213"/>
      <c r="P208" s="3213"/>
      <c r="R208" s="3213"/>
      <c r="V208" s="3369"/>
    </row>
    <row r="209" spans="7:22">
      <c r="G209" s="3213"/>
      <c r="P209" s="3213"/>
      <c r="R209" s="3213"/>
      <c r="V209" s="3369"/>
    </row>
    <row r="210" spans="7:22">
      <c r="G210" s="3213"/>
      <c r="P210" s="3213"/>
      <c r="R210" s="3213"/>
      <c r="V210" s="3369"/>
    </row>
    <row r="211" spans="7:22">
      <c r="G211" s="3213"/>
      <c r="P211" s="3213"/>
      <c r="R211" s="3213"/>
      <c r="V211" s="3369"/>
    </row>
    <row r="212" spans="7:22">
      <c r="G212" s="3213"/>
      <c r="P212" s="3213"/>
      <c r="R212" s="3213"/>
      <c r="V212" s="3369"/>
    </row>
    <row r="213" spans="7:22">
      <c r="G213" s="3213"/>
      <c r="P213" s="3213"/>
      <c r="R213" s="3213"/>
      <c r="V213" s="3369"/>
    </row>
    <row r="214" spans="7:22">
      <c r="G214" s="3213"/>
      <c r="P214" s="3213"/>
      <c r="R214" s="3213"/>
      <c r="V214" s="3369"/>
    </row>
    <row r="215" spans="7:22">
      <c r="G215" s="3213"/>
      <c r="P215" s="3213"/>
      <c r="R215" s="3213"/>
      <c r="V215" s="3369"/>
    </row>
    <row r="216" spans="7:22">
      <c r="G216" s="3213"/>
      <c r="P216" s="3213"/>
      <c r="R216" s="3213"/>
      <c r="V216" s="3369"/>
    </row>
    <row r="217" spans="7:22">
      <c r="G217" s="3213"/>
      <c r="P217" s="3213"/>
      <c r="R217" s="3213"/>
      <c r="V217" s="3369"/>
    </row>
    <row r="218" spans="7:22">
      <c r="G218" s="3213"/>
      <c r="P218" s="3213"/>
      <c r="R218" s="3213"/>
      <c r="V218" s="3369"/>
    </row>
    <row r="219" spans="7:22">
      <c r="G219" s="3213"/>
      <c r="P219" s="3213"/>
      <c r="R219" s="3213"/>
      <c r="V219" s="3369"/>
    </row>
    <row r="220" spans="7:22">
      <c r="G220" s="3213"/>
      <c r="P220" s="3213"/>
      <c r="R220" s="3213"/>
      <c r="V220" s="3369"/>
    </row>
    <row r="221" spans="7:22">
      <c r="G221" s="3213"/>
      <c r="P221" s="3213"/>
      <c r="R221" s="3213"/>
      <c r="V221" s="3369"/>
    </row>
    <row r="222" spans="7:22">
      <c r="G222" s="3213"/>
      <c r="P222" s="3213"/>
      <c r="R222" s="3213"/>
      <c r="V222" s="3369"/>
    </row>
    <row r="223" spans="7:22">
      <c r="G223" s="3213"/>
      <c r="P223" s="3213"/>
      <c r="R223" s="3213"/>
      <c r="V223" s="3369"/>
    </row>
    <row r="224" spans="7:22">
      <c r="G224" s="3213"/>
      <c r="P224" s="3213"/>
      <c r="R224" s="3213"/>
      <c r="V224" s="3369"/>
    </row>
    <row r="225" spans="7:22">
      <c r="G225" s="3213"/>
      <c r="P225" s="3213"/>
      <c r="R225" s="3213"/>
      <c r="V225" s="3369"/>
    </row>
    <row r="226" spans="7:22">
      <c r="G226" s="3213"/>
      <c r="P226" s="3213"/>
      <c r="R226" s="3213"/>
      <c r="V226" s="3369"/>
    </row>
    <row r="227" spans="7:22">
      <c r="G227" s="3213"/>
      <c r="P227" s="3213"/>
      <c r="R227" s="3213"/>
      <c r="V227" s="3369"/>
    </row>
    <row r="228" spans="7:22">
      <c r="G228" s="3213"/>
      <c r="P228" s="3213"/>
      <c r="R228" s="3213"/>
      <c r="V228" s="3369"/>
    </row>
    <row r="229" spans="7:22">
      <c r="G229" s="3213"/>
      <c r="P229" s="3213"/>
      <c r="R229" s="3213"/>
      <c r="V229" s="3369"/>
    </row>
    <row r="230" spans="7:22">
      <c r="G230" s="3213"/>
      <c r="P230" s="3213"/>
      <c r="R230" s="3213"/>
      <c r="V230" s="3369"/>
    </row>
    <row r="231" spans="7:22">
      <c r="G231" s="3213"/>
      <c r="P231" s="3213"/>
      <c r="R231" s="3213"/>
      <c r="V231" s="3369"/>
    </row>
    <row r="232" spans="7:22">
      <c r="G232" s="3213"/>
      <c r="P232" s="3213"/>
      <c r="R232" s="3213"/>
      <c r="V232" s="3369"/>
    </row>
    <row r="233" spans="7:22">
      <c r="G233" s="3213"/>
      <c r="P233" s="3213"/>
      <c r="R233" s="3213"/>
      <c r="V233" s="3369"/>
    </row>
    <row r="234" spans="7:22">
      <c r="G234" s="3213"/>
      <c r="P234" s="3213"/>
      <c r="R234" s="3213"/>
      <c r="V234" s="3369"/>
    </row>
    <row r="235" spans="7:22">
      <c r="G235" s="3213"/>
      <c r="P235" s="3213"/>
      <c r="R235" s="3213"/>
      <c r="V235" s="3369"/>
    </row>
    <row r="236" spans="7:22">
      <c r="G236" s="3213"/>
      <c r="P236" s="3213"/>
      <c r="R236" s="3213"/>
      <c r="V236" s="3369"/>
    </row>
    <row r="237" spans="7:22">
      <c r="G237" s="3213"/>
      <c r="P237" s="3213"/>
      <c r="R237" s="3213"/>
      <c r="V237" s="3369"/>
    </row>
    <row r="238" spans="7:22">
      <c r="G238" s="3213"/>
      <c r="P238" s="3213"/>
      <c r="R238" s="3213"/>
      <c r="V238" s="3369"/>
    </row>
    <row r="239" spans="7:22">
      <c r="G239" s="3213"/>
      <c r="P239" s="3213"/>
      <c r="R239" s="3213"/>
      <c r="V239" s="3369"/>
    </row>
    <row r="240" spans="7:22">
      <c r="G240" s="3213"/>
      <c r="P240" s="3213"/>
      <c r="R240" s="3213"/>
      <c r="V240" s="3369"/>
    </row>
    <row r="241" spans="7:22">
      <c r="G241" s="3213"/>
      <c r="P241" s="3213"/>
      <c r="R241" s="3213"/>
      <c r="V241" s="3369"/>
    </row>
    <row r="242" spans="7:22">
      <c r="G242" s="3213"/>
      <c r="P242" s="3213"/>
      <c r="R242" s="3213"/>
      <c r="V242" s="3369"/>
    </row>
    <row r="243" spans="7:22">
      <c r="G243" s="3213"/>
      <c r="P243" s="3213"/>
      <c r="R243" s="3213"/>
      <c r="V243" s="3369"/>
    </row>
    <row r="244" spans="7:22">
      <c r="G244" s="3213"/>
      <c r="P244" s="3213"/>
      <c r="R244" s="3213"/>
      <c r="V244" s="3369"/>
    </row>
    <row r="245" spans="7:22">
      <c r="G245" s="3213"/>
      <c r="P245" s="3213"/>
      <c r="R245" s="3213"/>
      <c r="V245" s="3369"/>
    </row>
    <row r="246" spans="7:22">
      <c r="G246" s="3213"/>
      <c r="P246" s="3213"/>
      <c r="R246" s="3213"/>
      <c r="V246" s="3369"/>
    </row>
    <row r="247" spans="7:22">
      <c r="G247" s="3213"/>
      <c r="P247" s="3213"/>
      <c r="R247" s="3213"/>
      <c r="V247" s="3369"/>
    </row>
    <row r="248" spans="7:22">
      <c r="G248" s="3213"/>
      <c r="P248" s="3213"/>
      <c r="R248" s="3213"/>
      <c r="V248" s="3369"/>
    </row>
    <row r="249" spans="7:22">
      <c r="G249" s="3213"/>
      <c r="P249" s="3213"/>
      <c r="R249" s="3213"/>
      <c r="V249" s="3369"/>
    </row>
    <row r="250" spans="7:22">
      <c r="G250" s="3213"/>
      <c r="P250" s="3213"/>
      <c r="R250" s="3213"/>
      <c r="V250" s="3369"/>
    </row>
    <row r="251" spans="7:22">
      <c r="G251" s="3213"/>
      <c r="P251" s="3213"/>
      <c r="R251" s="3213"/>
      <c r="V251" s="3369"/>
    </row>
    <row r="252" spans="7:22">
      <c r="G252" s="3213"/>
      <c r="P252" s="3213"/>
      <c r="R252" s="3213"/>
      <c r="V252" s="3369"/>
    </row>
    <row r="253" spans="7:22">
      <c r="G253" s="3213"/>
      <c r="P253" s="3213"/>
      <c r="R253" s="3213"/>
      <c r="V253" s="3369"/>
    </row>
    <row r="254" spans="7:22">
      <c r="G254" s="3213"/>
      <c r="P254" s="3213"/>
      <c r="R254" s="3213"/>
      <c r="V254" s="3369"/>
    </row>
    <row r="255" spans="7:22">
      <c r="G255" s="3213"/>
      <c r="P255" s="3213"/>
      <c r="R255" s="3213"/>
      <c r="V255" s="3369"/>
    </row>
    <row r="256" spans="7:22">
      <c r="G256" s="3213"/>
      <c r="P256" s="3213"/>
      <c r="R256" s="3213"/>
      <c r="V256" s="3369"/>
    </row>
    <row r="257" spans="7:22">
      <c r="G257" s="3213"/>
      <c r="P257" s="3213"/>
      <c r="R257" s="3213"/>
      <c r="V257" s="3369"/>
    </row>
    <row r="258" spans="7:22">
      <c r="G258" s="3213"/>
      <c r="P258" s="3213"/>
      <c r="R258" s="3213"/>
      <c r="V258" s="3369"/>
    </row>
    <row r="259" spans="7:22">
      <c r="G259" s="3213"/>
      <c r="P259" s="3213"/>
      <c r="R259" s="3213"/>
      <c r="V259" s="3369"/>
    </row>
    <row r="260" spans="7:22">
      <c r="G260" s="3213"/>
      <c r="P260" s="3213"/>
      <c r="R260" s="3213"/>
      <c r="V260" s="3369"/>
    </row>
    <row r="261" spans="7:22">
      <c r="G261" s="3213"/>
      <c r="P261" s="3213"/>
      <c r="R261" s="3213"/>
      <c r="V261" s="3369"/>
    </row>
    <row r="262" spans="7:22">
      <c r="G262" s="3213"/>
      <c r="P262" s="3213"/>
      <c r="R262" s="3213"/>
      <c r="V262" s="3369"/>
    </row>
    <row r="263" spans="7:22">
      <c r="G263" s="3213"/>
      <c r="P263" s="3213"/>
      <c r="R263" s="3213"/>
      <c r="V263" s="3369"/>
    </row>
    <row r="264" spans="7:22">
      <c r="G264" s="3213"/>
      <c r="P264" s="3213"/>
      <c r="R264" s="3213"/>
      <c r="V264" s="3369"/>
    </row>
    <row r="265" spans="7:22">
      <c r="G265" s="3213"/>
      <c r="P265" s="3213"/>
      <c r="R265" s="3213"/>
      <c r="V265" s="3369"/>
    </row>
    <row r="266" spans="7:22">
      <c r="G266" s="3213"/>
      <c r="P266" s="3213"/>
      <c r="R266" s="3213"/>
      <c r="V266" s="3369"/>
    </row>
    <row r="267" spans="7:22">
      <c r="G267" s="3213"/>
      <c r="P267" s="3213"/>
      <c r="R267" s="3213"/>
      <c r="V267" s="3369"/>
    </row>
    <row r="268" spans="7:22">
      <c r="G268" s="3213"/>
      <c r="P268" s="3213"/>
      <c r="R268" s="3213"/>
      <c r="V268" s="3369"/>
    </row>
    <row r="269" spans="7:22">
      <c r="G269" s="3213"/>
      <c r="P269" s="3213"/>
      <c r="R269" s="3213"/>
      <c r="V269" s="3369"/>
    </row>
    <row r="270" spans="7:22">
      <c r="G270" s="3213"/>
      <c r="P270" s="3213"/>
      <c r="R270" s="3213"/>
      <c r="V270" s="3369"/>
    </row>
    <row r="271" spans="7:22">
      <c r="G271" s="3213"/>
      <c r="P271" s="3213"/>
      <c r="R271" s="3213"/>
      <c r="V271" s="3369"/>
    </row>
    <row r="272" spans="7:22">
      <c r="G272" s="3213"/>
      <c r="P272" s="3213"/>
      <c r="R272" s="3213"/>
      <c r="V272" s="3369"/>
    </row>
    <row r="273" spans="7:22">
      <c r="G273" s="3213"/>
      <c r="P273" s="3213"/>
      <c r="R273" s="3213"/>
      <c r="V273" s="3369"/>
    </row>
    <row r="274" spans="7:22">
      <c r="G274" s="3213"/>
      <c r="P274" s="3213"/>
      <c r="R274" s="3213"/>
      <c r="V274" s="3369"/>
    </row>
    <row r="275" spans="7:22">
      <c r="G275" s="3213"/>
      <c r="P275" s="3213"/>
      <c r="R275" s="3213"/>
      <c r="V275" s="3369"/>
    </row>
    <row r="276" spans="7:22">
      <c r="G276" s="3213"/>
      <c r="P276" s="3213"/>
      <c r="R276" s="3213"/>
      <c r="V276" s="3369"/>
    </row>
    <row r="277" spans="7:22">
      <c r="G277" s="3213"/>
      <c r="P277" s="3213"/>
      <c r="R277" s="3213"/>
      <c r="V277" s="3369"/>
    </row>
    <row r="278" spans="7:22">
      <c r="G278" s="3213"/>
      <c r="P278" s="3213"/>
      <c r="R278" s="3213"/>
      <c r="V278" s="3369"/>
    </row>
    <row r="279" spans="7:22">
      <c r="G279" s="3213"/>
      <c r="P279" s="3213"/>
      <c r="R279" s="3213"/>
      <c r="V279" s="3369"/>
    </row>
    <row r="280" spans="7:22">
      <c r="G280" s="3213"/>
      <c r="P280" s="3213"/>
      <c r="R280" s="3213"/>
      <c r="V280" s="3369"/>
    </row>
    <row r="281" spans="7:22">
      <c r="G281" s="3213"/>
      <c r="P281" s="3213"/>
      <c r="R281" s="3213"/>
      <c r="V281" s="3369"/>
    </row>
    <row r="282" spans="7:22">
      <c r="G282" s="3213"/>
      <c r="P282" s="3213"/>
      <c r="R282" s="3213"/>
      <c r="V282" s="3369"/>
    </row>
    <row r="283" spans="7:22">
      <c r="G283" s="3213"/>
      <c r="P283" s="3213"/>
      <c r="R283" s="3213"/>
      <c r="V283" s="3369"/>
    </row>
    <row r="284" spans="7:22">
      <c r="G284" s="3213"/>
      <c r="P284" s="3213"/>
      <c r="R284" s="3213"/>
      <c r="V284" s="3369"/>
    </row>
    <row r="285" spans="7:22">
      <c r="G285" s="3213"/>
      <c r="P285" s="3213"/>
      <c r="R285" s="3213"/>
      <c r="V285" s="3369"/>
    </row>
    <row r="286" spans="7:22">
      <c r="G286" s="3213"/>
      <c r="P286" s="3213"/>
      <c r="R286" s="3213"/>
      <c r="V286" s="3369"/>
    </row>
    <row r="287" spans="7:22">
      <c r="G287" s="3213"/>
      <c r="P287" s="3213"/>
      <c r="R287" s="3213"/>
      <c r="V287" s="3369"/>
    </row>
    <row r="288" spans="7:22">
      <c r="G288" s="3213"/>
      <c r="P288" s="3213"/>
      <c r="R288" s="3213"/>
      <c r="V288" s="3369"/>
    </row>
    <row r="289" spans="7:22">
      <c r="G289" s="3213"/>
      <c r="P289" s="3213"/>
      <c r="R289" s="3213"/>
      <c r="V289" s="3369"/>
    </row>
    <row r="290" spans="7:22">
      <c r="G290" s="3213"/>
      <c r="P290" s="3213"/>
      <c r="R290" s="3213"/>
      <c r="V290" s="3369"/>
    </row>
    <row r="291" spans="7:22">
      <c r="G291" s="3213"/>
      <c r="P291" s="3213"/>
      <c r="R291" s="3213"/>
      <c r="V291" s="3369"/>
    </row>
    <row r="292" spans="7:22">
      <c r="G292" s="3213"/>
      <c r="P292" s="3213"/>
      <c r="R292" s="3213"/>
      <c r="V292" s="3369"/>
    </row>
    <row r="293" spans="7:22">
      <c r="G293" s="3213"/>
      <c r="P293" s="3213"/>
      <c r="R293" s="3213"/>
      <c r="V293" s="3369"/>
    </row>
    <row r="294" spans="7:22">
      <c r="G294" s="3213"/>
      <c r="P294" s="3213"/>
      <c r="R294" s="3213"/>
      <c r="V294" s="3369"/>
    </row>
    <row r="295" spans="7:22">
      <c r="G295" s="3213"/>
      <c r="P295" s="3213"/>
      <c r="R295" s="3213"/>
      <c r="V295" s="3369"/>
    </row>
    <row r="296" spans="7:22">
      <c r="G296" s="3213"/>
      <c r="P296" s="3213"/>
      <c r="R296" s="3213"/>
      <c r="V296" s="3369"/>
    </row>
    <row r="297" spans="7:22">
      <c r="G297" s="3213"/>
      <c r="P297" s="3213"/>
      <c r="R297" s="3213"/>
      <c r="V297" s="3369"/>
    </row>
    <row r="298" spans="7:22">
      <c r="G298" s="3213"/>
      <c r="P298" s="3213"/>
      <c r="R298" s="3213"/>
      <c r="V298" s="3369"/>
    </row>
    <row r="299" spans="7:22">
      <c r="G299" s="3213"/>
      <c r="P299" s="3213"/>
      <c r="R299" s="3213"/>
      <c r="V299" s="3369"/>
    </row>
    <row r="300" spans="7:22">
      <c r="G300" s="3213"/>
      <c r="P300" s="3213"/>
      <c r="R300" s="3213"/>
      <c r="V300" s="3369"/>
    </row>
    <row r="301" spans="7:22">
      <c r="G301" s="3213"/>
      <c r="P301" s="3213"/>
      <c r="R301" s="3213"/>
      <c r="V301" s="3369"/>
    </row>
    <row r="302" spans="7:22">
      <c r="G302" s="3213"/>
      <c r="P302" s="3213"/>
      <c r="R302" s="3213"/>
      <c r="V302" s="3369"/>
    </row>
    <row r="303" spans="7:22">
      <c r="G303" s="3213"/>
      <c r="P303" s="3213"/>
      <c r="R303" s="3213"/>
      <c r="V303" s="3369"/>
    </row>
    <row r="304" spans="7:22">
      <c r="G304" s="3213"/>
      <c r="P304" s="3213"/>
      <c r="R304" s="3213"/>
      <c r="V304" s="3369"/>
    </row>
    <row r="305" spans="7:22">
      <c r="G305" s="3213"/>
      <c r="P305" s="3213"/>
      <c r="R305" s="3213"/>
      <c r="V305" s="3369"/>
    </row>
    <row r="306" spans="7:22">
      <c r="G306" s="3213"/>
      <c r="P306" s="3213"/>
      <c r="R306" s="3213"/>
      <c r="V306" s="3369"/>
    </row>
    <row r="307" spans="7:22">
      <c r="G307" s="3213"/>
      <c r="P307" s="3213"/>
      <c r="R307" s="3213"/>
      <c r="V307" s="3369"/>
    </row>
    <row r="308" spans="7:22">
      <c r="G308" s="3213"/>
      <c r="P308" s="3213"/>
      <c r="R308" s="3213"/>
      <c r="V308" s="3369"/>
    </row>
    <row r="309" spans="7:22">
      <c r="G309" s="3213"/>
      <c r="P309" s="3213"/>
      <c r="R309" s="3213"/>
      <c r="V309" s="3369"/>
    </row>
    <row r="310" spans="7:22">
      <c r="G310" s="3213"/>
      <c r="P310" s="3213"/>
      <c r="R310" s="3213"/>
      <c r="V310" s="3369"/>
    </row>
    <row r="311" spans="7:22">
      <c r="G311" s="3213"/>
      <c r="P311" s="3213"/>
      <c r="R311" s="3213"/>
      <c r="V311" s="3369"/>
    </row>
    <row r="312" spans="7:22">
      <c r="G312" s="3213"/>
      <c r="P312" s="3213"/>
      <c r="R312" s="3213"/>
      <c r="V312" s="3369"/>
    </row>
    <row r="313" spans="7:22">
      <c r="G313" s="3213"/>
      <c r="P313" s="3213"/>
      <c r="R313" s="3213"/>
      <c r="V313" s="3369"/>
    </row>
    <row r="314" spans="7:22">
      <c r="G314" s="3213"/>
      <c r="P314" s="3213"/>
      <c r="R314" s="3213"/>
      <c r="V314" s="3369"/>
    </row>
    <row r="315" spans="7:22">
      <c r="G315" s="3213"/>
      <c r="P315" s="3213"/>
      <c r="R315" s="3213"/>
      <c r="V315" s="3369"/>
    </row>
    <row r="316" spans="7:22">
      <c r="G316" s="3213"/>
      <c r="P316" s="3213"/>
      <c r="R316" s="3213"/>
      <c r="V316" s="3369"/>
    </row>
    <row r="317" spans="7:22">
      <c r="G317" s="3213"/>
      <c r="P317" s="3213"/>
      <c r="R317" s="3213"/>
      <c r="V317" s="3369"/>
    </row>
    <row r="318" spans="7:22">
      <c r="G318" s="3213"/>
      <c r="P318" s="3213"/>
      <c r="R318" s="3213"/>
      <c r="V318" s="3369"/>
    </row>
    <row r="319" spans="7:22">
      <c r="G319" s="3213"/>
      <c r="P319" s="3213"/>
      <c r="R319" s="3213"/>
      <c r="V319" s="3369"/>
    </row>
    <row r="320" spans="7:22">
      <c r="G320" s="3213"/>
      <c r="P320" s="3213"/>
      <c r="R320" s="3213"/>
      <c r="V320" s="3369"/>
    </row>
    <row r="321" spans="7:22">
      <c r="G321" s="3213"/>
      <c r="P321" s="3213"/>
      <c r="R321" s="3213"/>
      <c r="V321" s="3369"/>
    </row>
    <row r="322" spans="7:22">
      <c r="G322" s="3213"/>
      <c r="P322" s="3213"/>
      <c r="R322" s="3213"/>
      <c r="V322" s="3369"/>
    </row>
    <row r="323" spans="7:22">
      <c r="G323" s="3213"/>
      <c r="P323" s="3213"/>
      <c r="R323" s="3213"/>
      <c r="V323" s="3369"/>
    </row>
    <row r="324" spans="7:22">
      <c r="G324" s="3213"/>
      <c r="P324" s="3213"/>
      <c r="R324" s="3213"/>
      <c r="V324" s="3369"/>
    </row>
    <row r="325" spans="7:22">
      <c r="G325" s="3213"/>
      <c r="P325" s="3213"/>
      <c r="R325" s="3213"/>
      <c r="V325" s="3369"/>
    </row>
    <row r="326" spans="7:22">
      <c r="G326" s="3213"/>
      <c r="P326" s="3213"/>
      <c r="R326" s="3213"/>
      <c r="V326" s="3369"/>
    </row>
    <row r="327" spans="7:22">
      <c r="G327" s="3213"/>
      <c r="P327" s="3213"/>
      <c r="R327" s="3213"/>
      <c r="V327" s="3369"/>
    </row>
    <row r="328" spans="7:22">
      <c r="G328" s="3213"/>
      <c r="P328" s="3213"/>
      <c r="R328" s="3213"/>
      <c r="V328" s="3369"/>
    </row>
    <row r="329" spans="7:22">
      <c r="G329" s="3213"/>
      <c r="P329" s="3213"/>
      <c r="R329" s="3213"/>
      <c r="V329" s="3369"/>
    </row>
    <row r="330" spans="7:22">
      <c r="G330" s="3213"/>
      <c r="P330" s="3213"/>
      <c r="R330" s="3213"/>
      <c r="V330" s="3369"/>
    </row>
    <row r="331" spans="7:22">
      <c r="G331" s="3213"/>
      <c r="P331" s="3213"/>
      <c r="R331" s="3213"/>
      <c r="V331" s="3369"/>
    </row>
    <row r="332" spans="7:22">
      <c r="G332" s="3213"/>
      <c r="P332" s="3213"/>
      <c r="R332" s="3213"/>
      <c r="V332" s="3369"/>
    </row>
    <row r="333" spans="7:22">
      <c r="G333" s="3213"/>
      <c r="P333" s="3213"/>
      <c r="R333" s="3213"/>
      <c r="V333" s="3369"/>
    </row>
    <row r="334" spans="7:22">
      <c r="G334" s="3213"/>
      <c r="P334" s="3213"/>
      <c r="R334" s="3213"/>
      <c r="V334" s="3369"/>
    </row>
    <row r="335" spans="7:22">
      <c r="G335" s="3213"/>
      <c r="P335" s="3213"/>
      <c r="R335" s="3213"/>
      <c r="V335" s="3369"/>
    </row>
    <row r="336" spans="7:22">
      <c r="G336" s="3213"/>
      <c r="P336" s="3213"/>
      <c r="R336" s="3213"/>
      <c r="V336" s="3369"/>
    </row>
    <row r="337" spans="7:22">
      <c r="G337" s="3213"/>
      <c r="P337" s="3213"/>
      <c r="R337" s="3213"/>
      <c r="V337" s="3369"/>
    </row>
    <row r="338" spans="7:22">
      <c r="G338" s="3213"/>
      <c r="P338" s="3213"/>
      <c r="R338" s="3213"/>
      <c r="V338" s="3369"/>
    </row>
    <row r="339" spans="7:22">
      <c r="G339" s="3213"/>
      <c r="P339" s="3213"/>
      <c r="R339" s="3213"/>
      <c r="V339" s="3369"/>
    </row>
    <row r="340" spans="7:22">
      <c r="G340" s="3213"/>
      <c r="P340" s="3213"/>
      <c r="R340" s="3213"/>
      <c r="V340" s="3369"/>
    </row>
    <row r="341" spans="7:22">
      <c r="G341" s="3213"/>
      <c r="P341" s="3213"/>
      <c r="R341" s="3213"/>
      <c r="V341" s="3369"/>
    </row>
    <row r="342" spans="7:22">
      <c r="G342" s="3213"/>
      <c r="P342" s="3213"/>
      <c r="R342" s="3213"/>
      <c r="V342" s="3369"/>
    </row>
    <row r="343" spans="7:22">
      <c r="G343" s="3213"/>
      <c r="P343" s="3213"/>
      <c r="R343" s="3213"/>
      <c r="V343" s="3369"/>
    </row>
    <row r="344" spans="7:22">
      <c r="G344" s="3213"/>
      <c r="P344" s="3213"/>
      <c r="R344" s="3213"/>
      <c r="V344" s="3369"/>
    </row>
    <row r="345" spans="7:22">
      <c r="G345" s="3213"/>
      <c r="P345" s="3213"/>
      <c r="R345" s="3213"/>
      <c r="V345" s="3369"/>
    </row>
    <row r="346" spans="7:22">
      <c r="G346" s="3213"/>
      <c r="P346" s="3213"/>
      <c r="R346" s="3213"/>
      <c r="V346" s="3369"/>
    </row>
    <row r="347" spans="7:22">
      <c r="G347" s="3213"/>
      <c r="P347" s="3213"/>
      <c r="R347" s="3213"/>
      <c r="V347" s="3369"/>
    </row>
    <row r="348" spans="7:22">
      <c r="G348" s="3213"/>
      <c r="P348" s="3213"/>
      <c r="R348" s="3213"/>
      <c r="V348" s="3369"/>
    </row>
    <row r="349" spans="7:22">
      <c r="G349" s="3213"/>
      <c r="P349" s="3213"/>
      <c r="R349" s="3213"/>
      <c r="V349" s="3369"/>
    </row>
    <row r="350" spans="7:22">
      <c r="G350" s="3213"/>
      <c r="P350" s="3213"/>
      <c r="R350" s="3213"/>
      <c r="V350" s="3369"/>
    </row>
    <row r="351" spans="7:22">
      <c r="G351" s="3213"/>
      <c r="P351" s="3213"/>
      <c r="R351" s="3213"/>
      <c r="V351" s="3369"/>
    </row>
    <row r="352" spans="7:22">
      <c r="G352" s="3213"/>
      <c r="P352" s="3213"/>
      <c r="R352" s="3213"/>
      <c r="V352" s="3369"/>
    </row>
    <row r="353" spans="7:22">
      <c r="G353" s="3213"/>
      <c r="P353" s="3213"/>
      <c r="R353" s="3213"/>
      <c r="V353" s="3369"/>
    </row>
    <row r="354" spans="7:22">
      <c r="G354" s="3213"/>
      <c r="P354" s="3213"/>
      <c r="R354" s="3213"/>
      <c r="V354" s="3369"/>
    </row>
    <row r="355" spans="7:22">
      <c r="G355" s="3213"/>
      <c r="P355" s="3213"/>
      <c r="R355" s="3213"/>
      <c r="V355" s="3369"/>
    </row>
    <row r="356" spans="7:22">
      <c r="G356" s="3213"/>
      <c r="P356" s="3213"/>
      <c r="R356" s="3213"/>
      <c r="V356" s="3369"/>
    </row>
    <row r="357" spans="7:22">
      <c r="G357" s="3213"/>
      <c r="P357" s="3213"/>
      <c r="R357" s="3213"/>
      <c r="V357" s="3369"/>
    </row>
    <row r="358" spans="7:22">
      <c r="G358" s="3213"/>
      <c r="P358" s="3213"/>
      <c r="R358" s="3213"/>
      <c r="V358" s="3369"/>
    </row>
    <row r="359" spans="7:22">
      <c r="G359" s="3213"/>
      <c r="P359" s="3213"/>
      <c r="R359" s="3213"/>
      <c r="V359" s="3369"/>
    </row>
    <row r="360" spans="7:22">
      <c r="G360" s="3213"/>
      <c r="P360" s="3213"/>
      <c r="R360" s="3213"/>
      <c r="V360" s="3369"/>
    </row>
    <row r="361" spans="7:22">
      <c r="G361" s="3213"/>
      <c r="P361" s="3213"/>
      <c r="R361" s="3213"/>
      <c r="V361" s="3369"/>
    </row>
    <row r="362" spans="7:22">
      <c r="G362" s="3213"/>
      <c r="P362" s="3213"/>
      <c r="R362" s="3213"/>
      <c r="V362" s="3369"/>
    </row>
    <row r="363" spans="7:22">
      <c r="G363" s="3213"/>
      <c r="P363" s="3213"/>
      <c r="R363" s="3213"/>
      <c r="V363" s="3369"/>
    </row>
    <row r="364" spans="7:22">
      <c r="G364" s="3213"/>
      <c r="P364" s="3213"/>
      <c r="R364" s="3213"/>
      <c r="V364" s="3369"/>
    </row>
    <row r="365" spans="7:22">
      <c r="G365" s="3213"/>
      <c r="P365" s="3213"/>
      <c r="R365" s="3213"/>
      <c r="V365" s="3369"/>
    </row>
    <row r="366" spans="7:22">
      <c r="G366" s="3213"/>
      <c r="P366" s="3213"/>
      <c r="R366" s="3213"/>
      <c r="V366" s="3369"/>
    </row>
    <row r="367" spans="7:22">
      <c r="G367" s="3213"/>
      <c r="P367" s="3213"/>
      <c r="R367" s="3213"/>
      <c r="V367" s="3369"/>
    </row>
    <row r="368" spans="7:22">
      <c r="G368" s="3213"/>
      <c r="P368" s="3213"/>
      <c r="R368" s="3213"/>
      <c r="V368" s="3369"/>
    </row>
    <row r="369" spans="7:22">
      <c r="G369" s="3213"/>
      <c r="P369" s="3213"/>
      <c r="R369" s="3213"/>
      <c r="V369" s="3369"/>
    </row>
    <row r="370" spans="7:22">
      <c r="G370" s="3213"/>
      <c r="P370" s="3213"/>
      <c r="R370" s="3213"/>
      <c r="V370" s="3369"/>
    </row>
    <row r="371" spans="7:22">
      <c r="G371" s="3213"/>
      <c r="P371" s="3213"/>
      <c r="R371" s="3213"/>
      <c r="V371" s="3369"/>
    </row>
    <row r="372" spans="7:22">
      <c r="G372" s="3213"/>
      <c r="P372" s="3213"/>
      <c r="R372" s="3213"/>
      <c r="V372" s="3369"/>
    </row>
    <row r="373" spans="7:22">
      <c r="G373" s="3213"/>
      <c r="P373" s="3213"/>
      <c r="R373" s="3213"/>
      <c r="V373" s="3369"/>
    </row>
    <row r="374" spans="7:22">
      <c r="G374" s="3213"/>
      <c r="P374" s="3213"/>
      <c r="R374" s="3213"/>
      <c r="V374" s="3369"/>
    </row>
    <row r="375" spans="7:22">
      <c r="G375" s="3213"/>
      <c r="P375" s="3213"/>
      <c r="R375" s="3213"/>
      <c r="V375" s="3369"/>
    </row>
    <row r="376" spans="7:22">
      <c r="G376" s="3213"/>
      <c r="P376" s="3213"/>
      <c r="R376" s="3213"/>
      <c r="V376" s="3369"/>
    </row>
    <row r="377" spans="7:22">
      <c r="G377" s="3213"/>
      <c r="P377" s="3213"/>
      <c r="R377" s="3213"/>
      <c r="V377" s="3369"/>
    </row>
    <row r="378" spans="7:22">
      <c r="G378" s="3213"/>
      <c r="P378" s="3213"/>
      <c r="R378" s="3213"/>
      <c r="V378" s="3369"/>
    </row>
    <row r="379" spans="7:22">
      <c r="G379" s="3213"/>
      <c r="P379" s="3213"/>
      <c r="R379" s="3213"/>
      <c r="V379" s="3369"/>
    </row>
    <row r="380" spans="7:22">
      <c r="G380" s="3213"/>
      <c r="P380" s="3213"/>
      <c r="R380" s="3213"/>
      <c r="V380" s="3369"/>
    </row>
    <row r="381" spans="7:22">
      <c r="G381" s="3213"/>
      <c r="P381" s="3213"/>
      <c r="R381" s="3213"/>
      <c r="V381" s="3369"/>
    </row>
    <row r="382" spans="7:22">
      <c r="G382" s="3213"/>
      <c r="P382" s="3213"/>
      <c r="R382" s="3213"/>
      <c r="V382" s="3369"/>
    </row>
    <row r="383" spans="7:22">
      <c r="G383" s="3213"/>
      <c r="P383" s="3213"/>
      <c r="R383" s="3213"/>
      <c r="V383" s="3369"/>
    </row>
    <row r="384" spans="7:22">
      <c r="G384" s="3213"/>
      <c r="P384" s="3213"/>
      <c r="R384" s="3213"/>
      <c r="V384" s="3369"/>
    </row>
    <row r="385" spans="7:22">
      <c r="G385" s="3213"/>
      <c r="P385" s="3213"/>
      <c r="R385" s="3213"/>
      <c r="V385" s="3369"/>
    </row>
    <row r="386" spans="7:22">
      <c r="G386" s="3213"/>
      <c r="P386" s="3213"/>
      <c r="R386" s="3213"/>
      <c r="V386" s="3369"/>
    </row>
    <row r="387" spans="7:22">
      <c r="G387" s="3213"/>
      <c r="P387" s="3213"/>
      <c r="R387" s="3213"/>
      <c r="V387" s="3369"/>
    </row>
    <row r="388" spans="7:22">
      <c r="G388" s="3213"/>
      <c r="P388" s="3213"/>
      <c r="R388" s="3213"/>
      <c r="V388" s="3369"/>
    </row>
    <row r="389" spans="7:22">
      <c r="G389" s="3213"/>
      <c r="P389" s="3213"/>
      <c r="R389" s="3213"/>
      <c r="V389" s="3369"/>
    </row>
    <row r="390" spans="7:22">
      <c r="G390" s="3213"/>
      <c r="P390" s="3213"/>
      <c r="R390" s="3213"/>
      <c r="V390" s="3369"/>
    </row>
    <row r="391" spans="7:22">
      <c r="G391" s="3213"/>
      <c r="P391" s="3213"/>
      <c r="R391" s="3213"/>
      <c r="V391" s="3369"/>
    </row>
    <row r="392" spans="7:22">
      <c r="G392" s="3213"/>
      <c r="P392" s="3213"/>
      <c r="R392" s="3213"/>
      <c r="V392" s="3369"/>
    </row>
    <row r="393" spans="7:22">
      <c r="G393" s="3213"/>
      <c r="P393" s="3213"/>
      <c r="R393" s="3213"/>
      <c r="V393" s="3369"/>
    </row>
    <row r="394" spans="7:22">
      <c r="G394" s="3213"/>
      <c r="P394" s="3213"/>
      <c r="R394" s="3213"/>
      <c r="V394" s="3369"/>
    </row>
    <row r="395" spans="7:22">
      <c r="G395" s="3213"/>
      <c r="P395" s="3213"/>
      <c r="R395" s="3213"/>
      <c r="V395" s="3369"/>
    </row>
    <row r="396" spans="7:22">
      <c r="G396" s="3213"/>
      <c r="P396" s="3213"/>
      <c r="R396" s="3213"/>
      <c r="V396" s="3369"/>
    </row>
    <row r="397" spans="7:22">
      <c r="G397" s="3213"/>
      <c r="P397" s="3213"/>
      <c r="R397" s="3213"/>
      <c r="V397" s="3369"/>
    </row>
    <row r="398" spans="7:22">
      <c r="G398" s="3213"/>
      <c r="P398" s="3213"/>
      <c r="R398" s="3213"/>
      <c r="V398" s="3369"/>
    </row>
    <row r="399" spans="7:22">
      <c r="G399" s="3213"/>
      <c r="P399" s="3213"/>
      <c r="R399" s="3213"/>
      <c r="V399" s="3369"/>
    </row>
    <row r="400" spans="7:22">
      <c r="G400" s="3213"/>
      <c r="P400" s="3213"/>
      <c r="R400" s="3213"/>
      <c r="V400" s="3369"/>
    </row>
    <row r="401" spans="7:22">
      <c r="G401" s="3213"/>
      <c r="P401" s="3213"/>
      <c r="R401" s="3213"/>
      <c r="V401" s="3369"/>
    </row>
    <row r="402" spans="7:22">
      <c r="G402" s="3213"/>
      <c r="P402" s="3213"/>
      <c r="R402" s="3213"/>
      <c r="V402" s="3369"/>
    </row>
    <row r="403" spans="7:22">
      <c r="G403" s="3213"/>
      <c r="P403" s="3213"/>
      <c r="R403" s="3213"/>
      <c r="V403" s="3369"/>
    </row>
    <row r="404" spans="7:22">
      <c r="G404" s="3213"/>
      <c r="P404" s="3213"/>
      <c r="R404" s="3213"/>
      <c r="V404" s="3369"/>
    </row>
    <row r="405" spans="7:22">
      <c r="G405" s="3213"/>
      <c r="P405" s="3213"/>
      <c r="R405" s="3213"/>
      <c r="V405" s="3369"/>
    </row>
    <row r="406" spans="7:22">
      <c r="G406" s="3213"/>
      <c r="P406" s="3213"/>
      <c r="R406" s="3213"/>
      <c r="V406" s="3369"/>
    </row>
    <row r="407" spans="7:22">
      <c r="G407" s="3213"/>
      <c r="P407" s="3213"/>
      <c r="R407" s="3213"/>
      <c r="V407" s="3369"/>
    </row>
    <row r="408" spans="7:22">
      <c r="G408" s="3213"/>
      <c r="P408" s="3213"/>
      <c r="R408" s="3213"/>
      <c r="V408" s="3369"/>
    </row>
    <row r="409" spans="7:22">
      <c r="G409" s="3213"/>
      <c r="P409" s="3213"/>
      <c r="R409" s="3213"/>
      <c r="V409" s="3369"/>
    </row>
    <row r="410" spans="7:22">
      <c r="G410" s="3213"/>
      <c r="P410" s="3213"/>
      <c r="R410" s="3213"/>
      <c r="V410" s="3369"/>
    </row>
    <row r="411" spans="7:22">
      <c r="G411" s="3213"/>
      <c r="P411" s="3213"/>
      <c r="R411" s="3213"/>
      <c r="V411" s="3369"/>
    </row>
    <row r="412" spans="7:22">
      <c r="G412" s="3213"/>
      <c r="P412" s="3213"/>
      <c r="R412" s="3213"/>
      <c r="V412" s="3369"/>
    </row>
    <row r="413" spans="7:22">
      <c r="G413" s="3213"/>
      <c r="P413" s="3213"/>
      <c r="R413" s="3213"/>
      <c r="V413" s="3369"/>
    </row>
    <row r="414" spans="7:22">
      <c r="G414" s="3213"/>
      <c r="P414" s="3213"/>
      <c r="R414" s="3213"/>
      <c r="V414" s="3369"/>
    </row>
    <row r="415" spans="7:22">
      <c r="G415" s="3213"/>
      <c r="P415" s="3213"/>
      <c r="R415" s="3213"/>
      <c r="V415" s="3369"/>
    </row>
    <row r="416" spans="7:22">
      <c r="G416" s="3213"/>
      <c r="P416" s="3213"/>
      <c r="R416" s="3213"/>
      <c r="V416" s="3369"/>
    </row>
    <row r="417" spans="7:22">
      <c r="G417" s="3213"/>
      <c r="P417" s="3213"/>
      <c r="R417" s="3213"/>
      <c r="V417" s="3369"/>
    </row>
    <row r="418" spans="7:22">
      <c r="G418" s="3213"/>
      <c r="P418" s="3213"/>
      <c r="R418" s="3213"/>
      <c r="V418" s="3369"/>
    </row>
    <row r="419" spans="7:22">
      <c r="G419" s="3213"/>
      <c r="P419" s="3213"/>
      <c r="R419" s="3213"/>
      <c r="V419" s="3369"/>
    </row>
    <row r="420" spans="7:22">
      <c r="G420" s="3213"/>
      <c r="P420" s="3213"/>
      <c r="R420" s="3213"/>
      <c r="V420" s="3369"/>
    </row>
    <row r="421" spans="7:22">
      <c r="G421" s="3213"/>
      <c r="P421" s="3213"/>
      <c r="R421" s="3213"/>
      <c r="V421" s="3369"/>
    </row>
    <row r="422" spans="7:22">
      <c r="G422" s="3213"/>
      <c r="P422" s="3213"/>
      <c r="R422" s="3213"/>
      <c r="V422" s="3369"/>
    </row>
    <row r="423" spans="7:22">
      <c r="G423" s="3213"/>
      <c r="P423" s="3213"/>
      <c r="R423" s="3213"/>
      <c r="V423" s="3369"/>
    </row>
    <row r="424" spans="7:22">
      <c r="G424" s="3213"/>
      <c r="P424" s="3213"/>
      <c r="R424" s="3213"/>
      <c r="V424" s="3369"/>
    </row>
    <row r="425" spans="7:22">
      <c r="G425" s="3213"/>
      <c r="P425" s="3213"/>
      <c r="R425" s="3213"/>
      <c r="V425" s="3369"/>
    </row>
    <row r="426" spans="7:22">
      <c r="G426" s="3213"/>
      <c r="P426" s="3213"/>
      <c r="R426" s="3213"/>
      <c r="V426" s="3369"/>
    </row>
    <row r="427" spans="7:22">
      <c r="G427" s="3213"/>
      <c r="P427" s="3213"/>
      <c r="R427" s="3213"/>
      <c r="V427" s="3369"/>
    </row>
    <row r="428" spans="7:22">
      <c r="G428" s="3213"/>
      <c r="P428" s="3213"/>
      <c r="R428" s="3213"/>
      <c r="V428" s="3369"/>
    </row>
    <row r="429" spans="7:22">
      <c r="G429" s="3213"/>
      <c r="P429" s="3213"/>
      <c r="R429" s="3213"/>
      <c r="V429" s="3369"/>
    </row>
    <row r="430" spans="7:22">
      <c r="G430" s="3213"/>
      <c r="P430" s="3213"/>
      <c r="R430" s="3213"/>
      <c r="V430" s="3369"/>
    </row>
    <row r="431" spans="7:22">
      <c r="G431" s="3213"/>
      <c r="P431" s="3213"/>
      <c r="R431" s="3213"/>
      <c r="V431" s="3369"/>
    </row>
    <row r="432" spans="7:22">
      <c r="G432" s="3213"/>
      <c r="P432" s="3213"/>
      <c r="R432" s="3213"/>
      <c r="V432" s="3369"/>
    </row>
    <row r="433" spans="7:22">
      <c r="G433" s="3213"/>
      <c r="P433" s="3213"/>
      <c r="R433" s="3213"/>
      <c r="V433" s="3369"/>
    </row>
    <row r="434" spans="7:22">
      <c r="G434" s="3213"/>
      <c r="P434" s="3213"/>
      <c r="R434" s="3213"/>
      <c r="V434" s="3369"/>
    </row>
    <row r="435" spans="7:22">
      <c r="G435" s="3213"/>
      <c r="P435" s="3213"/>
      <c r="R435" s="3213"/>
      <c r="V435" s="3369"/>
    </row>
    <row r="436" spans="7:22">
      <c r="G436" s="3213"/>
      <c r="P436" s="3213"/>
      <c r="R436" s="3213"/>
      <c r="V436" s="3369"/>
    </row>
    <row r="437" spans="7:22">
      <c r="G437" s="3213"/>
      <c r="P437" s="3213"/>
      <c r="R437" s="3213"/>
      <c r="V437" s="3369"/>
    </row>
    <row r="438" spans="7:22">
      <c r="G438" s="3213"/>
      <c r="P438" s="3213"/>
      <c r="R438" s="3213"/>
      <c r="V438" s="3369"/>
    </row>
    <row r="439" spans="7:22">
      <c r="G439" s="3213"/>
      <c r="P439" s="3213"/>
      <c r="R439" s="3213"/>
      <c r="V439" s="3369"/>
    </row>
    <row r="440" spans="7:22">
      <c r="G440" s="3213"/>
      <c r="P440" s="3213"/>
      <c r="R440" s="3213"/>
      <c r="V440" s="3369"/>
    </row>
    <row r="441" spans="7:22">
      <c r="G441" s="3213"/>
      <c r="P441" s="3213"/>
      <c r="R441" s="3213"/>
      <c r="V441" s="3369"/>
    </row>
    <row r="442" spans="7:22">
      <c r="G442" s="3213"/>
      <c r="P442" s="3213"/>
      <c r="R442" s="3213"/>
      <c r="V442" s="3369"/>
    </row>
    <row r="443" spans="7:22">
      <c r="G443" s="3213"/>
      <c r="P443" s="3213"/>
      <c r="R443" s="3213"/>
      <c r="V443" s="3369"/>
    </row>
    <row r="444" spans="7:22">
      <c r="G444" s="3213"/>
      <c r="P444" s="3213"/>
      <c r="R444" s="3213"/>
      <c r="V444" s="3369"/>
    </row>
    <row r="445" spans="7:22">
      <c r="G445" s="3213"/>
      <c r="P445" s="3213"/>
      <c r="R445" s="3213"/>
      <c r="V445" s="3369"/>
    </row>
    <row r="446" spans="7:22">
      <c r="G446" s="3213"/>
      <c r="P446" s="3213"/>
      <c r="R446" s="3213"/>
      <c r="V446" s="3369"/>
    </row>
    <row r="447" spans="7:22">
      <c r="G447" s="3213"/>
      <c r="P447" s="3213"/>
      <c r="R447" s="3213"/>
      <c r="V447" s="3369"/>
    </row>
    <row r="448" spans="7:22">
      <c r="G448" s="3213"/>
      <c r="P448" s="3213"/>
      <c r="R448" s="3213"/>
      <c r="V448" s="3369"/>
    </row>
    <row r="449" spans="7:22">
      <c r="G449" s="3213"/>
      <c r="P449" s="3213"/>
      <c r="R449" s="3213"/>
      <c r="V449" s="3369"/>
    </row>
    <row r="450" spans="7:22">
      <c r="G450" s="3213"/>
      <c r="P450" s="3213"/>
      <c r="R450" s="3213"/>
      <c r="V450" s="3369"/>
    </row>
    <row r="451" spans="7:22">
      <c r="G451" s="3213"/>
      <c r="P451" s="3213"/>
      <c r="R451" s="3213"/>
      <c r="V451" s="3369"/>
    </row>
    <row r="452" spans="7:22">
      <c r="G452" s="3213"/>
      <c r="P452" s="3213"/>
      <c r="R452" s="3213"/>
      <c r="V452" s="3369"/>
    </row>
    <row r="453" spans="7:22">
      <c r="G453" s="3213"/>
      <c r="P453" s="3213"/>
      <c r="R453" s="3213"/>
      <c r="V453" s="3369"/>
    </row>
    <row r="454" spans="7:22">
      <c r="G454" s="3213"/>
      <c r="P454" s="3213"/>
      <c r="R454" s="3213"/>
      <c r="V454" s="3369"/>
    </row>
    <row r="455" spans="7:22">
      <c r="G455" s="3213"/>
      <c r="P455" s="3213"/>
      <c r="R455" s="3213"/>
      <c r="V455" s="3369"/>
    </row>
    <row r="456" spans="7:22">
      <c r="G456" s="3213"/>
      <c r="P456" s="3213"/>
      <c r="R456" s="3213"/>
      <c r="V456" s="3369"/>
    </row>
    <row r="457" spans="7:22">
      <c r="G457" s="3213"/>
      <c r="P457" s="3213"/>
      <c r="R457" s="3213"/>
      <c r="V457" s="3369"/>
    </row>
    <row r="458" spans="7:22">
      <c r="G458" s="3213"/>
      <c r="P458" s="3213"/>
      <c r="R458" s="3213"/>
      <c r="V458" s="3369"/>
    </row>
    <row r="459" spans="7:22">
      <c r="G459" s="3213"/>
      <c r="P459" s="3213"/>
      <c r="R459" s="3213"/>
      <c r="V459" s="3369"/>
    </row>
    <row r="460" spans="7:22">
      <c r="G460" s="3213"/>
      <c r="P460" s="3213"/>
      <c r="R460" s="3213"/>
      <c r="V460" s="3369"/>
    </row>
    <row r="461" spans="7:22">
      <c r="G461" s="3213"/>
      <c r="P461" s="3213"/>
      <c r="R461" s="3213"/>
      <c r="V461" s="3369"/>
    </row>
    <row r="462" spans="7:22">
      <c r="G462" s="3213"/>
      <c r="P462" s="3213"/>
      <c r="R462" s="3213"/>
      <c r="V462" s="3369"/>
    </row>
    <row r="463" spans="7:22">
      <c r="G463" s="3213"/>
      <c r="P463" s="3213"/>
      <c r="R463" s="3213"/>
      <c r="V463" s="3369"/>
    </row>
    <row r="464" spans="7:22">
      <c r="G464" s="3213"/>
      <c r="P464" s="3213"/>
      <c r="R464" s="3213"/>
      <c r="V464" s="3369"/>
    </row>
    <row r="465" spans="7:22">
      <c r="G465" s="3213"/>
      <c r="P465" s="3213"/>
      <c r="R465" s="3213"/>
      <c r="V465" s="3369"/>
    </row>
    <row r="466" spans="7:22">
      <c r="G466" s="3213"/>
      <c r="P466" s="3213"/>
      <c r="R466" s="3213"/>
      <c r="V466" s="3369"/>
    </row>
    <row r="467" spans="7:22">
      <c r="G467" s="3213"/>
      <c r="P467" s="3213"/>
      <c r="R467" s="3213"/>
      <c r="V467" s="3369"/>
    </row>
    <row r="468" spans="7:22">
      <c r="G468" s="3213"/>
      <c r="P468" s="3213"/>
      <c r="R468" s="3213"/>
      <c r="V468" s="3369"/>
    </row>
    <row r="469" spans="7:22">
      <c r="G469" s="3213"/>
      <c r="P469" s="3213"/>
      <c r="R469" s="3213"/>
      <c r="V469" s="3369"/>
    </row>
    <row r="470" spans="7:22">
      <c r="G470" s="3213"/>
      <c r="P470" s="3213"/>
      <c r="R470" s="3213"/>
      <c r="V470" s="3369"/>
    </row>
    <row r="471" spans="7:22">
      <c r="G471" s="3213"/>
      <c r="P471" s="3213"/>
      <c r="R471" s="3213"/>
      <c r="V471" s="3369"/>
    </row>
    <row r="472" spans="7:22">
      <c r="G472" s="3213"/>
      <c r="P472" s="3213"/>
      <c r="R472" s="3213"/>
      <c r="V472" s="3369"/>
    </row>
    <row r="473" spans="7:22">
      <c r="G473" s="3213"/>
      <c r="P473" s="3213"/>
      <c r="R473" s="3213"/>
      <c r="V473" s="3369"/>
    </row>
    <row r="474" spans="7:22">
      <c r="G474" s="3213"/>
      <c r="P474" s="3213"/>
      <c r="R474" s="3213"/>
      <c r="V474" s="3369"/>
    </row>
    <row r="475" spans="7:22">
      <c r="G475" s="3213"/>
      <c r="P475" s="3213"/>
      <c r="R475" s="3213"/>
      <c r="V475" s="3369"/>
    </row>
    <row r="476" spans="7:22">
      <c r="G476" s="3213"/>
      <c r="P476" s="3213"/>
      <c r="R476" s="3213"/>
      <c r="V476" s="3369"/>
    </row>
    <row r="477" spans="7:22">
      <c r="G477" s="3213"/>
      <c r="P477" s="3213"/>
      <c r="R477" s="3213"/>
      <c r="V477" s="3369"/>
    </row>
    <row r="478" spans="7:22">
      <c r="G478" s="3213"/>
      <c r="P478" s="3213"/>
      <c r="R478" s="3213"/>
      <c r="V478" s="3369"/>
    </row>
    <row r="479" spans="7:22">
      <c r="G479" s="3213"/>
      <c r="P479" s="3213"/>
      <c r="R479" s="3213"/>
      <c r="V479" s="3369"/>
    </row>
    <row r="480" spans="7:22">
      <c r="G480" s="3213"/>
      <c r="P480" s="3213"/>
      <c r="R480" s="3213"/>
      <c r="V480" s="3369"/>
    </row>
    <row r="481" spans="7:22">
      <c r="G481" s="3213"/>
      <c r="P481" s="3213"/>
      <c r="R481" s="3213"/>
      <c r="V481" s="3369"/>
    </row>
    <row r="482" spans="7:22">
      <c r="G482" s="3213"/>
      <c r="P482" s="3213"/>
      <c r="R482" s="3213"/>
      <c r="V482" s="3369"/>
    </row>
    <row r="483" spans="7:22">
      <c r="G483" s="3213"/>
      <c r="P483" s="3213"/>
      <c r="R483" s="3213"/>
      <c r="V483" s="3369"/>
    </row>
    <row r="484" spans="7:22">
      <c r="G484" s="3213"/>
      <c r="P484" s="3213"/>
      <c r="R484" s="3213"/>
      <c r="V484" s="3369"/>
    </row>
    <row r="485" spans="7:22">
      <c r="G485" s="3213"/>
      <c r="P485" s="3213"/>
      <c r="R485" s="3213"/>
      <c r="V485" s="3369"/>
    </row>
    <row r="486" spans="7:22">
      <c r="G486" s="3213"/>
      <c r="P486" s="3213"/>
      <c r="R486" s="3213"/>
      <c r="V486" s="3369"/>
    </row>
    <row r="487" spans="7:22">
      <c r="G487" s="3213"/>
      <c r="P487" s="3213"/>
      <c r="R487" s="3213"/>
      <c r="V487" s="3369"/>
    </row>
    <row r="488" spans="7:22">
      <c r="G488" s="3213"/>
      <c r="P488" s="3213"/>
      <c r="R488" s="3213"/>
      <c r="V488" s="3369"/>
    </row>
    <row r="489" spans="7:22">
      <c r="G489" s="3213"/>
      <c r="P489" s="3213"/>
      <c r="R489" s="3213"/>
      <c r="V489" s="3369"/>
    </row>
    <row r="490" spans="7:22">
      <c r="G490" s="3213"/>
      <c r="P490" s="3213"/>
      <c r="R490" s="3213"/>
      <c r="V490" s="3369"/>
    </row>
    <row r="491" spans="7:22">
      <c r="G491" s="3213"/>
      <c r="P491" s="3213"/>
      <c r="R491" s="3213"/>
      <c r="V491" s="3369"/>
    </row>
    <row r="492" spans="7:22">
      <c r="G492" s="3213"/>
      <c r="P492" s="3213"/>
      <c r="R492" s="3213"/>
      <c r="V492" s="3369"/>
    </row>
    <row r="493" spans="7:22">
      <c r="G493" s="3213"/>
      <c r="P493" s="3213"/>
      <c r="R493" s="3213"/>
      <c r="V493" s="3369"/>
    </row>
    <row r="494" spans="7:22">
      <c r="G494" s="3213"/>
      <c r="P494" s="3213"/>
      <c r="R494" s="3213"/>
      <c r="V494" s="3369"/>
    </row>
    <row r="495" spans="7:22">
      <c r="G495" s="3213"/>
      <c r="P495" s="3213"/>
      <c r="R495" s="3213"/>
      <c r="V495" s="3369"/>
    </row>
    <row r="496" spans="7:22">
      <c r="G496" s="3213"/>
      <c r="P496" s="3213"/>
      <c r="R496" s="3213"/>
      <c r="V496" s="3369"/>
    </row>
    <row r="497" spans="7:22">
      <c r="G497" s="3213"/>
      <c r="P497" s="3213"/>
      <c r="R497" s="3213"/>
      <c r="V497" s="3369"/>
    </row>
    <row r="498" spans="7:22">
      <c r="G498" s="3213"/>
      <c r="P498" s="3213"/>
      <c r="R498" s="3213"/>
      <c r="V498" s="3369"/>
    </row>
    <row r="499" spans="7:22">
      <c r="G499" s="3213"/>
      <c r="P499" s="3213"/>
      <c r="R499" s="3213"/>
      <c r="V499" s="3369"/>
    </row>
    <row r="500" spans="7:22">
      <c r="G500" s="3213"/>
      <c r="P500" s="3213"/>
      <c r="R500" s="3213"/>
      <c r="V500" s="3369"/>
    </row>
    <row r="501" spans="7:22">
      <c r="G501" s="3213"/>
      <c r="P501" s="3213"/>
      <c r="R501" s="3213"/>
      <c r="V501" s="3369"/>
    </row>
    <row r="502" spans="7:22">
      <c r="G502" s="3213"/>
      <c r="P502" s="3213"/>
      <c r="R502" s="3213"/>
      <c r="V502" s="3369"/>
    </row>
    <row r="503" spans="7:22">
      <c r="G503" s="3213"/>
      <c r="P503" s="3213"/>
      <c r="R503" s="3213"/>
      <c r="V503" s="3369"/>
    </row>
    <row r="504" spans="7:22">
      <c r="G504" s="3213"/>
      <c r="P504" s="3213"/>
      <c r="R504" s="3213"/>
      <c r="V504" s="3369"/>
    </row>
    <row r="505" spans="7:22">
      <c r="G505" s="3213"/>
      <c r="P505" s="3213"/>
      <c r="R505" s="3213"/>
      <c r="V505" s="3369"/>
    </row>
    <row r="506" spans="7:22">
      <c r="G506" s="3213"/>
      <c r="P506" s="3213"/>
      <c r="R506" s="3213"/>
      <c r="V506" s="3369"/>
    </row>
    <row r="507" spans="7:22">
      <c r="G507" s="3213"/>
      <c r="P507" s="3213"/>
      <c r="R507" s="3213"/>
      <c r="V507" s="3369"/>
    </row>
    <row r="508" spans="7:22">
      <c r="G508" s="3213"/>
      <c r="P508" s="3213"/>
      <c r="R508" s="3213"/>
      <c r="V508" s="3369"/>
    </row>
    <row r="509" spans="7:22">
      <c r="G509" s="3213"/>
      <c r="P509" s="3213"/>
      <c r="R509" s="3213"/>
      <c r="V509" s="3369"/>
    </row>
    <row r="510" spans="7:22">
      <c r="G510" s="3213"/>
      <c r="P510" s="3213"/>
      <c r="R510" s="3213"/>
      <c r="V510" s="3369"/>
    </row>
    <row r="511" spans="7:22">
      <c r="G511" s="3213"/>
      <c r="P511" s="3213"/>
      <c r="R511" s="3213"/>
      <c r="V511" s="3369"/>
    </row>
    <row r="512" spans="7:22">
      <c r="G512" s="3213"/>
      <c r="P512" s="3213"/>
      <c r="R512" s="3213"/>
      <c r="V512" s="3369"/>
    </row>
    <row r="513" spans="7:22">
      <c r="G513" s="3213"/>
      <c r="P513" s="3213"/>
      <c r="R513" s="3213"/>
      <c r="V513" s="3369"/>
    </row>
    <row r="514" spans="7:22">
      <c r="G514" s="3213"/>
      <c r="P514" s="3213"/>
      <c r="R514" s="3213"/>
      <c r="V514" s="3369"/>
    </row>
    <row r="515" spans="7:22">
      <c r="G515" s="3213"/>
      <c r="P515" s="3213"/>
      <c r="R515" s="3213"/>
      <c r="V515" s="3369"/>
    </row>
    <row r="516" spans="7:22">
      <c r="G516" s="3213"/>
      <c r="P516" s="3213"/>
      <c r="R516" s="3213"/>
      <c r="V516" s="3369"/>
    </row>
    <row r="517" spans="7:22">
      <c r="G517" s="3213"/>
      <c r="P517" s="3213"/>
      <c r="R517" s="3213"/>
      <c r="V517" s="3369"/>
    </row>
    <row r="518" spans="7:22">
      <c r="G518" s="3213"/>
      <c r="P518" s="3213"/>
      <c r="R518" s="3213"/>
      <c r="V518" s="3369"/>
    </row>
    <row r="519" spans="7:22">
      <c r="G519" s="3213"/>
      <c r="P519" s="3213"/>
      <c r="R519" s="3213"/>
      <c r="V519" s="3369"/>
    </row>
    <row r="520" spans="7:22">
      <c r="G520" s="3213"/>
      <c r="P520" s="3213"/>
      <c r="R520" s="3213"/>
      <c r="V520" s="3369"/>
    </row>
    <row r="521" spans="7:22">
      <c r="G521" s="3213"/>
      <c r="P521" s="3213"/>
      <c r="R521" s="3213"/>
      <c r="V521" s="3369"/>
    </row>
    <row r="522" spans="7:22">
      <c r="G522" s="3213"/>
      <c r="P522" s="3213"/>
      <c r="R522" s="3213"/>
      <c r="V522" s="3369"/>
    </row>
    <row r="523" spans="7:22">
      <c r="G523" s="3213"/>
      <c r="P523" s="3213"/>
      <c r="R523" s="3213"/>
      <c r="V523" s="3369"/>
    </row>
    <row r="524" spans="7:22">
      <c r="G524" s="3213"/>
      <c r="P524" s="3213"/>
      <c r="R524" s="3213"/>
      <c r="V524" s="3369"/>
    </row>
    <row r="525" spans="7:22">
      <c r="G525" s="3213"/>
      <c r="P525" s="3213"/>
      <c r="R525" s="3213"/>
      <c r="V525" s="3369"/>
    </row>
    <row r="526" spans="7:22">
      <c r="G526" s="3213"/>
      <c r="P526" s="3213"/>
      <c r="R526" s="3213"/>
      <c r="V526" s="3369"/>
    </row>
    <row r="527" spans="7:22">
      <c r="G527" s="3213"/>
      <c r="P527" s="3213"/>
      <c r="R527" s="3213"/>
      <c r="V527" s="3369"/>
    </row>
    <row r="528" spans="7:22">
      <c r="G528" s="3213"/>
      <c r="P528" s="3213"/>
      <c r="R528" s="3213"/>
      <c r="V528" s="3369"/>
    </row>
    <row r="529" spans="7:22">
      <c r="G529" s="3213"/>
      <c r="P529" s="3213"/>
      <c r="R529" s="3213"/>
      <c r="V529" s="3369"/>
    </row>
    <row r="530" spans="7:22">
      <c r="G530" s="3213"/>
      <c r="P530" s="3213"/>
      <c r="R530" s="3213"/>
      <c r="V530" s="3369"/>
    </row>
    <row r="531" spans="7:22">
      <c r="G531" s="3213"/>
      <c r="P531" s="3213"/>
      <c r="R531" s="3213"/>
      <c r="V531" s="3369"/>
    </row>
    <row r="532" spans="7:22">
      <c r="G532" s="3213"/>
      <c r="P532" s="3213"/>
      <c r="R532" s="3213"/>
      <c r="V532" s="3369"/>
    </row>
    <row r="533" spans="7:22">
      <c r="G533" s="3213"/>
      <c r="P533" s="3213"/>
      <c r="R533" s="3213"/>
      <c r="V533" s="3369"/>
    </row>
    <row r="534" spans="7:22">
      <c r="G534" s="3213"/>
      <c r="P534" s="3213"/>
      <c r="R534" s="3213"/>
      <c r="V534" s="3369"/>
    </row>
    <row r="535" spans="7:22">
      <c r="G535" s="3213"/>
      <c r="P535" s="3213"/>
      <c r="R535" s="3213"/>
      <c r="V535" s="3369"/>
    </row>
    <row r="536" spans="7:22">
      <c r="G536" s="3213"/>
      <c r="P536" s="3213"/>
      <c r="R536" s="3213"/>
      <c r="V536" s="3369"/>
    </row>
    <row r="537" spans="7:22">
      <c r="G537" s="3213"/>
      <c r="P537" s="3213"/>
      <c r="R537" s="3213"/>
      <c r="V537" s="3369"/>
    </row>
    <row r="538" spans="7:22">
      <c r="G538" s="3213"/>
      <c r="P538" s="3213"/>
      <c r="R538" s="3213"/>
      <c r="V538" s="3369"/>
    </row>
    <row r="539" spans="7:22">
      <c r="G539" s="3213"/>
      <c r="P539" s="3213"/>
      <c r="R539" s="3213"/>
      <c r="V539" s="3369"/>
    </row>
    <row r="540" spans="7:22">
      <c r="G540" s="3213"/>
      <c r="P540" s="3213"/>
      <c r="R540" s="3213"/>
      <c r="V540" s="3369"/>
    </row>
    <row r="541" spans="7:22">
      <c r="G541" s="3213"/>
      <c r="P541" s="3213"/>
      <c r="R541" s="3213"/>
      <c r="V541" s="3369"/>
    </row>
    <row r="542" spans="7:22">
      <c r="G542" s="3213"/>
      <c r="P542" s="3213"/>
      <c r="R542" s="3213"/>
      <c r="V542" s="3369"/>
    </row>
    <row r="543" spans="7:22">
      <c r="G543" s="3213"/>
      <c r="P543" s="3213"/>
      <c r="R543" s="3213"/>
      <c r="V543" s="3369"/>
    </row>
    <row r="544" spans="7:22">
      <c r="G544" s="3213"/>
      <c r="P544" s="3213"/>
      <c r="R544" s="3213"/>
      <c r="V544" s="3369"/>
    </row>
    <row r="545" spans="7:22">
      <c r="G545" s="3213"/>
      <c r="P545" s="3213"/>
      <c r="R545" s="3213"/>
      <c r="V545" s="3369"/>
    </row>
    <row r="546" spans="7:22">
      <c r="G546" s="3213"/>
      <c r="P546" s="3213"/>
      <c r="R546" s="3213"/>
      <c r="V546" s="3369"/>
    </row>
    <row r="547" spans="7:22">
      <c r="G547" s="3213"/>
      <c r="P547" s="3213"/>
      <c r="R547" s="3213"/>
      <c r="V547" s="3369"/>
    </row>
    <row r="548" spans="7:22">
      <c r="G548" s="3213"/>
      <c r="P548" s="3213"/>
      <c r="R548" s="3213"/>
      <c r="V548" s="3369"/>
    </row>
    <row r="549" spans="7:22">
      <c r="G549" s="3213"/>
      <c r="P549" s="3213"/>
      <c r="R549" s="3213"/>
      <c r="V549" s="3369"/>
    </row>
    <row r="550" spans="7:22">
      <c r="G550" s="3213"/>
      <c r="P550" s="3213"/>
      <c r="R550" s="3213"/>
      <c r="V550" s="3369"/>
    </row>
    <row r="551" spans="7:22">
      <c r="G551" s="3213"/>
      <c r="P551" s="3213"/>
      <c r="R551" s="3213"/>
      <c r="V551" s="3369"/>
    </row>
    <row r="552" spans="7:22">
      <c r="G552" s="3213"/>
      <c r="P552" s="3213"/>
      <c r="R552" s="3213"/>
      <c r="V552" s="3369"/>
    </row>
    <row r="553" spans="7:22">
      <c r="G553" s="3213"/>
      <c r="P553" s="3213"/>
      <c r="R553" s="3213"/>
      <c r="V553" s="3369"/>
    </row>
    <row r="554" spans="7:22">
      <c r="G554" s="3213"/>
      <c r="P554" s="3213"/>
      <c r="R554" s="3213"/>
      <c r="V554" s="3369"/>
    </row>
    <row r="555" spans="7:22">
      <c r="G555" s="3213"/>
      <c r="P555" s="3213"/>
      <c r="R555" s="3213"/>
      <c r="V555" s="3369"/>
    </row>
    <row r="556" spans="7:22">
      <c r="G556" s="3213"/>
      <c r="P556" s="3213"/>
      <c r="R556" s="3213"/>
      <c r="V556" s="3369"/>
    </row>
    <row r="557" spans="7:22">
      <c r="G557" s="3213"/>
      <c r="P557" s="3213"/>
      <c r="R557" s="3213"/>
      <c r="V557" s="3369"/>
    </row>
    <row r="558" spans="7:22">
      <c r="G558" s="3213"/>
      <c r="P558" s="3213"/>
      <c r="R558" s="3213"/>
      <c r="V558" s="3369"/>
    </row>
    <row r="559" spans="7:22">
      <c r="G559" s="3213"/>
      <c r="P559" s="3213"/>
      <c r="R559" s="3213"/>
      <c r="V559" s="3369"/>
    </row>
    <row r="560" spans="7:22">
      <c r="G560" s="3213"/>
      <c r="P560" s="3213"/>
      <c r="R560" s="3213"/>
      <c r="V560" s="3369"/>
    </row>
    <row r="561" spans="7:22">
      <c r="G561" s="3213"/>
      <c r="P561" s="3213"/>
      <c r="R561" s="3213"/>
      <c r="V561" s="3369"/>
    </row>
    <row r="562" spans="7:22">
      <c r="G562" s="3213"/>
      <c r="P562" s="3213"/>
      <c r="R562" s="3213"/>
      <c r="V562" s="3369"/>
    </row>
    <row r="563" spans="7:22">
      <c r="G563" s="3213"/>
      <c r="P563" s="3213"/>
      <c r="R563" s="3213"/>
      <c r="V563" s="3369"/>
    </row>
    <row r="564" spans="7:22">
      <c r="G564" s="3213"/>
      <c r="P564" s="3213"/>
      <c r="R564" s="3213"/>
      <c r="V564" s="3369"/>
    </row>
    <row r="565" spans="7:22">
      <c r="G565" s="3213"/>
      <c r="P565" s="3213"/>
      <c r="R565" s="3213"/>
      <c r="V565" s="3369"/>
    </row>
    <row r="566" spans="7:22">
      <c r="G566" s="3213"/>
      <c r="P566" s="3213"/>
      <c r="R566" s="3213"/>
      <c r="V566" s="3369"/>
    </row>
    <row r="567" spans="7:22">
      <c r="G567" s="3213"/>
      <c r="P567" s="3213"/>
      <c r="R567" s="3213"/>
      <c r="V567" s="3369"/>
    </row>
    <row r="568" spans="7:22">
      <c r="G568" s="3213"/>
      <c r="P568" s="3213"/>
      <c r="R568" s="3213"/>
      <c r="V568" s="3369"/>
    </row>
    <row r="569" spans="7:22">
      <c r="G569" s="3213"/>
      <c r="P569" s="3213"/>
      <c r="R569" s="3213"/>
      <c r="V569" s="3369"/>
    </row>
    <row r="570" spans="7:22">
      <c r="G570" s="3213"/>
      <c r="P570" s="3213"/>
      <c r="R570" s="3213"/>
      <c r="V570" s="3369"/>
    </row>
    <row r="571" spans="7:22">
      <c r="G571" s="3213"/>
      <c r="P571" s="3213"/>
      <c r="R571" s="3213"/>
      <c r="V571" s="3369"/>
    </row>
    <row r="572" spans="7:22">
      <c r="G572" s="3213"/>
      <c r="P572" s="3213"/>
      <c r="R572" s="3213"/>
      <c r="V572" s="3369"/>
    </row>
    <row r="573" spans="7:22">
      <c r="G573" s="3213"/>
      <c r="P573" s="3213"/>
      <c r="R573" s="3213"/>
      <c r="V573" s="3369"/>
    </row>
    <row r="574" spans="7:22">
      <c r="G574" s="3213"/>
      <c r="P574" s="3213"/>
      <c r="R574" s="3213"/>
      <c r="V574" s="3369"/>
    </row>
    <row r="575" spans="7:22">
      <c r="G575" s="3213"/>
      <c r="P575" s="3213"/>
      <c r="R575" s="3213"/>
      <c r="V575" s="3369"/>
    </row>
    <row r="576" spans="7:22">
      <c r="G576" s="3213"/>
      <c r="P576" s="3213"/>
      <c r="R576" s="3213"/>
      <c r="V576" s="3369"/>
    </row>
    <row r="577" spans="7:22">
      <c r="G577" s="3213"/>
      <c r="P577" s="3213"/>
      <c r="R577" s="3213"/>
      <c r="V577" s="3369"/>
    </row>
    <row r="578" spans="7:22">
      <c r="G578" s="3213"/>
      <c r="P578" s="3213"/>
      <c r="R578" s="3213"/>
      <c r="V578" s="3369"/>
    </row>
    <row r="579" spans="7:22">
      <c r="G579" s="3213"/>
      <c r="P579" s="3213"/>
      <c r="R579" s="3213"/>
      <c r="V579" s="3369"/>
    </row>
    <row r="580" spans="7:22">
      <c r="G580" s="3213"/>
      <c r="P580" s="3213"/>
      <c r="R580" s="3213"/>
      <c r="V580" s="3369"/>
    </row>
    <row r="581" spans="7:22">
      <c r="G581" s="3213"/>
      <c r="P581" s="3213"/>
      <c r="R581" s="3213"/>
      <c r="V581" s="3369"/>
    </row>
    <row r="582" spans="7:22">
      <c r="G582" s="3213"/>
      <c r="P582" s="3213"/>
      <c r="R582" s="3213"/>
      <c r="V582" s="3369"/>
    </row>
    <row r="583" spans="7:22">
      <c r="G583" s="3213"/>
      <c r="P583" s="3213"/>
      <c r="R583" s="3213"/>
      <c r="V583" s="3369"/>
    </row>
    <row r="584" spans="7:22">
      <c r="G584" s="3213"/>
      <c r="P584" s="3213"/>
      <c r="R584" s="3213"/>
      <c r="V584" s="3369"/>
    </row>
    <row r="585" spans="7:22">
      <c r="G585" s="3213"/>
      <c r="P585" s="3213"/>
      <c r="R585" s="3213"/>
      <c r="V585" s="3369"/>
    </row>
    <row r="586" spans="7:22">
      <c r="G586" s="3213"/>
      <c r="P586" s="3213"/>
      <c r="R586" s="3213"/>
      <c r="V586" s="3369"/>
    </row>
    <row r="587" spans="7:22">
      <c r="G587" s="3213"/>
      <c r="P587" s="3213"/>
      <c r="R587" s="3213"/>
      <c r="V587" s="3369"/>
    </row>
    <row r="588" spans="7:22">
      <c r="G588" s="3213"/>
      <c r="P588" s="3213"/>
      <c r="R588" s="3213"/>
      <c r="V588" s="3369"/>
    </row>
    <row r="589" spans="7:22">
      <c r="G589" s="3213"/>
      <c r="P589" s="3213"/>
      <c r="R589" s="3213"/>
      <c r="V589" s="3369"/>
    </row>
    <row r="590" spans="7:22">
      <c r="G590" s="3213"/>
      <c r="P590" s="3213"/>
      <c r="R590" s="3213"/>
      <c r="V590" s="3369"/>
    </row>
    <row r="591" spans="7:22">
      <c r="G591" s="3213"/>
      <c r="P591" s="3213"/>
      <c r="R591" s="3213"/>
      <c r="V591" s="3369"/>
    </row>
    <row r="592" spans="7:22">
      <c r="G592" s="3213"/>
      <c r="P592" s="3213"/>
      <c r="R592" s="3213"/>
      <c r="V592" s="3369"/>
    </row>
    <row r="593" spans="7:22">
      <c r="G593" s="3213"/>
      <c r="P593" s="3213"/>
      <c r="R593" s="3213"/>
      <c r="V593" s="3369"/>
    </row>
    <row r="594" spans="7:22">
      <c r="G594" s="3213"/>
      <c r="P594" s="3213"/>
      <c r="R594" s="3213"/>
      <c r="V594" s="3369"/>
    </row>
    <row r="595" spans="7:22">
      <c r="G595" s="3213"/>
      <c r="P595" s="3213"/>
      <c r="R595" s="3213"/>
      <c r="V595" s="3369"/>
    </row>
    <row r="596" spans="7:22">
      <c r="G596" s="3213"/>
      <c r="P596" s="3213"/>
      <c r="R596" s="3213"/>
      <c r="V596" s="3369"/>
    </row>
    <row r="597" spans="7:22">
      <c r="G597" s="3213"/>
      <c r="P597" s="3213"/>
      <c r="R597" s="3213"/>
      <c r="V597" s="3369"/>
    </row>
    <row r="598" spans="7:22">
      <c r="G598" s="3213"/>
      <c r="P598" s="3213"/>
      <c r="R598" s="3213"/>
      <c r="V598" s="3369"/>
    </row>
    <row r="599" spans="7:22">
      <c r="G599" s="3213"/>
      <c r="P599" s="3213"/>
      <c r="R599" s="3213"/>
      <c r="V599" s="3369"/>
    </row>
    <row r="600" spans="7:22">
      <c r="G600" s="3213"/>
      <c r="P600" s="3213"/>
      <c r="R600" s="3213"/>
      <c r="V600" s="3369"/>
    </row>
    <row r="601" spans="7:22">
      <c r="G601" s="3213"/>
      <c r="P601" s="3213"/>
      <c r="R601" s="3213"/>
      <c r="V601" s="3369"/>
    </row>
    <row r="602" spans="7:22">
      <c r="G602" s="3213"/>
      <c r="P602" s="3213"/>
      <c r="R602" s="3213"/>
      <c r="V602" s="3369"/>
    </row>
    <row r="603" spans="7:22">
      <c r="G603" s="3213"/>
      <c r="P603" s="3213"/>
      <c r="R603" s="3213"/>
      <c r="V603" s="3369"/>
    </row>
    <row r="604" spans="7:22">
      <c r="G604" s="3213"/>
      <c r="P604" s="3213"/>
      <c r="R604" s="3213"/>
      <c r="V604" s="3369"/>
    </row>
    <row r="605" spans="7:22">
      <c r="G605" s="3213"/>
      <c r="P605" s="3213"/>
      <c r="R605" s="3213"/>
      <c r="V605" s="3369"/>
    </row>
    <row r="606" spans="7:22">
      <c r="G606" s="3213"/>
      <c r="P606" s="3213"/>
      <c r="R606" s="3213"/>
      <c r="V606" s="3369"/>
    </row>
    <row r="607" spans="7:22">
      <c r="G607" s="3213"/>
      <c r="P607" s="3213"/>
      <c r="R607" s="3213"/>
      <c r="V607" s="3369"/>
    </row>
    <row r="608" spans="7:22">
      <c r="G608" s="3213"/>
      <c r="P608" s="3213"/>
      <c r="R608" s="3213"/>
      <c r="V608" s="3369"/>
    </row>
    <row r="609" spans="7:22">
      <c r="G609" s="3213"/>
      <c r="P609" s="3213"/>
      <c r="R609" s="3213"/>
      <c r="V609" s="3369"/>
    </row>
    <row r="610" spans="7:22">
      <c r="G610" s="3213"/>
      <c r="P610" s="3213"/>
      <c r="R610" s="3213"/>
      <c r="V610" s="3369"/>
    </row>
    <row r="611" spans="7:22">
      <c r="G611" s="3213"/>
      <c r="P611" s="3213"/>
      <c r="R611" s="3213"/>
      <c r="V611" s="3369"/>
    </row>
    <row r="612" spans="7:22">
      <c r="G612" s="3213"/>
      <c r="P612" s="3213"/>
      <c r="R612" s="3213"/>
      <c r="V612" s="3369"/>
    </row>
    <row r="613" spans="7:22">
      <c r="G613" s="3213"/>
      <c r="P613" s="3213"/>
      <c r="R613" s="3213"/>
      <c r="V613" s="3369"/>
    </row>
    <row r="614" spans="7:22">
      <c r="G614" s="3213"/>
      <c r="P614" s="3213"/>
      <c r="R614" s="3213"/>
      <c r="V614" s="3369"/>
    </row>
    <row r="615" spans="7:22">
      <c r="G615" s="3213"/>
      <c r="P615" s="3213"/>
      <c r="R615" s="3213"/>
      <c r="V615" s="3369"/>
    </row>
    <row r="616" spans="7:22">
      <c r="G616" s="3213"/>
      <c r="P616" s="3213"/>
      <c r="R616" s="3213"/>
      <c r="V616" s="3369"/>
    </row>
    <row r="617" spans="7:22">
      <c r="G617" s="3213"/>
      <c r="P617" s="3213"/>
      <c r="R617" s="3213"/>
      <c r="V617" s="3369"/>
    </row>
    <row r="618" spans="7:22">
      <c r="G618" s="3213"/>
      <c r="P618" s="3213"/>
      <c r="R618" s="3213"/>
      <c r="V618" s="3369"/>
    </row>
    <row r="619" spans="7:22">
      <c r="G619" s="3213"/>
      <c r="P619" s="3213"/>
      <c r="R619" s="3213"/>
      <c r="V619" s="3369"/>
    </row>
    <row r="620" spans="7:22">
      <c r="G620" s="3213"/>
      <c r="P620" s="3213"/>
      <c r="R620" s="3213"/>
      <c r="V620" s="3369"/>
    </row>
    <row r="621" spans="7:22">
      <c r="G621" s="3213"/>
      <c r="P621" s="3213"/>
      <c r="R621" s="3213"/>
      <c r="V621" s="3369"/>
    </row>
    <row r="622" spans="7:22">
      <c r="G622" s="3213"/>
      <c r="P622" s="3213"/>
      <c r="R622" s="3213"/>
      <c r="V622" s="3369"/>
    </row>
    <row r="623" spans="7:22">
      <c r="G623" s="3213"/>
      <c r="P623" s="3213"/>
      <c r="R623" s="3213"/>
      <c r="V623" s="3369"/>
    </row>
    <row r="624" spans="7:22">
      <c r="G624" s="3213"/>
      <c r="P624" s="3213"/>
      <c r="R624" s="3213"/>
      <c r="V624" s="3369"/>
    </row>
    <row r="625" spans="7:22">
      <c r="G625" s="3213"/>
      <c r="P625" s="3213"/>
      <c r="R625" s="3213"/>
      <c r="V625" s="3369"/>
    </row>
    <row r="626" spans="7:22">
      <c r="G626" s="3213"/>
      <c r="P626" s="3213"/>
      <c r="R626" s="3213"/>
      <c r="V626" s="3369"/>
    </row>
    <row r="627" spans="7:22">
      <c r="G627" s="3213"/>
      <c r="P627" s="3213"/>
      <c r="R627" s="3213"/>
      <c r="V627" s="3369"/>
    </row>
    <row r="628" spans="7:22">
      <c r="G628" s="3213"/>
      <c r="P628" s="3213"/>
      <c r="R628" s="3213"/>
      <c r="V628" s="3369"/>
    </row>
    <row r="629" spans="7:22">
      <c r="G629" s="3213"/>
      <c r="P629" s="3213"/>
      <c r="R629" s="3213"/>
      <c r="V629" s="3369"/>
    </row>
    <row r="630" spans="7:22">
      <c r="G630" s="3213"/>
      <c r="P630" s="3213"/>
      <c r="R630" s="3213"/>
      <c r="V630" s="3369"/>
    </row>
    <row r="631" spans="7:22">
      <c r="G631" s="3213"/>
      <c r="P631" s="3213"/>
      <c r="R631" s="3213"/>
      <c r="V631" s="3369"/>
    </row>
    <row r="632" spans="7:22">
      <c r="G632" s="3213"/>
      <c r="P632" s="3213"/>
      <c r="R632" s="3213"/>
      <c r="V632" s="3369"/>
    </row>
    <row r="633" spans="7:22">
      <c r="G633" s="3213"/>
      <c r="P633" s="3213"/>
      <c r="R633" s="3213"/>
      <c r="V633" s="3369"/>
    </row>
    <row r="634" spans="7:22">
      <c r="G634" s="3213"/>
      <c r="P634" s="3213"/>
      <c r="R634" s="3213"/>
      <c r="V634" s="3369"/>
    </row>
    <row r="635" spans="7:22">
      <c r="G635" s="3213"/>
      <c r="P635" s="3213"/>
      <c r="R635" s="3213"/>
      <c r="V635" s="3369"/>
    </row>
    <row r="636" spans="7:22">
      <c r="G636" s="3213"/>
      <c r="P636" s="3213"/>
      <c r="R636" s="3213"/>
      <c r="V636" s="3369"/>
    </row>
    <row r="637" spans="7:22">
      <c r="G637" s="3213"/>
      <c r="P637" s="3213"/>
      <c r="R637" s="3213"/>
      <c r="V637" s="3369"/>
    </row>
    <row r="638" spans="7:22">
      <c r="G638" s="3213"/>
      <c r="P638" s="3213"/>
      <c r="R638" s="3213"/>
      <c r="V638" s="3369"/>
    </row>
    <row r="639" spans="7:22">
      <c r="G639" s="3213"/>
      <c r="P639" s="3213"/>
      <c r="R639" s="3213"/>
      <c r="V639" s="3369"/>
    </row>
    <row r="640" spans="7:22">
      <c r="G640" s="3213"/>
      <c r="P640" s="3213"/>
      <c r="R640" s="3213"/>
      <c r="V640" s="3369"/>
    </row>
    <row r="641" spans="7:22">
      <c r="G641" s="3213"/>
      <c r="P641" s="3213"/>
      <c r="R641" s="3213"/>
      <c r="V641" s="3369"/>
    </row>
    <row r="642" spans="7:22">
      <c r="G642" s="3213"/>
      <c r="P642" s="3213"/>
      <c r="R642" s="3213"/>
      <c r="V642" s="3369"/>
    </row>
    <row r="643" spans="7:22">
      <c r="G643" s="3213"/>
      <c r="P643" s="3213"/>
      <c r="R643" s="3213"/>
      <c r="V643" s="3369"/>
    </row>
    <row r="644" spans="7:22">
      <c r="G644" s="3213"/>
      <c r="P644" s="3213"/>
      <c r="R644" s="3213"/>
      <c r="V644" s="3369"/>
    </row>
    <row r="645" spans="7:22">
      <c r="G645" s="3213"/>
      <c r="P645" s="3213"/>
      <c r="R645" s="3213"/>
      <c r="V645" s="3369"/>
    </row>
    <row r="646" spans="7:22">
      <c r="G646" s="3213"/>
      <c r="P646" s="3213"/>
      <c r="R646" s="3213"/>
      <c r="V646" s="3369"/>
    </row>
    <row r="647" spans="7:22">
      <c r="G647" s="3213"/>
      <c r="P647" s="3213"/>
      <c r="R647" s="3213"/>
      <c r="V647" s="3369"/>
    </row>
    <row r="648" spans="7:22">
      <c r="G648" s="3213"/>
      <c r="P648" s="3213"/>
      <c r="R648" s="3213"/>
      <c r="V648" s="3369"/>
    </row>
    <row r="649" spans="7:22">
      <c r="G649" s="3213"/>
      <c r="P649" s="3213"/>
      <c r="R649" s="3213"/>
      <c r="V649" s="3369"/>
    </row>
    <row r="650" spans="7:22">
      <c r="G650" s="3213"/>
      <c r="P650" s="3213"/>
      <c r="R650" s="3213"/>
      <c r="V650" s="3369"/>
    </row>
    <row r="651" spans="7:22">
      <c r="G651" s="3213"/>
      <c r="P651" s="3213"/>
      <c r="R651" s="3213"/>
      <c r="V651" s="3369"/>
    </row>
    <row r="652" spans="7:22">
      <c r="G652" s="3213"/>
      <c r="P652" s="3213"/>
      <c r="R652" s="3213"/>
      <c r="V652" s="3369"/>
    </row>
    <row r="653" spans="7:22">
      <c r="G653" s="3213"/>
      <c r="P653" s="3213"/>
      <c r="R653" s="3213"/>
      <c r="V653" s="3369"/>
    </row>
    <row r="654" spans="7:22">
      <c r="G654" s="3213"/>
      <c r="P654" s="3213"/>
      <c r="R654" s="3213"/>
      <c r="V654" s="3369"/>
    </row>
    <row r="655" spans="7:22">
      <c r="G655" s="3213"/>
      <c r="P655" s="3213"/>
      <c r="R655" s="3213"/>
      <c r="V655" s="3369"/>
    </row>
    <row r="656" spans="7:22">
      <c r="G656" s="3213"/>
      <c r="P656" s="3213"/>
      <c r="R656" s="3213"/>
      <c r="V656" s="3369"/>
    </row>
    <row r="657" spans="7:22">
      <c r="G657" s="3213"/>
      <c r="P657" s="3213"/>
      <c r="R657" s="3213"/>
      <c r="V657" s="3369"/>
    </row>
    <row r="658" spans="7:22">
      <c r="G658" s="3213"/>
      <c r="P658" s="3213"/>
      <c r="R658" s="3213"/>
      <c r="V658" s="3369"/>
    </row>
    <row r="659" spans="7:22">
      <c r="G659" s="3213"/>
      <c r="P659" s="3213"/>
      <c r="R659" s="3213"/>
      <c r="V659" s="3369"/>
    </row>
    <row r="660" spans="7:22">
      <c r="G660" s="3213"/>
      <c r="P660" s="3213"/>
      <c r="R660" s="3213"/>
      <c r="V660" s="3369"/>
    </row>
    <row r="661" spans="7:22">
      <c r="G661" s="3213"/>
      <c r="P661" s="3213"/>
      <c r="R661" s="3213"/>
      <c r="V661" s="3369"/>
    </row>
    <row r="662" spans="7:22">
      <c r="G662" s="3213"/>
      <c r="P662" s="3213"/>
      <c r="R662" s="3213"/>
      <c r="V662" s="3369"/>
    </row>
    <row r="663" spans="7:22">
      <c r="G663" s="3213"/>
      <c r="P663" s="3213"/>
      <c r="R663" s="3213"/>
      <c r="V663" s="3369"/>
    </row>
    <row r="664" spans="7:22">
      <c r="G664" s="3213"/>
      <c r="P664" s="3213"/>
      <c r="R664" s="3213"/>
      <c r="V664" s="3369"/>
    </row>
    <row r="665" spans="7:22">
      <c r="G665" s="3213"/>
      <c r="P665" s="3213"/>
      <c r="R665" s="3213"/>
      <c r="V665" s="3369"/>
    </row>
    <row r="666" spans="7:22">
      <c r="G666" s="3213"/>
      <c r="P666" s="3213"/>
      <c r="R666" s="3213"/>
      <c r="V666" s="3369"/>
    </row>
    <row r="667" spans="7:22">
      <c r="G667" s="3213"/>
      <c r="P667" s="3213"/>
      <c r="R667" s="3213"/>
      <c r="V667" s="3369"/>
    </row>
    <row r="668" spans="7:22">
      <c r="G668" s="3213"/>
      <c r="P668" s="3213"/>
      <c r="R668" s="3213"/>
      <c r="V668" s="3369"/>
    </row>
    <row r="669" spans="7:22">
      <c r="G669" s="3213"/>
      <c r="P669" s="3213"/>
      <c r="R669" s="3213"/>
      <c r="V669" s="3369"/>
    </row>
    <row r="670" spans="7:22">
      <c r="G670" s="3213"/>
      <c r="P670" s="3213"/>
      <c r="R670" s="3213"/>
      <c r="V670" s="3369"/>
    </row>
    <row r="671" spans="7:22">
      <c r="G671" s="3213"/>
      <c r="P671" s="3213"/>
      <c r="R671" s="3213"/>
      <c r="V671" s="3369"/>
    </row>
    <row r="672" spans="7:22">
      <c r="G672" s="3213"/>
      <c r="P672" s="3213"/>
      <c r="R672" s="3213"/>
      <c r="V672" s="3369"/>
    </row>
    <row r="673" spans="7:22">
      <c r="G673" s="3213"/>
      <c r="P673" s="3213"/>
      <c r="R673" s="3213"/>
      <c r="V673" s="3369"/>
    </row>
    <row r="674" spans="7:22">
      <c r="G674" s="3213"/>
      <c r="P674" s="3213"/>
      <c r="R674" s="3213"/>
      <c r="V674" s="3369"/>
    </row>
    <row r="675" spans="7:22">
      <c r="G675" s="3213"/>
      <c r="P675" s="3213"/>
      <c r="R675" s="3213"/>
      <c r="V675" s="3369"/>
    </row>
    <row r="676" spans="7:22">
      <c r="G676" s="3213"/>
      <c r="P676" s="3213"/>
      <c r="R676" s="3213"/>
      <c r="V676" s="3369"/>
    </row>
    <row r="677" spans="7:22">
      <c r="G677" s="3213"/>
      <c r="P677" s="3213"/>
      <c r="R677" s="3213"/>
      <c r="V677" s="3369"/>
    </row>
    <row r="678" spans="7:22">
      <c r="G678" s="3213"/>
      <c r="P678" s="3213"/>
      <c r="R678" s="3213"/>
      <c r="V678" s="3369"/>
    </row>
    <row r="679" spans="7:22">
      <c r="G679" s="3213"/>
      <c r="P679" s="3213"/>
      <c r="R679" s="3213"/>
      <c r="V679" s="3369"/>
    </row>
    <row r="680" spans="7:22">
      <c r="G680" s="3213"/>
      <c r="P680" s="3213"/>
      <c r="R680" s="3213"/>
      <c r="V680" s="3369"/>
    </row>
    <row r="681" spans="7:22">
      <c r="G681" s="3213"/>
      <c r="P681" s="3213"/>
      <c r="R681" s="3213"/>
      <c r="V681" s="3369"/>
    </row>
    <row r="682" spans="7:22">
      <c r="G682" s="3213"/>
      <c r="P682" s="3213"/>
      <c r="R682" s="3213"/>
      <c r="V682" s="3369"/>
    </row>
    <row r="683" spans="7:22">
      <c r="G683" s="3213"/>
      <c r="P683" s="3213"/>
      <c r="R683" s="3213"/>
      <c r="V683" s="3369"/>
    </row>
    <row r="684" spans="7:22">
      <c r="G684" s="3213"/>
      <c r="P684" s="3213"/>
      <c r="R684" s="3213"/>
      <c r="V684" s="3369"/>
    </row>
    <row r="685" spans="7:22">
      <c r="G685" s="3213"/>
      <c r="P685" s="3213"/>
      <c r="R685" s="3213"/>
      <c r="V685" s="3369"/>
    </row>
    <row r="686" spans="7:22">
      <c r="G686" s="3213"/>
      <c r="P686" s="3213"/>
      <c r="R686" s="3213"/>
      <c r="V686" s="3369"/>
    </row>
    <row r="687" spans="7:22">
      <c r="G687" s="3213"/>
      <c r="P687" s="3213"/>
      <c r="R687" s="3213"/>
      <c r="V687" s="3369"/>
    </row>
    <row r="688" spans="7:22">
      <c r="G688" s="3213"/>
      <c r="P688" s="3213"/>
      <c r="R688" s="3213"/>
      <c r="V688" s="3369"/>
    </row>
    <row r="689" spans="7:22">
      <c r="G689" s="3213"/>
      <c r="P689" s="3213"/>
      <c r="R689" s="3213"/>
      <c r="V689" s="3369"/>
    </row>
    <row r="690" spans="7:22">
      <c r="G690" s="3213"/>
      <c r="P690" s="3213"/>
      <c r="R690" s="3213"/>
      <c r="V690" s="3369"/>
    </row>
    <row r="691" spans="7:22">
      <c r="G691" s="3213"/>
      <c r="P691" s="3213"/>
      <c r="R691" s="3213"/>
      <c r="V691" s="3369"/>
    </row>
    <row r="692" spans="7:22">
      <c r="G692" s="3213"/>
      <c r="P692" s="3213"/>
      <c r="R692" s="3213"/>
      <c r="V692" s="3369"/>
    </row>
    <row r="693" spans="7:22">
      <c r="G693" s="3213"/>
      <c r="P693" s="3213"/>
      <c r="R693" s="3213"/>
      <c r="V693" s="3369"/>
    </row>
    <row r="694" spans="7:22">
      <c r="G694" s="3213"/>
      <c r="P694" s="3213"/>
      <c r="R694" s="3213"/>
      <c r="V694" s="3369"/>
    </row>
    <row r="695" spans="7:22">
      <c r="G695" s="3213"/>
      <c r="P695" s="3213"/>
      <c r="R695" s="3213"/>
      <c r="V695" s="3369"/>
    </row>
    <row r="696" spans="7:22">
      <c r="G696" s="3213"/>
      <c r="P696" s="3213"/>
      <c r="R696" s="3213"/>
      <c r="V696" s="3369"/>
    </row>
    <row r="697" spans="7:22">
      <c r="G697" s="3213"/>
      <c r="P697" s="3213"/>
      <c r="R697" s="3213"/>
      <c r="V697" s="3369"/>
    </row>
    <row r="698" spans="7:22">
      <c r="G698" s="3213"/>
      <c r="P698" s="3213"/>
      <c r="R698" s="3213"/>
      <c r="V698" s="3369"/>
    </row>
    <row r="699" spans="7:22">
      <c r="G699" s="3213"/>
      <c r="P699" s="3213"/>
      <c r="R699" s="3213"/>
      <c r="V699" s="3369"/>
    </row>
    <row r="700" spans="7:22">
      <c r="G700" s="3213"/>
      <c r="P700" s="3213"/>
      <c r="R700" s="3213"/>
      <c r="V700" s="3369"/>
    </row>
    <row r="701" spans="7:22">
      <c r="G701" s="3213"/>
      <c r="P701" s="3213"/>
      <c r="R701" s="3213"/>
      <c r="V701" s="3369"/>
    </row>
    <row r="702" spans="7:22">
      <c r="G702" s="3213"/>
      <c r="P702" s="3213"/>
      <c r="R702" s="3213"/>
      <c r="V702" s="3369"/>
    </row>
    <row r="703" spans="7:22">
      <c r="G703" s="3213"/>
      <c r="P703" s="3213"/>
      <c r="R703" s="3213"/>
      <c r="V703" s="3369"/>
    </row>
    <row r="704" spans="7:22">
      <c r="G704" s="3213"/>
      <c r="P704" s="3213"/>
      <c r="R704" s="3213"/>
      <c r="V704" s="3369"/>
    </row>
    <row r="705" spans="7:22">
      <c r="G705" s="3213"/>
      <c r="P705" s="3213"/>
      <c r="R705" s="3213"/>
      <c r="V705" s="3369"/>
    </row>
    <row r="706" spans="7:22">
      <c r="G706" s="3213"/>
      <c r="P706" s="3213"/>
      <c r="R706" s="3213"/>
      <c r="V706" s="3369"/>
    </row>
    <row r="707" spans="7:22">
      <c r="G707" s="3213"/>
      <c r="P707" s="3213"/>
      <c r="R707" s="3213"/>
      <c r="V707" s="3369"/>
    </row>
  </sheetData>
  <sortState xmlns:xlrd2="http://schemas.microsoft.com/office/spreadsheetml/2017/richdata2" ref="A2:AE707">
    <sortCondition ref="D2:D707"/>
  </sortState>
  <phoneticPr fontId="136" type="noConversion"/>
  <conditionalFormatting sqref="A2:XFD17">
    <cfRule type="expression" dxfId="0" priority="1">
      <formula>MOD(ROW(),2)=0</formula>
    </cfRule>
  </conditionalFormatting>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3"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2" customWidth="1"/>
    <col min="2" max="16384" width="14.5" style="1405"/>
  </cols>
  <sheetData>
    <row r="1" spans="1:7" s="1419" customFormat="1" ht="18.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3.5">
      <c r="A15" s="3419" t="s">
        <v>956</v>
      </c>
      <c r="B15" s="3414" t="s">
        <v>109</v>
      </c>
      <c r="C15" s="3415"/>
    </row>
    <row r="16" spans="1:7" ht="13.5">
      <c r="A16" s="3420"/>
      <c r="B16" s="3414" t="s">
        <v>42</v>
      </c>
      <c r="C16" s="3415"/>
    </row>
    <row r="17" spans="1:3" ht="13.5">
      <c r="A17" s="3420"/>
      <c r="B17" s="3417" t="s">
        <v>957</v>
      </c>
      <c r="C17" s="1429" t="s">
        <v>956</v>
      </c>
    </row>
    <row r="18" spans="1:3" ht="13.5">
      <c r="A18" s="3420"/>
      <c r="B18" s="3417"/>
      <c r="C18" s="1429" t="s">
        <v>958</v>
      </c>
    </row>
    <row r="19" spans="1:3" ht="13.5">
      <c r="A19" s="3420"/>
      <c r="B19" s="3417"/>
      <c r="C19" s="1429" t="s">
        <v>959</v>
      </c>
    </row>
    <row r="20" spans="1:3" ht="13.5">
      <c r="A20" s="3421"/>
      <c r="B20" s="3416" t="s">
        <v>960</v>
      </c>
      <c r="C20" s="3415"/>
    </row>
    <row r="21" spans="1:3" ht="13.5">
      <c r="A21" s="1430" t="s">
        <v>961</v>
      </c>
      <c r="B21" s="1431"/>
      <c r="C21" s="1432"/>
    </row>
    <row r="22" spans="1:3" ht="13.5">
      <c r="A22" s="3418" t="s">
        <v>962</v>
      </c>
      <c r="B22" s="3416" t="s">
        <v>963</v>
      </c>
      <c r="C22" s="3415"/>
    </row>
    <row r="23" spans="1:3" ht="13.5">
      <c r="A23" s="3418"/>
      <c r="B23" s="3416" t="s">
        <v>964</v>
      </c>
      <c r="C23" s="3415"/>
    </row>
    <row r="24" spans="1:3" ht="13.5">
      <c r="A24" s="3418"/>
      <c r="B24" s="3416" t="s">
        <v>965</v>
      </c>
      <c r="C24" s="3415"/>
    </row>
    <row r="25" spans="1:3" ht="13.5">
      <c r="A25" s="3418"/>
      <c r="B25" s="3417" t="s">
        <v>966</v>
      </c>
      <c r="C25" s="1429" t="s">
        <v>967</v>
      </c>
    </row>
    <row r="26" spans="1:3" ht="13.5">
      <c r="A26" s="3418"/>
      <c r="B26" s="3417"/>
      <c r="C26" s="1429" t="s">
        <v>968</v>
      </c>
    </row>
    <row r="27" spans="1:3" ht="13.5">
      <c r="A27" s="3418"/>
      <c r="B27" s="3417"/>
      <c r="C27" s="1429" t="s">
        <v>969</v>
      </c>
    </row>
    <row r="28" spans="1:3" ht="13.5">
      <c r="A28" s="3418"/>
      <c r="B28" s="3417"/>
      <c r="C28" s="1429" t="s">
        <v>970</v>
      </c>
    </row>
    <row r="29" spans="1:3" ht="13.5">
      <c r="A29" s="3418"/>
      <c r="B29" s="3417"/>
      <c r="C29" s="1429" t="s">
        <v>971</v>
      </c>
    </row>
    <row r="30" spans="1:3" ht="13.5">
      <c r="A30" s="3418"/>
      <c r="B30" s="3417"/>
      <c r="C30" s="1429" t="s">
        <v>972</v>
      </c>
    </row>
    <row r="31" spans="1:3" ht="13.5">
      <c r="A31" s="3418"/>
      <c r="B31" s="3417"/>
      <c r="C31" s="1429" t="s">
        <v>973</v>
      </c>
    </row>
    <row r="32" spans="1:3" ht="13.5">
      <c r="A32" s="3418"/>
      <c r="B32" s="3417"/>
      <c r="C32" s="1429" t="s">
        <v>974</v>
      </c>
    </row>
    <row r="33" spans="1:3" ht="13.5">
      <c r="A33" s="3418"/>
      <c r="B33" s="3417"/>
      <c r="C33" s="1429" t="s">
        <v>975</v>
      </c>
    </row>
    <row r="34" spans="1:3">
      <c r="A34" s="1433" t="s">
        <v>49</v>
      </c>
    </row>
    <row r="37" spans="1:3">
      <c r="A37" s="1433" t="s">
        <v>976</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5" customWidth="1"/>
    <col min="2" max="2" width="38.625" style="2155" customWidth="1"/>
    <col min="3" max="3" width="26" style="2155" customWidth="1"/>
    <col min="4" max="4" width="35" style="2155" hidden="1" customWidth="1"/>
    <col min="5" max="5" width="30.125" style="2155" customWidth="1"/>
    <col min="6" max="6" width="35.5" style="2155" customWidth="1"/>
    <col min="7" max="7" width="31" style="2155" customWidth="1"/>
    <col min="8" max="8" width="37.5" style="2155" hidden="1" customWidth="1"/>
    <col min="9" max="16384" width="22.625" style="2155"/>
  </cols>
  <sheetData>
    <row r="1" spans="1:8" ht="24" customHeight="1">
      <c r="A1" s="2154"/>
      <c r="B1" s="2154"/>
      <c r="C1" s="2154"/>
      <c r="D1" s="2154"/>
      <c r="E1" s="2154"/>
      <c r="F1" s="2154"/>
      <c r="G1" s="2154"/>
      <c r="H1" s="2154"/>
    </row>
    <row r="2" spans="1:8" ht="24" customHeight="1">
      <c r="A2" s="2156" t="s">
        <v>2137</v>
      </c>
      <c r="B2" s="2157">
        <f ca="1">TODAY()</f>
        <v>46013</v>
      </c>
      <c r="C2" s="2158" t="s">
        <v>2138</v>
      </c>
      <c r="D2" s="2158"/>
      <c r="E2" s="2158"/>
      <c r="F2" s="2154"/>
      <c r="G2" s="2154"/>
      <c r="H2" s="2154"/>
    </row>
    <row r="3" spans="1:8" ht="24" customHeight="1">
      <c r="A3" s="2159" t="s">
        <v>2139</v>
      </c>
      <c r="B3" s="1219" t="s">
        <v>2140</v>
      </c>
      <c r="C3" s="1219" t="s">
        <v>2141</v>
      </c>
      <c r="D3" s="2160" t="s">
        <v>2142</v>
      </c>
      <c r="E3" s="2161" t="s">
        <v>2143</v>
      </c>
      <c r="F3" s="1219" t="s">
        <v>2144</v>
      </c>
      <c r="G3" s="1219" t="s">
        <v>2141</v>
      </c>
      <c r="H3" s="2160" t="s">
        <v>2145</v>
      </c>
    </row>
    <row r="4" spans="1:8" ht="24" customHeight="1">
      <c r="A4" s="1219" t="s">
        <v>2146</v>
      </c>
      <c r="B4" s="1219" t="str">
        <f ca="1">IF(C4&lt;B2,"已过期",1119970066)</f>
        <v>已过期</v>
      </c>
      <c r="C4" s="2162">
        <v>45937</v>
      </c>
      <c r="D4" s="2163" t="str">
        <f ca="1">A4&amp;"（注册号："&amp;B4&amp;"）"</f>
        <v>梁津（注册号：已过期）</v>
      </c>
      <c r="E4" s="2164" t="s">
        <v>2146</v>
      </c>
      <c r="F4" s="1219">
        <f ca="1">IF(G4&lt;B2,"已过期",96010014)</f>
        <v>96010014</v>
      </c>
      <c r="G4" s="2165">
        <v>47118</v>
      </c>
      <c r="H4" s="2166" t="str">
        <f ca="1">E4&amp;"（注册号："&amp;F4&amp;"）"</f>
        <v>梁津（注册号：96010014）</v>
      </c>
    </row>
    <row r="5" spans="1:8" ht="24" customHeight="1">
      <c r="A5" s="1219" t="s">
        <v>2147</v>
      </c>
      <c r="B5" s="1219" t="str">
        <f ca="1">IF(C5&lt;B2,"已过期",1119970111)</f>
        <v>已过期</v>
      </c>
      <c r="C5" s="2162">
        <v>45937</v>
      </c>
      <c r="D5" s="2163" t="str">
        <f t="shared" ref="D5:D15" ca="1" si="0">A5&amp;"（注册号："&amp;B5&amp;"）"</f>
        <v>叶凌（注册号：已过期）</v>
      </c>
      <c r="E5" s="2164" t="s">
        <v>2147</v>
      </c>
      <c r="F5" s="1219">
        <f ca="1">IF(G5&lt;B2,"已过期",94010078)</f>
        <v>94010078</v>
      </c>
      <c r="G5" s="2165">
        <v>46387</v>
      </c>
      <c r="H5" s="2166" t="str">
        <f t="shared" ref="H5:H16" ca="1" si="1">E5&amp;"（注册号："&amp;F5&amp;"）"</f>
        <v>叶凌（注册号：94010078）</v>
      </c>
    </row>
    <row r="6" spans="1:8" ht="24" customHeight="1">
      <c r="A6" s="1219" t="s">
        <v>2148</v>
      </c>
      <c r="B6" s="1219" t="str">
        <f ca="1">IF(C6&lt;B2,"已过期",1120050019)</f>
        <v>已过期</v>
      </c>
      <c r="C6" s="2162">
        <v>45410</v>
      </c>
      <c r="D6" s="2163" t="str">
        <f t="shared" ca="1" si="0"/>
        <v>王鹏（注册号：已过期）</v>
      </c>
      <c r="E6" s="2164" t="s">
        <v>2148</v>
      </c>
      <c r="F6" s="1219">
        <f ca="1">IF(G6&lt;B2,"已过期",2002110030)</f>
        <v>2002110030</v>
      </c>
      <c r="G6" s="2165">
        <v>46387</v>
      </c>
      <c r="H6" s="2166" t="str">
        <f t="shared" ca="1" si="1"/>
        <v>王鹏（注册号：2002110030）</v>
      </c>
    </row>
    <row r="7" spans="1:8" ht="24" customHeight="1">
      <c r="A7" s="1219" t="s">
        <v>2149</v>
      </c>
      <c r="B7" s="1219" t="str">
        <f ca="1">IF(C7&lt;B2,"已过期",1120000080)</f>
        <v>已过期</v>
      </c>
      <c r="C7" s="2162">
        <v>45937</v>
      </c>
      <c r="D7" s="2163" t="str">
        <f t="shared" ca="1" si="0"/>
        <v>欧红伟（注册号：已过期）</v>
      </c>
      <c r="E7" s="2164" t="s">
        <v>2149</v>
      </c>
      <c r="F7" s="1219">
        <f ca="1">IF(G7&lt;B2,"已过期",2000110082)</f>
        <v>2000110082</v>
      </c>
      <c r="G7" s="2165">
        <v>46387</v>
      </c>
      <c r="H7" s="2166" t="str">
        <f t="shared" ca="1" si="1"/>
        <v>欧红伟（注册号：2000110082）</v>
      </c>
    </row>
    <row r="8" spans="1:8" ht="24" customHeight="1">
      <c r="A8" s="1219" t="s">
        <v>2150</v>
      </c>
      <c r="B8" s="1219" t="str">
        <f ca="1">IF(C8&lt;B2,"已过期",1419970001)</f>
        <v>已过期</v>
      </c>
      <c r="C8" s="2162">
        <v>45937</v>
      </c>
      <c r="D8" s="2163" t="str">
        <f t="shared" ca="1" si="0"/>
        <v>吴薇（注册号：已过期）</v>
      </c>
      <c r="E8" s="2164" t="s">
        <v>2150</v>
      </c>
      <c r="F8" s="1219">
        <f ca="1">IF(G8&lt;B2,"已过期",2002110125)</f>
        <v>2002110125</v>
      </c>
      <c r="G8" s="2165">
        <v>47118</v>
      </c>
      <c r="H8" s="2166" t="str">
        <f t="shared" ca="1" si="1"/>
        <v>吴薇（注册号：2002110125）</v>
      </c>
    </row>
    <row r="9" spans="1:8" ht="24" customHeight="1">
      <c r="A9" s="1219" t="s">
        <v>2151</v>
      </c>
      <c r="B9" s="1219" t="str">
        <f ca="1">IF(C9&lt;B2,"已过期",1120060040)</f>
        <v>已过期</v>
      </c>
      <c r="C9" s="2167">
        <v>45592</v>
      </c>
      <c r="D9" s="2163" t="str">
        <f t="shared" ca="1" si="0"/>
        <v>陈颖（注册号：已过期）</v>
      </c>
      <c r="E9" s="2164" t="s">
        <v>2151</v>
      </c>
      <c r="F9" s="1219">
        <f ca="1">IF(G9&lt;B2,"已过期",2004110096)</f>
        <v>2004110096</v>
      </c>
      <c r="G9" s="2165">
        <v>47118</v>
      </c>
      <c r="H9" s="2166" t="str">
        <f t="shared" ca="1" si="1"/>
        <v>陈颖（注册号：2004110096）</v>
      </c>
    </row>
    <row r="10" spans="1:8" ht="24" customHeight="1">
      <c r="A10" s="1219" t="s">
        <v>2152</v>
      </c>
      <c r="B10" s="1219" t="str">
        <f ca="1">IF(C10&lt;B2,"已过期",1120100036)</f>
        <v>已过期</v>
      </c>
      <c r="C10" s="2167">
        <v>45752</v>
      </c>
      <c r="D10" s="2163" t="str">
        <f t="shared" ca="1" si="0"/>
        <v>崔锴（注册号：已过期）</v>
      </c>
      <c r="E10" s="2164" t="s">
        <v>2152</v>
      </c>
      <c r="F10" s="1219">
        <f ca="1">IF(G10&lt;B2,"已过期",2010110070)</f>
        <v>2010110070</v>
      </c>
      <c r="G10" s="2165">
        <v>47907</v>
      </c>
      <c r="H10" s="2166" t="str">
        <f t="shared" ca="1" si="1"/>
        <v>崔锴（注册号：2010110070）</v>
      </c>
    </row>
    <row r="11" spans="1:8" ht="24" customHeight="1">
      <c r="A11" s="1219" t="s">
        <v>2153</v>
      </c>
      <c r="B11" s="1219" t="str">
        <f ca="1">IF(C11&lt;B2,"已过期",1120070131)</f>
        <v>已过期</v>
      </c>
      <c r="C11" s="2162">
        <v>45937</v>
      </c>
      <c r="D11" s="2163" t="str">
        <f t="shared" ca="1" si="0"/>
        <v>郑燚（注册号：已过期）</v>
      </c>
      <c r="E11" s="2164" t="s">
        <v>2153</v>
      </c>
      <c r="F11" s="1219">
        <f ca="1">IF(G11&lt;B2,"已过期",2014110011)</f>
        <v>2014110011</v>
      </c>
      <c r="G11" s="2165">
        <v>49302</v>
      </c>
      <c r="H11" s="2166" t="str">
        <f t="shared" ca="1" si="1"/>
        <v>郑燚（注册号：2014110011）</v>
      </c>
    </row>
    <row r="12" spans="1:8" ht="24" customHeight="1">
      <c r="A12" s="1219" t="s">
        <v>2154</v>
      </c>
      <c r="B12" s="1219" t="str">
        <f ca="1">IF(C12&lt;B2,"已过期",1120040230)</f>
        <v>已过期</v>
      </c>
      <c r="C12" s="2167">
        <v>45937</v>
      </c>
      <c r="D12" s="2163" t="str">
        <f t="shared" ca="1" si="0"/>
        <v>苏海（注册号：已过期）</v>
      </c>
      <c r="E12" s="2164" t="s">
        <v>2154</v>
      </c>
      <c r="F12" s="1219">
        <f ca="1">IF(G12&lt;B2,"已过期",98030020)</f>
        <v>98030020</v>
      </c>
      <c r="G12" s="2165">
        <v>47118</v>
      </c>
      <c r="H12" s="2166" t="str">
        <f t="shared" ca="1" si="1"/>
        <v>苏海（注册号：98030020）</v>
      </c>
    </row>
    <row r="13" spans="1:8" ht="24" customHeight="1">
      <c r="A13" s="1219" t="s">
        <v>2155</v>
      </c>
      <c r="B13" s="1219" t="str">
        <f ca="1">IF(C13&lt;B2,"已过期",1120020033)</f>
        <v>已过期</v>
      </c>
      <c r="C13" s="2162">
        <v>45375</v>
      </c>
      <c r="D13" s="2163" t="str">
        <f t="shared" ca="1" si="0"/>
        <v>刘敬东（注册号：已过期）</v>
      </c>
      <c r="E13" s="2164" t="s">
        <v>2155</v>
      </c>
      <c r="F13" s="1219">
        <f ca="1">IF(G13&lt;B2,"已过期",2000110137)</f>
        <v>2000110137</v>
      </c>
      <c r="G13" s="2165">
        <v>46387</v>
      </c>
      <c r="H13" s="2166" t="str">
        <f t="shared" ca="1" si="1"/>
        <v>刘敬东（注册号：2000110137）</v>
      </c>
    </row>
    <row r="14" spans="1:8" ht="24" customHeight="1">
      <c r="A14" s="1219" t="s">
        <v>2156</v>
      </c>
      <c r="B14" s="1219" t="str">
        <f ca="1">IF(C14&lt;B2,"已过期",1119980106)</f>
        <v>已过期</v>
      </c>
      <c r="C14" s="2167">
        <v>44969</v>
      </c>
      <c r="D14" s="2163" t="str">
        <f t="shared" ca="1" si="0"/>
        <v>刘俊财（注册号：已过期）</v>
      </c>
      <c r="E14" s="2164" t="s">
        <v>2156</v>
      </c>
      <c r="F14" s="1219">
        <f ca="1">IF(G14&lt;B2,"已过期",96010063)</f>
        <v>96010063</v>
      </c>
      <c r="G14" s="2165">
        <v>47483</v>
      </c>
      <c r="H14" s="2166" t="str">
        <f t="shared" ca="1" si="1"/>
        <v>刘俊财（注册号：96010063）</v>
      </c>
    </row>
    <row r="15" spans="1:8" ht="24" customHeight="1">
      <c r="A15" s="1219" t="s">
        <v>2435</v>
      </c>
      <c r="B15" s="1219">
        <v>1120210056</v>
      </c>
      <c r="C15" s="2167">
        <v>45410</v>
      </c>
      <c r="D15" s="2163" t="str">
        <f t="shared" si="0"/>
        <v>宁小鳗（注册号：1120210056）</v>
      </c>
      <c r="E15" s="2164" t="s">
        <v>2157</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422" t="s">
        <v>2158</v>
      </c>
      <c r="B17" s="3422"/>
      <c r="C17" s="3422"/>
      <c r="D17" s="3422"/>
      <c r="E17" s="3422"/>
      <c r="F17" s="3422"/>
      <c r="G17" s="3422"/>
      <c r="H17" s="3422"/>
    </row>
    <row r="18" spans="1:8" ht="24" customHeight="1">
      <c r="A18" s="3423" t="s">
        <v>2159</v>
      </c>
      <c r="B18" s="3423"/>
      <c r="C18" s="3423"/>
      <c r="D18" s="2160"/>
      <c r="E18" s="3424" t="s">
        <v>2160</v>
      </c>
      <c r="F18" s="3423"/>
      <c r="G18" s="3423"/>
    </row>
    <row r="19" spans="1:8" s="2170" customFormat="1" ht="24" customHeight="1">
      <c r="A19" s="2169" t="s">
        <v>2161</v>
      </c>
      <c r="B19" s="1219" t="s">
        <v>2162</v>
      </c>
      <c r="C19" s="1219" t="s">
        <v>2141</v>
      </c>
      <c r="D19" s="2160"/>
      <c r="E19" s="2164" t="s">
        <v>2161</v>
      </c>
      <c r="F19" s="1219" t="s">
        <v>2162</v>
      </c>
      <c r="G19" s="1219" t="s">
        <v>2141</v>
      </c>
    </row>
    <row r="20" spans="1:8" s="2170" customFormat="1" ht="24" customHeight="1">
      <c r="A20" s="2171" t="s">
        <v>2163</v>
      </c>
      <c r="B20" s="2171" t="s">
        <v>2164</v>
      </c>
      <c r="C20" s="2165">
        <v>45898</v>
      </c>
      <c r="D20" s="2172"/>
      <c r="E20" s="2173" t="s">
        <v>2165</v>
      </c>
      <c r="F20" s="2176" t="s">
        <v>2436</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4" type="noConversion"/>
  <conditionalFormatting sqref="A16:C16">
    <cfRule type="cellIs" dxfId="171" priority="32" stopIfTrue="1" operator="equal">
      <formula>"已过期"</formula>
    </cfRule>
  </conditionalFormatting>
  <conditionalFormatting sqref="B4:B15">
    <cfRule type="cellIs" dxfId="170" priority="4" stopIfTrue="1" operator="equal">
      <formula>"已过期"</formula>
    </cfRule>
  </conditionalFormatting>
  <conditionalFormatting sqref="C7:C12">
    <cfRule type="expression" dxfId="169" priority="22">
      <formula>AND($C7-TODAY()&lt;30,TODAY()&lt;$C7)</formula>
    </cfRule>
    <cfRule type="cellIs" dxfId="168" priority="23" stopIfTrue="1" operator="lessThan">
      <formula>$B$2</formula>
    </cfRule>
  </conditionalFormatting>
  <conditionalFormatting sqref="C14:C15">
    <cfRule type="expression" dxfId="167" priority="7">
      <formula>AND($C14-TODAY()&lt;30,TODAY()&lt;$C14)</formula>
    </cfRule>
    <cfRule type="cellIs" dxfId="166" priority="8" stopIfTrue="1" operator="lessThan">
      <formula>$B$2</formula>
    </cfRule>
  </conditionalFormatting>
  <conditionalFormatting sqref="C4:D6 D14">
    <cfRule type="cellIs" dxfId="165" priority="50" stopIfTrue="1" operator="lessThan">
      <formula>$B$2</formula>
    </cfRule>
  </conditionalFormatting>
  <conditionalFormatting sqref="C12:D13">
    <cfRule type="expression" dxfId="164" priority="47">
      <formula>AND($C12-TODAY()&lt;30,TODAY()&lt;$C12)</formula>
    </cfRule>
  </conditionalFormatting>
  <conditionalFormatting sqref="C13:D14">
    <cfRule type="expression" dxfId="163" priority="18">
      <formula>AND($C13-TODAY()&lt;30,TODAY()&lt;$C13)</formula>
    </cfRule>
    <cfRule type="cellIs" dxfId="162" priority="19" stopIfTrue="1" operator="lessThan">
      <formula>$B$2</formula>
    </cfRule>
  </conditionalFormatting>
  <conditionalFormatting sqref="C15:D15">
    <cfRule type="expression" dxfId="161" priority="5">
      <formula>AND($C15-TODAY()&lt;30,TODAY()&lt;$C15)</formula>
    </cfRule>
    <cfRule type="cellIs" dxfId="160" priority="6" stopIfTrue="1" operator="lessThan">
      <formula>$B$2</formula>
    </cfRule>
  </conditionalFormatting>
  <conditionalFormatting sqref="C20:D20 C13:D13">
    <cfRule type="cellIs" dxfId="159" priority="54" stopIfTrue="1" operator="lessThan">
      <formula>$B$2</formula>
    </cfRule>
  </conditionalFormatting>
  <conditionalFormatting sqref="C20:D20">
    <cfRule type="expression" dxfId="158" priority="52">
      <formula>AND($C20-TODAY()&lt;30,TODAY()&lt;$C20)</formula>
    </cfRule>
  </conditionalFormatting>
  <conditionalFormatting sqref="D7:D12 D16">
    <cfRule type="expression" dxfId="157" priority="53">
      <formula>AND($C7-TODAY()&lt;30,TODAY()&lt;$C7)</formula>
    </cfRule>
  </conditionalFormatting>
  <conditionalFormatting sqref="D7:D12">
    <cfRule type="cellIs" dxfId="156" priority="48" stopIfTrue="1" operator="lessThan">
      <formula>$B$2</formula>
    </cfRule>
  </conditionalFormatting>
  <conditionalFormatting sqref="D14 C4:D6">
    <cfRule type="expression" dxfId="155" priority="49">
      <formula>AND($C4-TODAY()&lt;30,TODAY()&lt;$C4)</formula>
    </cfRule>
  </conditionalFormatting>
  <conditionalFormatting sqref="D15:D16">
    <cfRule type="expression" dxfId="154" priority="12">
      <formula>AND($C15-TODAY()&lt;30,TODAY()&lt;$C15)</formula>
    </cfRule>
    <cfRule type="cellIs" dxfId="153" priority="13" stopIfTrue="1" operator="lessThan">
      <formula>$B$2</formula>
    </cfRule>
  </conditionalFormatting>
  <conditionalFormatting sqref="E16:G16">
    <cfRule type="cellIs" dxfId="152" priority="31" stopIfTrue="1" operator="equal">
      <formula>"已过期"</formula>
    </cfRule>
  </conditionalFormatting>
  <conditionalFormatting sqref="F4:F15">
    <cfRule type="cellIs" dxfId="151" priority="9" stopIfTrue="1" operator="equal">
      <formula>"已过期"</formula>
    </cfRule>
  </conditionalFormatting>
  <conditionalFormatting sqref="G4:G15">
    <cfRule type="cellIs" dxfId="150" priority="3" stopIfTrue="1" operator="lessThan">
      <formula>$B$2</formula>
    </cfRule>
  </conditionalFormatting>
  <conditionalFormatting sqref="G20:G21">
    <cfRule type="expression" dxfId="149" priority="1" stopIfTrue="1">
      <formula>AND(#REF!-TODAY()&lt;30,TODAY()&lt;#REF!)</formula>
    </cfRule>
    <cfRule type="cellIs" dxfId="148"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61</vt:i4>
      </vt:variant>
      <vt:variant>
        <vt:lpstr>命名范围</vt:lpstr>
      </vt:variant>
      <vt:variant>
        <vt:i4>159</vt:i4>
      </vt:variant>
    </vt:vector>
  </HeadingPairs>
  <TitlesOfParts>
    <vt:vector size="22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房源表</vt:lpstr>
      <vt:lpstr>成本法 (元)-地下-容积率1.7</vt:lpstr>
      <vt:lpstr>成本法 (元)-地下-容积率1.8</vt:lpstr>
      <vt:lpstr>成本法 (元)-地下-容积率2</vt:lpstr>
      <vt:lpstr>成本法 (元)-地下-容积率1</vt:lpstr>
      <vt:lpstr>标定地价</vt:lpstr>
      <vt:lpstr>修正</vt:lpstr>
      <vt:lpstr>容积率修正</vt:lpstr>
      <vt:lpstr>成本法（废）</vt:lpstr>
      <vt:lpstr>因素修正幅度</vt:lpstr>
      <vt:lpstr>区片价（范围）</vt:lpstr>
      <vt:lpstr>地价-分区</vt:lpstr>
      <vt:lpstr>地价</vt:lpstr>
      <vt:lpstr>区片价</vt:lpstr>
      <vt:lpstr>存贷款利率</vt:lpstr>
      <vt:lpstr>房源</vt:lpstr>
      <vt:lpstr>房源表及成交价</vt:lpstr>
      <vt:lpstr>房源修正表</vt:lpstr>
      <vt:lpstr>最终结果表</vt:lpstr>
      <vt:lpstr>成本法 (元)-地上</vt:lpstr>
      <vt:lpstr>造价</vt:lpstr>
      <vt:lpstr>土地成交</vt:lpstr>
      <vt:lpstr>取费依据</vt:lpstr>
      <vt:lpstr>194户型成交走势</vt:lpstr>
      <vt:lpstr>住宅设计规范</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(元)-地上'!Print_Area</vt:lpstr>
      <vt:lpstr>'成本法 (元)-地下-容积率1'!Print_Area</vt:lpstr>
      <vt:lpstr>'成本法 (元)-地下-容积率1.7'!Print_Area</vt:lpstr>
      <vt:lpstr>'成本法 (元)-地下-容积率1.8'!Print_Area</vt:lpstr>
      <vt:lpstr>'成本法 (元)-地下-容积率2'!Print_Area</vt:lpstr>
      <vt:lpstr>房源!Print_Area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最终结果表!Print_Area</vt:lpstr>
      <vt:lpstr>房源!Print_Titles</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2025-08-06T01:26:05Z</cp:lastPrinted>
  <dcterms:created xsi:type="dcterms:W3CDTF">2015-07-13T07:17:23Z</dcterms:created>
  <dcterms:modified xsi:type="dcterms:W3CDTF">2025-12-22T03:14:02Z</dcterms:modified>
</cp:coreProperties>
</file>