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1160" tabRatio="899" firstSheet="14" activeTab="2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8" r:id="rId23"/>
    <sheet name="收益法 (元)" sheetId="67" state="hidden" r:id="rId24"/>
    <sheet name="测算过程-汇总" sheetId="83" r:id="rId25"/>
    <sheet name="测算过程 -酒店" sheetId="84" r:id="rId26"/>
    <sheet name="测算过程-温泉" sheetId="85" r:id="rId27"/>
    <sheet name="收益法" sheetId="15" r:id="rId28"/>
    <sheet name="收益法-温泉乐园" sheetId="79"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酒店" sheetId="80" r:id="rId49"/>
    <sheet name="商业" sheetId="81" r:id="rId50"/>
    <sheet name="酒店收入计算" sheetId="66" r:id="rId51"/>
    <sheet name="温泉乐园收入计算" sheetId="82" r:id="rId52"/>
    <sheet name="Sheet1" sheetId="77" r:id="rId53"/>
  </sheets>
  <externalReferences>
    <externalReference r:id="rId54"/>
    <externalReference r:id="rId55"/>
    <externalReference r:id="rId56"/>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土地案例!$A$1:$WWD$46</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0">假设开发法!$A$1:$K$32</definedName>
    <definedName name="_xlnm.Print_Area" localSheetId="17">结果表!$A$1:$I$127</definedName>
    <definedName name="_xlnm.Print_Area" localSheetId="27">收益法!$A$1:$F$43,收益法!$H$3:$M$29,收益法!$A$46:$F$71,收益法!$I$46:$N$65</definedName>
    <definedName name="_xlnm.Print_Area" localSheetId="23">'收益法 (元)'!$A$1:$F$43,'收益法 (元)'!$H$3:$M$29,'收益法 (元)'!$A$45:$F$71,'收益法 (元)'!$I$46:$N$65</definedName>
    <definedName name="_xlnm.Print_Area" localSheetId="29">'收益法（汇总）'!$A$1:$F$13</definedName>
    <definedName name="_xlnm.Print_Area" localSheetId="28">'收益法-温泉乐园'!$A$1:$F$43,'收益法-温泉乐园'!$H$3:$M$29,'收益法-温泉乐园'!$A$46:$F$71,'收益法-温泉乐园'!$I$46:$N$65</definedName>
    <definedName name="_xlnm.Print_Area" localSheetId="13">'数据-汇总表'!$A$1:$P$32</definedName>
    <definedName name="_xlnm.Print_Area" localSheetId="36">'土地比较法-工业'!$A$1:$K$61,'土地比较法-工业'!$A$64:$M$121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8">'[1]不动产比较法-办公'!$B$119:$M$119</definedName>
    <definedName name="办公层高" localSheetId="49">'[2]不动产比较法-办公'!$B$119:$M$119</definedName>
    <definedName name="办公层高">'比较法-办公'!$B$119:$M$119</definedName>
    <definedName name="办公朝向" localSheetId="48">'[1]不动产比较法-办公'!$B$91:$M$91</definedName>
    <definedName name="办公朝向" localSheetId="49">'[2]不动产比较法-办公'!$B$91:$M$91</definedName>
    <definedName name="办公朝向">'比较法-办公'!$B$91:$M$91</definedName>
    <definedName name="办公道路级别" localSheetId="48">'[1]不动产比较法-办公'!$B$87:$M$87</definedName>
    <definedName name="办公道路级别" localSheetId="49">'[2]不动产比较法-办公'!$B$87:$M$87</definedName>
    <definedName name="办公道路级别">'比较法-办公'!$B$87:$M$87</definedName>
    <definedName name="办公公共部分装修" localSheetId="48">'[1]不动产比较法-办公'!$B$108:$M$108</definedName>
    <definedName name="办公公共部分装修" localSheetId="49">'[2]不动产比较法-办公'!$B$108:$M$108</definedName>
    <definedName name="办公公共部分装修">'比较法-办公'!$B$108:$M$108</definedName>
    <definedName name="办公基础设施水平" localSheetId="48">'[1]不动产比较法-办公'!$B$117:$M$117</definedName>
    <definedName name="办公基础设施水平" localSheetId="49">'[2]不动产比较法-办公'!$B$117:$M$117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定义!$M$1:$M$6</definedName>
    <definedName name="办公建筑结构" localSheetId="48">'[1]不动产比较法-办公'!$B$106:$M$106</definedName>
    <definedName name="办公建筑结构" localSheetId="49">'[2]不动产比较法-办公'!$B$106:$M$106</definedName>
    <definedName name="办公建筑结构">'比较法-办公'!$B$106:$M$106</definedName>
    <definedName name="办公建筑类型" localSheetId="48">'[1]不动产比较法-办公'!$B$101:$M$101</definedName>
    <definedName name="办公建筑类型" localSheetId="49">'[2]不动产比较法-办公'!$B$101:$M$101</definedName>
    <definedName name="办公建筑类型">'比较法-办公'!$B$101:$M$101</definedName>
    <definedName name="办公交易情况" localSheetId="48">'[1]不动产比较法-办公'!$A$62:$M$62</definedName>
    <definedName name="办公交易情况" localSheetId="49">'[2]不动产比较法-办公'!$A$62:$M$62</definedName>
    <definedName name="办公交易情况">'比较法-办公'!$A$62:$M$62</definedName>
    <definedName name="办公楼层" localSheetId="48">'[1]不动产比较法-办公'!$B$89:$M$89</definedName>
    <definedName name="办公楼层" localSheetId="49">'[2]不动产比较法-办公'!$B$89:$M$89</definedName>
    <definedName name="办公楼层">'比较法-办公'!$B$89:$M$89</definedName>
    <definedName name="办公内部装修" localSheetId="48">'[1]不动产比较法-办公'!$B$123:$M$123</definedName>
    <definedName name="办公内部装修" localSheetId="49">'[2]不动产比较法-办公'!$B$123:$M$123</definedName>
    <definedName name="办公内部装修">'比较法-办公'!$B$123:$M$123</definedName>
    <definedName name="办公物业管理" localSheetId="48">'[1]不动产比较法-办公'!$B$115:$M$115</definedName>
    <definedName name="办公物业管理" localSheetId="49">'[2]不动产比较法-办公'!$B$115:$M$115</definedName>
    <definedName name="办公物业管理">'比较法-办公'!$B$115:$M$115</definedName>
    <definedName name="办公用途" localSheetId="48">'[1]不动产比较法-办公'!$B$64:$M$64</definedName>
    <definedName name="办公用途" localSheetId="49">'[2]不动产比较法-办公'!$B$64:$M$64</definedName>
    <definedName name="办公用途">'比较法-办公'!$B$64:$M$64</definedName>
    <definedName name="仓储公共部分装修" localSheetId="48">'[1]不动产比较法-仓储'!$B$77:$M$77</definedName>
    <definedName name="仓储公共部分装修" localSheetId="49">'[2]不动产比较法-仓储'!$B$77:$M$77</definedName>
    <definedName name="仓储公共部分装修">'比较法-仓储'!$B$77:$M$77</definedName>
    <definedName name="仓储交易情况" localSheetId="48">'[1]不动产比较法-仓储'!$A$49:$M$49</definedName>
    <definedName name="仓储交易情况" localSheetId="49">'[2]不动产比较法-仓储'!$A$49:$M$49</definedName>
    <definedName name="仓储交易情况">'比较法-仓储'!$A$49:$M$49</definedName>
    <definedName name="仓储楼层" localSheetId="48">'[1]不动产比较法-仓储'!$B$69:$M$69</definedName>
    <definedName name="仓储楼层" localSheetId="49">'[2]不动产比较法-仓储'!$B$69:$M$69</definedName>
    <definedName name="仓储楼层">'比较法-仓储'!$B$69:$M$69</definedName>
    <definedName name="仓储物业等级" localSheetId="48">'[1]不动产比较法-仓储'!$B$82:$M$82</definedName>
    <definedName name="仓储物业等级" localSheetId="49">'[2]不动产比较法-仓储'!$B$82:$M$82</definedName>
    <definedName name="仓储物业等级">'比较法-仓储'!$B$82:$M$82</definedName>
    <definedName name="仓储用途" localSheetId="48">'[1]不动产比较法-仓储'!$B$51:$M$51</definedName>
    <definedName name="仓储用途" localSheetId="49">'[2]不动产比较法-仓储'!$B$51:$M$51</definedName>
    <definedName name="仓储用途">'比较法-仓储'!$B$51:$M$51</definedName>
    <definedName name="产业集聚程度" localSheetId="48">[1]定义!$N$1:$N$6</definedName>
    <definedName name="产业集聚程度" localSheetId="49">[2]定义!$N$1:$N$6</definedName>
    <definedName name="产业集聚程度">定义!$N$1:$N$6</definedName>
    <definedName name="车位公共部分装修" localSheetId="48">'[1]不动产比较法-车位'!$B$83:$M$83</definedName>
    <definedName name="车位公共部分装修" localSheetId="49">'[2]不动产比较法-车位'!$B$83:$M$83</definedName>
    <definedName name="车位公共部分装修">'比较法-车位'!$B$83:$M$83</definedName>
    <definedName name="车位交易情况" localSheetId="48">'[1]不动产比较法-车位'!$A$51:$M$51</definedName>
    <definedName name="车位交易情况" localSheetId="49">'[2]不动产比较法-车位'!$A$51:$M$51</definedName>
    <definedName name="车位交易情况">'比较法-车位'!$A$51:$M$51</definedName>
    <definedName name="车位类型" localSheetId="48">'[1]不动产比较法-车位'!$B$93:$M$93</definedName>
    <definedName name="车位类型" localSheetId="49">'[2]不动产比较法-车位'!$B$93:$M$93</definedName>
    <definedName name="车位类型">'比较法-车位'!$B$93:$M$93</definedName>
    <definedName name="车位楼层" localSheetId="48">'[1]不动产比较法-车位'!$B$71:$M$71</definedName>
    <definedName name="车位楼层" localSheetId="49">'[2]不动产比较法-车位'!$B$71:$M$71</definedName>
    <definedName name="车位楼层">'比较法-车位'!$B$71:$M$71</definedName>
    <definedName name="车位配套类型" localSheetId="48">'[1]不动产比较法-车位'!$B$79:$M$79</definedName>
    <definedName name="车位配套类型" localSheetId="49">'[2]不动产比较法-车位'!$B$79:$M$79</definedName>
    <definedName name="车位配套类型">'比较法-车位'!$B$79:$M$79</definedName>
    <definedName name="车位物业等级" localSheetId="48">'[1]不动产比较法-车位'!$B$88:$M$88</definedName>
    <definedName name="车位物业等级" localSheetId="49">'[2]不动产比较法-车位'!$B$88:$M$88</definedName>
    <definedName name="车位物业等级">'比较法-车位'!$B$88:$M$88</definedName>
    <definedName name="车位用途" localSheetId="48">'[1]不动产比较法-车位'!$B$53:$M$53</definedName>
    <definedName name="车位用途" localSheetId="49">'[2]不动产比较法-车位'!$B$53:$M$53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'数据-取费表'!$A$53:$A$63</definedName>
    <definedName name="单价内涵" localSheetId="48">[1]定义!$V$1:$V$3</definedName>
    <definedName name="单价内涵" localSheetId="49">[2]定义!$V$1:$V$3</definedName>
    <definedName name="单价内涵">定义!$V$1:$V$3</definedName>
    <definedName name="地类判定" localSheetId="48">[1]定义!$H$1:$H$9</definedName>
    <definedName name="地类判定" localSheetId="49">[2]定义!$H$1:$H$9</definedName>
    <definedName name="地类判定">定义!$H$1:$H$9</definedName>
    <definedName name="二级">区片价!$I$1:$I$20</definedName>
    <definedName name="二级分类" localSheetId="48">[1]修正!$C$17:$C$39</definedName>
    <definedName name="二级分类" localSheetId="49">[2]修正!$C$17:$C$39</definedName>
    <definedName name="二级分类">修正!$C$17:$C$39</definedName>
    <definedName name="法定最高年限" localSheetId="48">[1]定义!$G$2:$G$4</definedName>
    <definedName name="法定最高年限" localSheetId="49">[2]定义!$G$2:$G$4</definedName>
    <definedName name="法定最高年限">定义!$G$1:$G$4</definedName>
    <definedName name="工业公共部分装修" localSheetId="48">'[1]不动产比较法-工业'!$B$95:$M$95</definedName>
    <definedName name="工业公共部分装修" localSheetId="49">'[2]不动产比较法-工业'!$B$95:$M$95</definedName>
    <definedName name="工业公共部分装修">'比较法-工业'!$B$95:$M$95</definedName>
    <definedName name="工业基础设施水平" localSheetId="48">'[1]不动产比较法-工业'!$B$102:$M$102</definedName>
    <definedName name="工业基础设施水平" localSheetId="49">'[2]不动产比较法-工业'!$B$102:$M$102</definedName>
    <definedName name="工业基础设施水平">'比较法-工业'!$B$102:$M$102</definedName>
    <definedName name="工业建筑结构" localSheetId="48">'[1]不动产比较法-工业'!$B$93:$M$93</definedName>
    <definedName name="工业建筑结构" localSheetId="49">'[2]不动产比较法-工业'!$B$93:$M$93</definedName>
    <definedName name="工业建筑结构">'比较法-工业'!$B$93:$M$93</definedName>
    <definedName name="工业建筑类型" localSheetId="48">'[1]不动产比较法-工业'!$B$88:$M$88</definedName>
    <definedName name="工业建筑类型" localSheetId="49">'[2]不动产比较法-工业'!$B$88:$M$88</definedName>
    <definedName name="工业建筑类型">'比较法-工业'!$B$88:$M$88</definedName>
    <definedName name="工业交易情况" localSheetId="48">'[1]不动产比较法-工业'!$A$55:$M$55</definedName>
    <definedName name="工业交易情况" localSheetId="49">'[2]不动产比较法-工业'!$A$55:$M$55</definedName>
    <definedName name="工业交易情况">'比较法-工业'!$A$55:$M$55</definedName>
    <definedName name="工业内部装修" localSheetId="48">'[1]不动产比较法-工业'!$B$104:$M$104</definedName>
    <definedName name="工业内部装修" localSheetId="49">'[2]不动产比较法-工业'!$B$104:$M$104</definedName>
    <definedName name="工业内部装修">'比较法-工业'!$B$104:$M$104</definedName>
    <definedName name="工业物业管理" localSheetId="48">'[1]不动产比较法-工业'!$B$100:$M$100</definedName>
    <definedName name="工业物业管理" localSheetId="49">'[2]不动产比较法-工业'!$B$100:$M$100</definedName>
    <definedName name="工业物业管理">'比较法-工业'!$B$100:$M$100</definedName>
    <definedName name="工业用途" localSheetId="48">'[1]不动产比较法-工业'!$B$57:$M$57</definedName>
    <definedName name="工业用途" localSheetId="49">'[2]不动产比较法-工业'!$B$57:$M$57</definedName>
    <definedName name="工业用途">'比较法-工业'!$B$57:$M$57</definedName>
    <definedName name="公共配套设施" localSheetId="48">[1]定义!$Q$1:$Q$6</definedName>
    <definedName name="公共配套设施" localSheetId="49">[2]定义!$Q$1:$Q$6</definedName>
    <definedName name="公共配套设施">定义!$Q$1:$Q$6</definedName>
    <definedName name="估价方法" localSheetId="48">[1]定义!$B$1:$B$50</definedName>
    <definedName name="估价方法" localSheetId="49">[2]定义!$B$1:$B$50</definedName>
    <definedName name="估价方法">定义!$B$1:$B$50</definedName>
    <definedName name="环境" localSheetId="48">[1]定义!$S$1:$S$6</definedName>
    <definedName name="环境" localSheetId="49">[2]定义!$S$1:$S$6</definedName>
    <definedName name="环境">定义!$S$1:$S$6</definedName>
    <definedName name="基础设施水平" localSheetId="48">[1]定义!$R$1:$R$6</definedName>
    <definedName name="基础设施水平" localSheetId="49">[2]定义!$R$1:$R$6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定义!$B$54:$B$56</definedName>
    <definedName name="交通便捷度" localSheetId="48">[1]定义!$O$1:$O$6</definedName>
    <definedName name="交通便捷度" localSheetId="49">[2]定义!$O$1:$O$6</definedName>
    <definedName name="交通便捷度">定义!$O$1:$O$6</definedName>
    <definedName name="九级">区片价!$P$1:$P$46</definedName>
    <definedName name="居住社区成熟度" localSheetId="48">[1]定义!$K$1:$K$6</definedName>
    <definedName name="居住社区成熟度" localSheetId="49">[2]定义!$K$1:$K$6</definedName>
    <definedName name="居住社区成熟度">定义!$K$1:$K$6</definedName>
    <definedName name="类别" localSheetId="48">[1]定义!$J$1:$J$3</definedName>
    <definedName name="类别" localSheetId="49">[2]定义!$J$1:$J$3</definedName>
    <definedName name="类别">定义!$J$1:$J$3</definedName>
    <definedName name="临街状况" localSheetId="48">[1]定义!$T$1:$T$5</definedName>
    <definedName name="临街状况" localSheetId="49">[2]定义!$T$1:$T$5</definedName>
    <definedName name="临街状况">定义!$T$1:$T$5</definedName>
    <definedName name="六级">区片价!$M$1:$M$49</definedName>
    <definedName name="内部装修维护情况" localSheetId="48">[1]定义!$U$1:$U$6</definedName>
    <definedName name="内部装修维护情况" localSheetId="49">[2]定义!$U$1:$U$6</definedName>
    <definedName name="内部装修维护情况">定义!$U$1:$U$6</definedName>
    <definedName name="判定" localSheetId="25">[3]定义!$D$1:$D$4</definedName>
    <definedName name="判定" localSheetId="24">[3]定义!$D$1:$D$4</definedName>
    <definedName name="判定" localSheetId="26">[3]定义!$D$1:$D$4</definedName>
    <definedName name="判定" localSheetId="48">[1]定义!$D$1:$D$4</definedName>
    <definedName name="判定" localSheetId="49">[2]定义!$D$1:$D$4</definedName>
    <definedName name="判定">定义!$D$1:$D$4</definedName>
    <definedName name="七级">区片价!$N$1:$N$49</definedName>
    <definedName name="七通一平" localSheetId="48">[1]修正!$A$6:$A$14</definedName>
    <definedName name="七通一平" localSheetId="49">[2]修正!$A$6:$A$14</definedName>
    <definedName name="七通一平">修正!$A$6:$A$14</definedName>
    <definedName name="区域土地利用方向" localSheetId="48">[1]定义!$P$1:$P$6</definedName>
    <definedName name="区域土地利用方向" localSheetId="49">[2]定义!$P$1:$P$6</definedName>
    <definedName name="区域土地利用方向">定义!$P$1:$P$6</definedName>
    <definedName name="三级">区片价!$J$1:$J$21</definedName>
    <definedName name="商业层高" localSheetId="48">'[1]不动产比较法-商业'!$B$116:$M$116</definedName>
    <definedName name="商业层高" localSheetId="49">'[2]不动产比较法-商业'!$B$116:$M$116</definedName>
    <definedName name="商业层高">'比较法-商业'!$B$116:$M$116</definedName>
    <definedName name="商业成新度">'比较法-商业'!$B$109:$M$109</definedName>
    <definedName name="商业繁华度" localSheetId="48">[1]定义!$L$1:$L$6</definedName>
    <definedName name="商业繁华度" localSheetId="49">[2]定义!$L$1:$L$6</definedName>
    <definedName name="商业繁华度">定义!$L$1:$L$6</definedName>
    <definedName name="商业公共部分装修" localSheetId="48">'[1]不动产比较法-商业'!$B$107:$M$107</definedName>
    <definedName name="商业公共部分装修" localSheetId="49">'[2]不动产比较法-商业'!$B$107:$M$107</definedName>
    <definedName name="商业公共部分装修">'比较法-商业'!$B$107:$M$107</definedName>
    <definedName name="商业基础设施水平" localSheetId="48">'[1]不动产比较法-商业'!$B$112:$M$112</definedName>
    <definedName name="商业基础设施水平" localSheetId="49">'[2]不动产比较法-商业'!$B$112:$M$112</definedName>
    <definedName name="商业基础设施水平">'比较法-商业'!$B$112:$M$112</definedName>
    <definedName name="商业建筑结构" localSheetId="48">'[1]不动产比较法-商业'!$B$105:$M$105</definedName>
    <definedName name="商业建筑结构" localSheetId="49">'[2]不动产比较法-商业'!$B$105:$M$105</definedName>
    <definedName name="商业建筑结构">'比较法-商业'!$B$105:$M$105</definedName>
    <definedName name="商业交易情况" localSheetId="48">'[1]不动产比较法-商业'!$A$61:$M$61</definedName>
    <definedName name="商业交易情况" localSheetId="49">'[2]不动产比较法-商业'!$A$61:$M$61</definedName>
    <definedName name="商业交易情况">'比较法-商业'!$A$61:$M$61</definedName>
    <definedName name="商业街名称" localSheetId="48">[1]修正!$C$59:$C$119</definedName>
    <definedName name="商业街名称" localSheetId="49">[2]修正!$C$59:$C$119</definedName>
    <definedName name="商业街名称">修正!$C$59:$C$119</definedName>
    <definedName name="商业进深比" localSheetId="48">'[1]不动产比较法-商业'!$B$120:$M$120</definedName>
    <definedName name="商业进深比" localSheetId="49">'[2]不动产比较法-商业'!$B$120:$M$120</definedName>
    <definedName name="商业进深比">'比较法-商业'!$B$120:$M$120</definedName>
    <definedName name="商业类型" localSheetId="48">'[1]不动产比较法-商业'!$B$100:$M$100</definedName>
    <definedName name="商业类型" localSheetId="49">'[2]不动产比较法-商业'!$B$100:$M$100</definedName>
    <definedName name="商业类型">'比较法-商业'!$B$100:$M$100</definedName>
    <definedName name="商业临街状况" localSheetId="48">'[1]不动产比较法-商业'!$B$86:$M$86</definedName>
    <definedName name="商业临街状况" localSheetId="49">'[2]不动产比较法-商业'!$B$86:$M$86</definedName>
    <definedName name="商业临街状况">'比较法-商业'!$B$86:$M$86</definedName>
    <definedName name="商业楼层" localSheetId="48">'[1]不动产比较法-商业'!$B$92:$M$92</definedName>
    <definedName name="商业楼层" localSheetId="49">'[2]不动产比较法-商业'!$B$92:$M$92</definedName>
    <definedName name="商业楼层">'比较法-商业'!$B$92:$M$92</definedName>
    <definedName name="商业内部装修" localSheetId="48">'[1]不动产比较法-商业'!$B$122:$M$122</definedName>
    <definedName name="商业内部装修" localSheetId="49">'[2]不动产比较法-商业'!$B$122:$M$122</definedName>
    <definedName name="商业内部装修">'比较法-商业'!$B$122:$M$122</definedName>
    <definedName name="商业人流量" localSheetId="48">'[1]不动产比较法-商业'!$B$90:$M$90</definedName>
    <definedName name="商业人流量" localSheetId="49">'[2]不动产比较法-商业'!$B$90:$M$90</definedName>
    <definedName name="商业人流量">'比较法-商业'!$B$90:$M$90</definedName>
    <definedName name="商业业态" localSheetId="48">'[1]不动产比较法-商业'!$B$114:$M$114</definedName>
    <definedName name="商业业态" localSheetId="49">'[2]不动产比较法-商业'!$B$114:$M$114</definedName>
    <definedName name="商业业态">'比较法-商业'!$B$114:$M$114</definedName>
    <definedName name="商业用途" localSheetId="48">'[1]不动产比较法-商业'!$B$63:$M$63</definedName>
    <definedName name="商业用途" localSheetId="49">'[2]不动产比较法-商业'!$B$63:$M$63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'[1]不动产比较法-仓储'!$B$89:$M$89</definedName>
    <definedName name="是否封闭" localSheetId="49">'[2]不动产比较法-仓储'!$B$89:$M$89</definedName>
    <definedName name="是否封闭">'比较法-仓储'!$B$89:$M$89</definedName>
    <definedName name="是否直接入户" localSheetId="48">'[1]不动产比较法-车位'!$B$95:$M$95</definedName>
    <definedName name="是否直接入户" localSheetId="49">'[2]不动产比较法-车位'!$B$95:$M$95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49">'[2]比较法-工业'!$B$116:$M$116</definedName>
    <definedName name="套工工程地质条件">'[1]比较法-工业'!$B$116:$M$116</definedName>
    <definedName name="套工交易情况" localSheetId="48">'[1]比较法-住宅、综合'!$A$75:$M$75</definedName>
    <definedName name="套工交易情况" localSheetId="49">'[2]比较法-住宅、综合'!$A$75:$M$75</definedName>
    <definedName name="套工交易情况">'土地比较法-住宅、综合'!$A$73:$M$73</definedName>
    <definedName name="套工开发程度" localSheetId="49">'[2]比较法-工业'!$B$114:$M$114</definedName>
    <definedName name="套工开发程度">'[1]比较法-工业'!$B$114:$M$114</definedName>
    <definedName name="套工临街等级" localSheetId="49">'[2]比较法-工业'!$B$99:$M$99</definedName>
    <definedName name="套工临街等级">'[1]比较法-工业'!$B$99:$M$99</definedName>
    <definedName name="套工土地级别" localSheetId="48">'[1]比较法-工业'!$B$101:$M$101</definedName>
    <definedName name="套工土地级别" localSheetId="49">'[2]比较法-工业'!$B$101:$M$101</definedName>
    <definedName name="套工土地级别">'土地比较法-工业'!$B$99:$M$99</definedName>
    <definedName name="套工用途" localSheetId="48">'[1]比较法-工业'!$B$72:$M$72</definedName>
    <definedName name="套工用途" localSheetId="49">'[2]比较法-工业'!$B$72:$M$72</definedName>
    <definedName name="套工用途">'土地比较法-工业'!$B$70:$M$70</definedName>
    <definedName name="套工宗地开发程度">'土地比较法-工业'!$B$112:$M$112</definedName>
    <definedName name="套工宗地形状" localSheetId="48">'[1]比较法-工业'!$B$112:$M$112</definedName>
    <definedName name="套工宗地形状" localSheetId="49">'[2]比较法-工业'!$B$112:$M$112</definedName>
    <definedName name="套工宗地形状">'土地比较法-工业'!$B$110:$M$110</definedName>
    <definedName name="套综道路等级" localSheetId="48">'[1]比较法-住宅、综合'!$B$108:$M$108</definedName>
    <definedName name="套综道路等级" localSheetId="49">'[2]比较法-住宅、综合'!$B$108:$M$108</definedName>
    <definedName name="套综道路等级">'土地比较法-住宅、综合'!$B$106:$M$106</definedName>
    <definedName name="套综工程地质条件" localSheetId="48">'[1]比较法-住宅、综合'!$B$127:$M$127</definedName>
    <definedName name="套综工程地质条件" localSheetId="49">'[2]比较法-住宅、综合'!$B$127:$M$127</definedName>
    <definedName name="套综工程地质条件">'土地比较法-住宅、综合'!$B$125:$M$125</definedName>
    <definedName name="套综交易情况" localSheetId="48">'[1]比较法-住宅、综合'!$A$75:$M$75</definedName>
    <definedName name="套综交易情况" localSheetId="49">'[2]比较法-住宅、综合'!$A$75:$M$75</definedName>
    <definedName name="套综交易情况">'土地比较法-住宅、综合'!$A$73:$M$73</definedName>
    <definedName name="套综临街宽度及深度" localSheetId="48">'[1]比较法-住宅、综合'!$B$123:$M$123</definedName>
    <definedName name="套综临街宽度及深度" localSheetId="49">'[2]比较法-住宅、综合'!$B$123:$M$123</definedName>
    <definedName name="套综临街宽度及深度">'土地比较法-住宅、综合'!$B$121:$M$121</definedName>
    <definedName name="套综土地级别" localSheetId="48">'[1]比较法-住宅、综合'!$B$110:$M$110</definedName>
    <definedName name="套综土地级别" localSheetId="49">'[2]比较法-住宅、综合'!$B$110:$M$110</definedName>
    <definedName name="套综土地级别">'土地比较法-住宅、综合'!$B$108:$M$108</definedName>
    <definedName name="套综用途" localSheetId="48">'[1]比较法-住宅、综合'!$B$77:$M$77</definedName>
    <definedName name="套综用途" localSheetId="49">'[2]比较法-住宅、综合'!$B$77:$M$77</definedName>
    <definedName name="套综用途">'土地比较法-住宅、综合'!$B$75:$M$75</definedName>
    <definedName name="套综宗地内开发程度" localSheetId="48">'[1]比较法-住宅、综合'!$B$125:$M$125</definedName>
    <definedName name="套综宗地内开发程度" localSheetId="49">'[2]比较法-住宅、综合'!$B$125:$M$125</definedName>
    <definedName name="套综宗地内开发程度">'土地比较法-住宅、综合'!$B$123:$M$123</definedName>
    <definedName name="套综宗地形状" localSheetId="48">'[1]比较法-住宅、综合'!$B$121:$M$121</definedName>
    <definedName name="套综宗地形状" localSheetId="49">'[2]比较法-住宅、综合'!$B$121:$M$121</definedName>
    <definedName name="套综宗地形状">'土地比较法-住宅、综合'!$B$119:$M$119</definedName>
    <definedName name="土地估价师" localSheetId="48">[1]估价师及机构信息!$D$3:$D$16</definedName>
    <definedName name="土地估价师" localSheetId="49">[2]估价师及机构信息!$D$3:$D$16</definedName>
    <definedName name="土地估价师">估价师及机构信息!$D$3:$D$24</definedName>
    <definedName name="土地级别" localSheetId="48">[1]定义!$C$1:$C$14</definedName>
    <definedName name="土地级别" localSheetId="49">[2]定义!$C$1:$C$14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定义!$I$1:$I$8</definedName>
    <definedName name="位置" localSheetId="48">[1]定义!$E$2:$E$4</definedName>
    <definedName name="位置" localSheetId="49">[2]定义!$E$2:$E$4</definedName>
    <definedName name="位置">定义!$E$2:$E$4</definedName>
    <definedName name="五等判定" localSheetId="48">[1]定义!$W$1:$W$6</definedName>
    <definedName name="五等判定" localSheetId="49">[2]定义!$W$1:$W$6</definedName>
    <definedName name="五等判定">定义!$W$1:$W$6</definedName>
    <definedName name="五级">区片价!$L$1:$L$35</definedName>
    <definedName name="项目类型" localSheetId="25">'[3]数据-汇总表'!$C$17:$C$26</definedName>
    <definedName name="项目类型" localSheetId="24">'[3]数据-汇总表'!$C$17:$C$26</definedName>
    <definedName name="项目类型" localSheetId="26">'[3]数据-汇总表'!$C$17:$C$26</definedName>
    <definedName name="项目类型" localSheetId="48">'[1]数据-汇总表'!$C$17:$C$26</definedName>
    <definedName name="项目类型" localSheetId="49">'[2]数据-汇总表'!$C$17:$C$26</definedName>
    <definedName name="项目类型">'数据-汇总表'!$C$17:$C$26</definedName>
    <definedName name="写字楼等级" localSheetId="48">'[1]不动产比较法-办公'!$B$113:$M$113</definedName>
    <definedName name="写字楼等级" localSheetId="49">'[2]不动产比较法-办公'!$B$113:$M$113</definedName>
    <definedName name="写字楼等级">'比较法-办公'!$B$113:$M$113</definedName>
    <definedName name="一级">区片价!$H$1:$H$6</definedName>
    <definedName name="一修多修正项2" localSheetId="48">[1]典型户型修正!$5:$5</definedName>
    <definedName name="一修多修正项2" localSheetId="49">[2]典型户型修正!$5:$5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典型户型修正!$17:$17</definedName>
    <definedName name="用途类型" localSheetId="49">[2]定义!$A$1:$A$50</definedName>
    <definedName name="用途类型">[1]定义!$A$1:$A$50</definedName>
    <definedName name="用途明细">定义!$A$1:$A$50</definedName>
    <definedName name="有无电梯" localSheetId="48">'[1]不动产比较法-仓储'!$B$84:$M$84</definedName>
    <definedName name="有无电梯" localSheetId="49">'[2]不动产比较法-仓储'!$B$84:$M$84</definedName>
    <definedName name="有无电梯">'比较法-仓储'!$B$84:$M$84</definedName>
    <definedName name="主用途" localSheetId="48">[1]定义!$F$1:$F$10</definedName>
    <definedName name="主用途" localSheetId="49">[2]定义!$F$1:$F$10</definedName>
    <definedName name="主用途">定义!$F$1:$F$10</definedName>
    <definedName name="住宅朝向" localSheetId="48">'[1]不动产比较法-住宅'!$B$88:$M$88</definedName>
    <definedName name="住宅朝向" localSheetId="49">'[2]不动产比较法-住宅'!$B$88:$M$88</definedName>
    <definedName name="住宅朝向">'比较法-住宅'!$B$88:$M$88</definedName>
    <definedName name="住宅房型" localSheetId="48">'[1]不动产比较法-住宅'!$B$118:$M$118</definedName>
    <definedName name="住宅房型" localSheetId="49">'[2]不动产比较法-住宅'!$B$118:$M$118</definedName>
    <definedName name="住宅房型">'比较法-住宅'!$B$118:$M$118</definedName>
    <definedName name="住宅公共部分装修" localSheetId="48">'[1]不动产比较法-住宅'!$B$109:$M$109</definedName>
    <definedName name="住宅公共部分装修" localSheetId="49">'[2]不动产比较法-住宅'!$B$109:$M$109</definedName>
    <definedName name="住宅公共部分装修">'比较法-住宅'!$B$109:$M$109</definedName>
    <definedName name="住宅基础设施水平" localSheetId="48">'[1]不动产比较法-住宅'!$B$116:$M$116</definedName>
    <definedName name="住宅基础设施水平" localSheetId="49">'[2]不动产比较法-住宅'!$B$116:$M$116</definedName>
    <definedName name="住宅基础设施水平">'比较法-住宅'!$B$116:$M$116</definedName>
    <definedName name="住宅建筑结构" localSheetId="48">'[1]不动产比较法-住宅'!$B$105:$M$105</definedName>
    <definedName name="住宅建筑结构" localSheetId="49">'[2]不动产比较法-住宅'!$B$105:$M$105</definedName>
    <definedName name="住宅建筑结构">'比较法-住宅'!$B$105:$M$105</definedName>
    <definedName name="住宅建筑类型" localSheetId="48">'[1]不动产比较法-住宅'!$B$100:$M$100</definedName>
    <definedName name="住宅建筑类型" localSheetId="49">'[2]不动产比较法-住宅'!$B$100:$M$100</definedName>
    <definedName name="住宅建筑类型">'比较法-住宅'!$B$100:$M$100</definedName>
    <definedName name="住宅建筑品质" localSheetId="48">'[1]不动产比较法-住宅'!$B$107:$M$107</definedName>
    <definedName name="住宅建筑品质" localSheetId="49">'[2]不动产比较法-住宅'!$B$107:$M$107</definedName>
    <definedName name="住宅建筑品质">'比较法-住宅'!$B$107:$M$107</definedName>
    <definedName name="住宅交易情况" localSheetId="48">'[1]不动产比较法-住宅'!$A$61:$M$61</definedName>
    <definedName name="住宅交易情况" localSheetId="49">'[2]不动产比较法-住宅'!$A$61:$M$61</definedName>
    <definedName name="住宅交易情况">'比较法-住宅'!$A$61:$M$61</definedName>
    <definedName name="住宅楼层" localSheetId="48">'[1]不动产比较法-住宅'!$B$86:$M$86</definedName>
    <definedName name="住宅楼层" localSheetId="49">'[2]不动产比较法-住宅'!$B$86:$M$86</definedName>
    <definedName name="住宅楼层">'比较法-住宅'!$B$86:$M$86</definedName>
    <definedName name="住宅内部装修" localSheetId="48">'[1]不动产比较法-住宅'!$B$122:$M$122</definedName>
    <definedName name="住宅内部装修" localSheetId="49">'[2]不动产比较法-住宅'!$B$122:$M$122</definedName>
    <definedName name="住宅内部装修">'比较法-住宅'!$B$122:$M$122</definedName>
    <definedName name="住宅物业管理" localSheetId="48">'[1]不动产比较法-住宅'!$B$114:$M$114</definedName>
    <definedName name="住宅物业管理" localSheetId="49">'[2]不动产比较法-住宅'!$B$114:$M$114</definedName>
    <definedName name="住宅物业管理">'比较法-住宅'!$B$114:$M$114</definedName>
    <definedName name="住宅用途" localSheetId="48">'[1]不动产比较法-住宅'!$B$63:$M$63</definedName>
    <definedName name="住宅用途" localSheetId="49">'[2]不动产比较法-住宅'!$B$63:$M$63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85" l="1"/>
  <c r="R28" i="84"/>
  <c r="R70" i="84"/>
  <c r="R69" i="84"/>
  <c r="R68" i="84"/>
  <c r="S28" i="84" l="1"/>
  <c r="S29" i="84"/>
  <c r="D6" i="85"/>
  <c r="M65" i="85"/>
  <c r="P61" i="85"/>
  <c r="P60" i="85"/>
  <c r="P59" i="85"/>
  <c r="P58" i="85"/>
  <c r="P57" i="85"/>
  <c r="P56" i="85"/>
  <c r="P55" i="85"/>
  <c r="P54" i="85"/>
  <c r="P53" i="85"/>
  <c r="P51" i="85"/>
  <c r="P50" i="85"/>
  <c r="P49" i="85"/>
  <c r="P65" i="85" s="1"/>
  <c r="N65" i="85" s="1"/>
  <c r="O8" i="84"/>
  <c r="O9" i="84"/>
  <c r="T68" i="84"/>
  <c r="V68" i="84" s="1"/>
  <c r="T58" i="84"/>
  <c r="R56" i="84"/>
  <c r="T55" i="84"/>
  <c r="V55" i="84" s="1"/>
  <c r="R55" i="84"/>
  <c r="R52" i="84"/>
  <c r="R51" i="84"/>
  <c r="T50" i="84"/>
  <c r="V58" i="84" s="1"/>
  <c r="R50" i="84"/>
  <c r="T51" i="84" l="1"/>
  <c r="W7" i="1"/>
  <c r="V7" i="1"/>
  <c r="E14" i="85"/>
  <c r="D14" i="85" s="1"/>
  <c r="Y7" i="1"/>
  <c r="E14" i="84"/>
  <c r="Q7" i="1"/>
  <c r="N7" i="1"/>
  <c r="F20" i="6"/>
  <c r="F19" i="6"/>
  <c r="D15" i="85"/>
  <c r="B5" i="85"/>
  <c r="B4" i="85"/>
  <c r="B5" i="84"/>
  <c r="B4" i="84"/>
  <c r="R43" i="85"/>
  <c r="N43" i="85"/>
  <c r="R40" i="85"/>
  <c r="R41" i="85" s="1"/>
  <c r="R34" i="85"/>
  <c r="R33" i="85"/>
  <c r="C30" i="85"/>
  <c r="R27" i="85"/>
  <c r="M24" i="85"/>
  <c r="R23" i="85"/>
  <c r="R22" i="85"/>
  <c r="R21" i="85"/>
  <c r="N19" i="85"/>
  <c r="R18" i="85"/>
  <c r="R17" i="85"/>
  <c r="R16" i="85"/>
  <c r="M14" i="85"/>
  <c r="N14" i="85" s="1"/>
  <c r="R13" i="85"/>
  <c r="R12" i="85"/>
  <c r="R11" i="85"/>
  <c r="R10" i="85"/>
  <c r="R9" i="85"/>
  <c r="R8" i="85"/>
  <c r="R7" i="85"/>
  <c r="C23" i="85"/>
  <c r="R4" i="85"/>
  <c r="R3" i="85"/>
  <c r="F1" i="85"/>
  <c r="R43" i="84"/>
  <c r="N43" i="84"/>
  <c r="R40" i="84"/>
  <c r="R41" i="84" s="1"/>
  <c r="R34" i="84"/>
  <c r="R33" i="84"/>
  <c r="C30" i="84"/>
  <c r="R27" i="84"/>
  <c r="M24" i="84"/>
  <c r="R23" i="84"/>
  <c r="R22" i="84"/>
  <c r="R21" i="84"/>
  <c r="N19" i="84"/>
  <c r="M14" i="84"/>
  <c r="N14" i="84" s="1"/>
  <c r="R13" i="84"/>
  <c r="R12" i="84"/>
  <c r="R11" i="84"/>
  <c r="R10" i="84"/>
  <c r="R9" i="84"/>
  <c r="R8" i="84"/>
  <c r="R7" i="84"/>
  <c r="R4" i="84"/>
  <c r="R3" i="84"/>
  <c r="F1" i="84"/>
  <c r="D6" i="83"/>
  <c r="D18" i="83" s="1"/>
  <c r="B5" i="83"/>
  <c r="B4" i="83"/>
  <c r="R43" i="83"/>
  <c r="N43" i="83"/>
  <c r="R40" i="83"/>
  <c r="R41" i="83" s="1"/>
  <c r="R34" i="83"/>
  <c r="R33" i="83"/>
  <c r="C30" i="83"/>
  <c r="R27" i="83"/>
  <c r="M24" i="83"/>
  <c r="R23" i="83"/>
  <c r="R22" i="83"/>
  <c r="R21" i="83"/>
  <c r="N19" i="83"/>
  <c r="R18" i="83"/>
  <c r="R17" i="83"/>
  <c r="R16" i="83"/>
  <c r="D15" i="83"/>
  <c r="N14" i="83"/>
  <c r="M14" i="83"/>
  <c r="D14" i="83"/>
  <c r="R13" i="83"/>
  <c r="R12" i="83"/>
  <c r="D12" i="83"/>
  <c r="R11" i="83"/>
  <c r="R10" i="83"/>
  <c r="R9" i="83"/>
  <c r="R8" i="83"/>
  <c r="R7" i="83"/>
  <c r="R14" i="83" s="1"/>
  <c r="R4" i="83"/>
  <c r="R3" i="83"/>
  <c r="F1" i="83"/>
  <c r="R14" i="85" l="1"/>
  <c r="R24" i="85" s="1"/>
  <c r="V51" i="84"/>
  <c r="U50" i="84"/>
  <c r="V50" i="84" s="1"/>
  <c r="R14" i="84"/>
  <c r="R24" i="84" s="1"/>
  <c r="D14" i="84"/>
  <c r="D9" i="85"/>
  <c r="D10" i="85"/>
  <c r="R25" i="85"/>
  <c r="C29" i="85"/>
  <c r="D23" i="85"/>
  <c r="D16" i="85"/>
  <c r="D17" i="85"/>
  <c r="D18" i="85"/>
  <c r="R35" i="85"/>
  <c r="U34" i="85" s="1"/>
  <c r="R35" i="84"/>
  <c r="U34" i="84" s="1"/>
  <c r="D9" i="83"/>
  <c r="D10" i="83"/>
  <c r="D16" i="83"/>
  <c r="D11" i="83" s="1"/>
  <c r="E11" i="83" s="1"/>
  <c r="E7" i="83" s="1"/>
  <c r="C27" i="83" s="1"/>
  <c r="D17" i="83"/>
  <c r="R24" i="83"/>
  <c r="R25" i="83"/>
  <c r="R19" i="83"/>
  <c r="R5" i="83" s="1"/>
  <c r="U5" i="83" s="1"/>
  <c r="R35" i="83"/>
  <c r="U34" i="83" s="1"/>
  <c r="I91" i="9"/>
  <c r="R19" i="85" l="1"/>
  <c r="R5" i="85" s="1"/>
  <c r="U5" i="85" s="1"/>
  <c r="R19" i="84"/>
  <c r="R25" i="84"/>
  <c r="D29" i="85"/>
  <c r="D26" i="85"/>
  <c r="E23" i="85"/>
  <c r="D7" i="83"/>
  <c r="J6" i="1"/>
  <c r="J7" i="1" s="1"/>
  <c r="D31" i="82"/>
  <c r="D31" i="66"/>
  <c r="C31" i="66" s="1"/>
  <c r="K36" i="15"/>
  <c r="K34" i="15"/>
  <c r="I33" i="15"/>
  <c r="I36" i="15"/>
  <c r="I34" i="15"/>
  <c r="I10" i="82"/>
  <c r="C32" i="66"/>
  <c r="C30" i="66"/>
  <c r="R5" i="84" l="1"/>
  <c r="D32" i="85"/>
  <c r="E26" i="85"/>
  <c r="E32" i="85" s="1"/>
  <c r="E29" i="85"/>
  <c r="I8" i="82"/>
  <c r="I46" i="39"/>
  <c r="I38" i="39"/>
  <c r="I7" i="39"/>
  <c r="I6" i="39"/>
  <c r="I5" i="39"/>
  <c r="U5" i="84" l="1"/>
  <c r="D6" i="84"/>
  <c r="I23" i="66"/>
  <c r="I51" i="66"/>
  <c r="I50" i="66"/>
  <c r="F5" i="66"/>
  <c r="F4" i="66"/>
  <c r="K46" i="66"/>
  <c r="I65" i="66"/>
  <c r="I64" i="66"/>
  <c r="I63" i="66"/>
  <c r="K63" i="66" s="1"/>
  <c r="M63" i="66" s="1"/>
  <c r="K53" i="66"/>
  <c r="I47" i="66"/>
  <c r="I46" i="66"/>
  <c r="K45" i="66"/>
  <c r="I45" i="66"/>
  <c r="G6" i="84" l="1"/>
  <c r="D15" i="84"/>
  <c r="C23" i="84"/>
  <c r="D18" i="84"/>
  <c r="D10" i="84"/>
  <c r="D16" i="84"/>
  <c r="D9" i="84"/>
  <c r="D17" i="84"/>
  <c r="K50" i="66"/>
  <c r="M50" i="66" s="1"/>
  <c r="M46" i="66"/>
  <c r="L45" i="66"/>
  <c r="M45" i="66" s="1"/>
  <c r="M53" i="66"/>
  <c r="C23" i="83" l="1"/>
  <c r="D23" i="83" s="1"/>
  <c r="D23" i="84"/>
  <c r="C29" i="84"/>
  <c r="C29" i="83" s="1"/>
  <c r="E61" i="82"/>
  <c r="G61" i="82"/>
  <c r="D61" i="82"/>
  <c r="G57" i="82"/>
  <c r="G56" i="82"/>
  <c r="G55" i="82"/>
  <c r="G54" i="82"/>
  <c r="G53" i="82"/>
  <c r="G52" i="82"/>
  <c r="G51" i="82"/>
  <c r="G50" i="82"/>
  <c r="G49" i="82"/>
  <c r="G47" i="82"/>
  <c r="G46" i="82"/>
  <c r="G45" i="82"/>
  <c r="D29" i="84" l="1"/>
  <c r="E23" i="84"/>
  <c r="D26" i="84"/>
  <c r="D32" i="84"/>
  <c r="D29" i="83"/>
  <c r="D26" i="83"/>
  <c r="E23" i="83"/>
  <c r="D32" i="83"/>
  <c r="I23" i="82"/>
  <c r="D20" i="82"/>
  <c r="I19" i="82"/>
  <c r="I18" i="82"/>
  <c r="I17" i="82"/>
  <c r="I20" i="82" s="1"/>
  <c r="E15" i="82"/>
  <c r="I14" i="82"/>
  <c r="I13" i="82"/>
  <c r="I15" i="82"/>
  <c r="D10" i="82"/>
  <c r="I9" i="82"/>
  <c r="E26" i="83" l="1"/>
  <c r="E29" i="83"/>
  <c r="E32" i="83"/>
  <c r="E29" i="84"/>
  <c r="E32" i="84" s="1"/>
  <c r="E26" i="84"/>
  <c r="C28" i="82"/>
  <c r="I21" i="82" l="1"/>
  <c r="C29" i="82" s="1"/>
  <c r="C27" i="82" s="1"/>
  <c r="C32" i="82" l="1"/>
  <c r="C31" i="82"/>
  <c r="I35" i="15" s="1"/>
  <c r="K35" i="15" s="1"/>
  <c r="C30" i="82"/>
  <c r="D1" i="82"/>
  <c r="E10" i="82" s="1"/>
  <c r="E26" i="82" l="1"/>
  <c r="C17" i="3" l="1"/>
  <c r="D10" i="66" l="1"/>
  <c r="G46" i="39" l="1"/>
  <c r="E46" i="39"/>
  <c r="G38" i="39"/>
  <c r="G7" i="39"/>
  <c r="G6" i="39"/>
  <c r="G5" i="39"/>
  <c r="E38" i="39"/>
  <c r="E7" i="39"/>
  <c r="E6" i="39"/>
  <c r="E5" i="39"/>
  <c r="C38" i="39"/>
  <c r="Q72" i="79"/>
  <c r="Q59" i="79"/>
  <c r="K59" i="79"/>
  <c r="P74" i="79" s="1"/>
  <c r="F59" i="79"/>
  <c r="Q58" i="79"/>
  <c r="Q51" i="79"/>
  <c r="J50" i="79"/>
  <c r="M47" i="79"/>
  <c r="D46" i="79"/>
  <c r="F33" i="79"/>
  <c r="F61" i="79" s="1"/>
  <c r="F31" i="79"/>
  <c r="F23" i="79"/>
  <c r="F21" i="79"/>
  <c r="F20" i="79"/>
  <c r="M19" i="79"/>
  <c r="F18" i="79"/>
  <c r="M17" i="79"/>
  <c r="F17" i="79"/>
  <c r="F15" i="79"/>
  <c r="D23" i="79" l="1"/>
  <c r="D22" i="79"/>
  <c r="D24" i="79"/>
  <c r="P61" i="79"/>
  <c r="E71" i="39" l="1"/>
  <c r="F71" i="39" s="1"/>
  <c r="G71" i="39" s="1"/>
  <c r="H71" i="39" s="1"/>
  <c r="I71" i="39" s="1"/>
  <c r="J71" i="39" s="1"/>
  <c r="K71" i="39" s="1"/>
  <c r="L71" i="39" s="1"/>
  <c r="M71" i="39" s="1"/>
  <c r="D71" i="39"/>
  <c r="N6" i="1" l="1"/>
  <c r="C11" i="4"/>
  <c r="B6" i="4"/>
  <c r="Y6" i="1" l="1"/>
  <c r="D3" i="4"/>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X17" i="71" s="1"/>
  <c r="N19" i="71"/>
  <c r="AH18" i="71"/>
  <c r="AG18" i="71"/>
  <c r="AE18" i="71"/>
  <c r="AF18" i="71" s="1"/>
  <c r="AD18" i="71"/>
  <c r="Q19" i="71"/>
  <c r="P19" i="71"/>
  <c r="O19" i="71"/>
  <c r="M19" i="43"/>
  <c r="D21" i="71"/>
  <c r="AH19" i="71"/>
  <c r="AG19" i="71"/>
  <c r="AE19" i="71"/>
  <c r="AF19" i="71" s="1"/>
  <c r="AD19" i="71"/>
  <c r="AD20" i="71"/>
  <c r="AG20" i="71"/>
  <c r="AH20" i="71"/>
  <c r="AE20" i="71"/>
  <c r="AF20" i="71" s="1"/>
  <c r="N20" i="71"/>
  <c r="B20" i="71" s="1"/>
  <c r="B19" i="71" s="1"/>
  <c r="B18" i="71" s="1"/>
  <c r="B17" i="71" s="1"/>
  <c r="B16" i="71" s="1"/>
  <c r="B15" i="71" s="1"/>
  <c r="B14" i="71" s="1"/>
  <c r="B13" i="71" s="1"/>
  <c r="Q20" i="71"/>
  <c r="P20" i="71"/>
  <c r="E20" i="71" s="1"/>
  <c r="O20" i="71"/>
  <c r="Q21" i="71"/>
  <c r="F20" i="71"/>
  <c r="F19" i="71" s="1"/>
  <c r="F18" i="71" s="1"/>
  <c r="P21" i="71"/>
  <c r="O21" i="71"/>
  <c r="N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H12" i="43" s="1"/>
  <c r="AG9" i="43"/>
  <c r="AF9" i="43"/>
  <c r="AF12" i="43" s="1"/>
  <c r="AE9" i="43"/>
  <c r="AD9" i="43"/>
  <c r="AD12" i="43" s="1"/>
  <c r="AC9" i="43"/>
  <c r="AB9" i="43"/>
  <c r="AB12" i="43" s="1"/>
  <c r="AA9" i="43"/>
  <c r="AA12" i="43" s="1"/>
  <c r="Z9" i="43"/>
  <c r="Z12" i="43" s="1"/>
  <c r="AA10" i="43"/>
  <c r="AI10" i="43"/>
  <c r="AB10" i="43"/>
  <c r="AF10" i="43"/>
  <c r="AJ10" i="43"/>
  <c r="K49" i="9"/>
  <c r="E107" i="9"/>
  <c r="A122" i="9" s="1"/>
  <c r="A8" i="52" s="1"/>
  <c r="B54" i="72" s="1"/>
  <c r="E111" i="9"/>
  <c r="A126" i="9" s="1"/>
  <c r="E109" i="9"/>
  <c r="A124" i="9" s="1"/>
  <c r="B44" i="72"/>
  <c r="B42" i="72"/>
  <c r="B69" i="72"/>
  <c r="B68" i="72"/>
  <c r="B63" i="72"/>
  <c r="B62" i="72"/>
  <c r="B16" i="72"/>
  <c r="B65" i="72"/>
  <c r="B60" i="72"/>
  <c r="B67" i="72"/>
  <c r="B66" i="72"/>
  <c r="B10" i="72"/>
  <c r="C53" i="10"/>
  <c r="B51" i="10"/>
  <c r="B19" i="72"/>
  <c r="A18" i="51"/>
  <c r="B13" i="72" s="1"/>
  <c r="C8" i="68"/>
  <c r="B49" i="48"/>
  <c r="B5" i="72"/>
  <c r="I19" i="43"/>
  <c r="D85" i="71"/>
  <c r="F84" i="71"/>
  <c r="E84" i="71"/>
  <c r="E83" i="71" s="1"/>
  <c r="E82" i="71"/>
  <c r="C84" i="71"/>
  <c r="D84" i="71"/>
  <c r="B84" i="71"/>
  <c r="F83" i="71"/>
  <c r="F82" i="71" s="1"/>
  <c r="B83" i="71"/>
  <c r="B82" i="71" s="1"/>
  <c r="D81" i="71"/>
  <c r="F80" i="71"/>
  <c r="E80" i="71"/>
  <c r="E79" i="71" s="1"/>
  <c r="E78" i="71"/>
  <c r="C80" i="71"/>
  <c r="D80" i="71"/>
  <c r="B80" i="71"/>
  <c r="F79" i="71"/>
  <c r="F78" i="71" s="1"/>
  <c r="B79" i="71"/>
  <c r="B78" i="71" s="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C50" i="71"/>
  <c r="C51" i="71" s="1"/>
  <c r="Q49" i="71"/>
  <c r="F50" i="71"/>
  <c r="P49" i="71"/>
  <c r="E50" i="71" s="1"/>
  <c r="O49" i="71"/>
  <c r="N49" i="71"/>
  <c r="B50" i="71"/>
  <c r="B51" i="71" s="1"/>
  <c r="B52" i="71"/>
  <c r="S52" i="71" s="1"/>
  <c r="D49" i="71"/>
  <c r="Q48" i="71"/>
  <c r="P48" i="71"/>
  <c r="O48" i="71"/>
  <c r="N48" i="71"/>
  <c r="Q47" i="71"/>
  <c r="P47" i="71"/>
  <c r="O47" i="71"/>
  <c r="N47" i="71"/>
  <c r="Q46" i="71"/>
  <c r="P46" i="71"/>
  <c r="O46" i="71"/>
  <c r="N46" i="71"/>
  <c r="Q45" i="71"/>
  <c r="F46" i="71"/>
  <c r="F47" i="71" s="1"/>
  <c r="F48" i="71" s="1"/>
  <c r="V48" i="71" s="1"/>
  <c r="P45" i="71"/>
  <c r="E46" i="7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c r="B44" i="71" s="1"/>
  <c r="S44" i="71"/>
  <c r="D41" i="71"/>
  <c r="Q40" i="71"/>
  <c r="P40" i="71"/>
  <c r="O40" i="71"/>
  <c r="N40" i="71"/>
  <c r="Q39" i="71"/>
  <c r="P39" i="71"/>
  <c r="O39" i="71"/>
  <c r="N39" i="71"/>
  <c r="Q38" i="71"/>
  <c r="P38" i="71"/>
  <c r="O38" i="71"/>
  <c r="N38" i="71"/>
  <c r="Q37" i="71"/>
  <c r="F38" i="71" s="1"/>
  <c r="F39" i="71" s="1"/>
  <c r="F40" i="71" s="1"/>
  <c r="V40" i="71" s="1"/>
  <c r="P37" i="71"/>
  <c r="E38" i="71"/>
  <c r="E39" i="71" s="1"/>
  <c r="E40" i="71"/>
  <c r="U40" i="71" s="1"/>
  <c r="O37" i="71"/>
  <c r="C38" i="71" s="1"/>
  <c r="D38" i="71" s="1"/>
  <c r="N37" i="71"/>
  <c r="B38" i="71" s="1"/>
  <c r="B39" i="71" s="1"/>
  <c r="B40" i="71" s="1"/>
  <c r="S40" i="71" s="1"/>
  <c r="D37" i="71"/>
  <c r="Q36" i="71"/>
  <c r="P36" i="71"/>
  <c r="O36" i="71"/>
  <c r="N36" i="71"/>
  <c r="AB35" i="71"/>
  <c r="Q35" i="71"/>
  <c r="P35" i="71"/>
  <c r="O35" i="71"/>
  <c r="N35" i="71"/>
  <c r="X35" i="71"/>
  <c r="Q34" i="71"/>
  <c r="AB34" i="71"/>
  <c r="P34" i="71"/>
  <c r="O34" i="71"/>
  <c r="N34" i="71"/>
  <c r="Q33" i="71"/>
  <c r="F34" i="71" s="1"/>
  <c r="F35" i="71" s="1"/>
  <c r="F36" i="71" s="1"/>
  <c r="V36" i="71" s="1"/>
  <c r="P33" i="71"/>
  <c r="O33" i="71"/>
  <c r="C34" i="71" s="1"/>
  <c r="N33" i="71"/>
  <c r="D33" i="71"/>
  <c r="Q32" i="71"/>
  <c r="P32" i="71"/>
  <c r="O32" i="71"/>
  <c r="Y32" i="71" s="1"/>
  <c r="Z32" i="71"/>
  <c r="N32" i="71"/>
  <c r="Q31" i="71"/>
  <c r="P31" i="71"/>
  <c r="O31" i="71"/>
  <c r="N31" i="71"/>
  <c r="Q30" i="71"/>
  <c r="AB30" i="71"/>
  <c r="P30" i="71"/>
  <c r="O30" i="71"/>
  <c r="N30" i="71"/>
  <c r="Q29" i="71"/>
  <c r="F30" i="71" s="1"/>
  <c r="F31" i="71" s="1"/>
  <c r="F32" i="71" s="1"/>
  <c r="V32" i="71" s="1"/>
  <c r="P29" i="71"/>
  <c r="O29" i="71"/>
  <c r="N29" i="71"/>
  <c r="D29" i="71"/>
  <c r="Q28" i="71"/>
  <c r="P28" i="71"/>
  <c r="O28" i="71"/>
  <c r="Y28" i="71" s="1"/>
  <c r="Z28" i="71"/>
  <c r="N28" i="71"/>
  <c r="Q27" i="71"/>
  <c r="P27" i="71"/>
  <c r="O27" i="71"/>
  <c r="N27" i="71"/>
  <c r="X25" i="71" s="1"/>
  <c r="Q26" i="71"/>
  <c r="AB26" i="71"/>
  <c r="P26" i="71"/>
  <c r="O26" i="71"/>
  <c r="N26" i="71"/>
  <c r="Q25" i="71"/>
  <c r="AB25" i="71" s="1"/>
  <c r="P25" i="71"/>
  <c r="O25" i="71"/>
  <c r="N25" i="71"/>
  <c r="D25" i="71"/>
  <c r="O24" i="71"/>
  <c r="N24" i="71"/>
  <c r="B26" i="71"/>
  <c r="B27" i="71"/>
  <c r="B28" i="71" s="1"/>
  <c r="S28" i="71"/>
  <c r="E26" i="71"/>
  <c r="E27" i="71" s="1"/>
  <c r="AA25" i="71"/>
  <c r="B30" i="71"/>
  <c r="B31" i="71"/>
  <c r="B34" i="71"/>
  <c r="B35" i="71" s="1"/>
  <c r="B36" i="71"/>
  <c r="S36" i="71" s="1"/>
  <c r="X33" i="71"/>
  <c r="E34" i="71"/>
  <c r="E35" i="71"/>
  <c r="E36" i="71" s="1"/>
  <c r="U36" i="71"/>
  <c r="N64" i="71"/>
  <c r="E30" i="71"/>
  <c r="E31" i="71"/>
  <c r="E32" i="71" s="1"/>
  <c r="U32" i="71"/>
  <c r="C26" i="71"/>
  <c r="X26" i="71"/>
  <c r="X27" i="71"/>
  <c r="C30" i="71"/>
  <c r="C31" i="71" s="1"/>
  <c r="Y29" i="71"/>
  <c r="Z29" i="71" s="1"/>
  <c r="AB29" i="71"/>
  <c r="X32" i="71"/>
  <c r="AA32" i="71"/>
  <c r="AB33" i="71"/>
  <c r="X34" i="71"/>
  <c r="C24" i="71"/>
  <c r="T24" i="71" s="1"/>
  <c r="Y23" i="71"/>
  <c r="Z23" i="71" s="1"/>
  <c r="B24" i="71"/>
  <c r="B23" i="71" s="1"/>
  <c r="B22" i="71" s="1"/>
  <c r="X21" i="71"/>
  <c r="X22" i="71"/>
  <c r="X24" i="71"/>
  <c r="C27" i="71"/>
  <c r="C28" i="71" s="1"/>
  <c r="D26" i="71"/>
  <c r="C35" i="71"/>
  <c r="C36" i="71" s="1"/>
  <c r="D34" i="71"/>
  <c r="C39" i="71"/>
  <c r="C40" i="71" s="1"/>
  <c r="D42" i="71"/>
  <c r="P24" i="71"/>
  <c r="AA23" i="71" s="1"/>
  <c r="E51" i="71"/>
  <c r="E52" i="71" s="1"/>
  <c r="U52" i="71" s="1"/>
  <c r="E55" i="71"/>
  <c r="E56" i="71"/>
  <c r="U56" i="71" s="1"/>
  <c r="U64" i="71"/>
  <c r="E63" i="71"/>
  <c r="Q24" i="71"/>
  <c r="AB23" i="71" s="1"/>
  <c r="C55" i="71"/>
  <c r="D54" i="71"/>
  <c r="C59" i="71"/>
  <c r="D58" i="71"/>
  <c r="N63" i="71"/>
  <c r="B62" i="71"/>
  <c r="N62" i="71" s="1"/>
  <c r="T64" i="71"/>
  <c r="O64" i="71"/>
  <c r="D64" i="71"/>
  <c r="C63" i="71"/>
  <c r="C67" i="71"/>
  <c r="C66" i="71" s="1"/>
  <c r="D66" i="71" s="1"/>
  <c r="E67" i="71"/>
  <c r="E66" i="71" s="1"/>
  <c r="D68" i="71"/>
  <c r="C71" i="71"/>
  <c r="D71" i="71" s="1"/>
  <c r="E71" i="71"/>
  <c r="E70" i="71" s="1"/>
  <c r="D72" i="71"/>
  <c r="C75" i="71"/>
  <c r="D75" i="71" s="1"/>
  <c r="E75" i="71"/>
  <c r="E74" i="71" s="1"/>
  <c r="D76" i="71"/>
  <c r="C79" i="71"/>
  <c r="D79" i="71" s="1"/>
  <c r="C83" i="71"/>
  <c r="D83" i="71" s="1"/>
  <c r="F24" i="71"/>
  <c r="F23" i="71" s="1"/>
  <c r="F22" i="71" s="1"/>
  <c r="AB22" i="71"/>
  <c r="E24" i="71"/>
  <c r="V24" i="71" s="1"/>
  <c r="E23" i="71"/>
  <c r="E22" i="71" s="1"/>
  <c r="AA21" i="71"/>
  <c r="AA22" i="71"/>
  <c r="C62" i="71"/>
  <c r="O63" i="71"/>
  <c r="D63" i="71"/>
  <c r="C60" i="71"/>
  <c r="T60" i="71" s="1"/>
  <c r="D59" i="71"/>
  <c r="C78" i="71"/>
  <c r="D78" i="71"/>
  <c r="N61" i="71"/>
  <c r="D67" i="71"/>
  <c r="C56" i="71"/>
  <c r="D56" i="71" s="1"/>
  <c r="D55" i="71"/>
  <c r="P63" i="71"/>
  <c r="E62" i="71"/>
  <c r="P61" i="71" s="1"/>
  <c r="D39" i="71"/>
  <c r="D35" i="71"/>
  <c r="C32" i="71"/>
  <c r="T32" i="71" s="1"/>
  <c r="D31" i="71"/>
  <c r="P62" i="71"/>
  <c r="O62" i="71"/>
  <c r="D62" i="71"/>
  <c r="O61" i="71"/>
  <c r="D32" i="71"/>
  <c r="T56"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25" i="40"/>
  <c r="AA25" i="40" s="1"/>
  <c r="Q29" i="39"/>
  <c r="Z29" i="39" s="1"/>
  <c r="D103" i="39"/>
  <c r="E103" i="39" s="1"/>
  <c r="F103" i="39" s="1"/>
  <c r="G103" i="39" s="1"/>
  <c r="F29" i="39"/>
  <c r="AA29" i="39" s="1"/>
  <c r="Q18" i="36"/>
  <c r="Z18" i="36"/>
  <c r="D66" i="36"/>
  <c r="E66" i="36" s="1"/>
  <c r="F66" i="36" s="1"/>
  <c r="G66" i="36" s="1"/>
  <c r="H18" i="36"/>
  <c r="U18" i="36" s="1"/>
  <c r="AB18" i="36"/>
  <c r="F18" i="36"/>
  <c r="AA18" i="36" s="1"/>
  <c r="C18" i="36"/>
  <c r="Z18" i="35"/>
  <c r="Q18" i="35"/>
  <c r="D68" i="35"/>
  <c r="E68" i="35"/>
  <c r="F18" i="35"/>
  <c r="AA18" i="35" s="1"/>
  <c r="C18" i="35"/>
  <c r="Q21" i="37"/>
  <c r="Z21" i="37" s="1"/>
  <c r="D77" i="37"/>
  <c r="E77" i="37" s="1"/>
  <c r="F77" i="37" s="1"/>
  <c r="G77" i="37" s="1"/>
  <c r="C21" i="37"/>
  <c r="Z21" i="34"/>
  <c r="Q21" i="34"/>
  <c r="D84" i="34"/>
  <c r="E84" i="34"/>
  <c r="F21" i="34"/>
  <c r="AA21" i="34" s="1"/>
  <c r="C21" i="34"/>
  <c r="Q21" i="33"/>
  <c r="Z21" i="33" s="1"/>
  <c r="D83" i="33"/>
  <c r="E83" i="33" s="1"/>
  <c r="F83" i="33" s="1"/>
  <c r="G83" i="33" s="1"/>
  <c r="C21" i="33"/>
  <c r="C21" i="21"/>
  <c r="Q21" i="21"/>
  <c r="Z21" i="21" s="1"/>
  <c r="H19" i="21"/>
  <c r="D83" i="21"/>
  <c r="F21" i="21"/>
  <c r="AA21" i="21" s="1"/>
  <c r="D81" i="21"/>
  <c r="G20" i="20"/>
  <c r="B86" i="43" s="1"/>
  <c r="C22" i="20"/>
  <c r="B75" i="43"/>
  <c r="B55" i="43"/>
  <c r="B66" i="43"/>
  <c r="C29" i="39"/>
  <c r="S25" i="40"/>
  <c r="S18" i="36"/>
  <c r="F94" i="40"/>
  <c r="G94" i="40" s="1"/>
  <c r="H25" i="40"/>
  <c r="AB25" i="40" s="1"/>
  <c r="J25" i="40"/>
  <c r="W25" i="40" s="1"/>
  <c r="H29" i="39"/>
  <c r="AB29" i="39" s="1"/>
  <c r="J29" i="39"/>
  <c r="AC29" i="39" s="1"/>
  <c r="J18" i="36"/>
  <c r="W18" i="36" s="1"/>
  <c r="F68" i="35"/>
  <c r="H18" i="35"/>
  <c r="G68" i="35"/>
  <c r="J18" i="35"/>
  <c r="AC18" i="35" s="1"/>
  <c r="H21" i="37"/>
  <c r="F21" i="37"/>
  <c r="S21" i="37" s="1"/>
  <c r="F84" i="34"/>
  <c r="G84" i="34" s="1"/>
  <c r="H21" i="34"/>
  <c r="AB21" i="34" s="1"/>
  <c r="H21" i="33"/>
  <c r="AB21" i="33" s="1"/>
  <c r="F21" i="33"/>
  <c r="AA21" i="33" s="1"/>
  <c r="E83" i="21"/>
  <c r="F83" i="21" s="1"/>
  <c r="G83" i="21" s="1"/>
  <c r="H1" i="69"/>
  <c r="AC25" i="40"/>
  <c r="U25" i="40"/>
  <c r="AC18" i="36"/>
  <c r="AB21" i="37"/>
  <c r="U21" i="37"/>
  <c r="U21" i="34"/>
  <c r="S21" i="33"/>
  <c r="AB18" i="35"/>
  <c r="U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20" i="66"/>
  <c r="I19" i="66"/>
  <c r="I18" i="66"/>
  <c r="I17" i="66"/>
  <c r="E15" i="66"/>
  <c r="I15" i="66"/>
  <c r="I9" i="66"/>
  <c r="I8" i="66"/>
  <c r="I7" i="66"/>
  <c r="I6" i="66"/>
  <c r="I5" i="66"/>
  <c r="I4" i="66"/>
  <c r="I3" i="66"/>
  <c r="D1" i="43"/>
  <c r="F113" i="43"/>
  <c r="N99" i="43"/>
  <c r="N108" i="43"/>
  <c r="D99" i="43"/>
  <c r="D108" i="43" s="1"/>
  <c r="E99" i="43"/>
  <c r="E108" i="43"/>
  <c r="F99" i="43"/>
  <c r="F108" i="43" s="1"/>
  <c r="G99" i="43"/>
  <c r="G108" i="43"/>
  <c r="H99" i="43"/>
  <c r="H108" i="43" s="1"/>
  <c r="I99" i="43"/>
  <c r="I108" i="43"/>
  <c r="J99" i="43"/>
  <c r="J108" i="43" s="1"/>
  <c r="K99" i="43"/>
  <c r="K108" i="43"/>
  <c r="L99" i="43"/>
  <c r="L108" i="43" s="1"/>
  <c r="M99" i="43"/>
  <c r="M108" i="43"/>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s="1"/>
  <c r="D76" i="43"/>
  <c r="M75" i="43"/>
  <c r="N75" i="43"/>
  <c r="K75" i="43"/>
  <c r="J75" i="43" s="1"/>
  <c r="D75" i="43"/>
  <c r="M74" i="43"/>
  <c r="N74" i="43"/>
  <c r="K74" i="43"/>
  <c r="J74" i="43"/>
  <c r="D74" i="43"/>
  <c r="M73" i="43"/>
  <c r="N73" i="43" s="1"/>
  <c r="K73" i="43"/>
  <c r="J73" i="43"/>
  <c r="D73" i="43"/>
  <c r="M72" i="43"/>
  <c r="N72" i="43"/>
  <c r="K72" i="43"/>
  <c r="J72" i="43" s="1"/>
  <c r="D72" i="43"/>
  <c r="M71" i="43"/>
  <c r="N71" i="43"/>
  <c r="K71" i="43"/>
  <c r="J71" i="43" s="1"/>
  <c r="D71" i="43"/>
  <c r="M70" i="43"/>
  <c r="N70" i="43"/>
  <c r="K70" i="43"/>
  <c r="J70" i="43"/>
  <c r="D70" i="43"/>
  <c r="M67" i="43"/>
  <c r="N67" i="43" s="1"/>
  <c r="K67" i="43"/>
  <c r="J67" i="43"/>
  <c r="M66" i="43"/>
  <c r="N66" i="43" s="1"/>
  <c r="K66" i="43"/>
  <c r="J66" i="43" s="1"/>
  <c r="M65" i="43"/>
  <c r="N65" i="43" s="1"/>
  <c r="K65" i="43"/>
  <c r="J65" i="43"/>
  <c r="M64" i="43"/>
  <c r="N64" i="43" s="1"/>
  <c r="K64" i="43"/>
  <c r="J64" i="43" s="1"/>
  <c r="M63" i="43"/>
  <c r="N63" i="43" s="1"/>
  <c r="K63" i="43"/>
  <c r="J63" i="43"/>
  <c r="M62" i="43"/>
  <c r="N62" i="43" s="1"/>
  <c r="K62" i="43"/>
  <c r="J62" i="43" s="1"/>
  <c r="M61" i="43"/>
  <c r="N61" i="43" s="1"/>
  <c r="K61" i="43"/>
  <c r="J61" i="43"/>
  <c r="M60" i="43"/>
  <c r="N60" i="43" s="1"/>
  <c r="K60" i="43"/>
  <c r="J60" i="43" s="1"/>
  <c r="M59" i="43"/>
  <c r="N59" i="43" s="1"/>
  <c r="K59" i="43"/>
  <c r="J59" i="43"/>
  <c r="M56" i="43"/>
  <c r="N56" i="43" s="1"/>
  <c r="K56" i="43"/>
  <c r="J56" i="43" s="1"/>
  <c r="D56" i="43"/>
  <c r="M55" i="43"/>
  <c r="N55" i="43"/>
  <c r="K55" i="43"/>
  <c r="J55" i="43"/>
  <c r="D55" i="43"/>
  <c r="M54" i="43"/>
  <c r="N54" i="43" s="1"/>
  <c r="K54" i="43"/>
  <c r="J54" i="43" s="1"/>
  <c r="D54" i="43"/>
  <c r="M53" i="43"/>
  <c r="N53" i="43" s="1"/>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K13" i="1" s="1"/>
  <c r="A6" i="1"/>
  <c r="G1" i="79" s="1"/>
  <c r="K10" i="1"/>
  <c r="M10" i="1" s="1"/>
  <c r="O10" i="1" s="1"/>
  <c r="P10" i="1" s="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BC57" i="3"/>
  <c r="BB57" i="3"/>
  <c r="AZ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L23" i="3" s="1"/>
  <c r="AZ23" i="3" s="1"/>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AZ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BT438" i="3"/>
  <c r="BS438" i="3"/>
  <c r="BR438" i="3"/>
  <c r="BQ438" i="3"/>
  <c r="BP438" i="3"/>
  <c r="BO438" i="3"/>
  <c r="BL438" i="3" s="1"/>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AZ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AZ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c r="C60" i="40" s="1"/>
  <c r="H59" i="40"/>
  <c r="I59" i="40"/>
  <c r="C59" i="40"/>
  <c r="H58" i="40"/>
  <c r="I58" i="40"/>
  <c r="C58" i="40"/>
  <c r="H57" i="40"/>
  <c r="I57" i="40" s="1"/>
  <c r="C57" i="40" s="1"/>
  <c r="H56" i="40"/>
  <c r="I56" i="40"/>
  <c r="C56" i="40" s="1"/>
  <c r="H55" i="40"/>
  <c r="I55" i="40"/>
  <c r="C55" i="40"/>
  <c r="H54" i="40"/>
  <c r="I54" i="40"/>
  <c r="C54" i="40"/>
  <c r="H53" i="40"/>
  <c r="I53" i="40" s="1"/>
  <c r="C53" i="40" s="1"/>
  <c r="H52" i="40"/>
  <c r="I52" i="40"/>
  <c r="C52" i="40" s="1"/>
  <c r="H65" i="39"/>
  <c r="I65" i="39"/>
  <c r="C65" i="39"/>
  <c r="H64" i="39"/>
  <c r="I64" i="39"/>
  <c r="C64" i="39"/>
  <c r="H60" i="39"/>
  <c r="I60" i="39" s="1"/>
  <c r="C60" i="39" s="1"/>
  <c r="H59" i="39"/>
  <c r="I59" i="39"/>
  <c r="C59" i="39" s="1"/>
  <c r="H58" i="39"/>
  <c r="I58" i="39"/>
  <c r="C58" i="39"/>
  <c r="H57" i="39"/>
  <c r="I57" i="39"/>
  <c r="C57" i="39"/>
  <c r="H61" i="39"/>
  <c r="I61" i="39" s="1"/>
  <c r="C61" i="39" s="1"/>
  <c r="H63" i="39"/>
  <c r="I63" i="39"/>
  <c r="C63" i="39" s="1"/>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c r="R280" i="31"/>
  <c r="R281" i="31"/>
  <c r="S281" i="31"/>
  <c r="R282" i="31"/>
  <c r="R283" i="31"/>
  <c r="S283" i="31" s="1"/>
  <c r="R284" i="31"/>
  <c r="R285" i="31"/>
  <c r="S285" i="31"/>
  <c r="R286" i="31"/>
  <c r="R287" i="31"/>
  <c r="S287" i="31"/>
  <c r="R288" i="31"/>
  <c r="R289" i="31"/>
  <c r="S289" i="31"/>
  <c r="R290" i="31"/>
  <c r="R291" i="31"/>
  <c r="S291" i="31" s="1"/>
  <c r="R292" i="31"/>
  <c r="R293" i="31"/>
  <c r="S293" i="31"/>
  <c r="R294" i="31"/>
  <c r="R295" i="31"/>
  <c r="S295" i="31"/>
  <c r="R296" i="31"/>
  <c r="R297" i="31"/>
  <c r="S297" i="31"/>
  <c r="R298" i="31"/>
  <c r="R299" i="31"/>
  <c r="S299" i="31" s="1"/>
  <c r="R300" i="31"/>
  <c r="R301" i="31"/>
  <c r="S301" i="31"/>
  <c r="R302" i="31"/>
  <c r="R303" i="31"/>
  <c r="S303" i="31"/>
  <c r="R304" i="31"/>
  <c r="R305" i="31"/>
  <c r="S305" i="31"/>
  <c r="R306" i="31"/>
  <c r="R307" i="31"/>
  <c r="S307" i="31" s="1"/>
  <c r="R308" i="31"/>
  <c r="R309" i="31"/>
  <c r="S309" i="31"/>
  <c r="R310" i="31"/>
  <c r="R311" i="31"/>
  <c r="S311" i="31"/>
  <c r="R312" i="31"/>
  <c r="R313" i="31"/>
  <c r="S313" i="31"/>
  <c r="R314" i="31"/>
  <c r="R315" i="31"/>
  <c r="S315" i="31" s="1"/>
  <c r="R316" i="31"/>
  <c r="R317" i="31"/>
  <c r="S317" i="31"/>
  <c r="R318" i="31"/>
  <c r="R319" i="31"/>
  <c r="S319" i="31"/>
  <c r="R320" i="31"/>
  <c r="R321" i="31"/>
  <c r="S321" i="31"/>
  <c r="R322" i="31"/>
  <c r="R323" i="31"/>
  <c r="S323" i="31" s="1"/>
  <c r="R324" i="31"/>
  <c r="R325" i="31"/>
  <c r="S325" i="31"/>
  <c r="R326" i="31"/>
  <c r="R327" i="31"/>
  <c r="S327" i="3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c r="R344" i="31"/>
  <c r="R345" i="31"/>
  <c r="S345" i="31"/>
  <c r="R346" i="3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c r="R376" i="31"/>
  <c r="R377" i="31"/>
  <c r="S377" i="31"/>
  <c r="R378" i="31"/>
  <c r="R379" i="31"/>
  <c r="S379" i="31" s="1"/>
  <c r="R380" i="31"/>
  <c r="R381" i="31"/>
  <c r="S381" i="31"/>
  <c r="R382" i="31"/>
  <c r="R383" i="31"/>
  <c r="S383" i="31"/>
  <c r="R384" i="31"/>
  <c r="R385" i="31"/>
  <c r="S385" i="31"/>
  <c r="R386" i="31"/>
  <c r="R387" i="31"/>
  <c r="S387" i="31" s="1"/>
  <c r="R388" i="31"/>
  <c r="R389" i="31"/>
  <c r="S389" i="31"/>
  <c r="R390" i="31"/>
  <c r="R391" i="31"/>
  <c r="S391" i="3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c r="R408" i="31"/>
  <c r="R409" i="31"/>
  <c r="S409" i="31"/>
  <c r="R410" i="31"/>
  <c r="R411" i="31"/>
  <c r="S411" i="31" s="1"/>
  <c r="R412" i="31"/>
  <c r="R413" i="31"/>
  <c r="S413" i="31"/>
  <c r="R414" i="31"/>
  <c r="R415" i="31"/>
  <c r="S415" i="31"/>
  <c r="R416" i="31"/>
  <c r="R417" i="31"/>
  <c r="S417" i="3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c r="D100" i="40"/>
  <c r="E100" i="40"/>
  <c r="F100" i="40"/>
  <c r="G100" i="40"/>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U39" i="40" s="1"/>
  <c r="Q38" i="40"/>
  <c r="Z38" i="40" s="1"/>
  <c r="J38" i="40"/>
  <c r="AC38" i="40"/>
  <c r="H38" i="40"/>
  <c r="AB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Q39" i="39"/>
  <c r="Z39" i="39" s="1"/>
  <c r="Q40" i="39"/>
  <c r="Z40" i="39"/>
  <c r="Q41" i="39"/>
  <c r="Z41" i="39" s="1"/>
  <c r="Q42" i="39"/>
  <c r="Z42" i="39"/>
  <c r="Q43" i="39"/>
  <c r="Z43" i="39" s="1"/>
  <c r="Q44" i="39"/>
  <c r="Z44" i="39" s="1"/>
  <c r="Q45" i="39"/>
  <c r="Z45" i="39" s="1"/>
  <c r="Q38" i="39"/>
  <c r="Z38" i="39"/>
  <c r="Q36" i="39"/>
  <c r="Z36" i="39" s="1"/>
  <c r="Q37" i="39"/>
  <c r="Z37" i="39"/>
  <c r="B131" i="39"/>
  <c r="H45" i="39" s="1"/>
  <c r="B129" i="39"/>
  <c r="F44" i="39" s="1"/>
  <c r="AA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c r="Q23" i="39"/>
  <c r="Z23" i="39" s="1"/>
  <c r="Q21" i="39"/>
  <c r="Z21" i="39"/>
  <c r="Q19" i="39"/>
  <c r="Z19" i="39" s="1"/>
  <c r="Q17" i="39"/>
  <c r="Z17" i="39"/>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c r="D73" i="37"/>
  <c r="E73" i="37" s="1"/>
  <c r="F73" i="37" s="1"/>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c r="F30" i="37"/>
  <c r="AA30" i="37" s="1"/>
  <c r="Q29" i="37"/>
  <c r="Z29" i="37"/>
  <c r="H29" i="37"/>
  <c r="AB29" i="37" s="1"/>
  <c r="Q28" i="37"/>
  <c r="Z28" i="37" s="1"/>
  <c r="Q27" i="37"/>
  <c r="Z27" i="37" s="1"/>
  <c r="Q26" i="37"/>
  <c r="Z26" i="37" s="1"/>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c r="H8" i="37"/>
  <c r="AB8" i="37" s="1"/>
  <c r="F8" i="37"/>
  <c r="S8" i="37"/>
  <c r="J31" i="36"/>
  <c r="H31" i="36"/>
  <c r="AB31" i="36" s="1"/>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B57" i="36"/>
  <c r="J12" i="36" s="1"/>
  <c r="B55" i="36"/>
  <c r="F54" i="36"/>
  <c r="G54" i="36" s="1"/>
  <c r="H54" i="36" s="1"/>
  <c r="I54" i="36" s="1"/>
  <c r="C51" i="36"/>
  <c r="H9" i="36" s="1"/>
  <c r="AB9" i="36" s="1"/>
  <c r="P37" i="36"/>
  <c r="P36" i="36"/>
  <c r="V35" i="36"/>
  <c r="T35" i="36"/>
  <c r="R35" i="36"/>
  <c r="P35" i="36"/>
  <c r="Q34" i="36"/>
  <c r="Z34" i="36"/>
  <c r="Q33" i="36"/>
  <c r="Z33" i="36" s="1"/>
  <c r="Q32" i="36"/>
  <c r="Z32" i="36"/>
  <c r="Q31" i="36"/>
  <c r="Z31" i="36" s="1"/>
  <c r="Q30" i="36"/>
  <c r="Z30" i="36"/>
  <c r="AC30" i="36"/>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s="1"/>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c r="J124" i="34" s="1"/>
  <c r="K124" i="34" s="1"/>
  <c r="L124" i="34" s="1"/>
  <c r="M124" i="34" s="1"/>
  <c r="H43" i="34"/>
  <c r="AB43" i="34"/>
  <c r="D118" i="34"/>
  <c r="E118" i="34"/>
  <c r="F118" i="34" s="1"/>
  <c r="G118" i="34" s="1"/>
  <c r="D116" i="34"/>
  <c r="E116" i="34"/>
  <c r="F116" i="34" s="1"/>
  <c r="G116" i="34" s="1"/>
  <c r="H116" i="34" s="1"/>
  <c r="I116" i="34"/>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J12" i="34"/>
  <c r="W12" i="34" s="1"/>
  <c r="Q11" i="34"/>
  <c r="Z11" i="34" s="1"/>
  <c r="Q10" i="34"/>
  <c r="Z10" i="34"/>
  <c r="F10" i="34"/>
  <c r="AA10" i="34" s="1"/>
  <c r="Q9" i="34"/>
  <c r="Z9" i="34"/>
  <c r="J9" i="34"/>
  <c r="AC9" i="34" s="1"/>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s="1"/>
  <c r="Q42" i="33"/>
  <c r="Z42" i="33" s="1"/>
  <c r="J42" i="33"/>
  <c r="AC42" i="33" s="1"/>
  <c r="AC41" i="33"/>
  <c r="W41" i="33"/>
  <c r="Q41" i="33"/>
  <c r="Z41" i="33" s="1"/>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c r="B130" i="21"/>
  <c r="B128" i="21"/>
  <c r="J45" i="21"/>
  <c r="W45" i="21"/>
  <c r="B126" i="21"/>
  <c r="B98" i="21"/>
  <c r="H31" i="21"/>
  <c r="B96" i="21"/>
  <c r="B94" i="21"/>
  <c r="J29" i="21" s="1"/>
  <c r="AC29" i="21"/>
  <c r="B92" i="21"/>
  <c r="B90" i="21"/>
  <c r="J27" i="21" s="1"/>
  <c r="W27" i="21" s="1"/>
  <c r="B74" i="21"/>
  <c r="B72" i="21"/>
  <c r="H13" i="21" s="1"/>
  <c r="B70" i="21"/>
  <c r="J12" i="21" s="1"/>
  <c r="AC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W9" i="34"/>
  <c r="S34" i="34"/>
  <c r="U34"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27"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J19" i="39"/>
  <c r="AC19" i="39" s="1"/>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s="1"/>
  <c r="AC8" i="35"/>
  <c r="J20" i="35"/>
  <c r="W20" i="35"/>
  <c r="F35" i="37"/>
  <c r="S35" i="37" s="1"/>
  <c r="E101" i="37"/>
  <c r="F101" i="37"/>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s="1"/>
  <c r="F27" i="34"/>
  <c r="AA27" i="34" s="1"/>
  <c r="F25" i="34"/>
  <c r="S25" i="34" s="1"/>
  <c r="H23" i="34"/>
  <c r="U23" i="34" s="1"/>
  <c r="J23" i="34"/>
  <c r="F19" i="34"/>
  <c r="H17" i="34"/>
  <c r="U17"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c r="F15" i="40"/>
  <c r="S15" i="40" s="1"/>
  <c r="H15" i="40"/>
  <c r="AB15" i="40"/>
  <c r="AB30" i="36"/>
  <c r="U30" i="35"/>
  <c r="F29" i="35"/>
  <c r="S29" i="35" s="1"/>
  <c r="H29" i="35"/>
  <c r="AB29" i="35" s="1"/>
  <c r="H33" i="37"/>
  <c r="AB33" i="37" s="1"/>
  <c r="F33" i="37"/>
  <c r="AA33" i="37" s="1"/>
  <c r="U34" i="37"/>
  <c r="W33" i="37"/>
  <c r="S34" i="37"/>
  <c r="AA34" i="37"/>
  <c r="J43" i="34"/>
  <c r="AB42" i="34"/>
  <c r="J40" i="34"/>
  <c r="H38" i="34"/>
  <c r="AB38" i="34"/>
  <c r="J36" i="34"/>
  <c r="W36" i="34" s="1"/>
  <c r="H37" i="34"/>
  <c r="U37" i="34"/>
  <c r="H25" i="34"/>
  <c r="AB25" i="34" s="1"/>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c r="J11" i="33"/>
  <c r="W11" i="33"/>
  <c r="U23" i="40"/>
  <c r="J42" i="21"/>
  <c r="AC42" i="21" s="1"/>
  <c r="H42" i="21"/>
  <c r="U42" i="21" s="1"/>
  <c r="J44" i="34"/>
  <c r="W44" i="34" s="1"/>
  <c r="F44" i="34"/>
  <c r="AA44" i="34" s="1"/>
  <c r="J10" i="35"/>
  <c r="W10" i="35"/>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c r="F30" i="35"/>
  <c r="S30" i="35" s="1"/>
  <c r="E89" i="35"/>
  <c r="F89" i="35"/>
  <c r="G89" i="35" s="1"/>
  <c r="H89" i="35" s="1"/>
  <c r="I89" i="35" s="1"/>
  <c r="J89" i="35" s="1"/>
  <c r="K89" i="35" s="1"/>
  <c r="L89" i="35" s="1"/>
  <c r="M89" i="35" s="1"/>
  <c r="H10" i="36"/>
  <c r="AB10" i="36" s="1"/>
  <c r="J14" i="36"/>
  <c r="AC14" i="36" s="1"/>
  <c r="H14" i="36"/>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S29" i="33" s="1"/>
  <c r="J31" i="33"/>
  <c r="W31" i="33"/>
  <c r="H31" i="33"/>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AC11" i="35" s="1"/>
  <c r="F11" i="35"/>
  <c r="S11" i="35"/>
  <c r="J26" i="36"/>
  <c r="W26" i="36" s="1"/>
  <c r="H28" i="36"/>
  <c r="U28" i="36"/>
  <c r="H32" i="36"/>
  <c r="AB32" i="36" s="1"/>
  <c r="J32" i="36"/>
  <c r="W32" i="36"/>
  <c r="J11" i="36"/>
  <c r="AC11" i="36" s="1"/>
  <c r="H11" i="36"/>
  <c r="U11" i="36"/>
  <c r="F11" i="36"/>
  <c r="AA11" i="36" s="1"/>
  <c r="H13" i="36"/>
  <c r="AB13" i="36"/>
  <c r="J13" i="36"/>
  <c r="AC13" i="36" s="1"/>
  <c r="F13" i="36"/>
  <c r="S13" i="36" s="1"/>
  <c r="E89" i="37"/>
  <c r="F89" i="37" s="1"/>
  <c r="G89" i="37" s="1"/>
  <c r="H89" i="37" s="1"/>
  <c r="I89" i="37"/>
  <c r="J89" i="37" s="1"/>
  <c r="K89" i="37" s="1"/>
  <c r="L89" i="37" s="1"/>
  <c r="M89" i="37" s="1"/>
  <c r="J29" i="37"/>
  <c r="W29" i="37" s="1"/>
  <c r="F29" i="37"/>
  <c r="S29" i="37"/>
  <c r="F105" i="37"/>
  <c r="H36" i="37"/>
  <c r="AB36" i="37" s="1"/>
  <c r="F107" i="37"/>
  <c r="G107" i="37" s="1"/>
  <c r="J37" i="37"/>
  <c r="AC37" i="37" s="1"/>
  <c r="H37" i="37"/>
  <c r="U37" i="37"/>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c r="F46" i="33"/>
  <c r="AA46" i="33" s="1"/>
  <c r="H46" i="33"/>
  <c r="AB46" i="33"/>
  <c r="H13" i="34"/>
  <c r="U13" i="34" s="1"/>
  <c r="J13" i="34"/>
  <c r="W13" i="34"/>
  <c r="F13" i="34"/>
  <c r="AA13" i="34" s="1"/>
  <c r="J29" i="34"/>
  <c r="F29" i="34"/>
  <c r="H29" i="34"/>
  <c r="AB29" i="34" s="1"/>
  <c r="J31" i="34"/>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F12" i="40"/>
  <c r="S12" i="40"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c r="F14" i="40"/>
  <c r="AA14" i="40" s="1"/>
  <c r="J14" i="37"/>
  <c r="AC14" i="37"/>
  <c r="J27" i="37"/>
  <c r="AC27" i="37" s="1"/>
  <c r="AA13" i="35"/>
  <c r="U31" i="34"/>
  <c r="U46" i="33"/>
  <c r="AA14" i="33"/>
  <c r="J36" i="37"/>
  <c r="AC36" i="37" s="1"/>
  <c r="G105" i="37"/>
  <c r="AB11" i="36"/>
  <c r="AB11" i="35"/>
  <c r="J10" i="36"/>
  <c r="AC10" i="36" s="1"/>
  <c r="AB30" i="21"/>
  <c r="AA14" i="37"/>
  <c r="W13" i="36"/>
  <c r="S11" i="36"/>
  <c r="W11" i="36"/>
  <c r="AB46" i="34"/>
  <c r="AC30" i="34"/>
  <c r="AA14" i="34"/>
  <c r="S45" i="33"/>
  <c r="AB45" i="33"/>
  <c r="AB31" i="33"/>
  <c r="U31" i="33"/>
  <c r="U13" i="33"/>
  <c r="S44" i="34"/>
  <c r="BA586" i="3"/>
  <c r="BA585" i="3"/>
  <c r="AZ585" i="3" s="1"/>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AZ552" i="3" s="1"/>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BA566" i="3"/>
  <c r="AZ566" i="3" s="1"/>
  <c r="BA564" i="3"/>
  <c r="AZ564" i="3" s="1"/>
  <c r="BA562" i="3"/>
  <c r="AZ562" i="3" s="1"/>
  <c r="BA560" i="3"/>
  <c r="AZ560" i="3" s="1"/>
  <c r="BA558" i="3"/>
  <c r="AZ558" i="3" s="1"/>
  <c r="BA556" i="3"/>
  <c r="AZ556" i="3"/>
  <c r="BA554" i="3"/>
  <c r="AZ554" i="3" s="1"/>
  <c r="BA552" i="3"/>
  <c r="BA548" i="3"/>
  <c r="AZ548" i="3" s="1"/>
  <c r="BA546" i="3"/>
  <c r="BA544" i="3"/>
  <c r="AZ544" i="3"/>
  <c r="BA542" i="3"/>
  <c r="AZ542" i="3" s="1"/>
  <c r="BA540" i="3"/>
  <c r="AZ540" i="3"/>
  <c r="BA538" i="3"/>
  <c r="AZ538" i="3" s="1"/>
  <c r="BA536" i="3"/>
  <c r="AZ536" i="3"/>
  <c r="BA534" i="3"/>
  <c r="AZ534" i="3" s="1"/>
  <c r="BA532" i="3"/>
  <c r="AZ532" i="3"/>
  <c r="BA530" i="3"/>
  <c r="BA528" i="3"/>
  <c r="AZ528" i="3" s="1"/>
  <c r="BA526" i="3"/>
  <c r="AZ526" i="3" s="1"/>
  <c r="BA524" i="3"/>
  <c r="AZ524" i="3" s="1"/>
  <c r="BA522" i="3"/>
  <c r="AZ522" i="3" s="1"/>
  <c r="BA520" i="3"/>
  <c r="BA518" i="3"/>
  <c r="AZ518" i="3" s="1"/>
  <c r="BA516" i="3"/>
  <c r="AZ516" i="3" s="1"/>
  <c r="BA514" i="3"/>
  <c r="BA512" i="3"/>
  <c r="BA510" i="3"/>
  <c r="AZ510" i="3" s="1"/>
  <c r="BA508" i="3"/>
  <c r="BA506" i="3"/>
  <c r="BA504" i="3"/>
  <c r="AZ504" i="3" s="1"/>
  <c r="BA502" i="3"/>
  <c r="BA500" i="3"/>
  <c r="AZ500" i="3" s="1"/>
  <c r="BA498" i="3"/>
  <c r="AZ498" i="3" s="1"/>
  <c r="BA496" i="3"/>
  <c r="BA494" i="3"/>
  <c r="AZ494" i="3" s="1"/>
  <c r="BA587" i="3"/>
  <c r="AZ587" i="3" s="1"/>
  <c r="BA583" i="3"/>
  <c r="BA581" i="3"/>
  <c r="BA579" i="3"/>
  <c r="BA577" i="3"/>
  <c r="BA575" i="3"/>
  <c r="AZ575" i="3" s="1"/>
  <c r="BA573" i="3"/>
  <c r="BA571" i="3"/>
  <c r="BA569" i="3"/>
  <c r="BA567" i="3"/>
  <c r="AZ567" i="3" s="1"/>
  <c r="BA565" i="3"/>
  <c r="BA563" i="3"/>
  <c r="BA561" i="3"/>
  <c r="BA559" i="3"/>
  <c r="BA555" i="3"/>
  <c r="AZ555" i="3" s="1"/>
  <c r="BA553" i="3"/>
  <c r="BA549" i="3"/>
  <c r="BA547" i="3"/>
  <c r="AZ547" i="3" s="1"/>
  <c r="BA545" i="3"/>
  <c r="BA543" i="3"/>
  <c r="BA541" i="3"/>
  <c r="BA539" i="3"/>
  <c r="AZ539" i="3" s="1"/>
  <c r="BA537" i="3"/>
  <c r="BA535" i="3"/>
  <c r="BA533" i="3"/>
  <c r="BA531" i="3"/>
  <c r="AZ531" i="3" s="1"/>
  <c r="BA529" i="3"/>
  <c r="BA527" i="3"/>
  <c r="BA525" i="3"/>
  <c r="BA523" i="3"/>
  <c r="AZ523" i="3" s="1"/>
  <c r="BA519" i="3"/>
  <c r="BA517" i="3"/>
  <c r="AZ517" i="3" s="1"/>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AZ579" i="3" s="1"/>
  <c r="BQ577" i="3"/>
  <c r="BL577" i="3" s="1"/>
  <c r="AZ577" i="3"/>
  <c r="BQ575" i="3"/>
  <c r="BL575" i="3" s="1"/>
  <c r="BQ573" i="3"/>
  <c r="BL573" i="3" s="1"/>
  <c r="BQ571" i="3"/>
  <c r="BL571" i="3"/>
  <c r="AZ571" i="3" s="1"/>
  <c r="BQ569" i="3"/>
  <c r="BL569" i="3" s="1"/>
  <c r="AZ569" i="3"/>
  <c r="BQ567" i="3"/>
  <c r="BL567" i="3" s="1"/>
  <c r="BQ565" i="3"/>
  <c r="BL565" i="3" s="1"/>
  <c r="BQ563" i="3"/>
  <c r="BL563" i="3"/>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s="1"/>
  <c r="BQ543" i="3"/>
  <c r="BL543" i="3" s="1"/>
  <c r="AZ543" i="3" s="1"/>
  <c r="BQ541" i="3"/>
  <c r="BL541" i="3"/>
  <c r="AZ541" i="3" s="1"/>
  <c r="BQ539" i="3"/>
  <c r="BL539" i="3" s="1"/>
  <c r="BQ537" i="3"/>
  <c r="BL537" i="3" s="1"/>
  <c r="BQ535" i="3"/>
  <c r="BL535" i="3" s="1"/>
  <c r="AZ535" i="3" s="1"/>
  <c r="BQ533" i="3"/>
  <c r="BL533" i="3"/>
  <c r="AZ533" i="3" s="1"/>
  <c r="BQ531" i="3"/>
  <c r="BL531" i="3" s="1"/>
  <c r="BQ529" i="3"/>
  <c r="BL529" i="3" s="1"/>
  <c r="BQ527" i="3"/>
  <c r="BL527" i="3" s="1"/>
  <c r="AZ527" i="3" s="1"/>
  <c r="BQ525" i="3"/>
  <c r="BL525" i="3"/>
  <c r="AZ525" i="3" s="1"/>
  <c r="BQ523" i="3"/>
  <c r="BL523" i="3" s="1"/>
  <c r="BA521" i="3"/>
  <c r="AZ521" i="3" s="1"/>
  <c r="AC521" i="3"/>
  <c r="G521" i="3"/>
  <c r="BQ521" i="3"/>
  <c r="BL521" i="3" s="1"/>
  <c r="BL520" i="3"/>
  <c r="AZ520" i="3"/>
  <c r="G519" i="3"/>
  <c r="G517" i="3"/>
  <c r="G515" i="3"/>
  <c r="G513" i="3"/>
  <c r="G511" i="3"/>
  <c r="BQ519" i="3"/>
  <c r="BL519" i="3" s="1"/>
  <c r="AZ519" i="3"/>
  <c r="BQ517" i="3"/>
  <c r="BL517" i="3" s="1"/>
  <c r="BQ515" i="3"/>
  <c r="BL515" i="3" s="1"/>
  <c r="AZ515" i="3" s="1"/>
  <c r="BQ513" i="3"/>
  <c r="BL513" i="3"/>
  <c r="BQ511" i="3"/>
  <c r="BL511" i="3" s="1"/>
  <c r="AZ511" i="3"/>
  <c r="BA509" i="3"/>
  <c r="AC509" i="3"/>
  <c r="BQ509" i="3"/>
  <c r="BL509" i="3"/>
  <c r="BL508" i="3"/>
  <c r="AZ508" i="3" s="1"/>
  <c r="G507" i="3"/>
  <c r="G505" i="3"/>
  <c r="G503" i="3"/>
  <c r="G501" i="3"/>
  <c r="G499" i="3"/>
  <c r="G497" i="3"/>
  <c r="G495" i="3"/>
  <c r="BQ507" i="3"/>
  <c r="BL507" i="3" s="1"/>
  <c r="AZ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AB27" i="37"/>
  <c r="U32" i="33"/>
  <c r="AA36" i="39"/>
  <c r="F39" i="33"/>
  <c r="AA39" i="33" s="1"/>
  <c r="E123" i="33"/>
  <c r="F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c r="L123" i="33" s="1"/>
  <c r="M123" i="33" s="1"/>
  <c r="H42" i="33"/>
  <c r="AB42" i="33"/>
  <c r="J43" i="33"/>
  <c r="AC43" i="33" s="1"/>
  <c r="U43" i="33"/>
  <c r="S28" i="31"/>
  <c r="S27" i="31"/>
  <c r="S22" i="31" s="1"/>
  <c r="S26" i="31"/>
  <c r="U14" i="40"/>
  <c r="AC32" i="36"/>
  <c r="AC33" i="36"/>
  <c r="AA12" i="35"/>
  <c r="W23" i="35"/>
  <c r="W14" i="37"/>
  <c r="U33" i="37"/>
  <c r="U39" i="37"/>
  <c r="AC8" i="37"/>
  <c r="U26" i="37"/>
  <c r="AB13" i="34"/>
  <c r="W37" i="34"/>
  <c r="AB37" i="34"/>
  <c r="AC36" i="34"/>
  <c r="AA13" i="33"/>
  <c r="AC31" i="33"/>
  <c r="AC45" i="33"/>
  <c r="W44" i="33"/>
  <c r="U11" i="33"/>
  <c r="U19" i="21"/>
  <c r="W44" i="21"/>
  <c r="U26" i="21"/>
  <c r="AB38" i="21"/>
  <c r="F43" i="33"/>
  <c r="AA43" i="33" s="1"/>
  <c r="AC15" i="34"/>
  <c r="W16" i="35"/>
  <c r="W40" i="37"/>
  <c r="H107" i="37"/>
  <c r="I107" i="37" s="1"/>
  <c r="J107" i="37" s="1"/>
  <c r="K107" i="37" s="1"/>
  <c r="L107" i="37"/>
  <c r="M107" i="37" s="1"/>
  <c r="H37" i="21"/>
  <c r="U37" i="21" s="1"/>
  <c r="S42" i="21"/>
  <c r="H19" i="34"/>
  <c r="AB19" i="34" s="1"/>
  <c r="F36" i="35"/>
  <c r="S36" i="35"/>
  <c r="J9" i="37"/>
  <c r="H9" i="37"/>
  <c r="AB9" i="37"/>
  <c r="F9" i="37"/>
  <c r="J12" i="37"/>
  <c r="W12" i="37"/>
  <c r="H12" i="37"/>
  <c r="F12" i="37"/>
  <c r="S12" i="37"/>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U31" i="37"/>
  <c r="J15" i="37"/>
  <c r="W15" i="37" s="1"/>
  <c r="AT6" i="3"/>
  <c r="H5" i="3"/>
  <c r="AA25" i="21"/>
  <c r="C12" i="43"/>
  <c r="H19" i="40"/>
  <c r="U19" i="40"/>
  <c r="F88" i="40"/>
  <c r="G88" i="40" s="1"/>
  <c r="F19" i="40"/>
  <c r="S19" i="40"/>
  <c r="S14" i="40"/>
  <c r="AC13" i="40"/>
  <c r="AC43" i="39"/>
  <c r="W43" i="39"/>
  <c r="U45" i="39"/>
  <c r="AB45" i="39"/>
  <c r="H37" i="39"/>
  <c r="AB37" i="39"/>
  <c r="AC37" i="39"/>
  <c r="W37" i="39"/>
  <c r="F15" i="39"/>
  <c r="AA15" i="39"/>
  <c r="H15" i="39"/>
  <c r="U15" i="39" s="1"/>
  <c r="J15" i="39"/>
  <c r="W15" i="39" s="1"/>
  <c r="H41" i="39"/>
  <c r="U41" i="39" s="1"/>
  <c r="AB34" i="39"/>
  <c r="U40" i="39"/>
  <c r="S42" i="39"/>
  <c r="W14" i="39"/>
  <c r="AA41" i="39"/>
  <c r="W9" i="39"/>
  <c r="W8" i="39"/>
  <c r="J19" i="40"/>
  <c r="AC19" i="40" s="1"/>
  <c r="J50" i="40"/>
  <c r="H103" i="9"/>
  <c r="D8" i="53" s="1"/>
  <c r="B16" i="53"/>
  <c r="B33" i="72" s="1"/>
  <c r="C7" i="37"/>
  <c r="C7" i="34"/>
  <c r="C7" i="36"/>
  <c r="W35" i="40"/>
  <c r="A118" i="9"/>
  <c r="A4" i="52"/>
  <c r="B41" i="72" s="1"/>
  <c r="A12" i="52"/>
  <c r="B56" i="72" s="1"/>
  <c r="G4" i="4"/>
  <c r="I4" i="4"/>
  <c r="A2" i="9"/>
  <c r="F59" i="43"/>
  <c r="H62" i="43"/>
  <c r="AZ24" i="3"/>
  <c r="AZ497" i="3"/>
  <c r="BL549" i="3"/>
  <c r="AZ549" i="3" s="1"/>
  <c r="AZ502" i="3"/>
  <c r="AZ514" i="3"/>
  <c r="AZ546" i="3"/>
  <c r="G546" i="3"/>
  <c r="G524" i="3"/>
  <c r="G303" i="3"/>
  <c r="BL304" i="3"/>
  <c r="G305" i="3"/>
  <c r="BL306" i="3"/>
  <c r="BA308" i="3"/>
  <c r="AZ308" i="3"/>
  <c r="BA309" i="3"/>
  <c r="BL309" i="3"/>
  <c r="G310" i="3"/>
  <c r="BA311" i="3"/>
  <c r="AZ311" i="3" s="1"/>
  <c r="G319" i="3"/>
  <c r="BL320" i="3"/>
  <c r="G321" i="3"/>
  <c r="BL322" i="3"/>
  <c r="AZ322" i="3" s="1"/>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AZ119" i="3"/>
  <c r="BL120" i="3"/>
  <c r="G121" i="3"/>
  <c r="BA123" i="3"/>
  <c r="AZ123" i="3"/>
  <c r="BL124" i="3"/>
  <c r="AZ124" i="3" s="1"/>
  <c r="G125" i="3"/>
  <c r="BA127" i="3"/>
  <c r="AZ127" i="3"/>
  <c r="BL128" i="3"/>
  <c r="G129" i="3"/>
  <c r="BA131" i="3"/>
  <c r="AZ131" i="3"/>
  <c r="BL132" i="3"/>
  <c r="AZ132" i="3" s="1"/>
  <c r="G133" i="3"/>
  <c r="BA135" i="3"/>
  <c r="AZ135" i="3" s="1"/>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AZ176" i="3" s="1"/>
  <c r="G177" i="3"/>
  <c r="BA179" i="3"/>
  <c r="AZ179" i="3" s="1"/>
  <c r="BL180" i="3"/>
  <c r="G181" i="3"/>
  <c r="BA183" i="3"/>
  <c r="AZ183" i="3"/>
  <c r="BL184" i="3"/>
  <c r="AZ184" i="3" s="1"/>
  <c r="G185" i="3"/>
  <c r="BA187" i="3"/>
  <c r="BL188" i="3"/>
  <c r="AZ188" i="3" s="1"/>
  <c r="G189" i="3"/>
  <c r="BA191" i="3"/>
  <c r="AZ191" i="3"/>
  <c r="BL192" i="3"/>
  <c r="G193" i="3"/>
  <c r="BA195" i="3"/>
  <c r="AZ195" i="3"/>
  <c r="BL196" i="3"/>
  <c r="AZ196" i="3" s="1"/>
  <c r="G197" i="3"/>
  <c r="BA199" i="3"/>
  <c r="BL200" i="3"/>
  <c r="G201" i="3"/>
  <c r="BA203" i="3"/>
  <c r="AZ203" i="3" s="1"/>
  <c r="BL204" i="3"/>
  <c r="AZ204" i="3"/>
  <c r="AZ39" i="3"/>
  <c r="AZ43" i="3"/>
  <c r="AZ47" i="3"/>
  <c r="AZ51" i="3"/>
  <c r="AZ55" i="3"/>
  <c r="AZ59" i="3"/>
  <c r="AZ63" i="3"/>
  <c r="AZ67" i="3"/>
  <c r="AZ71" i="3"/>
  <c r="AZ75" i="3"/>
  <c r="AZ79" i="3"/>
  <c r="AZ83" i="3"/>
  <c r="AZ136" i="3"/>
  <c r="AZ160" i="3"/>
  <c r="AZ168" i="3"/>
  <c r="AZ192" i="3"/>
  <c r="AZ200" i="3"/>
  <c r="AZ85" i="3"/>
  <c r="AZ89" i="3"/>
  <c r="AZ93" i="3"/>
  <c r="AZ97" i="3"/>
  <c r="AZ101" i="3"/>
  <c r="AZ105" i="3"/>
  <c r="AZ109" i="3"/>
  <c r="AZ120" i="3"/>
  <c r="AZ128" i="3"/>
  <c r="G534" i="3"/>
  <c r="G530" i="3"/>
  <c r="G522" i="3"/>
  <c r="G516" i="3"/>
  <c r="G512" i="3"/>
  <c r="G506" i="3"/>
  <c r="G498" i="3"/>
  <c r="G494" i="3"/>
  <c r="G16" i="3"/>
  <c r="G15" i="3"/>
  <c r="BA304" i="3"/>
  <c r="BA305" i="3"/>
  <c r="BL305" i="3"/>
  <c r="AZ305" i="3" s="1"/>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BL337" i="3"/>
  <c r="AZ337" i="3" s="1"/>
  <c r="G338" i="3"/>
  <c r="G341" i="3"/>
  <c r="BA342" i="3"/>
  <c r="BL342" i="3"/>
  <c r="BA344" i="3"/>
  <c r="BL344" i="3"/>
  <c r="AZ344" i="3" s="1"/>
  <c r="BA346" i="3"/>
  <c r="AZ346" i="3" s="1"/>
  <c r="BA347" i="3"/>
  <c r="AZ347" i="3" s="1"/>
  <c r="BL347" i="3"/>
  <c r="G350" i="3"/>
  <c r="BA351" i="3"/>
  <c r="AZ351" i="3" s="1"/>
  <c r="BL351" i="3"/>
  <c r="G352" i="3"/>
  <c r="G354" i="3"/>
  <c r="BA355" i="3"/>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4" i="3"/>
  <c r="AZ198" i="3"/>
  <c r="AZ202" i="3"/>
  <c r="BA16" i="3"/>
  <c r="AZ16" i="3" s="1"/>
  <c r="BL303" i="3"/>
  <c r="AZ303" i="3" s="1"/>
  <c r="G304" i="3"/>
  <c r="BA306" i="3"/>
  <c r="AZ306" i="3" s="1"/>
  <c r="BL307" i="3"/>
  <c r="AZ307" i="3" s="1"/>
  <c r="G308" i="3"/>
  <c r="BA310" i="3"/>
  <c r="AZ310" i="3" s="1"/>
  <c r="BL311" i="3"/>
  <c r="G312" i="3"/>
  <c r="BA314" i="3"/>
  <c r="AZ314" i="3" s="1"/>
  <c r="BL315" i="3"/>
  <c r="AZ315" i="3" s="1"/>
  <c r="G316" i="3"/>
  <c r="BA318" i="3"/>
  <c r="AZ318" i="3"/>
  <c r="BL319" i="3"/>
  <c r="AZ319" i="3" s="1"/>
  <c r="G320" i="3"/>
  <c r="BA322" i="3"/>
  <c r="BL323" i="3"/>
  <c r="AZ323" i="3" s="1"/>
  <c r="G324" i="3"/>
  <c r="BA326" i="3"/>
  <c r="AZ326" i="3" s="1"/>
  <c r="BL327" i="3"/>
  <c r="G328" i="3"/>
  <c r="BA330" i="3"/>
  <c r="AZ330" i="3" s="1"/>
  <c r="BL331" i="3"/>
  <c r="AZ331" i="3"/>
  <c r="G332" i="3"/>
  <c r="BA334" i="3"/>
  <c r="AZ334" i="3" s="1"/>
  <c r="BL335" i="3"/>
  <c r="G336" i="3"/>
  <c r="BA338" i="3"/>
  <c r="AZ338" i="3" s="1"/>
  <c r="BL339" i="3"/>
  <c r="AZ339" i="3" s="1"/>
  <c r="G340" i="3"/>
  <c r="BL343" i="3"/>
  <c r="G344" i="3"/>
  <c r="G348" i="3"/>
  <c r="G355" i="3"/>
  <c r="AZ209" i="3"/>
  <c r="AZ214" i="3"/>
  <c r="AZ218" i="3"/>
  <c r="AZ222" i="3"/>
  <c r="AZ335"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37" i="3"/>
  <c r="AZ249" i="3"/>
  <c r="AZ265" i="3"/>
  <c r="AZ269" i="3"/>
  <c r="AZ370" i="3"/>
  <c r="BA379" i="3"/>
  <c r="AZ379" i="3" s="1"/>
  <c r="BL380" i="3"/>
  <c r="G381" i="3"/>
  <c r="BA383" i="3"/>
  <c r="AZ383" i="3" s="1"/>
  <c r="BL384" i="3"/>
  <c r="G385" i="3"/>
  <c r="BA387" i="3"/>
  <c r="AZ387" i="3" s="1"/>
  <c r="BL388" i="3"/>
  <c r="G389" i="3"/>
  <c r="BA391" i="3"/>
  <c r="AZ391" i="3" s="1"/>
  <c r="BL392" i="3"/>
  <c r="G393" i="3"/>
  <c r="AZ275" i="3"/>
  <c r="AZ279" i="3"/>
  <c r="AZ283" i="3"/>
  <c r="AZ291" i="3"/>
  <c r="AZ295" i="3"/>
  <c r="AZ299" i="3"/>
  <c r="BO5" i="3"/>
  <c r="BM5" i="3"/>
  <c r="BJ5" i="3"/>
  <c r="BH5" i="3"/>
  <c r="BF5" i="3"/>
  <c r="BD5" i="3"/>
  <c r="AZ309" i="3"/>
  <c r="AZ317" i="3"/>
  <c r="AZ325" i="3"/>
  <c r="AZ333" i="3"/>
  <c r="BQ5" i="3"/>
  <c r="AC5" i="3"/>
  <c r="AZ506" i="3"/>
  <c r="AZ496" i="3"/>
  <c r="G548" i="3"/>
  <c r="G538" i="3"/>
  <c r="G520" i="3"/>
  <c r="G502" i="3"/>
  <c r="BS5" i="3"/>
  <c r="BP5" i="3"/>
  <c r="BN5" i="3"/>
  <c r="AZ343" i="3"/>
  <c r="BK5" i="3"/>
  <c r="BI5" i="3"/>
  <c r="BG5" i="3"/>
  <c r="BE5" i="3"/>
  <c r="BC5" i="3"/>
  <c r="G17" i="3"/>
  <c r="BA17" i="3"/>
  <c r="BT5" i="3"/>
  <c r="G28" i="6" s="1"/>
  <c r="AZ350" i="3"/>
  <c r="AZ360" i="3"/>
  <c r="AZ364" i="3"/>
  <c r="AZ368" i="3"/>
  <c r="BA15" i="3"/>
  <c r="AZ15" i="3"/>
  <c r="BB5" i="3"/>
  <c r="BR5" i="3"/>
  <c r="AZ380" i="3"/>
  <c r="AZ384" i="3"/>
  <c r="AZ388" i="3"/>
  <c r="AZ392" i="3"/>
  <c r="AZ396" i="3"/>
  <c r="AZ394" i="3"/>
  <c r="AZ509" i="3"/>
  <c r="G509" i="3"/>
  <c r="BL493" i="3"/>
  <c r="AZ491" i="3"/>
  <c r="AZ376" i="3"/>
  <c r="AZ382" i="3"/>
  <c r="U36" i="40"/>
  <c r="F36" i="43"/>
  <c r="F81" i="43"/>
  <c r="H113" i="43"/>
  <c r="F48" i="43"/>
  <c r="H52" i="43" s="1"/>
  <c r="F70" i="43"/>
  <c r="H73" i="43"/>
  <c r="M11" i="43"/>
  <c r="D17" i="43"/>
  <c r="F39" i="43"/>
  <c r="I17" i="43"/>
  <c r="F35" i="43"/>
  <c r="J17" i="43"/>
  <c r="F6" i="1"/>
  <c r="S14" i="35"/>
  <c r="U43" i="21"/>
  <c r="U35" i="21"/>
  <c r="AC35" i="21"/>
  <c r="U10" i="21"/>
  <c r="G8" i="1"/>
  <c r="G9" i="1"/>
  <c r="G10" i="1"/>
  <c r="AZ563" i="3"/>
  <c r="AZ501" i="3"/>
  <c r="W37" i="37"/>
  <c r="AC44" i="34"/>
  <c r="S15" i="37"/>
  <c r="U13" i="37"/>
  <c r="AA12" i="40"/>
  <c r="J37" i="33"/>
  <c r="W37" i="33"/>
  <c r="F106" i="33"/>
  <c r="G106" i="33" s="1"/>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c r="AB23" i="35"/>
  <c r="AB29" i="36"/>
  <c r="U29" i="36"/>
  <c r="H32" i="37"/>
  <c r="U32" i="37" s="1"/>
  <c r="F96" i="37"/>
  <c r="H27" i="40"/>
  <c r="AB27" i="40" s="1"/>
  <c r="U27" i="40"/>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J39" i="34"/>
  <c r="AC39" i="34" s="1"/>
  <c r="W39" i="34"/>
  <c r="F40" i="34"/>
  <c r="S40" i="34" s="1"/>
  <c r="F43" i="34"/>
  <c r="AA43" i="34"/>
  <c r="H44" i="34"/>
  <c r="AB44" i="34" s="1"/>
  <c r="F39" i="39"/>
  <c r="S39" i="39" s="1"/>
  <c r="J39" i="39"/>
  <c r="AC39" i="39" s="1"/>
  <c r="AZ353" i="3"/>
  <c r="AZ354" i="3"/>
  <c r="AZ386" i="3"/>
  <c r="AZ215" i="3"/>
  <c r="AZ227" i="3"/>
  <c r="AZ259" i="3"/>
  <c r="AZ280" i="3"/>
  <c r="AZ288" i="3"/>
  <c r="AZ296" i="3"/>
  <c r="AZ114" i="3"/>
  <c r="AZ117" i="3"/>
  <c r="AZ130" i="3"/>
  <c r="AZ133" i="3"/>
  <c r="AZ31" i="3"/>
  <c r="AZ33" i="3"/>
  <c r="AZ45" i="3"/>
  <c r="AZ50" i="3"/>
  <c r="AZ53" i="3"/>
  <c r="AZ58" i="3"/>
  <c r="AZ61" i="3"/>
  <c r="AZ66" i="3"/>
  <c r="AZ69" i="3"/>
  <c r="AZ72" i="3"/>
  <c r="AZ74" i="3"/>
  <c r="AZ77" i="3"/>
  <c r="AZ82" i="3"/>
  <c r="AZ86" i="3"/>
  <c r="AZ94" i="3"/>
  <c r="H75" i="43"/>
  <c r="H50" i="43"/>
  <c r="I20" i="43"/>
  <c r="C20" i="43" s="1"/>
  <c r="F23" i="39"/>
  <c r="AA23" i="39" s="1"/>
  <c r="H27" i="36"/>
  <c r="U27" i="36"/>
  <c r="F27" i="36"/>
  <c r="AA27" i="36" s="1"/>
  <c r="H33" i="34"/>
  <c r="U33" i="34"/>
  <c r="F32" i="37"/>
  <c r="AA32" i="37" s="1"/>
  <c r="G96" i="37"/>
  <c r="H96" i="37" s="1"/>
  <c r="I96" i="37" s="1"/>
  <c r="J96" i="37" s="1"/>
  <c r="K96" i="37" s="1"/>
  <c r="L96" i="37" s="1"/>
  <c r="M96" i="37" s="1"/>
  <c r="F20" i="36"/>
  <c r="AA20" i="36"/>
  <c r="J33" i="34"/>
  <c r="AC33" i="34" s="1"/>
  <c r="H23" i="39"/>
  <c r="U23" i="39" s="1"/>
  <c r="H86" i="43"/>
  <c r="H82" i="43"/>
  <c r="K9" i="1"/>
  <c r="M9" i="1" s="1"/>
  <c r="AE9" i="1"/>
  <c r="D93" i="9"/>
  <c r="K6" i="1"/>
  <c r="M6" i="1" s="1"/>
  <c r="E13" i="6"/>
  <c r="E58" i="40" s="1"/>
  <c r="G29" i="6"/>
  <c r="AC26" i="33"/>
  <c r="W26" i="33"/>
  <c r="W27" i="34"/>
  <c r="AC27" i="34"/>
  <c r="AB34" i="36"/>
  <c r="U34" i="36"/>
  <c r="AB33" i="36"/>
  <c r="U33" i="36"/>
  <c r="AC12" i="39"/>
  <c r="W12" i="39"/>
  <c r="AC39" i="40"/>
  <c r="W39" i="40"/>
  <c r="AZ401" i="3"/>
  <c r="AZ412" i="3"/>
  <c r="AZ428" i="3"/>
  <c r="AZ433" i="3"/>
  <c r="AZ465" i="3"/>
  <c r="AZ586" i="3"/>
  <c r="W12" i="33"/>
  <c r="AC12" i="33"/>
  <c r="AA32" i="36"/>
  <c r="S32" i="36"/>
  <c r="AZ550" i="3"/>
  <c r="AZ408" i="3"/>
  <c r="AZ441" i="3"/>
  <c r="AZ457" i="3"/>
  <c r="AZ473" i="3"/>
  <c r="AZ490" i="3"/>
  <c r="F28" i="6"/>
  <c r="BL14" i="3"/>
  <c r="U30" i="33"/>
  <c r="AC13" i="34"/>
  <c r="AA47" i="34"/>
  <c r="W28" i="37"/>
  <c r="F12" i="33"/>
  <c r="H12" i="39"/>
  <c r="AB12" i="39" s="1"/>
  <c r="F39" i="40"/>
  <c r="BA14" i="3"/>
  <c r="AZ367" i="3"/>
  <c r="AZ213" i="3"/>
  <c r="AZ224" i="3"/>
  <c r="AZ234" i="3"/>
  <c r="AZ254" i="3"/>
  <c r="AZ281" i="3"/>
  <c r="AZ286" i="3"/>
  <c r="AZ297" i="3"/>
  <c r="AZ149" i="3"/>
  <c r="AZ157" i="3"/>
  <c r="AZ165" i="3"/>
  <c r="AZ189" i="3"/>
  <c r="AZ197" i="3"/>
  <c r="AZ26"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J100" i="43"/>
  <c r="AB37" i="40"/>
  <c r="S35" i="40"/>
  <c r="U35" i="40"/>
  <c r="AC36" i="40"/>
  <c r="W38" i="40"/>
  <c r="AA32" i="40"/>
  <c r="S17" i="40"/>
  <c r="S23" i="40"/>
  <c r="AC17" i="40"/>
  <c r="AC15" i="40"/>
  <c r="S30" i="40"/>
  <c r="AA19" i="40"/>
  <c r="S28" i="40"/>
  <c r="U21" i="40"/>
  <c r="AB19" i="40"/>
  <c r="W42" i="39"/>
  <c r="U37" i="39"/>
  <c r="S43" i="39"/>
  <c r="S37" i="39"/>
  <c r="U35" i="39"/>
  <c r="F32" i="39"/>
  <c r="AA32" i="39" s="1"/>
  <c r="U31" i="39"/>
  <c r="U19" i="39"/>
  <c r="AC15" i="39"/>
  <c r="S15" i="39"/>
  <c r="AB15" i="39"/>
  <c r="AA12" i="39"/>
  <c r="S9" i="39"/>
  <c r="AC13" i="39"/>
  <c r="S23" i="36"/>
  <c r="U13" i="36"/>
  <c r="AC27" i="36"/>
  <c r="AB27" i="36"/>
  <c r="U26" i="36"/>
  <c r="S33" i="36"/>
  <c r="S27" i="36"/>
  <c r="AA26" i="36"/>
  <c r="AA34" i="36"/>
  <c r="S29" i="36"/>
  <c r="AC26" i="36"/>
  <c r="AA22" i="36"/>
  <c r="W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U29" i="37"/>
  <c r="W30" i="37"/>
  <c r="S36" i="37"/>
  <c r="AA38" i="37"/>
  <c r="W38" i="37"/>
  <c r="AC35" i="37"/>
  <c r="W39" i="37"/>
  <c r="S30" i="37"/>
  <c r="S37" i="37"/>
  <c r="AC15" i="37"/>
  <c r="J17" i="37"/>
  <c r="W17" i="37" s="1"/>
  <c r="G73" i="37"/>
  <c r="F17" i="37"/>
  <c r="AA17" i="37" s="1"/>
  <c r="F75" i="37"/>
  <c r="F19" i="37"/>
  <c r="F79" i="37"/>
  <c r="F23" i="37"/>
  <c r="S23" i="37"/>
  <c r="U23" i="37"/>
  <c r="U15" i="37"/>
  <c r="AC13" i="37"/>
  <c r="U9" i="37"/>
  <c r="AA13" i="37"/>
  <c r="AA12" i="37"/>
  <c r="H10" i="37"/>
  <c r="H60" i="37"/>
  <c r="F63" i="37"/>
  <c r="F11" i="37"/>
  <c r="S11" i="37"/>
  <c r="S27" i="34"/>
  <c r="W25" i="34"/>
  <c r="AB8" i="34"/>
  <c r="AA33" i="34"/>
  <c r="U44" i="34"/>
  <c r="U43" i="34"/>
  <c r="W41" i="34"/>
  <c r="AC42" i="34"/>
  <c r="AB35" i="34"/>
  <c r="U39" i="34"/>
  <c r="S43" i="34"/>
  <c r="AB41" i="34"/>
  <c r="AA45" i="34"/>
  <c r="W34" i="34"/>
  <c r="AA25" i="34"/>
  <c r="U28" i="34"/>
  <c r="S17"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F36" i="33"/>
  <c r="G111" i="33"/>
  <c r="G108" i="33"/>
  <c r="H108" i="33" s="1"/>
  <c r="I108" i="33"/>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F87" i="33"/>
  <c r="H25" i="33"/>
  <c r="F25" i="33"/>
  <c r="J23"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E32" i="6"/>
  <c r="L19" i="6"/>
  <c r="G1" i="68"/>
  <c r="K1" i="12"/>
  <c r="AR12" i="1"/>
  <c r="E19" i="69"/>
  <c r="E19" i="68"/>
  <c r="E19" i="11"/>
  <c r="E1" i="73"/>
  <c r="G22" i="69"/>
  <c r="G22" i="68"/>
  <c r="G26" i="12"/>
  <c r="G22" i="11"/>
  <c r="C100" i="43"/>
  <c r="E11" i="43"/>
  <c r="E10" i="43"/>
  <c r="E9" i="43"/>
  <c r="C7" i="43" s="1"/>
  <c r="E8" i="43"/>
  <c r="E81" i="43"/>
  <c r="B79" i="43"/>
  <c r="E48" i="43"/>
  <c r="B46" i="43"/>
  <c r="E70" i="43"/>
  <c r="B68" i="43"/>
  <c r="F100" i="43"/>
  <c r="H17" i="43"/>
  <c r="G6" i="1"/>
  <c r="H85" i="43"/>
  <c r="H84" i="43"/>
  <c r="H88" i="43"/>
  <c r="H53" i="43"/>
  <c r="H78" i="43"/>
  <c r="H71" i="43"/>
  <c r="C17" i="43"/>
  <c r="F33" i="43"/>
  <c r="K17" i="43"/>
  <c r="F34" i="43"/>
  <c r="N6" i="43"/>
  <c r="C6" i="43"/>
  <c r="N3" i="43"/>
  <c r="F38" i="43"/>
  <c r="F37" i="43"/>
  <c r="M9" i="43"/>
  <c r="N5" i="43"/>
  <c r="M12" i="43"/>
  <c r="B19" i="53"/>
  <c r="B37" i="72"/>
  <c r="C7" i="39"/>
  <c r="C68" i="39"/>
  <c r="C7" i="35"/>
  <c r="C48" i="35" s="1"/>
  <c r="D48" i="35" s="1"/>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U13" i="39"/>
  <c r="AB13" i="39"/>
  <c r="AA13" i="39"/>
  <c r="S13" i="39"/>
  <c r="S14" i="39"/>
  <c r="AA14" i="39"/>
  <c r="U43" i="39"/>
  <c r="AB43"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C4" i="4"/>
  <c r="AQ13" i="1"/>
  <c r="AZ13" i="3"/>
  <c r="E63" i="39"/>
  <c r="AQ9" i="1"/>
  <c r="E59" i="40"/>
  <c r="T9" i="1"/>
  <c r="T13" i="1"/>
  <c r="AA39" i="40"/>
  <c r="S39" i="40"/>
  <c r="S12" i="33"/>
  <c r="AA12" i="33"/>
  <c r="J32" i="39"/>
  <c r="H32" i="39"/>
  <c r="U32" i="39" s="1"/>
  <c r="S32" i="39"/>
  <c r="S26" i="35"/>
  <c r="U9" i="35"/>
  <c r="AB9" i="35"/>
  <c r="AA9" i="35"/>
  <c r="S9" i="35"/>
  <c r="AC26" i="35"/>
  <c r="W26" i="35"/>
  <c r="AB26" i="35"/>
  <c r="U26" i="35"/>
  <c r="AC17" i="37"/>
  <c r="S17" i="37"/>
  <c r="J19" i="37"/>
  <c r="W19" i="37" s="1"/>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W36" i="33" s="1"/>
  <c r="H36" i="33"/>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J23" i="21"/>
  <c r="W23" i="21" s="1"/>
  <c r="F85" i="21"/>
  <c r="G85" i="21" s="1"/>
  <c r="H23" i="21"/>
  <c r="AB23" i="21" s="1"/>
  <c r="S13" i="21"/>
  <c r="R22" i="31"/>
  <c r="AP7" i="1"/>
  <c r="AB45" i="21"/>
  <c r="AC33" i="21"/>
  <c r="W33" i="21"/>
  <c r="S33" i="21"/>
  <c r="AA33" i="21"/>
  <c r="W32" i="21"/>
  <c r="AC32" i="21"/>
  <c r="AB9" i="21"/>
  <c r="U9" i="21"/>
  <c r="AA32" i="21"/>
  <c r="S32" i="21"/>
  <c r="W9" i="21"/>
  <c r="AC9" i="21"/>
  <c r="AB32" i="21"/>
  <c r="U32" i="21"/>
  <c r="AA10" i="21"/>
  <c r="S10" i="21"/>
  <c r="AB32" i="39"/>
  <c r="AC32" i="39"/>
  <c r="W32" i="39"/>
  <c r="AC19" i="37"/>
  <c r="W23" i="37"/>
  <c r="AC23" i="37"/>
  <c r="AB11" i="37"/>
  <c r="U11" i="37"/>
  <c r="H63" i="37"/>
  <c r="I63" i="37" s="1"/>
  <c r="J63" i="37" s="1"/>
  <c r="K63" i="37" s="1"/>
  <c r="L63" i="37" s="1"/>
  <c r="M63" i="37" s="1"/>
  <c r="J11" i="37"/>
  <c r="W11" i="37" s="1"/>
  <c r="W10" i="37"/>
  <c r="AC10" i="37"/>
  <c r="U11" i="34"/>
  <c r="AB11" i="34"/>
  <c r="AC10" i="34"/>
  <c r="W10" i="34"/>
  <c r="H70" i="34"/>
  <c r="I70" i="34"/>
  <c r="J70" i="34"/>
  <c r="K70" i="34" s="1"/>
  <c r="L70" i="34" s="1"/>
  <c r="M70" i="34" s="1"/>
  <c r="J11" i="34"/>
  <c r="AC11" i="34" s="1"/>
  <c r="AC36" i="33"/>
  <c r="U36" i="33"/>
  <c r="AB36" i="33"/>
  <c r="AC25" i="33"/>
  <c r="AA23" i="33"/>
  <c r="S23" i="33"/>
  <c r="U19" i="33"/>
  <c r="U17" i="33"/>
  <c r="AB17" i="33"/>
  <c r="U23" i="21"/>
  <c r="AC11" i="37"/>
  <c r="F34" i="11"/>
  <c r="F11" i="12"/>
  <c r="C23" i="12" s="1"/>
  <c r="F34" i="68"/>
  <c r="R8" i="1"/>
  <c r="AE8" i="1"/>
  <c r="AG6" i="1"/>
  <c r="H109" i="9"/>
  <c r="H110" i="9" s="1"/>
  <c r="D18" i="53" s="1"/>
  <c r="B35" i="72" s="1"/>
  <c r="H112" i="9"/>
  <c r="D21" i="53" s="1"/>
  <c r="B39" i="72" s="1"/>
  <c r="H111" i="9"/>
  <c r="D126" i="9" s="1"/>
  <c r="I14" i="74" s="1"/>
  <c r="B8" i="74"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S20" i="71"/>
  <c r="AB18" i="71"/>
  <c r="X16" i="71"/>
  <c r="X15" i="71"/>
  <c r="AA16" i="71"/>
  <c r="AA15" i="71"/>
  <c r="X19" i="71"/>
  <c r="Y15" i="71"/>
  <c r="Z15" i="71" s="1"/>
  <c r="AB16" i="71"/>
  <c r="AB15" i="71"/>
  <c r="S16" i="71"/>
  <c r="F17" i="71"/>
  <c r="F16" i="71"/>
  <c r="F15" i="71" s="1"/>
  <c r="F14" i="71" s="1"/>
  <c r="F13" i="71" s="1"/>
  <c r="Y16" i="71"/>
  <c r="Z16" i="71" s="1"/>
  <c r="X3" i="71"/>
  <c r="G20" i="43"/>
  <c r="E68" i="39"/>
  <c r="F68" i="39" s="1"/>
  <c r="E41" i="43"/>
  <c r="C41" i="43"/>
  <c r="I59" i="34"/>
  <c r="J59" i="34" s="1"/>
  <c r="B10" i="76"/>
  <c r="B11" i="76"/>
  <c r="M29" i="15"/>
  <c r="M9" i="15"/>
  <c r="D2" i="37"/>
  <c r="F5" i="73"/>
  <c r="F43" i="67"/>
  <c r="D7" i="73"/>
  <c r="E13" i="76"/>
  <c r="E11" i="76"/>
  <c r="F16" i="15"/>
  <c r="E12" i="76"/>
  <c r="M27" i="15"/>
  <c r="M6" i="67"/>
  <c r="C76" i="67"/>
  <c r="M28" i="15"/>
  <c r="D2" i="21"/>
  <c r="L48" i="67"/>
  <c r="F16" i="67"/>
  <c r="M24" i="15"/>
  <c r="F43" i="15"/>
  <c r="M24" i="67"/>
  <c r="E9" i="76"/>
  <c r="AO9" i="1"/>
  <c r="E2" i="68"/>
  <c r="M8" i="15"/>
  <c r="E10" i="76"/>
  <c r="M27" i="67"/>
  <c r="B9" i="76"/>
  <c r="F26" i="67"/>
  <c r="F13" i="15"/>
  <c r="F42" i="15"/>
  <c r="F42" i="67"/>
  <c r="AO10" i="1"/>
  <c r="M6" i="15"/>
  <c r="E8" i="76"/>
  <c r="F7" i="67"/>
  <c r="F8" i="67"/>
  <c r="M8" i="67"/>
  <c r="B7" i="76"/>
  <c r="F40" i="15"/>
  <c r="M28" i="67"/>
  <c r="D2" i="33"/>
  <c r="F20" i="31"/>
  <c r="F26" i="15"/>
  <c r="B12" i="76"/>
  <c r="E2" i="69"/>
  <c r="F6" i="73"/>
  <c r="M26" i="67"/>
  <c r="F7" i="15"/>
  <c r="M29" i="67"/>
  <c r="F8" i="15"/>
  <c r="L48" i="15"/>
  <c r="D6" i="73"/>
  <c r="AO13" i="1"/>
  <c r="AO12" i="1"/>
  <c r="D2" i="35"/>
  <c r="F36" i="67"/>
  <c r="M22" i="67"/>
  <c r="M23" i="15"/>
  <c r="F38" i="67"/>
  <c r="E7" i="76"/>
  <c r="D2" i="36"/>
  <c r="F9" i="15"/>
  <c r="J15" i="67"/>
  <c r="D3" i="73"/>
  <c r="AO8" i="1"/>
  <c r="F37" i="67"/>
  <c r="C76" i="15"/>
  <c r="F40" i="67"/>
  <c r="L47" i="15"/>
  <c r="F36" i="15"/>
  <c r="F9" i="67"/>
  <c r="L47" i="67"/>
  <c r="F38" i="15"/>
  <c r="F7" i="73"/>
  <c r="J15" i="15"/>
  <c r="B13" i="76"/>
  <c r="B8" i="76"/>
  <c r="M23" i="67"/>
  <c r="F13" i="67"/>
  <c r="F3" i="73"/>
  <c r="F4" i="73"/>
  <c r="AO11" i="1"/>
  <c r="D2" i="34"/>
  <c r="M26" i="15"/>
  <c r="M9" i="67"/>
  <c r="M22" i="15"/>
  <c r="F37" i="15"/>
  <c r="C34" i="84" l="1"/>
  <c r="C34" i="83" s="1"/>
  <c r="C35" i="84"/>
  <c r="C35" i="83" s="1"/>
  <c r="L27" i="6"/>
  <c r="D6" i="52"/>
  <c r="C40" i="68"/>
  <c r="C40" i="69"/>
  <c r="C40" i="11"/>
  <c r="C21" i="68"/>
  <c r="T11" i="1"/>
  <c r="T10" i="1"/>
  <c r="AR10" i="1"/>
  <c r="AR11" i="1"/>
  <c r="T12" i="1"/>
  <c r="AC38" i="39"/>
  <c r="I20" i="66"/>
  <c r="F29" i="6"/>
  <c r="F30" i="6" s="1"/>
  <c r="AQ8" i="1"/>
  <c r="T8" i="1"/>
  <c r="B73" i="72"/>
  <c r="I10" i="66"/>
  <c r="C28" i="66" s="1"/>
  <c r="G30" i="6"/>
  <c r="G31" i="6" s="1"/>
  <c r="E28" i="6"/>
  <c r="D19" i="53"/>
  <c r="D16" i="53"/>
  <c r="W11" i="34"/>
  <c r="AC23" i="21"/>
  <c r="AB15" i="21"/>
  <c r="W17" i="21"/>
  <c r="S32" i="37"/>
  <c r="AZ14" i="3"/>
  <c r="S35" i="33"/>
  <c r="E12" i="6"/>
  <c r="AZ355" i="3"/>
  <c r="W9" i="37"/>
  <c r="AC9" i="37"/>
  <c r="AA42" i="33"/>
  <c r="S42" i="33"/>
  <c r="AZ557" i="3"/>
  <c r="AZ530" i="3"/>
  <c r="AZ568" i="3"/>
  <c r="D124" i="9"/>
  <c r="S17" i="33"/>
  <c r="AC27" i="33"/>
  <c r="AB32" i="37"/>
  <c r="E8" i="6"/>
  <c r="E15" i="6"/>
  <c r="AZ304" i="3"/>
  <c r="K5" i="4"/>
  <c r="B47" i="48" s="1"/>
  <c r="S9" i="37"/>
  <c r="AA9" i="37"/>
  <c r="AB14" i="39"/>
  <c r="U14" i="39"/>
  <c r="U28" i="37"/>
  <c r="AB28" i="37"/>
  <c r="S29" i="34"/>
  <c r="AA29" i="34"/>
  <c r="U14" i="36"/>
  <c r="AB14" i="36"/>
  <c r="W46" i="21"/>
  <c r="AC46" i="21"/>
  <c r="W28" i="21"/>
  <c r="AC28" i="21"/>
  <c r="F48" i="9"/>
  <c r="O52" i="9" s="1"/>
  <c r="F28" i="79"/>
  <c r="C28" i="79" s="1"/>
  <c r="F32" i="79"/>
  <c r="F60" i="79" s="1"/>
  <c r="M18" i="79"/>
  <c r="AB12" i="37"/>
  <c r="U12" i="37"/>
  <c r="U17" i="37"/>
  <c r="AB17" i="37"/>
  <c r="AZ493" i="3"/>
  <c r="AZ529" i="3"/>
  <c r="AZ537" i="3"/>
  <c r="AZ545" i="3"/>
  <c r="AZ565" i="3"/>
  <c r="AZ573" i="3"/>
  <c r="AZ581" i="3"/>
  <c r="U12" i="39"/>
  <c r="S39" i="34"/>
  <c r="AA39" i="34"/>
  <c r="S27" i="40"/>
  <c r="H83" i="43"/>
  <c r="H87" i="43"/>
  <c r="H81" i="43"/>
  <c r="AZ342" i="3"/>
  <c r="AZ495" i="3"/>
  <c r="AZ503" i="3"/>
  <c r="AZ513" i="3"/>
  <c r="AZ559" i="3"/>
  <c r="AB12" i="40"/>
  <c r="U12" i="40"/>
  <c r="AC47" i="34"/>
  <c r="W47" i="34"/>
  <c r="AC31" i="34"/>
  <c r="W31" i="34"/>
  <c r="H34" i="35"/>
  <c r="J34" i="35"/>
  <c r="F34" i="35"/>
  <c r="W43" i="33"/>
  <c r="AC17" i="34"/>
  <c r="AB33" i="40"/>
  <c r="U35" i="35"/>
  <c r="AC28" i="34"/>
  <c r="AB11" i="21"/>
  <c r="W29" i="33"/>
  <c r="W11" i="35"/>
  <c r="AB26" i="33"/>
  <c r="AA44" i="33"/>
  <c r="S28" i="34"/>
  <c r="U33" i="35"/>
  <c r="AA12" i="36"/>
  <c r="U34" i="21"/>
  <c r="F27" i="39"/>
  <c r="H12" i="21"/>
  <c r="F12" i="21"/>
  <c r="AA29" i="35"/>
  <c r="J9" i="33"/>
  <c r="F9" i="33"/>
  <c r="H12" i="34"/>
  <c r="F12" i="34"/>
  <c r="H36" i="35"/>
  <c r="J36" i="35"/>
  <c r="S41" i="33"/>
  <c r="AC34" i="36"/>
  <c r="AC11" i="40"/>
  <c r="F101" i="39"/>
  <c r="G101" i="39" s="1"/>
  <c r="BA551" i="3"/>
  <c r="AZ551" i="3" s="1"/>
  <c r="J26" i="37"/>
  <c r="H44" i="39"/>
  <c r="G578" i="3"/>
  <c r="AZ399" i="3"/>
  <c r="AZ406" i="3"/>
  <c r="AZ407" i="3"/>
  <c r="AZ409" i="3"/>
  <c r="AZ438" i="3"/>
  <c r="AZ410" i="3"/>
  <c r="AZ435" i="3"/>
  <c r="C5" i="11"/>
  <c r="BA417" i="3"/>
  <c r="AZ417" i="3" s="1"/>
  <c r="BL420" i="3"/>
  <c r="AZ420" i="3" s="1"/>
  <c r="BL423" i="3"/>
  <c r="BL424" i="3"/>
  <c r="G425" i="3"/>
  <c r="BL427" i="3"/>
  <c r="AZ427" i="3" s="1"/>
  <c r="BL430" i="3"/>
  <c r="AZ430" i="3" s="1"/>
  <c r="BL431" i="3"/>
  <c r="G432" i="3"/>
  <c r="G436" i="3"/>
  <c r="BA437" i="3"/>
  <c r="G439" i="3"/>
  <c r="BL444" i="3"/>
  <c r="AZ444" i="3" s="1"/>
  <c r="AZ446" i="3"/>
  <c r="G450" i="3"/>
  <c r="AZ456" i="3"/>
  <c r="AZ458" i="3"/>
  <c r="AZ459" i="3"/>
  <c r="AZ477" i="3"/>
  <c r="AZ481" i="3"/>
  <c r="AZ485" i="3"/>
  <c r="AZ488" i="3"/>
  <c r="AZ212" i="3"/>
  <c r="AZ230" i="3"/>
  <c r="AZ423" i="3"/>
  <c r="G433" i="3"/>
  <c r="AZ219" i="3"/>
  <c r="AZ231" i="3"/>
  <c r="M20" i="15"/>
  <c r="F34" i="79"/>
  <c r="F62" i="79" s="1"/>
  <c r="M20" i="79"/>
  <c r="AZ424" i="3"/>
  <c r="AZ431" i="3"/>
  <c r="BL434" i="3"/>
  <c r="BL437" i="3"/>
  <c r="AZ443" i="3"/>
  <c r="AZ447" i="3"/>
  <c r="BL410" i="3"/>
  <c r="BL413" i="3"/>
  <c r="AZ413" i="3" s="1"/>
  <c r="G418" i="3"/>
  <c r="BA421" i="3"/>
  <c r="AZ421" i="3" s="1"/>
  <c r="BA434" i="3"/>
  <c r="AZ434" i="3" s="1"/>
  <c r="G442" i="3"/>
  <c r="G446" i="3"/>
  <c r="AZ448" i="3"/>
  <c r="AZ451" i="3"/>
  <c r="AZ452" i="3"/>
  <c r="AZ455" i="3"/>
  <c r="AZ462" i="3"/>
  <c r="AZ463" i="3"/>
  <c r="AZ476" i="3"/>
  <c r="AZ480" i="3"/>
  <c r="AZ484" i="3"/>
  <c r="AZ395" i="3"/>
  <c r="AZ242" i="3"/>
  <c r="AZ252" i="3"/>
  <c r="AZ262" i="3"/>
  <c r="G230" i="3"/>
  <c r="G233" i="3"/>
  <c r="BL233" i="3"/>
  <c r="AZ233" i="3" s="1"/>
  <c r="BA238" i="3"/>
  <c r="AZ238" i="3" s="1"/>
  <c r="BA239" i="3"/>
  <c r="AZ239" i="3" s="1"/>
  <c r="G242" i="3"/>
  <c r="BA243" i="3"/>
  <c r="AZ243" i="3" s="1"/>
  <c r="BA244" i="3"/>
  <c r="AZ244" i="3" s="1"/>
  <c r="G248" i="3"/>
  <c r="BL248" i="3"/>
  <c r="AZ248" i="3" s="1"/>
  <c r="BL253" i="3"/>
  <c r="AZ253" i="3" s="1"/>
  <c r="G254" i="3"/>
  <c r="BA256" i="3"/>
  <c r="AZ256" i="3" s="1"/>
  <c r="BL263" i="3"/>
  <c r="AZ263" i="3" s="1"/>
  <c r="G264" i="3"/>
  <c r="BL268" i="3"/>
  <c r="AZ268" i="3" s="1"/>
  <c r="G269" i="3"/>
  <c r="BA271" i="3"/>
  <c r="AZ271" i="3" s="1"/>
  <c r="BA276" i="3"/>
  <c r="AZ276" i="3" s="1"/>
  <c r="G286" i="3"/>
  <c r="G288" i="3"/>
  <c r="BL289" i="3"/>
  <c r="BL221" i="3"/>
  <c r="BA223" i="3"/>
  <c r="AZ223" i="3" s="1"/>
  <c r="BL225" i="3"/>
  <c r="AZ225" i="3" s="1"/>
  <c r="BL226" i="3"/>
  <c r="G227" i="3"/>
  <c r="BA229" i="3"/>
  <c r="AZ229" i="3" s="1"/>
  <c r="BA232" i="3"/>
  <c r="AZ232" i="3" s="1"/>
  <c r="G235" i="3"/>
  <c r="BL235" i="3"/>
  <c r="AZ235" i="3" s="1"/>
  <c r="BL236" i="3"/>
  <c r="G237" i="3"/>
  <c r="BA241" i="3"/>
  <c r="AZ241" i="3" s="1"/>
  <c r="BA246" i="3"/>
  <c r="BA247" i="3"/>
  <c r="AZ247" i="3" s="1"/>
  <c r="G250" i="3"/>
  <c r="BL250" i="3"/>
  <c r="AZ250" i="3" s="1"/>
  <c r="AZ193" i="3"/>
  <c r="AZ221" i="3"/>
  <c r="AZ260" i="3"/>
  <c r="BA285" i="3"/>
  <c r="AZ285" i="3" s="1"/>
  <c r="BA287" i="3"/>
  <c r="AZ287" i="3" s="1"/>
  <c r="AZ289" i="3"/>
  <c r="AZ161" i="3"/>
  <c r="AZ169" i="3"/>
  <c r="AZ185" i="3"/>
  <c r="BL223" i="3"/>
  <c r="G224" i="3"/>
  <c r="BA226" i="3"/>
  <c r="AZ226" i="3" s="1"/>
  <c r="BL228" i="3"/>
  <c r="AZ228" i="3" s="1"/>
  <c r="BL231" i="3"/>
  <c r="BA236" i="3"/>
  <c r="G240" i="3"/>
  <c r="BL240" i="3"/>
  <c r="AZ240" i="3" s="1"/>
  <c r="G245" i="3"/>
  <c r="BL245" i="3"/>
  <c r="AZ245" i="3" s="1"/>
  <c r="BL246" i="3"/>
  <c r="G247" i="3"/>
  <c r="BA251" i="3"/>
  <c r="AZ251" i="3" s="1"/>
  <c r="G257" i="3"/>
  <c r="BL257" i="3"/>
  <c r="AZ257" i="3" s="1"/>
  <c r="BL258" i="3"/>
  <c r="AZ258" i="3" s="1"/>
  <c r="G259" i="3"/>
  <c r="BA261" i="3"/>
  <c r="AZ261" i="3" s="1"/>
  <c r="BA266" i="3"/>
  <c r="AZ266" i="3" s="1"/>
  <c r="G272" i="3"/>
  <c r="BA273" i="3"/>
  <c r="AZ273" i="3" s="1"/>
  <c r="BA274" i="3"/>
  <c r="AZ274" i="3" s="1"/>
  <c r="BA277" i="3"/>
  <c r="AZ277" i="3" s="1"/>
  <c r="BA282" i="3"/>
  <c r="AZ282" i="3" s="1"/>
  <c r="AZ284" i="3"/>
  <c r="AZ300" i="3"/>
  <c r="AZ121" i="3"/>
  <c r="AZ141" i="3"/>
  <c r="G176" i="3"/>
  <c r="G182" i="3"/>
  <c r="BL190" i="3"/>
  <c r="AZ190" i="3" s="1"/>
  <c r="G196" i="3"/>
  <c r="BA201" i="3"/>
  <c r="AZ201" i="3" s="1"/>
  <c r="BL206" i="3"/>
  <c r="AZ206" i="3" s="1"/>
  <c r="G18" i="3"/>
  <c r="G5" i="3" s="1"/>
  <c r="B3" i="3" s="1"/>
  <c r="C15" i="3" s="1"/>
  <c r="A3" i="3" s="1"/>
  <c r="C88" i="9" s="1"/>
  <c r="C89" i="9" s="1"/>
  <c r="C87" i="9" s="1"/>
  <c r="BA20" i="3"/>
  <c r="AZ20" i="3" s="1"/>
  <c r="BA22" i="3"/>
  <c r="AZ22" i="3" s="1"/>
  <c r="BL25" i="3"/>
  <c r="BA28" i="3"/>
  <c r="AZ28" i="3" s="1"/>
  <c r="BA30" i="3"/>
  <c r="AZ30" i="3" s="1"/>
  <c r="BL32" i="3"/>
  <c r="AZ32" i="3" s="1"/>
  <c r="BA35" i="3"/>
  <c r="AZ35" i="3" s="1"/>
  <c r="G38" i="3"/>
  <c r="BA42" i="3"/>
  <c r="AZ42" i="3" s="1"/>
  <c r="BL173" i="3"/>
  <c r="AZ173" i="3" s="1"/>
  <c r="BA181" i="3"/>
  <c r="AZ181" i="3" s="1"/>
  <c r="BL187" i="3"/>
  <c r="AZ187" i="3" s="1"/>
  <c r="BL193" i="3"/>
  <c r="BL199" i="3"/>
  <c r="AZ199" i="3" s="1"/>
  <c r="BL207" i="3"/>
  <c r="BL19" i="3"/>
  <c r="AZ25" i="3"/>
  <c r="AZ96" i="3"/>
  <c r="AZ98" i="3"/>
  <c r="BA180" i="3"/>
  <c r="AZ180" i="3" s="1"/>
  <c r="G187" i="3"/>
  <c r="G199" i="3"/>
  <c r="G205" i="3"/>
  <c r="BA207" i="3"/>
  <c r="AZ207" i="3" s="1"/>
  <c r="BL21" i="3"/>
  <c r="AZ21" i="3" s="1"/>
  <c r="G23" i="3"/>
  <c r="BL29" i="3"/>
  <c r="AZ29" i="3" s="1"/>
  <c r="G31" i="3"/>
  <c r="BA37" i="3"/>
  <c r="AZ37" i="3" s="1"/>
  <c r="BL40" i="3"/>
  <c r="G43" i="3"/>
  <c r="AZ40" i="3"/>
  <c r="AZ64" i="3"/>
  <c r="AZ68" i="3"/>
  <c r="AZ81" i="3"/>
  <c r="AZ87" i="3"/>
  <c r="AZ108" i="3"/>
  <c r="AZ112" i="3"/>
  <c r="AZ100" i="3"/>
  <c r="G104" i="3"/>
  <c r="F3" i="35"/>
  <c r="E59" i="43"/>
  <c r="B57" i="43" s="1"/>
  <c r="C52" i="71"/>
  <c r="D51" i="71"/>
  <c r="BA103" i="3"/>
  <c r="AZ103" i="3" s="1"/>
  <c r="T40" i="71"/>
  <c r="D40" i="71"/>
  <c r="D28" i="71"/>
  <c r="T28" i="71"/>
  <c r="BL102" i="3"/>
  <c r="AZ102" i="3" s="1"/>
  <c r="BA106" i="3"/>
  <c r="AZ106" i="3" s="1"/>
  <c r="BL110" i="3"/>
  <c r="AZ110" i="3" s="1"/>
  <c r="AB21" i="21"/>
  <c r="D36" i="71"/>
  <c r="T36" i="71"/>
  <c r="C48" i="71"/>
  <c r="D47" i="71"/>
  <c r="U21" i="33"/>
  <c r="AA21" i="37"/>
  <c r="V64" i="71"/>
  <c r="F63" i="71"/>
  <c r="AB17" i="71"/>
  <c r="Y18" i="71"/>
  <c r="Z18" i="71" s="1"/>
  <c r="AA13" i="71"/>
  <c r="Y10" i="71"/>
  <c r="Z10" i="71" s="1"/>
  <c r="S21" i="34"/>
  <c r="D60" i="71"/>
  <c r="C82" i="71"/>
  <c r="D82" i="71" s="1"/>
  <c r="D24" i="71"/>
  <c r="U24" i="71" s="1"/>
  <c r="AB21" i="71"/>
  <c r="S24" i="71"/>
  <c r="AA26" i="71"/>
  <c r="AA27" i="71"/>
  <c r="AA28" i="71"/>
  <c r="AA29" i="71"/>
  <c r="Y5" i="71"/>
  <c r="Z5" i="71" s="1"/>
  <c r="Y6" i="71"/>
  <c r="Z6" i="71" s="1"/>
  <c r="Y35" i="71"/>
  <c r="Z35" i="71" s="1"/>
  <c r="AC12" i="43"/>
  <c r="AC10" i="43"/>
  <c r="AG10" i="43"/>
  <c r="AG12" i="43"/>
  <c r="Y20" i="71"/>
  <c r="Z20" i="71" s="1"/>
  <c r="X14" i="71"/>
  <c r="Y14" i="71"/>
  <c r="Z14" i="71" s="1"/>
  <c r="AA8" i="71"/>
  <c r="Y13" i="71"/>
  <c r="Z13" i="71" s="1"/>
  <c r="J51" i="15"/>
  <c r="S21" i="21"/>
  <c r="S18" i="35"/>
  <c r="C25" i="40"/>
  <c r="D27" i="71"/>
  <c r="C74" i="71"/>
  <c r="D74" i="71" s="1"/>
  <c r="C70" i="71"/>
  <c r="D70" i="71" s="1"/>
  <c r="AA24" i="71"/>
  <c r="AA3" i="71"/>
  <c r="AB24" i="71"/>
  <c r="C23" i="71"/>
  <c r="Q64" i="71"/>
  <c r="D50" i="71"/>
  <c r="D46" i="71"/>
  <c r="Y24" i="71"/>
  <c r="Z24" i="71" s="1"/>
  <c r="AA31" i="71"/>
  <c r="E28" i="71"/>
  <c r="U28" i="71" s="1"/>
  <c r="Y26" i="71"/>
  <c r="Z26" i="71" s="1"/>
  <c r="AB27" i="71"/>
  <c r="Y30" i="71"/>
  <c r="Z30" i="71" s="1"/>
  <c r="X31" i="71"/>
  <c r="X29" i="71"/>
  <c r="X30" i="71"/>
  <c r="AB31" i="71"/>
  <c r="Y34" i="71"/>
  <c r="Z34" i="71" s="1"/>
  <c r="AA6" i="71"/>
  <c r="AA5" i="71"/>
  <c r="AA35" i="71"/>
  <c r="AA33" i="71"/>
  <c r="F51" i="71"/>
  <c r="F52" i="71" s="1"/>
  <c r="V52" i="71" s="1"/>
  <c r="Y19" i="71"/>
  <c r="Z19" i="71" s="1"/>
  <c r="Y17" i="71"/>
  <c r="Z17" i="71" s="1"/>
  <c r="AB19" i="71"/>
  <c r="AA14" i="71"/>
  <c r="AB14" i="71"/>
  <c r="AB10" i="71"/>
  <c r="D30" i="71"/>
  <c r="X23" i="71"/>
  <c r="Y21" i="71"/>
  <c r="Z21" i="71" s="1"/>
  <c r="AA34" i="71"/>
  <c r="Y33" i="71"/>
  <c r="Z33" i="71" s="1"/>
  <c r="AA30" i="71"/>
  <c r="X28" i="71"/>
  <c r="B32" i="71"/>
  <c r="S32" i="71" s="1"/>
  <c r="X20" i="71"/>
  <c r="Y25" i="71"/>
  <c r="Z25" i="71" s="1"/>
  <c r="Y22" i="71"/>
  <c r="Z22" i="71" s="1"/>
  <c r="F26" i="71"/>
  <c r="F27" i="71" s="1"/>
  <c r="F28" i="71" s="1"/>
  <c r="V28" i="71" s="1"/>
  <c r="Y27" i="71"/>
  <c r="Z27" i="71" s="1"/>
  <c r="AB28" i="71"/>
  <c r="Y31" i="71"/>
  <c r="Z31" i="71" s="1"/>
  <c r="AB32" i="71"/>
  <c r="E47" i="71"/>
  <c r="E48" i="71" s="1"/>
  <c r="U48" i="71" s="1"/>
  <c r="B71" i="71"/>
  <c r="B70" i="71" s="1"/>
  <c r="AE10" i="43"/>
  <c r="AE12" i="43"/>
  <c r="AB20" i="71"/>
  <c r="E19" i="71"/>
  <c r="E18" i="71" s="1"/>
  <c r="E17" i="71" s="1"/>
  <c r="E16" i="71" s="1"/>
  <c r="V20" i="71"/>
  <c r="X13" i="71"/>
  <c r="X10" i="71"/>
  <c r="AB13" i="71"/>
  <c r="AB5" i="71"/>
  <c r="AH10" i="43"/>
  <c r="Z10" i="43"/>
  <c r="K56" i="9"/>
  <c r="AA20" i="71"/>
  <c r="AA19" i="71"/>
  <c r="X18" i="71"/>
  <c r="AA17" i="71"/>
  <c r="AB6" i="71"/>
  <c r="X9" i="71"/>
  <c r="Y7" i="71"/>
  <c r="Z7" i="71" s="1"/>
  <c r="AA18" i="71"/>
  <c r="AA11" i="71"/>
  <c r="AB9" i="71"/>
  <c r="AA10" i="71"/>
  <c r="X8" i="71"/>
  <c r="Y8" i="71"/>
  <c r="Z8" i="71" s="1"/>
  <c r="X5" i="71"/>
  <c r="AD10" i="43"/>
  <c r="C20" i="71"/>
  <c r="AB11" i="71"/>
  <c r="AB8" i="71"/>
  <c r="AA7" i="71"/>
  <c r="X6" i="71"/>
  <c r="Y9" i="71"/>
  <c r="Z9" i="71" s="1"/>
  <c r="X11" i="71"/>
  <c r="AB7" i="71"/>
  <c r="AA9" i="71"/>
  <c r="X7" i="71"/>
  <c r="U38" i="39"/>
  <c r="C36" i="69"/>
  <c r="O6" i="1"/>
  <c r="G17" i="43"/>
  <c r="C16" i="43" s="1"/>
  <c r="C5" i="43" s="1"/>
  <c r="W29" i="39"/>
  <c r="U27" i="39"/>
  <c r="AB27" i="39"/>
  <c r="J27" i="39"/>
  <c r="J25" i="39"/>
  <c r="G99" i="39"/>
  <c r="H25" i="39"/>
  <c r="F25" i="39"/>
  <c r="AC23" i="39"/>
  <c r="W23" i="39"/>
  <c r="AB23" i="39"/>
  <c r="E97" i="39"/>
  <c r="F97" i="39" s="1"/>
  <c r="G97" i="39" s="1"/>
  <c r="F21" i="39"/>
  <c r="F95" i="39"/>
  <c r="G95" i="39" s="1"/>
  <c r="J21" i="39"/>
  <c r="G91" i="39"/>
  <c r="F17" i="39"/>
  <c r="H17" i="39"/>
  <c r="J17" i="39"/>
  <c r="U29" i="39"/>
  <c r="S23" i="39"/>
  <c r="S29" i="39"/>
  <c r="W19" i="39"/>
  <c r="S19" i="39"/>
  <c r="AA39" i="39"/>
  <c r="W39" i="39"/>
  <c r="U9" i="39"/>
  <c r="P61" i="15"/>
  <c r="F28" i="15"/>
  <c r="C28" i="15" s="1"/>
  <c r="F31" i="12"/>
  <c r="F54" i="9"/>
  <c r="M18" i="67"/>
  <c r="F30" i="68"/>
  <c r="C31" i="12"/>
  <c r="C24" i="12"/>
  <c r="D68" i="9"/>
  <c r="M18" i="15"/>
  <c r="F32" i="15"/>
  <c r="F60" i="15" s="1"/>
  <c r="F30" i="69"/>
  <c r="F32" i="67"/>
  <c r="F60" i="67" s="1"/>
  <c r="F52" i="9"/>
  <c r="F28" i="67"/>
  <c r="C28" i="67" s="1"/>
  <c r="F30" i="11"/>
  <c r="F53" i="9"/>
  <c r="C21" i="69"/>
  <c r="D22" i="67"/>
  <c r="Q16" i="1"/>
  <c r="F27" i="69" s="1"/>
  <c r="F45" i="69" s="1"/>
  <c r="H16" i="1"/>
  <c r="D19" i="12"/>
  <c r="C19" i="12" s="1"/>
  <c r="E57" i="40"/>
  <c r="E62" i="39"/>
  <c r="F27" i="6"/>
  <c r="E56" i="39"/>
  <c r="E16" i="6"/>
  <c r="E51" i="40"/>
  <c r="C36" i="11"/>
  <c r="D9" i="68"/>
  <c r="C9" i="68" s="1"/>
  <c r="D9" i="69"/>
  <c r="C9" i="69" s="1"/>
  <c r="O14" i="1"/>
  <c r="P14" i="1" s="1"/>
  <c r="E56" i="40"/>
  <c r="P7" i="1"/>
  <c r="O12" i="1"/>
  <c r="P12" i="1" s="1"/>
  <c r="O9" i="1"/>
  <c r="P9" i="1" s="1"/>
  <c r="O8" i="1"/>
  <c r="P6" i="1"/>
  <c r="T35" i="4"/>
  <c r="A19" i="51" s="1"/>
  <c r="B14" i="72" s="1"/>
  <c r="A15" i="62"/>
  <c r="B61"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62"/>
  <c r="D9" i="53"/>
  <c r="B25" i="72" s="1"/>
  <c r="B24" i="72"/>
  <c r="K120" i="9"/>
  <c r="A18" i="62" s="1"/>
  <c r="B64" i="72" s="1"/>
  <c r="Y12" i="71"/>
  <c r="Z12" i="71" s="1"/>
  <c r="Y11" i="71"/>
  <c r="Z11" i="71" s="1"/>
  <c r="AA12" i="71"/>
  <c r="AB3" i="71"/>
  <c r="B12" i="71"/>
  <c r="X12" i="71"/>
  <c r="AB12" i="71"/>
  <c r="Y3" i="71"/>
  <c r="Z3" i="71" s="1"/>
  <c r="F12" i="7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M6" i="79"/>
  <c r="C16" i="67"/>
  <c r="L47" i="79"/>
  <c r="F38" i="79"/>
  <c r="F9" i="79"/>
  <c r="M27" i="79"/>
  <c r="M9" i="79"/>
  <c r="M22" i="79"/>
  <c r="F13" i="79"/>
  <c r="F36" i="79"/>
  <c r="F16" i="79"/>
  <c r="L48" i="79"/>
  <c r="F40" i="79"/>
  <c r="D5" i="73"/>
  <c r="F26" i="79"/>
  <c r="M8" i="79"/>
  <c r="M28" i="79"/>
  <c r="M26" i="79"/>
  <c r="F8" i="79"/>
  <c r="F7" i="79"/>
  <c r="C76" i="79"/>
  <c r="M29" i="79"/>
  <c r="J15" i="79"/>
  <c r="F43" i="79"/>
  <c r="M24" i="79"/>
  <c r="F42" i="79"/>
  <c r="D4" i="73"/>
  <c r="F37" i="79"/>
  <c r="C16" i="15"/>
  <c r="M23" i="79"/>
  <c r="C35" i="85" l="1"/>
  <c r="C34" i="85"/>
  <c r="E29" i="6"/>
  <c r="K15" i="1" s="1"/>
  <c r="C94" i="9"/>
  <c r="C92" i="9"/>
  <c r="B4" i="72"/>
  <c r="B71" i="72"/>
  <c r="F27" i="68"/>
  <c r="F45" i="68" s="1"/>
  <c r="I21" i="66"/>
  <c r="D1" i="66" s="1"/>
  <c r="E10" i="66" s="1"/>
  <c r="F65" i="79"/>
  <c r="F64" i="79"/>
  <c r="F66" i="79"/>
  <c r="F68" i="79"/>
  <c r="Q71" i="79"/>
  <c r="L60" i="79"/>
  <c r="L57" i="79"/>
  <c r="L56" i="79"/>
  <c r="J57" i="79"/>
  <c r="J55" i="79" s="1"/>
  <c r="J58" i="79" s="1"/>
  <c r="Q50" i="79" s="1"/>
  <c r="J53" i="79"/>
  <c r="I54" i="79"/>
  <c r="L59" i="79"/>
  <c r="M59" i="79"/>
  <c r="N59" i="79"/>
  <c r="L58" i="79"/>
  <c r="F51" i="79"/>
  <c r="F71" i="79"/>
  <c r="M7" i="79"/>
  <c r="J6" i="79" s="1"/>
  <c r="J18" i="79" s="1"/>
  <c r="F50" i="79"/>
  <c r="C27" i="79"/>
  <c r="AZ19" i="3"/>
  <c r="BL5" i="3"/>
  <c r="U44" i="39"/>
  <c r="AB44" i="39"/>
  <c r="AB36" i="35"/>
  <c r="U36" i="35"/>
  <c r="AC9" i="33"/>
  <c r="W9" i="33"/>
  <c r="S27" i="39"/>
  <c r="AA27" i="39"/>
  <c r="AC34" i="35"/>
  <c r="W34" i="35"/>
  <c r="H14" i="74"/>
  <c r="B7" i="74" s="1"/>
  <c r="D10" i="52"/>
  <c r="D125" i="9"/>
  <c r="D11" i="52" s="1"/>
  <c r="B34" i="72"/>
  <c r="D17" i="53"/>
  <c r="B36" i="72" s="1"/>
  <c r="B11" i="71"/>
  <c r="B10" i="71" s="1"/>
  <c r="B9" i="71" s="1"/>
  <c r="B8" i="71" s="1"/>
  <c r="S12" i="71"/>
  <c r="D23" i="71"/>
  <c r="C22" i="71"/>
  <c r="D22" i="71" s="1"/>
  <c r="T52" i="71"/>
  <c r="D52" i="71"/>
  <c r="AZ236" i="3"/>
  <c r="AZ246" i="3"/>
  <c r="AC26" i="37"/>
  <c r="W26" i="37"/>
  <c r="AA12" i="34"/>
  <c r="S12" i="34"/>
  <c r="AB34" i="35"/>
  <c r="U34" i="35"/>
  <c r="BA5" i="3"/>
  <c r="D20" i="53"/>
  <c r="B40" i="72" s="1"/>
  <c r="B38" i="72"/>
  <c r="J7" i="37"/>
  <c r="E27" i="6"/>
  <c r="K19" i="6" s="1"/>
  <c r="C19" i="71"/>
  <c r="D20" i="71"/>
  <c r="U20" i="71" s="1"/>
  <c r="T20" i="71"/>
  <c r="E15" i="71"/>
  <c r="E14" i="71" s="1"/>
  <c r="E13" i="71" s="1"/>
  <c r="E12" i="71" s="1"/>
  <c r="V16" i="71"/>
  <c r="F62" i="71"/>
  <c r="Q63" i="71"/>
  <c r="U12" i="34"/>
  <c r="AB12" i="34"/>
  <c r="AA12" i="21"/>
  <c r="S12" i="21"/>
  <c r="E60" i="40"/>
  <c r="E65" i="39"/>
  <c r="E66" i="39" s="1"/>
  <c r="E30" i="6"/>
  <c r="K14" i="1"/>
  <c r="D48" i="71"/>
  <c r="T48" i="71"/>
  <c r="AZ437" i="3"/>
  <c r="AC36" i="35"/>
  <c r="W36" i="35"/>
  <c r="S9" i="33"/>
  <c r="AA9" i="33"/>
  <c r="U12" i="21"/>
  <c r="AB12" i="21"/>
  <c r="AA34" i="35"/>
  <c r="S34" i="35"/>
  <c r="D5" i="43"/>
  <c r="H21" i="39"/>
  <c r="AB21" i="39" s="1"/>
  <c r="T11" i="43"/>
  <c r="V11" i="43" s="1"/>
  <c r="T9" i="43"/>
  <c r="V9" i="43" s="1"/>
  <c r="T15" i="43"/>
  <c r="V15" i="43" s="1"/>
  <c r="T10" i="43"/>
  <c r="V10" i="43" s="1"/>
  <c r="T16" i="43"/>
  <c r="V16" i="43" s="1"/>
  <c r="T8" i="43"/>
  <c r="V8" i="43" s="1"/>
  <c r="T14" i="43"/>
  <c r="V14" i="43" s="1"/>
  <c r="T12" i="43"/>
  <c r="V12" i="43" s="1"/>
  <c r="T13" i="43"/>
  <c r="V13" i="43" s="1"/>
  <c r="F11" i="79"/>
  <c r="M11" i="79"/>
  <c r="AC27" i="39"/>
  <c r="W27" i="39"/>
  <c r="AA25" i="39"/>
  <c r="S25" i="39"/>
  <c r="AB25" i="39"/>
  <c r="U25" i="39"/>
  <c r="AC25" i="39"/>
  <c r="W25" i="39"/>
  <c r="AC21" i="39"/>
  <c r="W21" i="39"/>
  <c r="S21" i="39"/>
  <c r="AA21" i="39"/>
  <c r="AC17" i="39"/>
  <c r="W17" i="39"/>
  <c r="AA17" i="39"/>
  <c r="S17" i="39"/>
  <c r="AB17" i="39"/>
  <c r="U17" i="39"/>
  <c r="F48" i="68"/>
  <c r="C30" i="68"/>
  <c r="C48" i="68"/>
  <c r="C48" i="11"/>
  <c r="C30" i="11"/>
  <c r="F48" i="69"/>
  <c r="C30" i="69"/>
  <c r="C48" i="69"/>
  <c r="C29" i="69"/>
  <c r="D27" i="69" s="1"/>
  <c r="C47" i="69"/>
  <c r="D45" i="69" s="1"/>
  <c r="F27" i="11"/>
  <c r="F28" i="12"/>
  <c r="C29" i="12" s="1"/>
  <c r="D28" i="12" s="1"/>
  <c r="F31" i="6"/>
  <c r="O16" i="1"/>
  <c r="P8" i="1"/>
  <c r="P16" i="1" s="1"/>
  <c r="C11" i="12" s="1"/>
  <c r="J10" i="40"/>
  <c r="AC10" i="40" s="1"/>
  <c r="H10" i="39"/>
  <c r="U10" i="39" s="1"/>
  <c r="F10" i="40"/>
  <c r="S10" i="40" s="1"/>
  <c r="J10" i="39"/>
  <c r="AC10" i="39" s="1"/>
  <c r="H10" i="40"/>
  <c r="AB10" i="40" s="1"/>
  <c r="F59" i="67"/>
  <c r="G70" i="39"/>
  <c r="H68" i="39"/>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J18" i="15"/>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G1" i="73"/>
  <c r="C16" i="79"/>
  <c r="F41" i="67"/>
  <c r="AB10" i="39" l="1"/>
  <c r="K26" i="6"/>
  <c r="M26" i="6" s="1"/>
  <c r="I26" i="6" s="1"/>
  <c r="S26" i="6" s="1"/>
  <c r="K21" i="6"/>
  <c r="M21" i="6" s="1"/>
  <c r="I21" i="6" s="1"/>
  <c r="F69" i="67"/>
  <c r="M19" i="6"/>
  <c r="S6" i="1"/>
  <c r="AQ6" i="1" s="1"/>
  <c r="K23" i="6"/>
  <c r="M23" i="6" s="1"/>
  <c r="I23" i="6" s="1"/>
  <c r="S23" i="6" s="1"/>
  <c r="K20" i="6"/>
  <c r="M20" i="6" s="1"/>
  <c r="I20" i="6" s="1"/>
  <c r="S20" i="6" s="1"/>
  <c r="K24" i="6"/>
  <c r="M24" i="6" s="1"/>
  <c r="I24" i="6" s="1"/>
  <c r="K22" i="6"/>
  <c r="M22" i="6" s="1"/>
  <c r="I22" i="6" s="1"/>
  <c r="S22" i="6" s="1"/>
  <c r="AA10" i="40"/>
  <c r="K25" i="6"/>
  <c r="M25" i="6" s="1"/>
  <c r="I25" i="6" s="1"/>
  <c r="S25" i="6" s="1"/>
  <c r="E31" i="6"/>
  <c r="B40" i="1"/>
  <c r="F24" i="79" s="1"/>
  <c r="C24" i="79" s="1"/>
  <c r="W10" i="39"/>
  <c r="U10" i="40"/>
  <c r="C47" i="68"/>
  <c r="D45" i="68" s="1"/>
  <c r="C29" i="68"/>
  <c r="D27" i="68" s="1"/>
  <c r="C29" i="66"/>
  <c r="C27" i="66" s="1"/>
  <c r="J10" i="79"/>
  <c r="J5" i="79" s="1"/>
  <c r="J26" i="79" s="1"/>
  <c r="U21" i="39"/>
  <c r="Q62" i="71"/>
  <c r="Q61" i="71"/>
  <c r="B7" i="71"/>
  <c r="B6" i="71" s="1"/>
  <c r="B5" i="71" s="1"/>
  <c r="S8" i="71"/>
  <c r="C49" i="79"/>
  <c r="Q61" i="79"/>
  <c r="Q74" i="79"/>
  <c r="C18" i="71"/>
  <c r="D19" i="71"/>
  <c r="AZ5" i="3"/>
  <c r="E3" i="6" s="1"/>
  <c r="Q60" i="79"/>
  <c r="Q73" i="79"/>
  <c r="E11" i="71"/>
  <c r="E10" i="71" s="1"/>
  <c r="E9" i="71" s="1"/>
  <c r="E8" i="71" s="1"/>
  <c r="V12" i="71"/>
  <c r="Q52" i="79"/>
  <c r="F1" i="79"/>
  <c r="Q66" i="79"/>
  <c r="Q57" i="79"/>
  <c r="M14" i="1"/>
  <c r="M16" i="1" s="1"/>
  <c r="C34" i="69"/>
  <c r="K16" i="1"/>
  <c r="C35" i="43"/>
  <c r="C39" i="43"/>
  <c r="C33" i="43"/>
  <c r="C36" i="43"/>
  <c r="C37" i="43"/>
  <c r="C34" i="43"/>
  <c r="C38" i="43"/>
  <c r="C53" i="79"/>
  <c r="C10" i="79"/>
  <c r="C47" i="11"/>
  <c r="D45" i="11" s="1"/>
  <c r="C29" i="11"/>
  <c r="D27" i="11" s="1"/>
  <c r="S7" i="1"/>
  <c r="S24" i="6"/>
  <c r="S21" i="6"/>
  <c r="I19" i="6"/>
  <c r="W10" i="40"/>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3" i="15"/>
  <c r="C48" i="15" s="1"/>
  <c r="C10" i="15"/>
  <c r="AE7" i="1"/>
  <c r="AE6" i="1"/>
  <c r="C14" i="67"/>
  <c r="C17" i="67"/>
  <c r="C17" i="15"/>
  <c r="C17" i="79"/>
  <c r="F22" i="11" l="1"/>
  <c r="C24" i="11" s="1"/>
  <c r="C18" i="67"/>
  <c r="C15" i="67"/>
  <c r="T6" i="1"/>
  <c r="F24" i="15"/>
  <c r="C24" i="15" s="1"/>
  <c r="AR6" i="1"/>
  <c r="M27" i="6"/>
  <c r="K27" i="6"/>
  <c r="F22" i="69"/>
  <c r="F41" i="69" s="1"/>
  <c r="E6" i="70"/>
  <c r="F22" i="68"/>
  <c r="C44" i="68" s="1"/>
  <c r="D41" i="68" s="1"/>
  <c r="F25" i="12"/>
  <c r="C26" i="12" s="1"/>
  <c r="D25" i="12" s="1"/>
  <c r="F24" i="67"/>
  <c r="C24" i="67" s="1"/>
  <c r="J24" i="79"/>
  <c r="C48" i="79"/>
  <c r="C60" i="79" s="1"/>
  <c r="E6" i="6"/>
  <c r="D3" i="33"/>
  <c r="D19" i="11"/>
  <c r="C19" i="11" s="1"/>
  <c r="C20" i="11" s="1"/>
  <c r="C28" i="11" s="1"/>
  <c r="C27" i="11" s="1"/>
  <c r="D3" i="21"/>
  <c r="D37" i="11"/>
  <c r="C37" i="11" s="1"/>
  <c r="L18" i="9"/>
  <c r="D14" i="12"/>
  <c r="C17" i="4"/>
  <c r="B4" i="52" s="1"/>
  <c r="B43" i="72" s="1"/>
  <c r="D3" i="34"/>
  <c r="M18" i="9"/>
  <c r="B118" i="9" s="1"/>
  <c r="B14" i="74" s="1"/>
  <c r="B1" i="74" s="1"/>
  <c r="D3" i="37"/>
  <c r="S16" i="1"/>
  <c r="E7" i="70"/>
  <c r="E2" i="70" s="1"/>
  <c r="C35" i="69"/>
  <c r="C38" i="69"/>
  <c r="E7" i="71"/>
  <c r="E6" i="71" s="1"/>
  <c r="E5" i="71" s="1"/>
  <c r="V8" i="71"/>
  <c r="L16" i="1"/>
  <c r="C34" i="11"/>
  <c r="C34" i="68"/>
  <c r="N16" i="1"/>
  <c r="D18" i="71"/>
  <c r="C17" i="71"/>
  <c r="G34" i="43"/>
  <c r="I34" i="43" s="1"/>
  <c r="E34" i="43"/>
  <c r="E36" i="43"/>
  <c r="G36" i="43"/>
  <c r="I36" i="43" s="1"/>
  <c r="E39" i="43"/>
  <c r="G39" i="43"/>
  <c r="I39" i="43" s="1"/>
  <c r="E38" i="43"/>
  <c r="G38" i="43"/>
  <c r="I38" i="43" s="1"/>
  <c r="E37" i="43"/>
  <c r="G37" i="43"/>
  <c r="I37" i="43" s="1"/>
  <c r="G33" i="43"/>
  <c r="I33" i="43" s="1"/>
  <c r="E33" i="43"/>
  <c r="E35" i="43"/>
  <c r="G35" i="43"/>
  <c r="I35" i="43" s="1"/>
  <c r="AQ7" i="1"/>
  <c r="AR7" i="1"/>
  <c r="T7" i="1"/>
  <c r="C19" i="68"/>
  <c r="I27" i="6"/>
  <c r="S19" i="6"/>
  <c r="S27" i="6"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66" i="67"/>
  <c r="C60" i="67"/>
  <c r="F6" i="79"/>
  <c r="F41" i="79"/>
  <c r="F41" i="15"/>
  <c r="C14" i="15"/>
  <c r="C14" i="79"/>
  <c r="J29" i="15" l="1"/>
  <c r="C36" i="84"/>
  <c r="C36" i="83" s="1"/>
  <c r="F36" i="83" s="1"/>
  <c r="F69" i="15"/>
  <c r="C36" i="85"/>
  <c r="F41" i="68"/>
  <c r="C26" i="68"/>
  <c r="D22" i="68" s="1"/>
  <c r="C26" i="11"/>
  <c r="D22" i="11" s="1"/>
  <c r="C44" i="11"/>
  <c r="D41" i="11" s="1"/>
  <c r="C23" i="11"/>
  <c r="C26" i="69"/>
  <c r="D22" i="69" s="1"/>
  <c r="C24" i="68"/>
  <c r="C44" i="69"/>
  <c r="D41" i="69" s="1"/>
  <c r="T16" i="1"/>
  <c r="C19" i="67"/>
  <c r="C20" i="67" s="1"/>
  <c r="C26" i="67" s="1"/>
  <c r="C15" i="79"/>
  <c r="C18" i="79"/>
  <c r="E26" i="66"/>
  <c r="C25" i="11"/>
  <c r="F69" i="79"/>
  <c r="J29" i="79"/>
  <c r="C66" i="79"/>
  <c r="C18" i="15"/>
  <c r="C15" i="15"/>
  <c r="C38" i="68"/>
  <c r="C35" i="68"/>
  <c r="C16" i="71"/>
  <c r="D17" i="71"/>
  <c r="C38" i="11"/>
  <c r="C35" i="11"/>
  <c r="C14" i="12"/>
  <c r="C16" i="12" s="1"/>
  <c r="D17" i="12"/>
  <c r="C17" i="12" s="1"/>
  <c r="C7" i="74"/>
  <c r="C8" i="74"/>
  <c r="F50" i="11"/>
  <c r="F50" i="68"/>
  <c r="F50" i="69"/>
  <c r="D10" i="11"/>
  <c r="C10" i="11" s="1"/>
  <c r="D10" i="69"/>
  <c r="D10" i="68"/>
  <c r="D20" i="12"/>
  <c r="C20" i="12" s="1"/>
  <c r="C18" i="12" s="1"/>
  <c r="C6" i="79"/>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F6" i="15"/>
  <c r="F36" i="84" l="1"/>
  <c r="C19" i="79"/>
  <c r="C20" i="79" s="1"/>
  <c r="F36" i="85"/>
  <c r="C22" i="11"/>
  <c r="C31" i="11" s="1"/>
  <c r="C23" i="67"/>
  <c r="C29" i="67" s="1"/>
  <c r="J59" i="67" s="1"/>
  <c r="J60" i="67" s="1"/>
  <c r="Q48" i="67" s="1"/>
  <c r="C6" i="15"/>
  <c r="C32" i="15" s="1"/>
  <c r="C33" i="11"/>
  <c r="C39" i="11" s="1"/>
  <c r="C19" i="15"/>
  <c r="C20" i="15" s="1"/>
  <c r="C21" i="12"/>
  <c r="C10" i="68"/>
  <c r="D19" i="68"/>
  <c r="D37" i="68" s="1"/>
  <c r="C37" i="68" s="1"/>
  <c r="C33" i="68" s="1"/>
  <c r="C10" i="69"/>
  <c r="C8" i="69" s="1"/>
  <c r="C5" i="69" s="1"/>
  <c r="C23" i="69" s="1"/>
  <c r="D19" i="69"/>
  <c r="C15" i="71"/>
  <c r="D16" i="71"/>
  <c r="U16" i="71" s="1"/>
  <c r="T16" i="71"/>
  <c r="C32" i="79"/>
  <c r="C5" i="79"/>
  <c r="K70" i="39"/>
  <c r="L68" i="39"/>
  <c r="I63" i="40"/>
  <c r="H65" i="40"/>
  <c r="I58" i="21"/>
  <c r="J58" i="21" s="1"/>
  <c r="K58" i="21" s="1"/>
  <c r="L58" i="21" s="1"/>
  <c r="M58" i="21" s="1"/>
  <c r="N58" i="21" s="1"/>
  <c r="O58" i="21" s="1"/>
  <c r="H7" i="21" s="1"/>
  <c r="J7" i="21"/>
  <c r="F7" i="21"/>
  <c r="J48" i="35"/>
  <c r="F6" i="67"/>
  <c r="C23" i="79" l="1"/>
  <c r="C26" i="79"/>
  <c r="C6" i="67"/>
  <c r="C33" i="67"/>
  <c r="J14" i="67"/>
  <c r="Q49" i="67"/>
  <c r="C13" i="67"/>
  <c r="C36" i="67"/>
  <c r="J19" i="67"/>
  <c r="C57" i="67"/>
  <c r="C5" i="15"/>
  <c r="C42" i="11"/>
  <c r="C26" i="15"/>
  <c r="C23" i="15"/>
  <c r="C22" i="12"/>
  <c r="C30" i="12" s="1"/>
  <c r="C28" i="12" s="1"/>
  <c r="C19" i="69"/>
  <c r="D37" i="69"/>
  <c r="C37" i="69" s="1"/>
  <c r="C33" i="69" s="1"/>
  <c r="C39" i="68"/>
  <c r="C42" i="68"/>
  <c r="C46" i="11"/>
  <c r="C45" i="11" s="1"/>
  <c r="C43" i="11"/>
  <c r="C14" i="71"/>
  <c r="D15" i="71"/>
  <c r="L70" i="39"/>
  <c r="M68" i="39"/>
  <c r="U7" i="21"/>
  <c r="AB7" i="21"/>
  <c r="T48" i="21" s="1"/>
  <c r="G48" i="21" s="1"/>
  <c r="S7" i="21"/>
  <c r="AA7" i="21"/>
  <c r="R48" i="21" s="1"/>
  <c r="J63" i="40"/>
  <c r="I65" i="40"/>
  <c r="K48" i="35"/>
  <c r="L48" i="35" s="1"/>
  <c r="M48" i="35" s="1"/>
  <c r="N48" i="35" s="1"/>
  <c r="O48" i="35" s="1"/>
  <c r="H7" i="35" s="1"/>
  <c r="J7" i="35"/>
  <c r="AC7" i="21"/>
  <c r="V48" i="21" s="1"/>
  <c r="I48" i="21" s="1"/>
  <c r="W7" i="21"/>
  <c r="C29" i="79" l="1"/>
  <c r="D13" i="85" s="1"/>
  <c r="C32" i="67"/>
  <c r="C5" i="67"/>
  <c r="C38" i="67" s="1"/>
  <c r="C61" i="67"/>
  <c r="C64" i="67"/>
  <c r="J13" i="67"/>
  <c r="J23" i="67" s="1"/>
  <c r="J22" i="67"/>
  <c r="C56" i="67"/>
  <c r="C65" i="67" s="1"/>
  <c r="C75" i="67"/>
  <c r="Q70" i="67"/>
  <c r="C37" i="67"/>
  <c r="C41" i="11"/>
  <c r="C49" i="11" s="1"/>
  <c r="C51" i="11" s="1"/>
  <c r="C52" i="11" s="1"/>
  <c r="B2" i="11" s="1"/>
  <c r="B3" i="11" s="1"/>
  <c r="C29" i="15"/>
  <c r="D13" i="84" s="1"/>
  <c r="J59" i="79"/>
  <c r="J60" i="79" s="1"/>
  <c r="C27" i="12"/>
  <c r="C25" i="12" s="1"/>
  <c r="C32" i="12" s="1"/>
  <c r="B2" i="12" s="1"/>
  <c r="B3" i="12" s="1"/>
  <c r="C13" i="71"/>
  <c r="D14" i="71"/>
  <c r="C46" i="68"/>
  <c r="C45" i="68" s="1"/>
  <c r="C43" i="68"/>
  <c r="C41" i="68" s="1"/>
  <c r="C42" i="69"/>
  <c r="C39" i="69"/>
  <c r="C43" i="69" s="1"/>
  <c r="C20" i="69"/>
  <c r="C24" i="69"/>
  <c r="M70" i="39"/>
  <c r="N68" i="39"/>
  <c r="W7" i="35"/>
  <c r="AC7" i="35"/>
  <c r="V38" i="35" s="1"/>
  <c r="I38" i="35" s="1"/>
  <c r="J65" i="40"/>
  <c r="K63" i="40"/>
  <c r="I52" i="21"/>
  <c r="J52" i="21" s="1"/>
  <c r="U7" i="35"/>
  <c r="AB7" i="35"/>
  <c r="T38" i="35" s="1"/>
  <c r="G38" i="35" s="1"/>
  <c r="R49" i="21"/>
  <c r="E48" i="21"/>
  <c r="G52" i="21"/>
  <c r="H52" i="21" s="1"/>
  <c r="G53" i="21"/>
  <c r="H53" i="21" s="1"/>
  <c r="F7" i="35"/>
  <c r="L57" i="15"/>
  <c r="L60" i="15" s="1"/>
  <c r="J19" i="79" l="1"/>
  <c r="Q49" i="79"/>
  <c r="C57" i="79"/>
  <c r="C64" i="79" s="1"/>
  <c r="C33" i="79"/>
  <c r="C13" i="79"/>
  <c r="J14" i="79"/>
  <c r="J13" i="79" s="1"/>
  <c r="J23" i="79" s="1"/>
  <c r="C13" i="15"/>
  <c r="C33" i="15"/>
  <c r="J59" i="15"/>
  <c r="J60" i="15" s="1"/>
  <c r="L46" i="15" s="1"/>
  <c r="Q49" i="15"/>
  <c r="J19" i="15"/>
  <c r="C57" i="15"/>
  <c r="J14" i="15"/>
  <c r="J13" i="15" s="1"/>
  <c r="J23" i="15" s="1"/>
  <c r="C41" i="69"/>
  <c r="L46" i="79"/>
  <c r="Q48" i="79"/>
  <c r="C49" i="68"/>
  <c r="C51" i="68" s="1"/>
  <c r="C46" i="69"/>
  <c r="C45" i="69" s="1"/>
  <c r="C12" i="71"/>
  <c r="D13" i="71"/>
  <c r="C56" i="11"/>
  <c r="C57" i="11" s="1"/>
  <c r="C28" i="69"/>
  <c r="C27" i="69" s="1"/>
  <c r="C25" i="69"/>
  <c r="C22"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D12" i="85" l="1"/>
  <c r="D11" i="85" s="1"/>
  <c r="J22" i="79"/>
  <c r="C75" i="79"/>
  <c r="C61" i="79"/>
  <c r="Q70" i="79"/>
  <c r="C56" i="79"/>
  <c r="C65" i="79" s="1"/>
  <c r="Q70" i="15"/>
  <c r="D12" i="84"/>
  <c r="D11" i="84" s="1"/>
  <c r="C56" i="15"/>
  <c r="C65" i="15" s="1"/>
  <c r="C75" i="15"/>
  <c r="J22" i="15"/>
  <c r="Q48" i="15"/>
  <c r="C64" i="15"/>
  <c r="C61" i="15"/>
  <c r="C49" i="69"/>
  <c r="C51" i="69" s="1"/>
  <c r="C31" i="69"/>
  <c r="C11" i="71"/>
  <c r="T12" i="71"/>
  <c r="D12" i="71"/>
  <c r="U12" i="71" s="1"/>
  <c r="H7" i="39"/>
  <c r="J7" i="39"/>
  <c r="AA7" i="39"/>
  <c r="S7" i="39"/>
  <c r="R39" i="35"/>
  <c r="E38" i="35"/>
  <c r="M63" i="40"/>
  <c r="L65" i="40"/>
  <c r="E11" i="85" l="1"/>
  <c r="E7" i="85" s="1"/>
  <c r="C27" i="85" s="1"/>
  <c r="D7" i="85"/>
  <c r="C26" i="85" s="1"/>
  <c r="C32" i="85" s="1"/>
  <c r="C38" i="85" s="1"/>
  <c r="C39" i="85" s="1"/>
  <c r="C40" i="85" s="1"/>
  <c r="C41" i="85" s="1"/>
  <c r="D7" i="84"/>
  <c r="C26" i="84" s="1"/>
  <c r="E11" i="84"/>
  <c r="E7" i="84" s="1"/>
  <c r="C27" i="84" s="1"/>
  <c r="C52" i="69"/>
  <c r="B2" i="69" s="1"/>
  <c r="B3" i="69" s="1"/>
  <c r="D11" i="71"/>
  <c r="C10" i="71"/>
  <c r="W7" i="39"/>
  <c r="AC7" i="39"/>
  <c r="U7" i="39"/>
  <c r="AB7" i="39"/>
  <c r="C39" i="35"/>
  <c r="B2" i="35" s="1"/>
  <c r="B3" i="35" s="1"/>
  <c r="C38" i="35"/>
  <c r="N63" i="40"/>
  <c r="M65" i="40"/>
  <c r="E43" i="35"/>
  <c r="F43" i="35" s="1"/>
  <c r="E42" i="35"/>
  <c r="F42" i="35" s="1"/>
  <c r="I43" i="35"/>
  <c r="J43" i="35" s="1"/>
  <c r="B7" i="70" l="1"/>
  <c r="B2" i="85"/>
  <c r="B3" i="85" s="1"/>
  <c r="C32" i="84"/>
  <c r="C38" i="84" s="1"/>
  <c r="C26" i="83"/>
  <c r="C32" i="83" s="1"/>
  <c r="C38" i="83" s="1"/>
  <c r="C39" i="83" s="1"/>
  <c r="C40" i="83" s="1"/>
  <c r="C57" i="69"/>
  <c r="C56" i="69" s="1"/>
  <c r="D10" i="71"/>
  <c r="C9" i="71"/>
  <c r="O63" i="40"/>
  <c r="O65" i="40" s="1"/>
  <c r="N65" i="40"/>
  <c r="C39" i="84" l="1"/>
  <c r="C40" i="84" s="1"/>
  <c r="B2" i="84" s="1"/>
  <c r="B3" i="84" s="1"/>
  <c r="B6" i="70"/>
  <c r="C41" i="83"/>
  <c r="B2" i="83"/>
  <c r="B3" i="83" s="1"/>
  <c r="D9" i="71"/>
  <c r="C8" i="71"/>
  <c r="J7" i="40"/>
  <c r="F7" i="40"/>
  <c r="H7" i="40"/>
  <c r="C41" i="84" l="1"/>
  <c r="C7" i="71"/>
  <c r="T8" i="71"/>
  <c r="D8" i="71"/>
  <c r="U8" i="71" s="1"/>
  <c r="U7" i="40"/>
  <c r="AB7" i="40"/>
  <c r="T42" i="40" s="1"/>
  <c r="G42" i="40" s="1"/>
  <c r="AA7" i="40"/>
  <c r="R42" i="40" s="1"/>
  <c r="S7" i="40"/>
  <c r="AC7" i="40"/>
  <c r="V42" i="40" s="1"/>
  <c r="I42" i="40" s="1"/>
  <c r="W7" i="40"/>
  <c r="D7" i="71" l="1"/>
  <c r="C6" i="71"/>
  <c r="I46" i="40"/>
  <c r="J46" i="40" s="1"/>
  <c r="R43" i="40"/>
  <c r="E42" i="40"/>
  <c r="G47" i="40"/>
  <c r="H47" i="40" s="1"/>
  <c r="G46" i="40"/>
  <c r="H46" i="40" s="1"/>
  <c r="D6" i="71" l="1"/>
  <c r="C5"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AE6" i="3"/>
  <c r="E110" i="3"/>
  <c r="E219" i="3"/>
  <c r="E45" i="3"/>
  <c r="E490" i="3"/>
  <c r="E64" i="3"/>
  <c r="E277" i="3"/>
  <c r="E420" i="3"/>
  <c r="E348" i="3"/>
  <c r="E72" i="3"/>
  <c r="E109" i="3"/>
  <c r="E384" i="3"/>
  <c r="E360" i="3"/>
  <c r="E192" i="3"/>
  <c r="E458" i="3"/>
  <c r="E267" i="3"/>
  <c r="E138" i="3"/>
  <c r="T6" i="3"/>
  <c r="AQ6" i="3"/>
  <c r="E264" i="3"/>
  <c r="E239" i="3"/>
  <c r="E484" i="3"/>
  <c r="E518" i="3"/>
  <c r="E376" i="3"/>
  <c r="E295" i="3"/>
  <c r="E98" i="3"/>
  <c r="E389" i="3"/>
  <c r="E160" i="3"/>
  <c r="E543" i="3"/>
  <c r="E41" i="3"/>
  <c r="E217" i="3"/>
  <c r="E208" i="3"/>
  <c r="E497" i="3"/>
  <c r="E578" i="3"/>
  <c r="E13" i="3"/>
  <c r="E297" i="3"/>
  <c r="E562" i="3"/>
  <c r="E137" i="3"/>
  <c r="E429" i="3"/>
  <c r="E317" i="3"/>
  <c r="E540" i="3"/>
  <c r="E321" i="3"/>
  <c r="E256" i="3"/>
  <c r="E446" i="3"/>
  <c r="E135" i="3"/>
  <c r="E498" i="3"/>
  <c r="E206" i="3"/>
  <c r="W6" i="3"/>
  <c r="E58" i="3"/>
  <c r="E331" i="3"/>
  <c r="E507" i="3"/>
  <c r="E316" i="3"/>
  <c r="E169" i="3"/>
  <c r="E587" i="3"/>
  <c r="E467" i="3"/>
  <c r="E161" i="3"/>
  <c r="E35" i="3"/>
  <c r="E283" i="3"/>
  <c r="E292" i="3"/>
  <c r="E44" i="3"/>
  <c r="E87" i="3"/>
  <c r="E451" i="3"/>
  <c r="E155" i="3"/>
  <c r="R6" i="3"/>
  <c r="E315" i="3"/>
  <c r="E474" i="3"/>
  <c r="E569" i="3"/>
  <c r="E401" i="3"/>
  <c r="E377" i="3"/>
  <c r="E475" i="3"/>
  <c r="E59" i="3"/>
  <c r="E396" i="3"/>
  <c r="E469" i="3"/>
  <c r="E272" i="3"/>
  <c r="E529" i="3"/>
  <c r="E378" i="3"/>
  <c r="E222" i="3"/>
  <c r="E273" i="3"/>
  <c r="E104" i="3"/>
  <c r="E351" i="3"/>
  <c r="E150" i="3"/>
  <c r="E480" i="3"/>
  <c r="E151" i="3"/>
  <c r="E481" i="3"/>
  <c r="E258" i="3"/>
  <c r="E457" i="3"/>
  <c r="E391" i="3"/>
  <c r="E163" i="3"/>
  <c r="E456" i="3"/>
  <c r="E25" i="3"/>
  <c r="E229" i="3"/>
  <c r="E171" i="3"/>
  <c r="E521" i="3"/>
  <c r="E424" i="3"/>
  <c r="E52" i="3"/>
  <c r="E516" i="3"/>
  <c r="E290" i="3"/>
  <c r="E544" i="3"/>
  <c r="E200" i="3"/>
  <c r="E486" i="3"/>
  <c r="E61" i="3"/>
  <c r="AI6" i="3"/>
  <c r="E257" i="3"/>
  <c r="E425" i="3"/>
  <c r="E185" i="3"/>
  <c r="E452" i="3"/>
  <c r="E259" i="3"/>
  <c r="E68" i="3"/>
  <c r="E30" i="3"/>
  <c r="E385" i="3"/>
  <c r="E408" i="3"/>
  <c r="E119" i="3"/>
  <c r="E81" i="3"/>
  <c r="E234" i="3"/>
  <c r="E249" i="3"/>
  <c r="E186" i="3"/>
  <c r="E483" i="3"/>
  <c r="E441" i="3"/>
  <c r="E471" i="3"/>
  <c r="E240" i="3"/>
  <c r="E322" i="3"/>
  <c r="E440" i="3"/>
  <c r="E211" i="3"/>
  <c r="E575" i="3"/>
  <c r="E349" i="3"/>
  <c r="E46" i="3"/>
  <c r="E142" i="3"/>
  <c r="E26" i="3"/>
  <c r="E363" i="3"/>
  <c r="E111" i="3"/>
  <c r="E29" i="3"/>
  <c r="E344" i="3"/>
  <c r="E86" i="3"/>
  <c r="E248" i="3"/>
  <c r="E179" i="3"/>
  <c r="E334" i="3"/>
  <c r="E195" i="3"/>
  <c r="E405" i="3"/>
  <c r="E40" i="3"/>
  <c r="AJ6" i="3"/>
  <c r="E286" i="3"/>
  <c r="E462" i="3"/>
  <c r="E382" i="3"/>
  <c r="AH6" i="3"/>
  <c r="E210" i="3"/>
  <c r="E438" i="3"/>
  <c r="E504" i="3"/>
  <c r="E66" i="3"/>
  <c r="E427" i="3"/>
  <c r="E115" i="3"/>
  <c r="E298" i="3"/>
  <c r="E572" i="3"/>
  <c r="E103" i="3"/>
  <c r="E231" i="3"/>
  <c r="E94" i="3"/>
  <c r="E241" i="3"/>
  <c r="E571" i="3"/>
  <c r="AM6" i="3"/>
  <c r="E209" i="3"/>
  <c r="E512" i="3"/>
  <c r="E178" i="3"/>
  <c r="E158" i="3"/>
  <c r="E214" i="3"/>
  <c r="E47" i="3"/>
  <c r="E120" i="3"/>
  <c r="E419" i="3"/>
  <c r="E433" i="3"/>
  <c r="E394" i="3"/>
  <c r="E127" i="3"/>
  <c r="E168" i="3"/>
  <c r="E23" i="3"/>
  <c r="E466" i="3"/>
  <c r="E568" i="3"/>
  <c r="E173" i="3"/>
  <c r="E188" i="3"/>
  <c r="E362" i="3"/>
  <c r="E145" i="3"/>
  <c r="E528" i="3"/>
  <c r="E162" i="3"/>
  <c r="E358" i="3"/>
  <c r="E500" i="3"/>
  <c r="E380" i="3"/>
  <c r="E121" i="3"/>
  <c r="E205" i="3"/>
  <c r="E329" i="3"/>
  <c r="E39" i="3"/>
  <c r="E270" i="3"/>
  <c r="E547" i="3"/>
  <c r="E55" i="3"/>
  <c r="E333" i="3"/>
  <c r="E43" i="3"/>
  <c r="E550" i="3"/>
  <c r="E90" i="3"/>
  <c r="E124" i="3"/>
  <c r="AS6" i="3"/>
  <c r="E447" i="3"/>
  <c r="E514" i="3"/>
  <c r="E393" i="3"/>
  <c r="E361" i="3"/>
  <c r="E404" i="3"/>
  <c r="E551" i="3"/>
  <c r="E374" i="3"/>
  <c r="E555" i="3"/>
  <c r="E51" i="3"/>
  <c r="E511" i="3"/>
  <c r="E238" i="3"/>
  <c r="E49" i="3"/>
  <c r="E118" i="3"/>
  <c r="E165" i="3"/>
  <c r="AP6" i="3"/>
  <c r="E338" i="3"/>
  <c r="P6" i="3"/>
  <c r="E558" i="3"/>
  <c r="E426" i="3"/>
  <c r="E421" i="3"/>
  <c r="E293" i="3"/>
  <c r="E367" i="3"/>
  <c r="E328" i="3"/>
  <c r="U6" i="3"/>
  <c r="E244" i="3"/>
  <c r="E287" i="3"/>
  <c r="E228" i="3"/>
  <c r="E125" i="3"/>
  <c r="E493" i="3"/>
  <c r="E410" i="3"/>
  <c r="AG6" i="3"/>
  <c r="E245" i="3"/>
  <c r="E402" i="3"/>
  <c r="E305" i="3"/>
  <c r="E506" i="3"/>
  <c r="E443" i="3"/>
  <c r="E359" i="3"/>
  <c r="E585" i="3"/>
  <c r="E237" i="3"/>
  <c r="E573" i="3"/>
  <c r="E510" i="3"/>
  <c r="E520" i="3"/>
  <c r="E57" i="3"/>
  <c r="E280" i="3"/>
  <c r="E77" i="3"/>
  <c r="E415" i="3"/>
  <c r="E236" i="3"/>
  <c r="E350" i="3"/>
  <c r="E199" i="3"/>
  <c r="E260" i="3"/>
  <c r="E262" i="3"/>
  <c r="E397" i="3"/>
  <c r="Z6" i="3"/>
  <c r="E159" i="3"/>
  <c r="E247" i="3"/>
  <c r="AA6" i="3"/>
  <c r="E546" i="3"/>
  <c r="E570" i="3"/>
  <c r="E449" i="3"/>
  <c r="E554" i="3"/>
  <c r="E418" i="3"/>
  <c r="E400" i="3"/>
  <c r="E567" i="3"/>
  <c r="E435" i="3"/>
  <c r="E276" i="3"/>
  <c r="E60" i="3"/>
  <c r="E556" i="3"/>
  <c r="E299" i="3"/>
  <c r="E461" i="3"/>
  <c r="E123" i="3"/>
  <c r="E364" i="3"/>
  <c r="E176" i="3"/>
  <c r="E524" i="3"/>
  <c r="E381" i="3"/>
  <c r="E513" i="3"/>
  <c r="E465" i="3"/>
  <c r="E225" i="3"/>
  <c r="E580" i="3"/>
  <c r="E15" i="3"/>
  <c r="E27" i="3"/>
  <c r="E354" i="3"/>
  <c r="E33" i="3"/>
  <c r="E274" i="3"/>
  <c r="E268" i="3"/>
  <c r="E503" i="3"/>
  <c r="E202" i="3"/>
  <c r="AL6" i="3"/>
  <c r="E482" i="3"/>
  <c r="E220" i="3"/>
  <c r="E342" i="3"/>
  <c r="E34" i="3"/>
  <c r="E251" i="3"/>
  <c r="E80" i="3"/>
  <c r="E527" i="3"/>
  <c r="E184" i="3"/>
  <c r="E187" i="3"/>
  <c r="E560" i="3"/>
  <c r="E106" i="3"/>
  <c r="J6" i="3"/>
  <c r="E75" i="3"/>
  <c r="E194" i="3"/>
  <c r="E371" i="3"/>
  <c r="E84" i="3"/>
  <c r="E355" i="3"/>
  <c r="E323" i="3"/>
  <c r="E499" i="3"/>
  <c r="E108" i="3"/>
  <c r="E312" i="3"/>
  <c r="E537" i="3"/>
  <c r="E177" i="3"/>
  <c r="E339" i="3"/>
  <c r="E313" i="3"/>
  <c r="E147" i="3"/>
  <c r="E50" i="3"/>
  <c r="E375" i="3"/>
  <c r="E101" i="3"/>
  <c r="E63" i="3"/>
  <c r="E175" i="3"/>
  <c r="E577" i="3"/>
  <c r="E243" i="3"/>
  <c r="E74" i="3"/>
  <c r="E79" i="3"/>
  <c r="E266" i="3"/>
  <c r="E584" i="3"/>
  <c r="E144" i="3"/>
  <c r="E288" i="3"/>
  <c r="E423" i="3"/>
  <c r="E204" i="3"/>
  <c r="E226" i="3"/>
  <c r="E42" i="3"/>
  <c r="E470" i="3"/>
  <c r="E166" i="3"/>
  <c r="E522" i="3"/>
  <c r="E193" i="3"/>
  <c r="E370" i="3"/>
  <c r="E357" i="3"/>
  <c r="E326" i="3"/>
  <c r="E65" i="3"/>
  <c r="E309" i="3"/>
  <c r="E133" i="3"/>
  <c r="E139" i="3"/>
  <c r="E542" i="3"/>
  <c r="E473" i="3"/>
  <c r="E191" i="3"/>
  <c r="E310" i="3"/>
  <c r="E38" i="3"/>
  <c r="E221" i="3"/>
  <c r="E336" i="3"/>
  <c r="E296" i="3"/>
  <c r="E18" i="3"/>
  <c r="E105" i="3"/>
  <c r="E54" i="3"/>
  <c r="E579" i="3"/>
  <c r="E128" i="3"/>
  <c r="E24" i="3"/>
  <c r="E341" i="3"/>
  <c r="E561" i="3"/>
  <c r="E215" i="3"/>
  <c r="E538" i="3"/>
  <c r="E212" i="3"/>
  <c r="E129" i="3"/>
  <c r="E346" i="3"/>
  <c r="E390" i="3"/>
  <c r="E141" i="3"/>
  <c r="Q6" i="3"/>
  <c r="E324" i="3"/>
  <c r="E460" i="3"/>
  <c r="E582" i="3"/>
  <c r="I3" i="6"/>
  <c r="E335" i="3"/>
  <c r="E387" i="3"/>
  <c r="E291" i="3"/>
  <c r="E422" i="3"/>
  <c r="E557" i="3"/>
  <c r="E576" i="3"/>
  <c r="E545" i="3"/>
  <c r="E332" i="3"/>
  <c r="E430" i="3"/>
  <c r="E37" i="3"/>
  <c r="E464" i="3"/>
  <c r="E92" i="3"/>
  <c r="E70" i="3"/>
  <c r="E492" i="3"/>
  <c r="E563" i="3"/>
  <c r="AO6" i="3"/>
  <c r="E20" i="3"/>
  <c r="E386" i="3"/>
  <c r="E502" i="3"/>
  <c r="E325" i="3"/>
  <c r="E413" i="3"/>
  <c r="E509" i="3"/>
  <c r="E586" i="3"/>
  <c r="E224" i="3"/>
  <c r="E279" i="3"/>
  <c r="AR6" i="3"/>
  <c r="E269" i="3"/>
  <c r="E565" i="3"/>
  <c r="E352" i="3"/>
  <c r="E134" i="3"/>
  <c r="E311" i="3"/>
  <c r="E303" i="3"/>
  <c r="E246" i="3"/>
  <c r="E494" i="3"/>
  <c r="E472" i="3"/>
  <c r="E278" i="3"/>
  <c r="E541" i="3"/>
  <c r="N6" i="3"/>
  <c r="E117" i="3"/>
  <c r="V6" i="3"/>
  <c r="E78" i="3"/>
  <c r="E501" i="3"/>
  <c r="E107" i="3"/>
  <c r="E525" i="3"/>
  <c r="E455" i="3"/>
  <c r="E167" i="3"/>
  <c r="E318" i="3"/>
  <c r="E36" i="3"/>
  <c r="E409" i="3"/>
  <c r="E153" i="3"/>
  <c r="E253" i="3"/>
  <c r="E463" i="3"/>
  <c r="E91" i="3"/>
  <c r="E116" i="3"/>
  <c r="E250" i="3"/>
  <c r="E232" i="3"/>
  <c r="E227" i="3"/>
  <c r="E532" i="3"/>
  <c r="E254" i="3"/>
  <c r="E182" i="3"/>
  <c r="E306" i="3"/>
  <c r="E407" i="3"/>
  <c r="E411" i="3"/>
  <c r="E99" i="3"/>
  <c r="E216" i="3"/>
  <c r="E233" i="3"/>
  <c r="E130" i="3"/>
  <c r="E428" i="3"/>
  <c r="E379" i="3"/>
  <c r="E83" i="3"/>
  <c r="E476" i="3"/>
  <c r="E519" i="3"/>
  <c r="E97" i="3"/>
  <c r="E242" i="3"/>
  <c r="E366" i="3"/>
  <c r="E281" i="3"/>
  <c r="E294" i="3"/>
  <c r="E531" i="3"/>
  <c r="E174" i="3"/>
  <c r="E146" i="3"/>
  <c r="E505" i="3"/>
  <c r="E230" i="3"/>
  <c r="E71" i="3"/>
  <c r="E261" i="3"/>
  <c r="E201" i="3"/>
  <c r="E307" i="3"/>
  <c r="E383" i="3"/>
  <c r="E183" i="3"/>
  <c r="E213" i="3"/>
  <c r="E548" i="3"/>
  <c r="E304" i="3"/>
  <c r="E448" i="3"/>
  <c r="E223" i="3"/>
  <c r="E197" i="3"/>
  <c r="E536" i="3"/>
  <c r="E152" i="3"/>
  <c r="E62" i="3"/>
  <c r="E122" i="3"/>
  <c r="E156" i="3"/>
  <c r="E255" i="3"/>
  <c r="E102" i="3"/>
  <c r="E399" i="3"/>
  <c r="E431" i="3"/>
  <c r="E282" i="3"/>
  <c r="E566" i="3"/>
  <c r="E189" i="3"/>
  <c r="E21" i="3"/>
  <c r="E196" i="3"/>
  <c r="E56" i="3"/>
  <c r="E372" i="3"/>
  <c r="E459" i="3"/>
  <c r="E154" i="3"/>
  <c r="E136" i="3"/>
  <c r="E265" i="3"/>
  <c r="E417" i="3"/>
  <c r="E85" i="3"/>
  <c r="E32" i="3"/>
  <c r="E488" i="3"/>
  <c r="L6" i="3"/>
  <c r="E353" i="3"/>
  <c r="E403" i="3"/>
  <c r="E302" i="3"/>
  <c r="E308" i="3"/>
  <c r="E549" i="3"/>
  <c r="E453" i="3"/>
  <c r="E552" i="3"/>
  <c r="E320" i="3"/>
  <c r="E112" i="3"/>
  <c r="E16" i="3"/>
  <c r="E330" i="3"/>
  <c r="E479" i="3"/>
  <c r="E581" i="3"/>
  <c r="E533" i="3"/>
  <c r="E89" i="3"/>
  <c r="E252" i="3"/>
  <c r="E28" i="3"/>
  <c r="Y6" i="3"/>
  <c r="E22" i="3"/>
  <c r="E445" i="3"/>
  <c r="E327" i="3"/>
  <c r="E583" i="3"/>
  <c r="E365" i="3"/>
  <c r="E517" i="3"/>
  <c r="E96" i="3"/>
  <c r="E235" i="3"/>
  <c r="K6" i="3"/>
  <c r="E301" i="3"/>
  <c r="E454" i="3"/>
  <c r="E73" i="3"/>
  <c r="E508" i="3"/>
  <c r="E207" i="3"/>
  <c r="E126" i="3"/>
  <c r="E132" i="3"/>
  <c r="E113" i="3"/>
  <c r="E442" i="3"/>
  <c r="E487" i="3"/>
  <c r="E345" i="3"/>
  <c r="S6" i="3"/>
  <c r="E275" i="3"/>
  <c r="E88" i="3"/>
  <c r="E148" i="3"/>
  <c r="E369" i="3"/>
  <c r="E190" i="3"/>
  <c r="E436" i="3"/>
  <c r="E284" i="3"/>
  <c r="E180" i="3"/>
  <c r="E131" i="3"/>
  <c r="E564" i="3"/>
  <c r="AF6" i="3"/>
  <c r="E300" i="3"/>
  <c r="E398" i="3"/>
  <c r="E406" i="3"/>
  <c r="E340" i="3"/>
  <c r="E14" i="3"/>
  <c r="E314" i="3"/>
  <c r="E416" i="3"/>
  <c r="E164" i="3"/>
  <c r="E337" i="3"/>
  <c r="E368" i="3"/>
  <c r="E373" i="3"/>
  <c r="E559" i="3"/>
  <c r="E48" i="3"/>
  <c r="E181" i="3"/>
  <c r="E553" i="3"/>
  <c r="E69" i="3"/>
  <c r="E319" i="3"/>
  <c r="E53" i="3"/>
  <c r="E172" i="3"/>
  <c r="E539" i="3"/>
  <c r="E100" i="3"/>
  <c r="E17" i="3"/>
  <c r="AN6" i="3"/>
  <c r="E198" i="3"/>
  <c r="E356" i="3"/>
  <c r="E574" i="3"/>
  <c r="E535" i="3"/>
  <c r="AK6" i="3"/>
  <c r="E82" i="3"/>
  <c r="E157" i="3"/>
  <c r="E285" i="3"/>
  <c r="E93" i="3"/>
  <c r="O6" i="3"/>
  <c r="E218" i="3"/>
  <c r="E392" i="3"/>
  <c r="E434" i="3"/>
  <c r="E414" i="3"/>
  <c r="E485" i="3"/>
  <c r="E263" i="3"/>
  <c r="E203" i="3"/>
  <c r="E526" i="3"/>
  <c r="E67" i="3"/>
  <c r="E76" i="3"/>
  <c r="E347" i="3"/>
  <c r="E31" i="3"/>
  <c r="E489" i="3"/>
  <c r="E149" i="3"/>
  <c r="E444" i="3"/>
  <c r="E140" i="3"/>
  <c r="E289" i="3"/>
  <c r="E495" i="3"/>
  <c r="E170" i="3"/>
  <c r="E534" i="3"/>
  <c r="E515" i="3"/>
  <c r="E343" i="3"/>
  <c r="E437" i="3"/>
  <c r="E477" i="3"/>
  <c r="E19" i="3"/>
  <c r="E432" i="3"/>
  <c r="E95" i="3"/>
  <c r="E143" i="3"/>
  <c r="E496" i="3"/>
  <c r="E468" i="3"/>
  <c r="E523" i="3"/>
  <c r="E491" i="3"/>
  <c r="E412" i="3"/>
  <c r="E478" i="3"/>
  <c r="E439" i="3"/>
  <c r="E530" i="3"/>
  <c r="E271" i="3"/>
  <c r="E388" i="3"/>
  <c r="E450" i="3"/>
  <c r="AB6" i="3"/>
  <c r="E395" i="3"/>
  <c r="E114" i="3"/>
  <c r="M6" i="3"/>
  <c r="X6" i="3"/>
  <c r="I6" i="3"/>
  <c r="H6" i="3"/>
  <c r="AD6" i="3"/>
  <c r="AC6" i="3"/>
  <c r="AY6" i="3"/>
  <c r="E6" i="3" l="1"/>
  <c r="AY294" i="3"/>
  <c r="AY77" i="3"/>
  <c r="AY392" i="3"/>
  <c r="AY255" i="3"/>
  <c r="AY121" i="3"/>
  <c r="AY172" i="3"/>
  <c r="AY142" i="3"/>
  <c r="AY16" i="3"/>
  <c r="AY129" i="3"/>
  <c r="AY266" i="3"/>
  <c r="AY78" i="3"/>
  <c r="AY197" i="3"/>
  <c r="AY41" i="3"/>
  <c r="AY46" i="3"/>
  <c r="AY557" i="3"/>
  <c r="AY271" i="3"/>
  <c r="AY287" i="3"/>
  <c r="AY145" i="3"/>
  <c r="AY305" i="3"/>
  <c r="AY214" i="3"/>
  <c r="AY447" i="3"/>
  <c r="AY297" i="3"/>
  <c r="AY103" i="3"/>
  <c r="AY382" i="3"/>
  <c r="AY316" i="3"/>
  <c r="AY519" i="3"/>
  <c r="AY116" i="3"/>
  <c r="AY281" i="3"/>
  <c r="AY220" i="3"/>
  <c r="AY139" i="3"/>
  <c r="AY125" i="3"/>
  <c r="AY123" i="3"/>
  <c r="AY360" i="3"/>
  <c r="AY446" i="3"/>
  <c r="AY473" i="3"/>
  <c r="AY412" i="3"/>
  <c r="AY521" i="3"/>
  <c r="AY476" i="3"/>
  <c r="AY244" i="3"/>
  <c r="AY98" i="3"/>
  <c r="AY302" i="3"/>
  <c r="AY219" i="3"/>
  <c r="AY89" i="3"/>
  <c r="AY169" i="3"/>
  <c r="AY217" i="3"/>
  <c r="AY239" i="3"/>
  <c r="AY582" i="3"/>
  <c r="AY537" i="3"/>
  <c r="AY455" i="3"/>
  <c r="AY27" i="3"/>
  <c r="AY191" i="3"/>
  <c r="AY155" i="3"/>
  <c r="AY547" i="3"/>
  <c r="AY31" i="3"/>
  <c r="AY320" i="3"/>
  <c r="AY252" i="3"/>
  <c r="AY18" i="3"/>
  <c r="AY586" i="3"/>
  <c r="AY337" i="3"/>
  <c r="AY126" i="3"/>
  <c r="AY414" i="3"/>
  <c r="AY501" i="3"/>
  <c r="AY108" i="3"/>
  <c r="AY29" i="3"/>
  <c r="AY489" i="3"/>
  <c r="AY378" i="3"/>
  <c r="AY190" i="3"/>
  <c r="AY487" i="3"/>
  <c r="AY156" i="3"/>
  <c r="AY565" i="3"/>
  <c r="AY268" i="3"/>
  <c r="BO6" i="3"/>
  <c r="AY299" i="3"/>
  <c r="AY91" i="3"/>
  <c r="AY90" i="3"/>
  <c r="AY285" i="3"/>
  <c r="AY260" i="3"/>
  <c r="AY208" i="3"/>
  <c r="AY146" i="3"/>
  <c r="AY186" i="3"/>
  <c r="AY319" i="3"/>
  <c r="AY203" i="3"/>
  <c r="AY72" i="3"/>
  <c r="AY154" i="3"/>
  <c r="AY137" i="3"/>
  <c r="AY585" i="3"/>
  <c r="AY282" i="3"/>
  <c r="AY212" i="3"/>
  <c r="AY380" i="3"/>
  <c r="AY570" i="3"/>
  <c r="AY358" i="3"/>
  <c r="AY65" i="3"/>
  <c r="AY569" i="3"/>
  <c r="BJ6" i="3"/>
  <c r="AY152" i="3"/>
  <c r="AY329" i="3"/>
  <c r="AY138" i="3"/>
  <c r="AY161" i="3"/>
  <c r="AY178" i="3"/>
  <c r="AY475" i="3"/>
  <c r="AY50" i="3"/>
  <c r="AY231" i="3"/>
  <c r="AY44" i="3"/>
  <c r="AY124" i="3"/>
  <c r="AY376" i="3"/>
  <c r="AY21" i="3"/>
  <c r="BQ6" i="3"/>
  <c r="AY132" i="3"/>
  <c r="AY363" i="3"/>
  <c r="AY468" i="3"/>
  <c r="AY151" i="3"/>
  <c r="AY454" i="3"/>
  <c r="AY553" i="3"/>
  <c r="AY286" i="3"/>
  <c r="AY60" i="3"/>
  <c r="AY38" i="3"/>
  <c r="AY434" i="3"/>
  <c r="AY166" i="3"/>
  <c r="AY32" i="3"/>
  <c r="AY558" i="3"/>
  <c r="AY464" i="3"/>
  <c r="AY352" i="3"/>
  <c r="AY248" i="3"/>
  <c r="AY55" i="3"/>
  <c r="AY341" i="3"/>
  <c r="AY28" i="3"/>
  <c r="AY101" i="3"/>
  <c r="AY463" i="3"/>
  <c r="AY348" i="3"/>
  <c r="AY249" i="3"/>
  <c r="AY258" i="3"/>
  <c r="AY34" i="3"/>
  <c r="AY371" i="3"/>
  <c r="AY472" i="3"/>
  <c r="AY578" i="3"/>
  <c r="AY541" i="3"/>
  <c r="AY261" i="3"/>
  <c r="AY482" i="3"/>
  <c r="AY259" i="3"/>
  <c r="AY230" i="3"/>
  <c r="AY17" i="3"/>
  <c r="AY97" i="3"/>
  <c r="AY163" i="3"/>
  <c r="AY458" i="3"/>
  <c r="AY311" i="3"/>
  <c r="AY264" i="3"/>
  <c r="AY396" i="3"/>
  <c r="AY484" i="3"/>
  <c r="AY549" i="3"/>
  <c r="AY545" i="3"/>
  <c r="AY562" i="3"/>
  <c r="AY368" i="3"/>
  <c r="AY364" i="3"/>
  <c r="AY451" i="3"/>
  <c r="AY162" i="3"/>
  <c r="AY223" i="3"/>
  <c r="AY511" i="3"/>
  <c r="AY303" i="3"/>
  <c r="AY326" i="3"/>
  <c r="AY372" i="3"/>
  <c r="AY209" i="3"/>
  <c r="BS6" i="3"/>
  <c r="AY250" i="3"/>
  <c r="AY375" i="3"/>
  <c r="AY80" i="3"/>
  <c r="AY327" i="3"/>
  <c r="AY149" i="3"/>
  <c r="AY147" i="3"/>
  <c r="AY283" i="3"/>
  <c r="AY527" i="3"/>
  <c r="AY234" i="3"/>
  <c r="AY502" i="3"/>
  <c r="AY292" i="3"/>
  <c r="AY409" i="3"/>
  <c r="AY86" i="3"/>
  <c r="AY428" i="3"/>
  <c r="AY555" i="3"/>
  <c r="AY20" i="3"/>
  <c r="AY542" i="3"/>
  <c r="AY225" i="3"/>
  <c r="AY224" i="3"/>
  <c r="AY355" i="3"/>
  <c r="AY322" i="3"/>
  <c r="AY554" i="3"/>
  <c r="AY42" i="3"/>
  <c r="AY13" i="3"/>
  <c r="AY333" i="3"/>
  <c r="AY377" i="3"/>
  <c r="AY310" i="3"/>
  <c r="AY344" i="3"/>
  <c r="AY174" i="3"/>
  <c r="AY236" i="3"/>
  <c r="AY115" i="3"/>
  <c r="AY387" i="3"/>
  <c r="AY317" i="3"/>
  <c r="AY509" i="3"/>
  <c r="AY24" i="3"/>
  <c r="AY35" i="3"/>
  <c r="AY64" i="3"/>
  <c r="AY133" i="3"/>
  <c r="AY520" i="3"/>
  <c r="AY325" i="3"/>
  <c r="AY159" i="3"/>
  <c r="AY477" i="3"/>
  <c r="AY346" i="3"/>
  <c r="AY204" i="3"/>
  <c r="AY183" i="3"/>
  <c r="AY572" i="3"/>
  <c r="AY120" i="3"/>
  <c r="AY22" i="3"/>
  <c r="AY256" i="3"/>
  <c r="AY308" i="3"/>
  <c r="AY397" i="3"/>
  <c r="AY277" i="3"/>
  <c r="AY100" i="3"/>
  <c r="AY456" i="3"/>
  <c r="AY59" i="3"/>
  <c r="AY339" i="3"/>
  <c r="AY571" i="3"/>
  <c r="AY394" i="3"/>
  <c r="AY257" i="3"/>
  <c r="AY356" i="3"/>
  <c r="AY480" i="3"/>
  <c r="AY424" i="3"/>
  <c r="AY354" i="3"/>
  <c r="AY280" i="3"/>
  <c r="AY330" i="3"/>
  <c r="AY179" i="3"/>
  <c r="AY485" i="3"/>
  <c r="AY150" i="3"/>
  <c r="AY62" i="3"/>
  <c r="BD6" i="3"/>
  <c r="AY69" i="3"/>
  <c r="AY195" i="3"/>
  <c r="AY490" i="3"/>
  <c r="AY415" i="3"/>
  <c r="AY538" i="3"/>
  <c r="AY399" i="3"/>
  <c r="AY113" i="3"/>
  <c r="BC6" i="3"/>
  <c r="BL6" i="3"/>
  <c r="BP6" i="3"/>
  <c r="AY40" i="3"/>
  <c r="AY367" i="3"/>
  <c r="AY165" i="3"/>
  <c r="AY518" i="3"/>
  <c r="AY298" i="3"/>
  <c r="AY400" i="3"/>
  <c r="AY351" i="3"/>
  <c r="AY422" i="3"/>
  <c r="AY474" i="3"/>
  <c r="AY15" i="3"/>
  <c r="AY347" i="3"/>
  <c r="AY107" i="3"/>
  <c r="AY267" i="3"/>
  <c r="AY136" i="3"/>
  <c r="AY449" i="3"/>
  <c r="AY177" i="3"/>
  <c r="AY140" i="3"/>
  <c r="AY182" i="3"/>
  <c r="AY433" i="3"/>
  <c r="AY95" i="3"/>
  <c r="AY335" i="3"/>
  <c r="AY238" i="3"/>
  <c r="AY242" i="3"/>
  <c r="AY118" i="3"/>
  <c r="AY514" i="3"/>
  <c r="AY247" i="3"/>
  <c r="AY343" i="3"/>
  <c r="AY37" i="3"/>
  <c r="AY254" i="3"/>
  <c r="AY274" i="3"/>
  <c r="AY170" i="3"/>
  <c r="AY385" i="3"/>
  <c r="AY53" i="3"/>
  <c r="BM6" i="3"/>
  <c r="AY157" i="3"/>
  <c r="AY196" i="3"/>
  <c r="AY531" i="3"/>
  <c r="AY353" i="3"/>
  <c r="AY301" i="3"/>
  <c r="AY407" i="3"/>
  <c r="AY478" i="3"/>
  <c r="AY471" i="3"/>
  <c r="AY483" i="3"/>
  <c r="AY228" i="3"/>
  <c r="AY199" i="3"/>
  <c r="AY401" i="3"/>
  <c r="AY539" i="3"/>
  <c r="AY207" i="3"/>
  <c r="AY189" i="3"/>
  <c r="AY229" i="3"/>
  <c r="AY128" i="3"/>
  <c r="AY513" i="3"/>
  <c r="AY194" i="3"/>
  <c r="AY494" i="3"/>
  <c r="AY227" i="3"/>
  <c r="AY522" i="3"/>
  <c r="AY52" i="3"/>
  <c r="AY51" i="3"/>
  <c r="AY141" i="3"/>
  <c r="AY180" i="3"/>
  <c r="BN6" i="3"/>
  <c r="AY106" i="3"/>
  <c r="AY309" i="3"/>
  <c r="AY26" i="3"/>
  <c r="AY437" i="3"/>
  <c r="AY534" i="3"/>
  <c r="AY503" i="3"/>
  <c r="AY379" i="3"/>
  <c r="AY253" i="3"/>
  <c r="AY334" i="3"/>
  <c r="AY535" i="3"/>
  <c r="AY575" i="3"/>
  <c r="AY486" i="3"/>
  <c r="AY488" i="3"/>
  <c r="AY61" i="3"/>
  <c r="AY295" i="3"/>
  <c r="AY158" i="3"/>
  <c r="AY173" i="3"/>
  <c r="AY279" i="3"/>
  <c r="AY192" i="3"/>
  <c r="AY222" i="3"/>
  <c r="AY210" i="3"/>
  <c r="AY467" i="3"/>
  <c r="AY289" i="3"/>
  <c r="AY408" i="3"/>
  <c r="AY426" i="3"/>
  <c r="AY481" i="3"/>
  <c r="AY122" i="3"/>
  <c r="AY112" i="3"/>
  <c r="AY559" i="3"/>
  <c r="AY459" i="3"/>
  <c r="AY517" i="3"/>
  <c r="AY530" i="3"/>
  <c r="AY144" i="3"/>
  <c r="AY430" i="3"/>
  <c r="AY36" i="3"/>
  <c r="AY425" i="3"/>
  <c r="AY457" i="3"/>
  <c r="AY580" i="3"/>
  <c r="AY56" i="3"/>
  <c r="AY19" i="3"/>
  <c r="BH6" i="3"/>
  <c r="AY134" i="3"/>
  <c r="AY536" i="3"/>
  <c r="AY14" i="3"/>
  <c r="AY111" i="3"/>
  <c r="AY84" i="3"/>
  <c r="AY561" i="3"/>
  <c r="AY498" i="3"/>
  <c r="AY510" i="3"/>
  <c r="AY420" i="3"/>
  <c r="AY417" i="3"/>
  <c r="AY76" i="3"/>
  <c r="AY404" i="3"/>
  <c r="AY516" i="3"/>
  <c r="AY251" i="3"/>
  <c r="AY94" i="3"/>
  <c r="AY187" i="3"/>
  <c r="AY440" i="3"/>
  <c r="AY413" i="3"/>
  <c r="AY193" i="3"/>
  <c r="AY524" i="3"/>
  <c r="AY75" i="3"/>
  <c r="AY82" i="3"/>
  <c r="AY461" i="3"/>
  <c r="AY105" i="3"/>
  <c r="AY390" i="3"/>
  <c r="AY529" i="3"/>
  <c r="AY291" i="3"/>
  <c r="AY185" i="3"/>
  <c r="AY515" i="3"/>
  <c r="AY57" i="3"/>
  <c r="AY304" i="3"/>
  <c r="AY263" i="3"/>
  <c r="AY508" i="3"/>
  <c r="AY43" i="3"/>
  <c r="AY512" i="3"/>
  <c r="AY403" i="3"/>
  <c r="AY153" i="3"/>
  <c r="AY416" i="3"/>
  <c r="AY201" i="3"/>
  <c r="AY176" i="3"/>
  <c r="AY307" i="3"/>
  <c r="AY211" i="3"/>
  <c r="AY315" i="3"/>
  <c r="AY349" i="3"/>
  <c r="AY245" i="3"/>
  <c r="AY492" i="3"/>
  <c r="AY505" i="3"/>
  <c r="AY275" i="3"/>
  <c r="AY104" i="3"/>
  <c r="AY574" i="3"/>
  <c r="AY200" i="3"/>
  <c r="AY81" i="3"/>
  <c r="AY438" i="3"/>
  <c r="AY63" i="3"/>
  <c r="AY338" i="3"/>
  <c r="AY188" i="3"/>
  <c r="AY206" i="3"/>
  <c r="AY587" i="3"/>
  <c r="AY198" i="3"/>
  <c r="AY432" i="3"/>
  <c r="AY573" i="3"/>
  <c r="AY462" i="3"/>
  <c r="AY391" i="3"/>
  <c r="AY439" i="3"/>
  <c r="AY374" i="3"/>
  <c r="AY496" i="3"/>
  <c r="AY221" i="3"/>
  <c r="AY583" i="3"/>
  <c r="BG6" i="3"/>
  <c r="AY366" i="3"/>
  <c r="AY506" i="3"/>
  <c r="AY359" i="3"/>
  <c r="AY507" i="3"/>
  <c r="AY441" i="3"/>
  <c r="AY175" i="3"/>
  <c r="AY470" i="3"/>
  <c r="AY429" i="3"/>
  <c r="AY323" i="3"/>
  <c r="AY579" i="3"/>
  <c r="AY361" i="3"/>
  <c r="AY370" i="3"/>
  <c r="AY556" i="3"/>
  <c r="AY110" i="3"/>
  <c r="AY99" i="3"/>
  <c r="AY235" i="3"/>
  <c r="AY300" i="3"/>
  <c r="AY88" i="3"/>
  <c r="AY543" i="3"/>
  <c r="AY284" i="3"/>
  <c r="AY265" i="3"/>
  <c r="AY202" i="3"/>
  <c r="AY500" i="3"/>
  <c r="AY54" i="3"/>
  <c r="AY465" i="3"/>
  <c r="AY350" i="3"/>
  <c r="AY117" i="3"/>
  <c r="AY23" i="3"/>
  <c r="AY296" i="3"/>
  <c r="AY584" i="3"/>
  <c r="AY331" i="3"/>
  <c r="BK6" i="3"/>
  <c r="AY373" i="3"/>
  <c r="AY525" i="3"/>
  <c r="AY406" i="3"/>
  <c r="AY560" i="3"/>
  <c r="AY491" i="3"/>
  <c r="AY73" i="3"/>
  <c r="AY411" i="3"/>
  <c r="AY58" i="3"/>
  <c r="AY79" i="3"/>
  <c r="AY444" i="3"/>
  <c r="AY393" i="3"/>
  <c r="AY246" i="3"/>
  <c r="AY67" i="3"/>
  <c r="AY551" i="3"/>
  <c r="AY402" i="3"/>
  <c r="AY68" i="3"/>
  <c r="AY466" i="3"/>
  <c r="AY548" i="3"/>
  <c r="AY74" i="3"/>
  <c r="AY290" i="3"/>
  <c r="AY443" i="3"/>
  <c r="AY533" i="3"/>
  <c r="AY127" i="3"/>
  <c r="AY435" i="3"/>
  <c r="AY49" i="3"/>
  <c r="AY243" i="3"/>
  <c r="AY479" i="3"/>
  <c r="AY564" i="3"/>
  <c r="AY567" i="3"/>
  <c r="AY321" i="3"/>
  <c r="AY552" i="3"/>
  <c r="AY523" i="3"/>
  <c r="BE6" i="3"/>
  <c r="AY493" i="3"/>
  <c r="AY495" i="3"/>
  <c r="AY445" i="3"/>
  <c r="AY143" i="3"/>
  <c r="AY226" i="3"/>
  <c r="AY93" i="3"/>
  <c r="AY160" i="3"/>
  <c r="AY453" i="3"/>
  <c r="AY427" i="3"/>
  <c r="AY395" i="3"/>
  <c r="AY272" i="3"/>
  <c r="AY389" i="3"/>
  <c r="AY240" i="3"/>
  <c r="AY362" i="3"/>
  <c r="AY70" i="3"/>
  <c r="AY276" i="3"/>
  <c r="AY410" i="3"/>
  <c r="AY423" i="3"/>
  <c r="AY452" i="3"/>
  <c r="AY306" i="3"/>
  <c r="AY365" i="3"/>
  <c r="AY148" i="3"/>
  <c r="BB6" i="3"/>
  <c r="AY384" i="3"/>
  <c r="AY460" i="3"/>
  <c r="AY405" i="3"/>
  <c r="AY386" i="3"/>
  <c r="BA6" i="3"/>
  <c r="AY288" i="3"/>
  <c r="AY383" i="3"/>
  <c r="AY45" i="3"/>
  <c r="AY419" i="3"/>
  <c r="AY269" i="3"/>
  <c r="AY448" i="3"/>
  <c r="AY526" i="3"/>
  <c r="AY85" i="3"/>
  <c r="AY167" i="3"/>
  <c r="AY332" i="3"/>
  <c r="AY528" i="3"/>
  <c r="AY469" i="3"/>
  <c r="AY544" i="3"/>
  <c r="AY114" i="3"/>
  <c r="AY381" i="3"/>
  <c r="AY568" i="3"/>
  <c r="AY398" i="3"/>
  <c r="AY168" i="3"/>
  <c r="AY442" i="3"/>
  <c r="AY318" i="3"/>
  <c r="AY577" i="3"/>
  <c r="AY87" i="3"/>
  <c r="AY33" i="3"/>
  <c r="AY102" i="3"/>
  <c r="AY96" i="3"/>
  <c r="AY336" i="3"/>
  <c r="AY109" i="3"/>
  <c r="AY540" i="3"/>
  <c r="AY328" i="3"/>
  <c r="AY262" i="3"/>
  <c r="AY340" i="3"/>
  <c r="AY181" i="3"/>
  <c r="AY71" i="3"/>
  <c r="AY388" i="3"/>
  <c r="AY563" i="3"/>
  <c r="BI6" i="3"/>
  <c r="AY131" i="3"/>
  <c r="AY450" i="3"/>
  <c r="AY345" i="3"/>
  <c r="AY550" i="3"/>
  <c r="AY431" i="3"/>
  <c r="AY171" i="3"/>
  <c r="AY566" i="3"/>
  <c r="AY504" i="3"/>
  <c r="AY39" i="3"/>
  <c r="AY184" i="3"/>
  <c r="AY499" i="3"/>
  <c r="AY213" i="3"/>
  <c r="AY357" i="3"/>
  <c r="AY232" i="3"/>
  <c r="BF6" i="3"/>
  <c r="AY130" i="3"/>
  <c r="AY273" i="3"/>
  <c r="AY48" i="3"/>
  <c r="BT6" i="3"/>
  <c r="AY216" i="3"/>
  <c r="AY270" i="3"/>
  <c r="AY218" i="3"/>
  <c r="AY66" i="3"/>
  <c r="AY421" i="3"/>
  <c r="AY30" i="3"/>
  <c r="AY293" i="3"/>
  <c r="AY324" i="3"/>
  <c r="AY205" i="3"/>
  <c r="AY312" i="3"/>
  <c r="AY576" i="3"/>
  <c r="AY25" i="3"/>
  <c r="AY135" i="3"/>
  <c r="AY369" i="3"/>
  <c r="AY418" i="3"/>
  <c r="AY314" i="3"/>
  <c r="AY92" i="3"/>
  <c r="AY47" i="3"/>
  <c r="BR6" i="3"/>
  <c r="AY497" i="3"/>
  <c r="AY313" i="3"/>
  <c r="AY581" i="3"/>
  <c r="AY164" i="3"/>
  <c r="AY546" i="3"/>
  <c r="AY215" i="3"/>
  <c r="AY436" i="3"/>
  <c r="AY532" i="3"/>
  <c r="AY233" i="3"/>
  <c r="AY119" i="3"/>
  <c r="AY342" i="3"/>
  <c r="AY237" i="3"/>
  <c r="AY241" i="3"/>
  <c r="AY278" i="3"/>
  <c r="AY83" i="3"/>
  <c r="D3" i="6"/>
  <c r="H23" i="6" l="1"/>
  <c r="D15" i="6"/>
  <c r="D13" i="6"/>
  <c r="D6" i="6"/>
  <c r="D11" i="6"/>
  <c r="D14" i="6"/>
  <c r="H26" i="6"/>
  <c r="H24" i="6"/>
  <c r="D5" i="6"/>
  <c r="H20" i="6"/>
  <c r="D29" i="6"/>
  <c r="D12" i="6"/>
  <c r="H25" i="6"/>
  <c r="D9" i="6"/>
  <c r="H21" i="6"/>
  <c r="D10" i="6"/>
  <c r="H22" i="6"/>
  <c r="L19" i="9"/>
  <c r="D21" i="6"/>
  <c r="D23" i="6"/>
  <c r="E61" i="40"/>
  <c r="F61" i="40" s="1"/>
  <c r="B2" i="40" s="1"/>
  <c r="B3" i="40" s="1"/>
  <c r="D25" i="6"/>
  <c r="D24" i="6"/>
  <c r="M19" i="9"/>
  <c r="C118" i="9" s="1"/>
  <c r="C14" i="74" s="1"/>
  <c r="B2" i="74" s="1"/>
  <c r="D28" i="6"/>
  <c r="D30" i="6" s="1"/>
  <c r="H19" i="6"/>
  <c r="C18" i="4"/>
  <c r="D26" i="6"/>
  <c r="D22" i="6"/>
  <c r="R22" i="6" s="1"/>
  <c r="D8" i="6"/>
  <c r="D16" i="6" s="1"/>
  <c r="D20" i="6"/>
  <c r="R20" i="6" s="1"/>
  <c r="R7" i="1" s="1"/>
  <c r="D19" i="6"/>
  <c r="F35" i="67"/>
  <c r="M21" i="67"/>
  <c r="R26" i="6" l="1"/>
  <c r="R21" i="6"/>
  <c r="F63" i="67"/>
  <c r="C62" i="67" s="1"/>
  <c r="C59" i="67" s="1"/>
  <c r="C58" i="67" s="1"/>
  <c r="C67" i="67" s="1"/>
  <c r="C68" i="67" s="1"/>
  <c r="C34" i="67"/>
  <c r="C31" i="67" s="1"/>
  <c r="C30" i="67" s="1"/>
  <c r="C39" i="67" s="1"/>
  <c r="J20" i="67"/>
  <c r="J17" i="67" s="1"/>
  <c r="J16" i="67" s="1"/>
  <c r="J25" i="67" s="1"/>
  <c r="R23" i="6"/>
  <c r="H27" i="6"/>
  <c r="R25" i="6"/>
  <c r="R24" i="6"/>
  <c r="D27" i="6"/>
  <c r="D31" i="6" s="1"/>
  <c r="R19" i="6"/>
  <c r="D7" i="74"/>
  <c r="D8" i="74"/>
  <c r="A10" i="51"/>
  <c r="C4" i="52"/>
  <c r="B45" i="72" s="1"/>
  <c r="A7" i="51"/>
  <c r="AX15" i="3"/>
  <c r="I4" i="6"/>
  <c r="L51" i="67"/>
  <c r="L57" i="67" l="1"/>
  <c r="L60" i="67" s="1"/>
  <c r="Q67" i="67"/>
  <c r="C71" i="67"/>
  <c r="Q69" i="67"/>
  <c r="Q68" i="67" s="1"/>
  <c r="C40" i="67"/>
  <c r="C45" i="67" s="1"/>
  <c r="C46" i="67" s="1"/>
  <c r="C80" i="67"/>
  <c r="C79" i="67" s="1"/>
  <c r="B9" i="72"/>
  <c r="B7" i="72"/>
  <c r="G3" i="43"/>
  <c r="L101" i="43" s="1"/>
  <c r="C11" i="39"/>
  <c r="N104" i="46"/>
  <c r="J101" i="43"/>
  <c r="G101" i="43"/>
  <c r="Z11" i="43"/>
  <c r="Z13" i="43" s="1"/>
  <c r="C101" i="43"/>
  <c r="AJ11" i="43"/>
  <c r="AJ13" i="43" s="1"/>
  <c r="I6" i="6"/>
  <c r="I5" i="6"/>
  <c r="R27" i="6"/>
  <c r="R6" i="1"/>
  <c r="F35" i="15"/>
  <c r="M21" i="79"/>
  <c r="M21" i="15"/>
  <c r="F35" i="79"/>
  <c r="E22" i="43" l="1"/>
  <c r="AE11" i="43"/>
  <c r="AE13" i="43" s="1"/>
  <c r="F101" i="43"/>
  <c r="AA11" i="43"/>
  <c r="AA13" i="43" s="1"/>
  <c r="H22" i="43"/>
  <c r="H101" i="43"/>
  <c r="B113" i="43"/>
  <c r="B118" i="43" s="1"/>
  <c r="C118" i="43" s="1"/>
  <c r="AH11" i="43"/>
  <c r="AH13" i="43" s="1"/>
  <c r="AF11" i="43"/>
  <c r="AF13" i="43" s="1"/>
  <c r="I101" i="43"/>
  <c r="AB11" i="43"/>
  <c r="AB13" i="43" s="1"/>
  <c r="AI11" i="43"/>
  <c r="AI13" i="43" s="1"/>
  <c r="AD11" i="43"/>
  <c r="AD13" i="43" s="1"/>
  <c r="Z7" i="43"/>
  <c r="N101" i="43"/>
  <c r="N105" i="43" s="1"/>
  <c r="K101" i="43"/>
  <c r="F22" i="43"/>
  <c r="D22" i="43" s="1"/>
  <c r="J20" i="15"/>
  <c r="J17" i="15" s="1"/>
  <c r="J16" i="15" s="1"/>
  <c r="J25" i="15" s="1"/>
  <c r="C34" i="15"/>
  <c r="C31" i="15" s="1"/>
  <c r="C30" i="15" s="1"/>
  <c r="F63" i="15"/>
  <c r="C62" i="15" s="1"/>
  <c r="C59" i="15" s="1"/>
  <c r="C58" i="15" s="1"/>
  <c r="C67" i="15" s="1"/>
  <c r="C68" i="15" s="1"/>
  <c r="C71" i="15" s="1"/>
  <c r="L46" i="67"/>
  <c r="D2" i="67" s="1"/>
  <c r="Q66" i="67"/>
  <c r="Q57" i="67"/>
  <c r="C43" i="67"/>
  <c r="C83" i="67"/>
  <c r="C82" i="67" s="1"/>
  <c r="Q47" i="67"/>
  <c r="Q53" i="67" s="1"/>
  <c r="Q56" i="67"/>
  <c r="Q65" i="67"/>
  <c r="J22" i="43"/>
  <c r="AC11" i="43"/>
  <c r="AC13" i="43" s="1"/>
  <c r="E101" i="43"/>
  <c r="E103" i="43" s="1"/>
  <c r="AG11" i="43"/>
  <c r="AG13" i="43" s="1"/>
  <c r="Y11" i="43"/>
  <c r="Y13" i="43" s="1"/>
  <c r="G22" i="43"/>
  <c r="M101" i="43"/>
  <c r="M107" i="43" s="1"/>
  <c r="D101" i="43"/>
  <c r="D103" i="43" s="1"/>
  <c r="J20" i="79"/>
  <c r="J17" i="79" s="1"/>
  <c r="J16" i="79" s="1"/>
  <c r="J25" i="79" s="1"/>
  <c r="F63" i="79"/>
  <c r="C62" i="79" s="1"/>
  <c r="C59" i="79" s="1"/>
  <c r="C58" i="79" s="1"/>
  <c r="C67" i="79" s="1"/>
  <c r="C68" i="79" s="1"/>
  <c r="C34" i="79"/>
  <c r="C31" i="79" s="1"/>
  <c r="C30" i="79" s="1"/>
  <c r="C39" i="79" s="1"/>
  <c r="E107" i="43"/>
  <c r="E105" i="43"/>
  <c r="I105" i="43"/>
  <c r="I104" i="43"/>
  <c r="I103" i="43"/>
  <c r="I102" i="43"/>
  <c r="I109" i="43"/>
  <c r="I106" i="43"/>
  <c r="I107" i="43"/>
  <c r="M103" i="43"/>
  <c r="M105" i="43"/>
  <c r="K106" i="43"/>
  <c r="K105" i="43"/>
  <c r="K104" i="43"/>
  <c r="K103" i="43"/>
  <c r="K109" i="43"/>
  <c r="K102" i="43"/>
  <c r="K107" i="43"/>
  <c r="D104" i="43"/>
  <c r="R16" i="1"/>
  <c r="H11" i="39"/>
  <c r="J11" i="39"/>
  <c r="F11" i="39"/>
  <c r="I116" i="43"/>
  <c r="J116" i="43" s="1"/>
  <c r="K116" i="43" s="1"/>
  <c r="L116" i="43" s="1"/>
  <c r="M116" i="43" s="1"/>
  <c r="G118" i="43"/>
  <c r="H118" i="43" s="1"/>
  <c r="I118" i="43"/>
  <c r="J118" i="43" s="1"/>
  <c r="K118" i="43" s="1"/>
  <c r="L118" i="43" s="1"/>
  <c r="M118" i="43" s="1"/>
  <c r="B117" i="43"/>
  <c r="C117" i="43" s="1"/>
  <c r="D115" i="43"/>
  <c r="E115" i="43" s="1"/>
  <c r="F115" i="43" s="1"/>
  <c r="G115" i="43" s="1"/>
  <c r="H115" i="43" s="1"/>
  <c r="I115" i="43"/>
  <c r="J115" i="43" s="1"/>
  <c r="K115" i="43" s="1"/>
  <c r="L115" i="43" s="1"/>
  <c r="M115" i="43" s="1"/>
  <c r="C106" i="43"/>
  <c r="C109" i="43"/>
  <c r="C105" i="43"/>
  <c r="C107" i="43"/>
  <c r="C102" i="43"/>
  <c r="C104" i="43"/>
  <c r="C103" i="43"/>
  <c r="F102" i="43"/>
  <c r="F104" i="43"/>
  <c r="F105" i="43"/>
  <c r="F107" i="43"/>
  <c r="F103" i="43"/>
  <c r="F109" i="43"/>
  <c r="F106" i="43"/>
  <c r="G105" i="43"/>
  <c r="G104" i="43"/>
  <c r="G109" i="43"/>
  <c r="G102" i="43"/>
  <c r="G106" i="43"/>
  <c r="G107" i="43"/>
  <c r="G103" i="43"/>
  <c r="N102" i="43"/>
  <c r="N107" i="43"/>
  <c r="N106" i="43"/>
  <c r="J103" i="43"/>
  <c r="J107" i="43"/>
  <c r="J105" i="43"/>
  <c r="J106" i="43"/>
  <c r="J102" i="43"/>
  <c r="J104" i="43"/>
  <c r="J109" i="43"/>
  <c r="H107" i="43"/>
  <c r="H109" i="43"/>
  <c r="H105" i="43"/>
  <c r="H106" i="43"/>
  <c r="H104" i="43"/>
  <c r="H102" i="43"/>
  <c r="H103" i="43"/>
  <c r="L102" i="43"/>
  <c r="L104" i="43"/>
  <c r="L103" i="43"/>
  <c r="L109" i="43"/>
  <c r="L107" i="43"/>
  <c r="L105" i="43"/>
  <c r="L106" i="43"/>
  <c r="L51" i="79"/>
  <c r="N103" i="43" l="1"/>
  <c r="N109" i="43"/>
  <c r="N104" i="43"/>
  <c r="B115" i="43"/>
  <c r="D118" i="43"/>
  <c r="E118" i="43" s="1"/>
  <c r="F118" i="43" s="1"/>
  <c r="B116" i="43"/>
  <c r="C116" i="43" s="1"/>
  <c r="D116" i="43"/>
  <c r="E116" i="43" s="1"/>
  <c r="F116" i="43" s="1"/>
  <c r="G116" i="43" s="1"/>
  <c r="H116" i="43" s="1"/>
  <c r="I117" i="43"/>
  <c r="J117" i="43" s="1"/>
  <c r="K117" i="43" s="1"/>
  <c r="L117" i="43" s="1"/>
  <c r="M117" i="43" s="1"/>
  <c r="D117" i="43"/>
  <c r="E117" i="43" s="1"/>
  <c r="F117" i="43" s="1"/>
  <c r="G117" i="43" s="1"/>
  <c r="H117" i="43" s="1"/>
  <c r="M104" i="43"/>
  <c r="E109" i="43"/>
  <c r="M106" i="43"/>
  <c r="M109" i="43"/>
  <c r="E102" i="43"/>
  <c r="E106" i="43"/>
  <c r="C39" i="15"/>
  <c r="Q69" i="15" s="1"/>
  <c r="Q68" i="15" s="1"/>
  <c r="I37" i="15"/>
  <c r="B2" i="67"/>
  <c r="B3" i="67"/>
  <c r="Q62" i="67"/>
  <c r="Q75" i="67"/>
  <c r="D107" i="43"/>
  <c r="D105" i="43"/>
  <c r="D106" i="43"/>
  <c r="D102" i="43"/>
  <c r="D109" i="43"/>
  <c r="M102" i="43"/>
  <c r="E104" i="43"/>
  <c r="Q67" i="79"/>
  <c r="S5" i="43"/>
  <c r="T5" i="43" s="1"/>
  <c r="V5" i="43" s="1"/>
  <c r="S4" i="43"/>
  <c r="T4" i="43" s="1"/>
  <c r="V4" i="43" s="1"/>
  <c r="S7" i="43"/>
  <c r="T7" i="43" s="1"/>
  <c r="V7" i="43" s="1"/>
  <c r="S2" i="43"/>
  <c r="T2" i="43" s="1"/>
  <c r="V2" i="43" s="1"/>
  <c r="C26" i="43" s="1"/>
  <c r="B2" i="43" s="1"/>
  <c r="S6" i="43"/>
  <c r="T6" i="43" s="1"/>
  <c r="V6" i="43" s="1"/>
  <c r="S3" i="43"/>
  <c r="T3" i="43" s="1"/>
  <c r="V3" i="43" s="1"/>
  <c r="C23" i="43"/>
  <c r="C21" i="43" s="1"/>
  <c r="S11" i="39"/>
  <c r="AA11" i="39"/>
  <c r="R47" i="39" s="1"/>
  <c r="U11" i="39"/>
  <c r="AB11" i="39"/>
  <c r="T47" i="39" s="1"/>
  <c r="G47" i="39" s="1"/>
  <c r="C71" i="79"/>
  <c r="C115" i="43"/>
  <c r="D113" i="43" s="1"/>
  <c r="W11" i="39"/>
  <c r="AC11" i="39"/>
  <c r="V47" i="39" s="1"/>
  <c r="I47" i="39" s="1"/>
  <c r="Q69" i="79"/>
  <c r="Q68" i="79" s="1"/>
  <c r="C80" i="79"/>
  <c r="C79" i="79" s="1"/>
  <c r="C40" i="79"/>
  <c r="B6" i="76"/>
  <c r="L51" i="15"/>
  <c r="J33" i="15" l="1"/>
  <c r="K33" i="15" s="1"/>
  <c r="K37" i="15"/>
  <c r="C80" i="15"/>
  <c r="C79" i="15" s="1"/>
  <c r="C40" i="15"/>
  <c r="C43" i="15" s="1"/>
  <c r="Q67" i="15"/>
  <c r="B2" i="76"/>
  <c r="G51" i="39"/>
  <c r="H51" i="39" s="1"/>
  <c r="G52" i="39"/>
  <c r="H52" i="39" s="1"/>
  <c r="B3" i="43"/>
  <c r="Q47" i="79"/>
  <c r="Q53" i="79" s="1"/>
  <c r="Q65" i="79"/>
  <c r="Q75" i="79" s="1"/>
  <c r="C83" i="79"/>
  <c r="C82" i="79" s="1"/>
  <c r="C43" i="79"/>
  <c r="Q56" i="79"/>
  <c r="Q62" i="79" s="1"/>
  <c r="B2" i="79"/>
  <c r="I51" i="39"/>
  <c r="J51" i="39" s="1"/>
  <c r="C46" i="79"/>
  <c r="E47" i="39"/>
  <c r="I52" i="39" s="1"/>
  <c r="J52" i="39" s="1"/>
  <c r="R48" i="39"/>
  <c r="C29" i="43"/>
  <c r="AO7" i="1"/>
  <c r="Q56" i="15" l="1"/>
  <c r="Q62" i="15" s="1"/>
  <c r="Q65" i="15"/>
  <c r="Q75" i="15" s="1"/>
  <c r="B2" i="15"/>
  <c r="B3" i="15" s="1"/>
  <c r="C46" i="15"/>
  <c r="Q47" i="15"/>
  <c r="Q53" i="15" s="1"/>
  <c r="C83" i="15"/>
  <c r="C82" i="15" s="1"/>
  <c r="C47" i="39"/>
  <c r="C48" i="39"/>
  <c r="C30" i="43"/>
  <c r="E30" i="43" s="1"/>
  <c r="C27" i="43" s="1"/>
  <c r="E29" i="43"/>
  <c r="E51" i="39"/>
  <c r="F51" i="39" s="1"/>
  <c r="E52" i="39"/>
  <c r="F52" i="39" s="1"/>
  <c r="B3" i="79"/>
  <c r="E6" i="76"/>
  <c r="AO6" i="1"/>
  <c r="B2" i="70" l="1"/>
  <c r="E2" i="76"/>
  <c r="B3" i="76" s="1"/>
  <c r="B59" i="39"/>
  <c r="F59" i="39" s="1"/>
  <c r="B60" i="39"/>
  <c r="F60" i="39" s="1"/>
  <c r="B58" i="39"/>
  <c r="F58" i="39" s="1"/>
  <c r="B57" i="39"/>
  <c r="F57" i="39" s="1"/>
  <c r="B62" i="39"/>
  <c r="F62" i="39" s="1"/>
  <c r="B63" i="39"/>
  <c r="F63" i="39" s="1"/>
  <c r="B61" i="39"/>
  <c r="F61" i="39" s="1"/>
  <c r="B64" i="39"/>
  <c r="F64" i="39" s="1"/>
  <c r="B65" i="39"/>
  <c r="F65" i="39" s="1"/>
  <c r="B56" i="39"/>
  <c r="F56" i="39" s="1"/>
  <c r="D19" i="9"/>
  <c r="D21" i="9" l="1"/>
  <c r="D102" i="9"/>
  <c r="B3" i="70"/>
  <c r="F66" i="39"/>
  <c r="B2" i="39" s="1"/>
  <c r="C6" i="68" s="1"/>
  <c r="D20" i="9"/>
  <c r="D103" i="9" l="1"/>
  <c r="B3" i="39"/>
  <c r="C7" i="68"/>
  <c r="C5" i="68" s="1"/>
  <c r="C20" i="68" l="1"/>
  <c r="C25" i="68" s="1"/>
  <c r="C23" i="68"/>
  <c r="C22" i="68" l="1"/>
  <c r="C28" i="68"/>
  <c r="C27" i="68" s="1"/>
  <c r="C31" i="68" l="1"/>
  <c r="C52" i="68" s="1"/>
  <c r="C57" i="68" s="1"/>
  <c r="C56" i="68" s="1"/>
  <c r="B2" i="68" l="1"/>
  <c r="C19" i="9"/>
  <c r="C21" i="9" l="1"/>
  <c r="G19" i="9"/>
  <c r="G21" i="9" s="1"/>
  <c r="C102" i="9"/>
  <c r="D22" i="9"/>
  <c r="B3" i="68"/>
  <c r="D34" i="9"/>
  <c r="D35" i="9"/>
  <c r="C20" i="9"/>
  <c r="C103" i="9" l="1"/>
  <c r="G20" i="9"/>
  <c r="C32" i="9" s="1"/>
  <c r="C35" i="9" s="1"/>
  <c r="C34" i="9" s="1"/>
  <c r="D118" i="9" s="1"/>
  <c r="D4" i="52" s="1"/>
  <c r="H118" i="9" l="1"/>
  <c r="C104" i="9" s="1"/>
  <c r="B47" i="72"/>
  <c r="F118" i="9"/>
  <c r="F119" i="9" s="1"/>
  <c r="F5" i="52" s="1"/>
  <c r="D119" i="9"/>
  <c r="D5" i="52" s="1"/>
  <c r="H119" i="9" l="1"/>
  <c r="H5" i="52" s="1"/>
  <c r="H101" i="9"/>
  <c r="D45" i="9" s="1"/>
  <c r="D14" i="74"/>
  <c r="F14" i="74" s="1"/>
  <c r="H4" i="52"/>
  <c r="I118" i="9"/>
  <c r="C105" i="9" s="1"/>
  <c r="B53" i="72"/>
  <c r="B49" i="72"/>
  <c r="G118" i="9"/>
  <c r="G4" i="52" s="1"/>
  <c r="F4" i="52"/>
  <c r="D5" i="53" l="1"/>
  <c r="B20" i="72" s="1"/>
  <c r="M48" i="9"/>
  <c r="H107" i="9"/>
  <c r="H108" i="9" s="1"/>
  <c r="D15" i="53" s="1"/>
  <c r="H102" i="9"/>
  <c r="D7" i="53" s="1"/>
  <c r="B21" i="72" s="1"/>
  <c r="I4" i="52"/>
  <c r="B5" i="74"/>
  <c r="C5" i="74" s="1"/>
  <c r="E14" i="74"/>
  <c r="B51" i="72"/>
  <c r="B52" i="72"/>
  <c r="E118" i="9"/>
  <c r="E4" i="52" s="1"/>
  <c r="C78" i="9"/>
  <c r="C73" i="9" s="1"/>
  <c r="C93" i="9"/>
  <c r="C86" i="9" s="1"/>
  <c r="D55" i="9"/>
  <c r="M53" i="9" s="1"/>
  <c r="C64" i="9"/>
  <c r="C63" i="9" s="1"/>
  <c r="C67" i="9" s="1"/>
  <c r="D53" i="9"/>
  <c r="D48" i="9" s="1"/>
  <c r="M52" i="9" s="1"/>
  <c r="D52" i="9"/>
  <c r="C85" i="9"/>
  <c r="C72" i="9"/>
  <c r="D6" i="53"/>
  <c r="D13" i="53" l="1"/>
  <c r="D14" i="53" s="1"/>
  <c r="M49" i="9"/>
  <c r="L68" i="9" s="1"/>
  <c r="M68" i="9" s="1"/>
  <c r="D122" i="9"/>
  <c r="G14" i="74" s="1"/>
  <c r="B6" i="74" s="1"/>
  <c r="D5" i="74"/>
  <c r="B48" i="72"/>
  <c r="B31" i="72"/>
  <c r="B22" i="72"/>
  <c r="C79" i="9"/>
  <c r="C80" i="9" s="1"/>
  <c r="C95" i="9"/>
  <c r="C96" i="9" s="1"/>
  <c r="E96" i="9" s="1"/>
  <c r="E97" i="9" s="1"/>
  <c r="C68" i="9"/>
  <c r="D54" i="9" s="1"/>
  <c r="D59" i="9"/>
  <c r="M55" i="9" s="1"/>
  <c r="B30" i="72" l="1"/>
  <c r="D8" i="52"/>
  <c r="L64" i="9"/>
  <c r="M64" i="9" s="1"/>
  <c r="L66" i="9"/>
  <c r="M66" i="9" s="1"/>
  <c r="L67" i="9"/>
  <c r="M67" i="9" s="1"/>
  <c r="L63" i="9"/>
  <c r="M63" i="9" s="1"/>
  <c r="L65" i="9"/>
  <c r="M65" i="9" s="1"/>
  <c r="D123" i="9"/>
  <c r="D9" i="52" s="1"/>
  <c r="B32" i="72"/>
  <c r="E80" i="9"/>
  <c r="E81" i="9" s="1"/>
  <c r="C81" i="9"/>
  <c r="C97" i="9"/>
  <c r="D58" i="9" s="1"/>
  <c r="D56" i="9" s="1"/>
  <c r="M54" i="9" s="1"/>
  <c r="N57" i="9" s="1"/>
  <c r="D6" i="74"/>
  <c r="C6" i="74"/>
  <c r="M69" i="9" l="1"/>
  <c r="N69" i="9" s="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5"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<sst xmlns="http://schemas.openxmlformats.org/spreadsheetml/2006/main" count="9168" uniqueCount="3582">
  <si>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</si>
  <si>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</si>
  <si>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</si>
  <si>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</si>
  <si>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</si>
  <si>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</si>
  <si>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</si>
  <si>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</si>
  <si>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</si>
  <si>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</si>
  <si>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</si>
  <si>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</si>
  <si>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</si>
  <si>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</si>
  <si>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</si>
  <si>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</si>
  <si>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</si>
  <si>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</si>
  <si>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</si>
  <si>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</si>
  <si>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</si>
  <si>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</si>
  <si>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</si>
  <si>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</si>
  <si>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</si>
  <si>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</si>
  <si>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</si>
  <si>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</si>
  <si>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</si>
  <si>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</si>
  <si>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</si>
  <si>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</si>
  <si>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</si>
  <si>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</si>
  <si>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</si>
  <si>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</si>
  <si>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</si>
  <si>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</si>
  <si>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</si>
  <si>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</si>
  <si>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</si>
  <si>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</si>
  <si>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</si>
  <si>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</si>
  <si>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</si>
  <si>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</si>
  <si>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</si>
  <si>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</si>
  <si>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</si>
  <si>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</si>
  <si>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</si>
  <si>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</si>
  <si>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</si>
  <si>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</si>
  <si>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</si>
  <si>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</si>
  <si>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</si>
  <si>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</si>
  <si>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</si>
  <si>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</si>
  <si>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</si>
  <si>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</si>
  <si>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</si>
  <si>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</si>
  <si>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</si>
  <si>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</si>
  <si>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</si>
  <si>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</si>
  <si>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</si>
  <si>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</si>
  <si>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</si>
  <si>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</si>
  <si>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</si>
  <si>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</si>
  <si>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</si>
  <si>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</si>
  <si>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</si>
  <si>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</si>
  <si>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</si>
  <si>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</si>
  <si>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</si>
  <si>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</si>
  <si>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</si>
  <si>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</si>
  <si>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</si>
  <si>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</si>
  <si>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</si>
  <si>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</si>
  <si>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</si>
  <si>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</si>
  <si>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</si>
  <si>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</si>
  <si>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</si>
  <si>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</si>
  <si>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</si>
  <si>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</si>
  <si>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</si>
  <si>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</si>
  <si>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</si>
  <si>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</si>
  <si>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</si>
  <si>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</si>
  <si>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</si>
  <si>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</si>
  <si>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</si>
  <si>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</si>
  <si>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</si>
  <si>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</si>
  <si>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</si>
  <si>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</si>
  <si>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</si>
  <si>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</si>
  <si>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</si>
  <si>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</si>
  <si>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</si>
  <si>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</si>
  <si>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</si>
  <si>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</si>
  <si>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</si>
  <si>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</si>
  <si>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</si>
  <si>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</si>
  <si>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</si>
  <si>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</si>
  <si>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</si>
  <si>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</si>
  <si>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</si>
  <si>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</si>
  <si>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</si>
  <si>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</si>
  <si>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</si>
  <si>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</si>
  <si>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</si>
  <si>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</si>
  <si>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</si>
  <si>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</si>
  <si>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</si>
  <si>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</si>
  <si>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</si>
  <si>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</si>
  <si>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</si>
  <si>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</si>
  <si>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</si>
  <si>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</si>
  <si>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</si>
  <si>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</si>
  <si>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</si>
  <si>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</si>
  <si>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</si>
  <si>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</si>
  <si>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</si>
  <si>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</si>
  <si>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</si>
  <si>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</si>
  <si>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</si>
  <si>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</si>
  <si>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</si>
  <si>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</si>
  <si>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</si>
  <si>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</si>
  <si>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</si>
  <si>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</si>
  <si>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</si>
  <si>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</si>
  <si>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</si>
  <si>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</si>
  <si>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</si>
  <si>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</si>
  <si>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</si>
  <si>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</si>
  <si>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</si>
  <si>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</si>
  <si>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</si>
  <si>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</si>
  <si>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</si>
  <si>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</si>
  <si>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</si>
  <si>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</si>
  <si>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</si>
  <si>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</si>
  <si>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</si>
  <si>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</si>
  <si>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</si>
  <si>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</si>
  <si>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</si>
  <si>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</si>
  <si>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</si>
  <si>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</si>
  <si>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</si>
  <si>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</si>
  <si>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</si>
  <si>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</si>
  <si>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</si>
  <si>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</si>
  <si>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</si>
  <si>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</si>
  <si>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</si>
  <si>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</si>
  <si>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</si>
  <si>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</si>
  <si>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</si>
  <si>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</si>
  <si>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</si>
  <si>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</si>
  <si>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</si>
  <si>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</si>
  <si>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</si>
  <si>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</si>
  <si>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</si>
  <si>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</si>
  <si>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</si>
  <si>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</si>
  <si>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</si>
  <si>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</si>
  <si>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</si>
  <si>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</si>
  <si>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</si>
  <si>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</si>
  <si>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</si>
  <si>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</si>
  <si>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</si>
  <si>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</si>
  <si>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</si>
  <si>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</si>
  <si>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</si>
  <si>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</si>
  <si>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</si>
  <si>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</si>
  <si>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</si>
  <si>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</si>
  <si>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</si>
  <si>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</si>
  <si>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</si>
  <si>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</si>
  <si>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</si>
  <si>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</si>
  <si>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</si>
  <si>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</si>
  <si>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</si>
  <si>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</si>
  <si>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</si>
  <si>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</si>
  <si>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</si>
  <si>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</si>
  <si>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</si>
  <si>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</si>
  <si>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</si>
  <si>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</si>
  <si>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</si>
  <si>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</si>
  <si>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</si>
  <si>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</si>
  <si>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</si>
  <si>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</si>
  <si>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</si>
  <si>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</si>
  <si>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</si>
  <si>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</si>
  <si>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</si>
  <si>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</si>
  <si>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</si>
  <si>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</si>
  <si>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</si>
  <si>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</si>
  <si>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</si>
  <si>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</si>
  <si>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</si>
  <si>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</si>
  <si>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</si>
  <si>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</si>
  <si>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</si>
  <si>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</si>
  <si>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</si>
  <si>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</si>
  <si>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</si>
  <si>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</si>
  <si>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</si>
  <si>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</si>
  <si>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</si>
  <si>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</si>
  <si>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</si>
  <si>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</si>
  <si>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</si>
  <si>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</si>
  <si>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</si>
  <si>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</si>
  <si>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</si>
  <si>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</si>
  <si>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</si>
  <si>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</si>
  <si>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</si>
  <si>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</si>
  <si>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</si>
  <si>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</si>
  <si>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</si>
  <si>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</si>
  <si>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</si>
  <si>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</si>
  <si>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</si>
  <si>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</si>
  <si>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</si>
  <si>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</si>
  <si>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</si>
  <si>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</si>
  <si>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</si>
  <si>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</si>
  <si>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</si>
  <si>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</si>
  <si>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</si>
  <si>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</si>
  <si>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</si>
  <si>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</si>
  <si>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</si>
  <si>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</si>
  <si>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</si>
  <si>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</si>
  <si>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</si>
  <si>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</si>
  <si>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</si>
  <si>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</si>
  <si>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</si>
  <si>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</si>
  <si>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</si>
  <si>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</si>
  <si>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</si>
  <si>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</si>
  <si>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</si>
  <si>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</si>
  <si>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</si>
  <si>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</si>
  <si>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</si>
  <si>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</si>
  <si>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</si>
  <si>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</si>
  <si>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</si>
  <si>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</si>
  <si>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</si>
  <si>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</si>
  <si>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</si>
  <si>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</si>
  <si>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</si>
  <si>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</si>
  <si>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</si>
  <si>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</si>
  <si>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</si>
  <si>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</si>
  <si>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</si>
  <si>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</si>
  <si>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</si>
  <si>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</si>
  <si>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</si>
  <si>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</si>
  <si>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</si>
  <si>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</si>
  <si>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</si>
  <si>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</si>
  <si>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</si>
  <si>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</si>
  <si>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</si>
  <si>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</si>
  <si>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</si>
  <si>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</si>
  <si>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</si>
  <si>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</si>
  <si>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</si>
  <si>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</si>
  <si>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</si>
  <si>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</si>
  <si>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</si>
  <si>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</si>
  <si>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</si>
  <si>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</si>
  <si>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</si>
  <si>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</si>
  <si>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</si>
  <si>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</si>
  <si>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</si>
  <si>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</si>
  <si>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</si>
  <si>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</si>
  <si>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</si>
  <si>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</si>
  <si>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</si>
  <si>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</si>
  <si>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</si>
  <si>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</si>
  <si>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</si>
  <si>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</si>
  <si>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</si>
  <si>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</si>
  <si>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</si>
  <si>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</si>
  <si>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</si>
  <si>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</si>
  <si>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</si>
  <si>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</si>
  <si>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</si>
  <si>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</si>
  <si>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</si>
  <si>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</si>
  <si>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</si>
  <si>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</si>
  <si>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</si>
  <si>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</si>
  <si>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</si>
  <si>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</si>
  <si>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</si>
  <si>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</si>
  <si>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</si>
  <si>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</si>
  <si>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</si>
  <si>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</si>
  <si>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</si>
  <si>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</si>
  <si>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</si>
  <si>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</si>
  <si>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</si>
  <si>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</si>
  <si>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</si>
  <si>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</si>
  <si>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</si>
  <si>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</si>
  <si>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</si>
  <si>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</si>
  <si>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</si>
  <si>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</si>
  <si>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</si>
  <si>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</si>
  <si>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</si>
  <si>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</si>
  <si>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</si>
  <si>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</si>
  <si>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</si>
  <si>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</si>
  <si>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</si>
  <si>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</si>
  <si>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</si>
  <si>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</si>
  <si>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</si>
  <si>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</si>
  <si>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</si>
  <si>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</si>
  <si>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</si>
  <si>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</si>
  <si>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</si>
  <si>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</si>
  <si>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</si>
  <si>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</si>
  <si>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</si>
  <si>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</si>
  <si>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</si>
  <si>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</si>
  <si>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</si>
  <si>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</si>
  <si>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</si>
  <si>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</si>
  <si>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</si>
  <si>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</si>
  <si>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</si>
  <si>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</si>
  <si>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</si>
  <si>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</si>
  <si>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</si>
  <si>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</si>
  <si>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</si>
  <si>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</si>
  <si>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</si>
  <si>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</si>
  <si>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</si>
  <si>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</si>
  <si>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</si>
  <si>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</si>
  <si>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</si>
  <si>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</si>
  <si>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</si>
  <si>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</si>
  <si>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</si>
  <si>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</si>
  <si>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</si>
  <si>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</si>
  <si>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</si>
  <si>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</si>
  <si>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</si>
  <si>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</si>
  <si>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</si>
  <si>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</si>
  <si>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</si>
  <si>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</si>
  <si>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</si>
  <si>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</si>
  <si>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</si>
  <si>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</si>
  <si>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</si>
  <si>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</si>
  <si>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</si>
  <si>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</si>
  <si>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</si>
  <si>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</si>
  <si>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</si>
  <si>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</si>
  <si>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</si>
  <si>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</si>
  <si>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</si>
  <si>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</si>
  <si>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</si>
  <si>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</si>
  <si>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</si>
  <si>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</si>
  <si>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</si>
  <si>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</si>
  <si>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</si>
  <si>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</si>
  <si>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</si>
  <si>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</si>
  <si>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</si>
  <si>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</si>
  <si>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</si>
  <si>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</si>
  <si>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</si>
  <si>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</si>
  <si>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</si>
  <si>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</si>
  <si>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</si>
  <si>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</si>
  <si>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</si>
  <si>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</si>
  <si>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</si>
  <si>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</si>
  <si>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</si>
  <si>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</si>
  <si>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</si>
  <si>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</si>
  <si>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</si>
  <si>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</si>
  <si>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</si>
  <si>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</si>
  <si>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</si>
  <si>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</si>
  <si>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</si>
  <si>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</si>
  <si>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</si>
  <si>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</si>
  <si>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</si>
  <si>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</si>
  <si>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</si>
  <si>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</si>
  <si>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</si>
  <si>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</si>
  <si>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</si>
  <si>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</si>
  <si>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</si>
  <si>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</si>
  <si>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</si>
  <si>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</si>
  <si>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</si>
  <si>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</si>
  <si>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</si>
  <si>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</si>
  <si>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</si>
  <si>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</si>
  <si>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</si>
  <si>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</si>
  <si>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</si>
  <si>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</si>
  <si>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</si>
  <si>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</si>
  <si>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</si>
  <si>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</si>
  <si>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</si>
  <si>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</si>
  <si>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</si>
  <si>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</si>
  <si>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</si>
  <si>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</si>
  <si>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</si>
  <si>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</si>
  <si>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</si>
  <si>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</si>
  <si>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</si>
  <si>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</si>
  <si>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</si>
  <si>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</si>
  <si>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</si>
  <si>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</si>
  <si>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</si>
  <si>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</si>
  <si>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</si>
  <si>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</si>
  <si>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</si>
  <si>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</si>
  <si>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</si>
  <si>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</si>
  <si>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</si>
  <si>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</si>
  <si>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</si>
  <si>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</si>
  <si>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</si>
  <si>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</si>
  <si>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</si>
  <si>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</si>
  <si>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</si>
  <si>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</si>
  <si>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</si>
  <si>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</si>
  <si>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</si>
  <si>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</si>
  <si>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</si>
  <si>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</si>
  <si>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</si>
  <si>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</si>
  <si>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</si>
  <si>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</si>
  <si>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</si>
  <si>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</si>
  <si>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</si>
  <si>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</si>
  <si>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</si>
  <si>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</si>
  <si>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</si>
  <si>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</si>
  <si>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</si>
  <si>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</si>
  <si>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</si>
  <si>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</si>
  <si>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</si>
  <si>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</si>
  <si>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</si>
  <si>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</si>
  <si>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</si>
  <si>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</si>
  <si>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</si>
  <si>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</si>
  <si>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</si>
  <si>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</si>
  <si>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</si>
  <si>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</si>
  <si>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</si>
  <si>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</si>
  <si>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</si>
  <si>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</si>
  <si>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</si>
  <si>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</si>
  <si>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</si>
  <si>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</si>
  <si>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</si>
  <si>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</si>
  <si>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</si>
  <si>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</si>
  <si>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</si>
  <si>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</si>
  <si>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</si>
  <si>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</si>
  <si>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</si>
  <si>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</si>
  <si>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</si>
  <si>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</si>
  <si>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</si>
  <si>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</si>
  <si>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</si>
  <si>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</si>
  <si>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</si>
  <si>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</si>
  <si>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</si>
  <si>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</si>
  <si>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</si>
  <si>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</si>
  <si>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</si>
  <si>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</si>
  <si>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</si>
  <si>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</si>
  <si>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</si>
  <si>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</si>
  <si>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</si>
  <si>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</si>
  <si>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</si>
  <si>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</si>
  <si>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</si>
  <si>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</si>
  <si>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</si>
  <si>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</si>
  <si>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</si>
  <si>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</si>
  <si>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</si>
  <si>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</si>
  <si>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</si>
  <si>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</si>
  <si>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</si>
  <si>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</si>
  <si>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</si>
  <si>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</si>
  <si>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</si>
  <si>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</si>
  <si>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</si>
  <si>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</si>
  <si>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</si>
  <si>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</si>
  <si>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</si>
  <si>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</si>
  <si>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</si>
  <si>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</si>
  <si>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</si>
  <si>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</si>
  <si>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</si>
  <si>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</si>
  <si>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</si>
  <si>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</si>
  <si>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</si>
  <si>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</si>
  <si>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</si>
  <si>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</si>
  <si>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</si>
  <si>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</si>
  <si>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</si>
  <si>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</si>
  <si>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</si>
  <si>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</si>
  <si>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</si>
  <si>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</si>
  <si>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</si>
  <si>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</si>
  <si>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</si>
  <si>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</si>
  <si>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</si>
  <si>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</si>
  <si>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</si>
  <si>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</si>
  <si>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</si>
  <si>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</si>
  <si>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</si>
  <si>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</si>
  <si>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</si>
  <si>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</si>
  <si>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</si>
  <si>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</si>
  <si>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</si>
  <si>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</si>
  <si>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</si>
  <si>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</si>
  <si>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</si>
  <si>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</si>
  <si>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</si>
  <si>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</si>
  <si>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</si>
  <si>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</si>
  <si>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</si>
  <si>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</si>
  <si>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</si>
  <si>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</si>
  <si>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</si>
  <si>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</si>
  <si>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</si>
  <si>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</si>
  <si>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</si>
  <si>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</si>
  <si>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</si>
  <si>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</si>
  <si>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</si>
  <si>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</si>
  <si>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</si>
  <si>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</si>
  <si>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</si>
  <si>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</si>
  <si>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</si>
  <si>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</si>
  <si>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</si>
  <si>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</si>
  <si>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</si>
  <si>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</si>
  <si>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</si>
  <si>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</si>
  <si>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</si>
  <si>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</si>
  <si>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</si>
  <si>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</si>
  <si>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</si>
  <si>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</si>
  <si>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</si>
  <si>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</si>
  <si>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</si>
  <si>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</si>
  <si>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</si>
  <si>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</si>
  <si>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</si>
  <si>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</si>
  <si>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</si>
  <si>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</si>
  <si>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</si>
  <si>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</si>
  <si>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</si>
  <si>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</si>
  <si>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</si>
  <si>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</si>
  <si>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</si>
  <si>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</si>
  <si>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</si>
  <si>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</si>
  <si>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</si>
  <si>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</si>
  <si>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</si>
  <si>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</si>
  <si>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</si>
  <si>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</si>
  <si>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</si>
  <si>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</si>
  <si>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</si>
  <si>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</si>
  <si>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</si>
  <si>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</si>
  <si>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</si>
  <si>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</si>
  <si>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</si>
  <si>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</si>
  <si>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</si>
  <si>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</si>
  <si>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</si>
  <si>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</si>
  <si>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</si>
  <si>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</si>
  <si>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</si>
  <si>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</si>
  <si>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</si>
  <si>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</si>
  <si>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</si>
  <si>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</si>
  <si>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</si>
  <si>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</si>
  <si>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</si>
  <si>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</si>
  <si>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</si>
  <si>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</si>
  <si>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</si>
  <si>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</si>
  <si>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</si>
  <si>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</si>
  <si>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</si>
  <si>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</si>
  <si>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</si>
  <si>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</si>
  <si>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</si>
  <si>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</si>
  <si>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</si>
  <si>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</si>
  <si>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</si>
  <si>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</si>
  <si>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</si>
  <si>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</si>
  <si>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</si>
  <si>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</si>
  <si>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</si>
  <si>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</si>
  <si>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</si>
  <si>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</si>
  <si>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</si>
  <si>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</si>
  <si>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</si>
  <si>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</si>
  <si>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</si>
  <si>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</si>
  <si>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</si>
  <si>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</si>
  <si>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</si>
  <si>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</si>
  <si>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</si>
  <si>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</si>
  <si>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</si>
  <si>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</si>
  <si>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</si>
  <si>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</si>
  <si>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</si>
  <si>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</si>
  <si>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</si>
  <si>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</si>
  <si>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</si>
  <si>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</si>
  <si>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</si>
  <si>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</si>
  <si>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</si>
  <si>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</si>
  <si>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</si>
  <si>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</si>
  <si>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</si>
  <si>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</si>
  <si>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</si>
  <si>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</si>
  <si>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</si>
  <si>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</si>
  <si>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</si>
  <si>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</si>
  <si>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</si>
  <si>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</si>
  <si>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</si>
  <si>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</si>
  <si>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</si>
  <si>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</si>
  <si>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</si>
  <si>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</si>
  <si>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</si>
  <si>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</si>
  <si>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</si>
  <si>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</si>
  <si>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</si>
  <si>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</si>
  <si>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</si>
  <si>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</si>
  <si>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</si>
  <si>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</si>
  <si>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</si>
  <si>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</si>
  <si>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</si>
  <si>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</si>
  <si>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</si>
  <si>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</si>
  <si>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</si>
  <si>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</si>
  <si>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</si>
  <si>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</si>
  <si>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</si>
  <si>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</si>
  <si>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</si>
  <si>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</si>
  <si>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</si>
  <si>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</si>
  <si>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</si>
  <si>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</si>
  <si>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</si>
  <si>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</si>
  <si>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</si>
  <si>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</si>
  <si>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</si>
  <si>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</si>
  <si>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</si>
  <si>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</si>
  <si>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</si>
  <si>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</si>
  <si>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</si>
  <si>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</si>
  <si>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</si>
  <si>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</si>
  <si>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</si>
  <si>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</si>
  <si>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</si>
  <si>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</si>
  <si>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</si>
  <si>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</si>
  <si>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</si>
  <si>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</si>
  <si>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</si>
  <si>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</si>
  <si>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</si>
  <si>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</si>
  <si>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</si>
  <si>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</si>
  <si>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</si>
  <si>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</si>
  <si>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</si>
  <si>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</si>
  <si>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</si>
  <si>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</si>
  <si>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</si>
  <si>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</si>
  <si>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</si>
  <si>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</si>
  <si>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</si>
  <si>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</si>
  <si>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</si>
  <si>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</si>
  <si>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</si>
  <si>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</si>
  <si>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</si>
  <si>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</si>
  <si>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</si>
  <si>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</si>
  <si>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</si>
  <si>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</si>
  <si>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</si>
  <si>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</si>
  <si>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</si>
  <si>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</si>
  <si>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</si>
  <si>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</si>
  <si>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</si>
  <si>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</si>
  <si>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</si>
  <si>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</si>
  <si>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</si>
  <si>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</si>
  <si>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</si>
  <si>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</si>
  <si>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</si>
  <si>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</si>
  <si>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</si>
  <si>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</si>
  <si>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</si>
  <si>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</si>
  <si>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</si>
  <si>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</si>
  <si>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</si>
  <si>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</si>
  <si>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</si>
  <si>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</si>
  <si>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</si>
  <si>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</si>
  <si>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</si>
  <si>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</si>
  <si>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</si>
  <si>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</si>
  <si>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</si>
  <si>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</si>
  <si>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</si>
  <si>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</si>
  <si>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</si>
  <si>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</si>
  <si>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</si>
  <si>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</si>
  <si>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</si>
  <si>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</si>
  <si>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</si>
  <si>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</si>
  <si>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</si>
  <si>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</si>
  <si>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</si>
  <si>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</si>
  <si>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</si>
  <si>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</si>
  <si>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</si>
  <si>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</si>
  <si>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</si>
  <si>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</si>
  <si>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</si>
  <si>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</si>
  <si>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</si>
  <si>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</si>
  <si>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</si>
  <si>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</si>
  <si>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</si>
  <si>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</si>
  <si>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</si>
  <si>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</si>
  <si>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</si>
  <si>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</si>
  <si>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</si>
  <si>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</si>
  <si>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</si>
  <si>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</si>
  <si>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</si>
  <si>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</si>
  <si>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</si>
  <si>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</si>
  <si>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</si>
  <si>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</si>
  <si>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</si>
  <si>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</si>
  <si>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</si>
  <si>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</si>
  <si>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</si>
  <si>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</si>
  <si>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</si>
  <si>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</si>
  <si>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</si>
  <si>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</si>
  <si>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</si>
  <si>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</si>
  <si>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</si>
  <si>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</si>
  <si>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</si>
  <si>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</si>
  <si>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</si>
  <si>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</si>
  <si>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</si>
  <si>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</si>
  <si>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</si>
  <si>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</si>
  <si>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</si>
  <si>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</si>
  <si>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</si>
  <si>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</si>
  <si>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</si>
  <si>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</si>
  <si>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</si>
  <si>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</si>
  <si>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</si>
  <si>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</si>
  <si>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</si>
  <si>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</si>
  <si>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</si>
  <si>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</si>
  <si>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</si>
  <si>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</si>
  <si>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</si>
  <si>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</si>
  <si>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</si>
  <si>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</si>
  <si>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</si>
  <si>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</si>
  <si>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</si>
  <si>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</si>
  <si>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</si>
  <si>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</si>
  <si>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</si>
  <si>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</si>
  <si>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</si>
  <si>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</si>
  <si>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</si>
  <si>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</si>
  <si>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</si>
  <si>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</si>
  <si>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</si>
  <si>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</si>
  <si>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</si>
  <si>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</si>
  <si>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</si>
  <si>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</si>
  <si>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</si>
  <si>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</si>
  <si>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</si>
  <si>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</si>
  <si>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</si>
  <si>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</si>
  <si>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</si>
  <si>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</si>
  <si>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</si>
  <si>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</si>
  <si>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</si>
  <si>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</si>
  <si>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</si>
  <si>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</si>
  <si>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</si>
  <si>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</si>
  <si>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</si>
  <si>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</si>
  <si>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</si>
  <si>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</si>
  <si>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</si>
  <si>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</si>
  <si>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</si>
  <si>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</si>
  <si>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</si>
  <si>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</si>
  <si>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</si>
  <si>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</si>
  <si>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</si>
  <si>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</si>
  <si>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</si>
  <si>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</si>
  <si>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</si>
  <si>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</si>
  <si>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</si>
  <si>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</si>
  <si>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</si>
  <si>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</si>
  <si>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</si>
  <si>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</si>
  <si>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</si>
  <si>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</si>
  <si>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</si>
  <si>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</si>
  <si>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</si>
  <si>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</si>
  <si>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</si>
  <si>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</si>
  <si>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</si>
  <si>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</si>
  <si>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</si>
  <si>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</si>
  <si>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</si>
  <si>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</si>
  <si>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</si>
  <si>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</si>
  <si>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</si>
  <si>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</si>
  <si>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</si>
  <si>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</si>
  <si>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</si>
  <si>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</si>
  <si>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</si>
  <si>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</si>
  <si>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</si>
  <si>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</si>
  <si>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</si>
  <si>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</si>
  <si>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</si>
  <si>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</si>
  <si>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</si>
  <si>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</si>
  <si>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</si>
  <si>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</si>
  <si>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</si>
  <si>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</si>
  <si>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</si>
  <si>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</si>
  <si>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</si>
  <si>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</si>
  <si>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</si>
  <si>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</si>
  <si>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</si>
  <si>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</si>
  <si>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</si>
  <si>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</si>
  <si>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</si>
  <si>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</si>
  <si>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</si>
  <si>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</si>
  <si>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</si>
  <si>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</si>
  <si>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</si>
  <si>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</si>
  <si>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</si>
  <si>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</si>
  <si>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</si>
  <si>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</si>
  <si>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</si>
  <si>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</si>
  <si>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</si>
  <si>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</si>
  <si>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</si>
  <si>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</si>
  <si>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</si>
  <si>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</si>
  <si>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</si>
  <si>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</si>
  <si>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</si>
  <si>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</si>
  <si>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</si>
  <si>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</si>
  <si>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</si>
  <si>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</si>
  <si>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</si>
  <si>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</si>
  <si>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</si>
  <si>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</si>
  <si>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</si>
  <si>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</si>
  <si>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</si>
  <si>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</si>
  <si>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</si>
  <si>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</si>
  <si>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</si>
  <si>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</si>
  <si>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</si>
  <si>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</si>
  <si>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</si>
  <si>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</si>
  <si>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</si>
  <si>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</si>
  <si>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</si>
  <si>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</si>
  <si>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</si>
  <si>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</si>
  <si>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</si>
  <si>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</si>
  <si>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</si>
  <si>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</si>
  <si>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</si>
  <si>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</si>
  <si>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</si>
  <si>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</si>
  <si>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</si>
  <si>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</si>
  <si>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</si>
  <si>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</si>
  <si>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</si>
  <si>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</si>
  <si>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</si>
  <si>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</si>
  <si>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</si>
  <si>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</si>
  <si>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</si>
  <si>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</si>
  <si>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</si>
  <si>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</si>
  <si>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</si>
  <si>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</si>
  <si>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</si>
  <si>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</si>
  <si>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</si>
  <si>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</si>
  <si>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</si>
  <si>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</si>
  <si>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</si>
  <si>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</si>
  <si>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</si>
  <si>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</si>
  <si>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</si>
  <si>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</si>
  <si>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</si>
  <si>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</si>
  <si>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</si>
  <si>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</si>
  <si>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</si>
  <si>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</si>
  <si>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</si>
  <si>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</si>
  <si>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</si>
  <si>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</si>
  <si>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</si>
  <si>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</si>
  <si>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</si>
  <si>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</si>
  <si>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</si>
  <si>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</si>
  <si>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</si>
  <si>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</si>
  <si>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</si>
  <si>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</si>
  <si>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</si>
  <si>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</si>
  <si>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</si>
  <si>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</si>
  <si>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</si>
  <si>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</si>
  <si>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</si>
  <si>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</si>
  <si>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</si>
  <si>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</si>
  <si>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</si>
  <si>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</si>
  <si>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</si>
  <si>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</si>
  <si>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</si>
  <si>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</si>
  <si>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</si>
  <si>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</si>
  <si>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</si>
  <si>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</si>
  <si>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</si>
  <si>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</si>
  <si>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</si>
  <si>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</si>
  <si>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</si>
  <si>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</si>
  <si>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</si>
  <si>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</si>
  <si>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</si>
  <si>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</si>
  <si>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</si>
  <si>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</si>
  <si>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</si>
  <si>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</si>
  <si>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</si>
  <si>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</si>
  <si>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</si>
  <si>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</si>
  <si>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</si>
  <si>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</si>
  <si>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</si>
  <si>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</si>
  <si>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</si>
  <si>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</si>
  <si>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</si>
  <si>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</si>
  <si>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</si>
  <si>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</si>
  <si>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</si>
  <si>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</si>
  <si>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</si>
  <si>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</si>
  <si>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</si>
  <si>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</si>
  <si>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</si>
  <si>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</si>
  <si>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</si>
  <si>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</si>
  <si>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</si>
  <si>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</si>
  <si>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</si>
  <si>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</si>
  <si>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</si>
  <si>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</si>
  <si>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</si>
  <si>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</si>
  <si>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</si>
  <si>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</si>
  <si>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</si>
  <si>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</si>
  <si>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</si>
  <si>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</si>
  <si>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</si>
  <si>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</si>
  <si>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</si>
  <si>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</si>
  <si>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</si>
  <si>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</si>
  <si>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</si>
  <si>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</si>
  <si>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</si>
  <si>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</si>
  <si>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</si>
  <si>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</si>
  <si>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</si>
  <si>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</si>
  <si>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</si>
  <si>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</si>
  <si>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</si>
  <si>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</si>
  <si>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</si>
  <si>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</si>
  <si>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</si>
  <si>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</si>
  <si>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</si>
  <si>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</si>
  <si>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</si>
  <si>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</si>
  <si>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</si>
  <si>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</si>
  <si>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</si>
  <si>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</si>
  <si>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</si>
  <si>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</si>
  <si>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</si>
  <si>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</si>
  <si>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</si>
  <si>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</si>
  <si>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</si>
  <si>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</si>
  <si>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</si>
  <si>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</si>
  <si>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</si>
  <si>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</si>
  <si>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</si>
  <si>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</si>
  <si>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</si>
  <si>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</si>
  <si>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</si>
  <si>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</si>
  <si>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</si>
  <si>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</si>
  <si>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</si>
  <si>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</si>
  <si>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</si>
  <si>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</si>
  <si>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</si>
  <si>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</si>
  <si>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</si>
  <si>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</si>
  <si>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</si>
  <si>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</si>
  <si>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</si>
  <si>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</si>
  <si>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</si>
  <si>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</si>
  <si>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</si>
  <si>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</si>
  <si>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</si>
  <si>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</si>
  <si>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</si>
  <si>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</si>
  <si>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</si>
  <si>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</si>
  <si>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</si>
  <si>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</si>
  <si>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</si>
  <si>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</si>
  <si>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</si>
  <si>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</si>
  <si>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</si>
  <si>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</si>
  <si>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</si>
  <si>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</si>
  <si>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</si>
  <si>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</si>
  <si>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</si>
  <si>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</si>
  <si>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</si>
  <si>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</si>
  <si>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</si>
  <si>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</si>
  <si>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</si>
  <si>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</si>
  <si>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</si>
  <si>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</si>
  <si>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</si>
  <si>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</si>
  <si>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</si>
  <si>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</si>
  <si>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</si>
  <si>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</si>
  <si>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</si>
  <si>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</si>
  <si>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</si>
  <si>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</si>
  <si>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</si>
  <si>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</si>
  <si>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</si>
  <si>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</si>
  <si>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</si>
  <si>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</si>
  <si>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</si>
  <si>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</si>
  <si>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</si>
  <si>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</si>
  <si>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</si>
  <si>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</si>
  <si>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</si>
  <si>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</si>
  <si>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</si>
  <si>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</si>
  <si>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</si>
  <si>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</si>
  <si>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</si>
  <si>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</si>
  <si>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</si>
  <si>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</si>
  <si>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</si>
  <si>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</si>
  <si>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</si>
  <si>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</si>
  <si>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</si>
  <si>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</si>
  <si>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</si>
  <si>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</si>
  <si>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</si>
  <si>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</si>
  <si>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</si>
  <si>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</si>
  <si>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</si>
  <si>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</si>
  <si>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</si>
  <si>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</si>
  <si>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</si>
  <si>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</si>
  <si>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</si>
  <si>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</si>
  <si>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</si>
  <si>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</si>
  <si>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</si>
  <si>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</si>
  <si>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</si>
  <si>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</si>
  <si>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</si>
  <si>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</si>
  <si>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</si>
  <si>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</si>
  <si>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</si>
  <si>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</si>
  <si>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</si>
  <si>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</si>
  <si>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</si>
  <si>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</si>
  <si>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</si>
  <si>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</si>
  <si>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</si>
  <si>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</si>
  <si>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</si>
  <si>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</si>
  <si>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</si>
  <si>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</si>
  <si>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</si>
  <si>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</si>
  <si>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</si>
  <si>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</si>
  <si>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</si>
  <si>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</si>
  <si>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</si>
  <si>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</si>
  <si>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</si>
  <si>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</si>
  <si>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</si>
  <si>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</si>
  <si>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</si>
  <si>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</si>
  <si>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</si>
  <si>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</si>
  <si>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</si>
  <si>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</si>
  <si>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</si>
  <si>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</si>
  <si>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</si>
  <si>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</si>
  <si>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</si>
  <si>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</si>
  <si>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</si>
  <si>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</si>
  <si>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</si>
  <si>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</si>
  <si>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</si>
  <si>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</si>
  <si>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</si>
  <si>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</si>
  <si>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</si>
  <si>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</si>
  <si>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</si>
  <si>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</si>
  <si>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</si>
  <si>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</si>
  <si>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</si>
  <si>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</si>
  <si>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</si>
  <si>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</si>
  <si>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</si>
  <si>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</si>
  <si>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</si>
  <si>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</si>
  <si>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</si>
  <si>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</si>
  <si>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</si>
  <si>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</si>
  <si>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</si>
  <si>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</si>
  <si>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</si>
  <si>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</si>
  <si>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</si>
  <si>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</si>
  <si>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</si>
  <si>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</si>
  <si>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</si>
  <si>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</si>
  <si>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</si>
  <si>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</si>
  <si>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</si>
  <si>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</si>
  <si>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</si>
  <si>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</si>
  <si>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</si>
  <si>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</si>
  <si>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</si>
  <si>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</si>
  <si>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</si>
  <si>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</si>
  <si>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</si>
  <si>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</si>
  <si>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</si>
  <si>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</si>
  <si>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</si>
  <si>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</si>
  <si>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</si>
  <si>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</si>
  <si>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</si>
  <si>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</si>
  <si>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</si>
  <si>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</si>
  <si>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</si>
  <si>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</si>
  <si>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</si>
  <si>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</si>
  <si>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</si>
  <si>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</si>
  <si>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</si>
  <si>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</si>
  <si>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</si>
  <si>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</si>
  <si>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</si>
  <si>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</si>
  <si>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</si>
  <si>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</si>
  <si>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</si>
  <si>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</si>
  <si>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</si>
  <si>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</si>
  <si>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</si>
  <si>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</si>
  <si>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</si>
  <si>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</si>
  <si>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</si>
  <si>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</si>
  <si>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</si>
  <si>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</si>
  <si>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</si>
  <si>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</si>
  <si>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</si>
  <si>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</si>
  <si>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</si>
  <si>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</si>
  <si>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</si>
  <si>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</si>
  <si>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</si>
  <si>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</si>
  <si>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</si>
  <si>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</si>
  <si>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</si>
  <si>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</si>
  <si>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</si>
  <si>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</si>
  <si>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</si>
  <si>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</si>
  <si>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</si>
  <si>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</si>
  <si>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</si>
  <si>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</si>
  <si>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</si>
  <si>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</si>
  <si>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</si>
  <si>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</si>
  <si>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</si>
  <si>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</si>
  <si>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</si>
  <si>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</si>
  <si>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</si>
  <si>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</si>
  <si>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</si>
  <si>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</si>
  <si>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</si>
  <si>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</si>
  <si>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</si>
  <si>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</si>
  <si>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</si>
  <si>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</si>
  <si>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</si>
  <si>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</si>
  <si>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</si>
  <si>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</si>
  <si>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</si>
  <si>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</si>
  <si>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</si>
  <si>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</si>
  <si>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</si>
  <si>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</si>
  <si>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</si>
  <si>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</si>
  <si>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</si>
  <si>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</si>
  <si>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</si>
  <si>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</si>
  <si>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</si>
  <si>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</si>
  <si>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</si>
  <si>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</si>
  <si>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</si>
  <si>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</si>
  <si>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</si>
  <si>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</si>
  <si>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</si>
  <si>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</si>
  <si>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</si>
  <si>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</si>
  <si>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</si>
  <si>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</si>
  <si>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</si>
  <si>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</si>
  <si>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</si>
  <si>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</si>
  <si>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</si>
  <si>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</si>
  <si>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</si>
  <si>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</si>
  <si>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</si>
  <si>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</si>
  <si>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</si>
  <si>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</si>
  <si>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</si>
  <si>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</si>
  <si>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</si>
  <si>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</si>
  <si>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</si>
  <si>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</si>
  <si>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</si>
  <si>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</si>
  <si>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</si>
  <si>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</si>
  <si>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</si>
  <si>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</si>
  <si>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</si>
  <si>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</si>
  <si>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</si>
  <si>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</si>
  <si>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</si>
  <si>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</si>
  <si>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</si>
  <si>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</si>
  <si>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</si>
  <si>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</si>
  <si>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</si>
  <si>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</si>
  <si>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</si>
  <si>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</si>
  <si>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</si>
  <si>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</si>
  <si>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</si>
  <si>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</si>
  <si>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</si>
  <si>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</si>
  <si>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</si>
  <si>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</si>
  <si>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</si>
  <si>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</si>
  <si>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</si>
  <si>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</si>
  <si>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</si>
  <si>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</si>
  <si>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</si>
  <si>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</si>
  <si>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</si>
  <si>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</si>
  <si>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</si>
  <si>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</si>
  <si>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</si>
  <si>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</si>
  <si>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</si>
  <si>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</si>
  <si>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</si>
  <si>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</si>
  <si>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</si>
  <si>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</si>
  <si>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</si>
  <si>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</si>
  <si>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</si>
  <si>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</si>
  <si>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</si>
  <si>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</si>
  <si>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</si>
  <si>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</si>
  <si>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</si>
  <si>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</si>
  <si>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</si>
  <si>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</si>
  <si>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</si>
  <si>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</si>
  <si>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</si>
  <si>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</si>
  <si>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</si>
  <si>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</si>
  <si>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</si>
  <si>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</si>
  <si>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</si>
  <si>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</si>
  <si>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</si>
  <si>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</si>
  <si>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</si>
  <si>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</si>
  <si>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</si>
  <si>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</si>
  <si>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</si>
  <si>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</si>
  <si>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</si>
  <si>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</si>
  <si>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</si>
  <si>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</si>
  <si>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</si>
  <si>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</si>
  <si>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</si>
  <si>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</si>
  <si>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</si>
  <si>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</si>
  <si>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</si>
  <si>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</si>
  <si>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</si>
  <si>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</si>
  <si>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</si>
  <si>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</si>
  <si>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</si>
  <si>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</si>
  <si>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</si>
  <si>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</si>
  <si>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</si>
  <si>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</si>
  <si>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</si>
  <si>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</si>
  <si>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</si>
  <si>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</si>
  <si>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</si>
  <si>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</si>
  <si>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</si>
  <si>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</si>
  <si>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</si>
  <si>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</si>
  <si>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</si>
  <si>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</si>
  <si>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</si>
  <si>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</si>
  <si>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</si>
  <si>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</si>
  <si>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</si>
  <si>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</si>
  <si>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</si>
  <si>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</si>
  <si>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</si>
  <si>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</si>
  <si>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</si>
  <si>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</si>
  <si>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</si>
  <si>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</si>
  <si>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</si>
  <si>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</si>
  <si>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</si>
  <si>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</si>
  <si>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</si>
  <si>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</si>
  <si>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</si>
  <si>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</si>
  <si>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</si>
  <si>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</si>
  <si>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</si>
  <si>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</si>
  <si>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</si>
  <si>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</si>
  <si>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</si>
  <si>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</si>
  <si>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</si>
  <si>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</si>
  <si>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</si>
  <si>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</si>
  <si>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</si>
  <si>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</si>
  <si>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</si>
  <si>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</si>
  <si>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</si>
  <si>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</si>
  <si>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</si>
  <si>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</si>
  <si>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</si>
  <si>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</si>
  <si>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</si>
  <si>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</si>
  <si>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</si>
  <si>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</si>
  <si>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</si>
  <si>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</si>
  <si>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</si>
  <si>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</si>
  <si>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</si>
  <si>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</si>
  <si>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</si>
  <si>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</si>
  <si>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</si>
  <si>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</si>
  <si>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</si>
  <si>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</si>
  <si>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</si>
  <si>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</si>
  <si>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</si>
  <si>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</si>
  <si>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</si>
  <si>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</si>
  <si>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</si>
  <si>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</si>
  <si>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</si>
  <si>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</si>
  <si>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</si>
  <si>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</si>
  <si>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</si>
  <si>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</si>
  <si>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</si>
  <si>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</si>
  <si>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</si>
  <si>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</si>
  <si>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</si>
  <si>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</si>
  <si>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</si>
  <si>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</si>
  <si>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</si>
  <si>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</si>
  <si>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</si>
  <si>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</si>
  <si>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</si>
  <si>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</si>
  <si>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</si>
  <si>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</si>
  <si>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</si>
  <si>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</si>
  <si>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</si>
  <si>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</si>
  <si>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</si>
  <si>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</si>
  <si>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</si>
  <si>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</si>
  <si>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</si>
  <si>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</si>
  <si>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</si>
  <si>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</si>
  <si>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</si>
  <si>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</si>
  <si>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</si>
  <si>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</si>
  <si>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</si>
  <si>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</si>
  <si>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</si>
  <si>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</si>
  <si>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</si>
  <si>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</si>
  <si>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</si>
  <si>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</si>
  <si>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</si>
  <si>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</si>
  <si>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</si>
  <si>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</si>
  <si>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</si>
  <si>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</si>
  <si>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</si>
  <si>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</si>
  <si>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</si>
  <si>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</si>
  <si>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</si>
  <si>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</si>
  <si>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</si>
  <si>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</si>
  <si>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</si>
  <si>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</si>
  <si>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</si>
  <si>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</si>
  <si>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</si>
  <si>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</si>
  <si>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</si>
  <si>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</si>
  <si>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</si>
  <si>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</si>
  <si>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</si>
  <si>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</si>
  <si>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</si>
  <si>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</si>
  <si>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</si>
  <si>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</si>
  <si>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</si>
  <si>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</si>
  <si>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</si>
  <si>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</si>
  <si>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</si>
  <si>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</si>
  <si>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</si>
  <si>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</si>
  <si>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</si>
  <si>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</si>
  <si>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</si>
  <si>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</si>
  <si>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</si>
  <si>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</si>
  <si>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</si>
  <si>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</si>
  <si>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</si>
  <si>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</si>
  <si>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</si>
  <si>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</si>
  <si>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</si>
  <si>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</si>
  <si>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</si>
  <si>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</si>
  <si>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</si>
  <si>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</si>
  <si>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</si>
  <si>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</si>
  <si>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</si>
  <si>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</si>
  <si>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</si>
  <si>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</si>
  <si>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</si>
  <si>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</si>
  <si>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</si>
  <si>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</si>
  <si>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</si>
  <si>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</si>
  <si>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</si>
  <si>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</si>
  <si>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</si>
  <si>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</si>
  <si>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</si>
  <si>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</si>
  <si>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</si>
  <si>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</si>
  <si>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</si>
  <si>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</si>
  <si>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</si>
  <si>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</si>
  <si>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</si>
  <si>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</si>
  <si>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</si>
  <si>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</si>
  <si>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</si>
  <si>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</si>
  <si>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</si>
  <si>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</si>
  <si>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</si>
  <si>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</si>
  <si>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</si>
  <si>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</si>
  <si>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</si>
  <si>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</si>
  <si>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</si>
  <si>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</si>
  <si>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</si>
  <si>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</si>
  <si>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</si>
  <si>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</si>
  <si>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</si>
  <si>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</si>
  <si>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</si>
  <si>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</si>
  <si>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</si>
  <si>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</si>
  <si>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</si>
  <si>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</si>
  <si>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</si>
  <si>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</si>
  <si>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</si>
  <si>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</si>
  <si>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</si>
  <si>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</si>
  <si>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</si>
  <si>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</si>
  <si>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</si>
  <si>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</si>
  <si>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</si>
  <si>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</si>
  <si>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</si>
  <si>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</si>
  <si>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</si>
  <si>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</si>
  <si>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</si>
  <si>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</si>
  <si>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</si>
  <si>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</si>
  <si>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</si>
  <si>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</si>
  <si>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</si>
  <si>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</si>
  <si>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</si>
  <si>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</si>
  <si>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</si>
  <si>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</si>
  <si>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</si>
  <si>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</si>
  <si>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</si>
  <si>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</si>
  <si>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</si>
  <si>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</si>
  <si>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</si>
  <si>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</si>
  <si>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</si>
  <si>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</si>
  <si>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</si>
  <si>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</si>
  <si>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</si>
  <si>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</si>
  <si>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</si>
  <si>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</si>
  <si>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</si>
  <si>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</si>
  <si>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</si>
  <si>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</si>
  <si>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</si>
  <si>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</si>
  <si>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</si>
  <si>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</si>
  <si>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</si>
  <si>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</si>
  <si>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</si>
  <si>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</si>
  <si>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</si>
  <si>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</si>
  <si>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</si>
  <si>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</si>
  <si>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</si>
  <si>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</si>
  <si>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</si>
  <si>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</si>
  <si>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</si>
  <si>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</si>
  <si>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</si>
  <si>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</si>
  <si>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</si>
  <si>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</si>
  <si>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</si>
  <si>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</si>
  <si>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</si>
  <si>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</si>
  <si>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</si>
  <si>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</si>
  <si>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</si>
  <si>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</si>
  <si>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</si>
  <si>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</si>
  <si>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</si>
  <si>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</si>
  <si>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</si>
  <si>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</si>
  <si>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</si>
  <si>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</si>
  <si>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</si>
  <si>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</si>
  <si>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</si>
  <si>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</si>
  <si>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</si>
  <si>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</si>
  <si>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</si>
  <si>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</si>
  <si>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</si>
  <si>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</si>
  <si>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</si>
  <si>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</si>
  <si>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</si>
  <si>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</si>
  <si>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</si>
  <si>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</si>
  <si>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</si>
  <si>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</si>
  <si>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</si>
  <si>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</si>
  <si>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</si>
  <si>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</si>
  <si>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</si>
  <si>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</si>
  <si>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</si>
  <si>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</si>
  <si>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</si>
  <si>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</si>
  <si>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</si>
  <si>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</si>
  <si>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</si>
  <si>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</si>
  <si>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</si>
  <si>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</si>
  <si>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</si>
  <si>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</si>
  <si>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</si>
  <si>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</si>
  <si>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</si>
  <si>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</si>
  <si>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</si>
  <si>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</si>
  <si>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</si>
  <si>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</si>
  <si>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</si>
  <si>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</si>
  <si>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</si>
  <si>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</si>
  <si>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</si>
  <si>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</si>
  <si>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</si>
  <si>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</si>
  <si>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</si>
  <si>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</si>
  <si>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</si>
  <si>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</si>
  <si>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</si>
  <si>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</si>
  <si>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</si>
  <si>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</si>
  <si>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</si>
  <si>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</si>
  <si>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</si>
  <si>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</si>
  <si>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</si>
  <si>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</si>
  <si>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</si>
  <si>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</si>
  <si>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</si>
  <si>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</si>
  <si>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</si>
  <si>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</si>
  <si>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</si>
  <si>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</si>
  <si>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</si>
  <si>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</si>
  <si>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</si>
  <si>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</si>
  <si>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</si>
  <si>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</si>
  <si>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</si>
  <si>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</si>
  <si>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</si>
  <si>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</si>
  <si>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</si>
  <si>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</si>
  <si>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</si>
  <si>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</si>
  <si>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</si>
  <si>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</si>
  <si>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</si>
  <si>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</si>
  <si>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</si>
  <si>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</si>
  <si>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</si>
  <si>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</si>
  <si>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</si>
  <si>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</si>
  <si>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</si>
  <si>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</si>
  <si>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</si>
  <si>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</si>
  <si>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</si>
  <si>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</si>
  <si>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</si>
  <si>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</si>
  <si>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</si>
  <si>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</si>
  <si>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</si>
  <si>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</si>
  <si>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</si>
  <si>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</si>
  <si>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</si>
  <si>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</si>
  <si>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</si>
  <si>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</si>
  <si>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</si>
  <si>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</si>
  <si>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</si>
  <si>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</si>
  <si>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</si>
  <si>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</si>
  <si>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</si>
  <si>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</si>
  <si>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</si>
  <si>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</si>
  <si>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</si>
  <si>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</si>
  <si>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</si>
  <si>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</si>
  <si>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</si>
  <si>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</si>
  <si>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</si>
  <si>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</si>
  <si>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</si>
  <si>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</si>
  <si>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</si>
  <si>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</si>
  <si>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</si>
  <si>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</si>
  <si>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</si>
  <si>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</si>
  <si>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</si>
  <si>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</si>
  <si>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</si>
  <si>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</si>
  <si>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</si>
  <si>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</si>
  <si>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</si>
  <si>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</si>
  <si>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</si>
  <si>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</si>
  <si>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</si>
  <si>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</si>
  <si>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</si>
  <si>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</si>
  <si>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</si>
  <si>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</si>
  <si>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</si>
  <si>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</si>
  <si>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</si>
  <si>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</si>
  <si>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</si>
  <si>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</si>
  <si>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</si>
  <si>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</si>
  <si>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</si>
  <si>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</si>
  <si>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</si>
  <si>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</si>
  <si>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</si>
  <si>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</si>
  <si>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</si>
  <si>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</si>
  <si>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</si>
  <si>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</si>
  <si>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</si>
  <si>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</si>
  <si>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</si>
  <si>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</si>
  <si>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</si>
  <si>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</si>
  <si>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</si>
  <si>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</si>
  <si>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</si>
  <si>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</si>
  <si>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</si>
  <si>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</si>
  <si>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</si>
  <si>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</si>
  <si>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</si>
  <si>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</si>
  <si>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</si>
  <si>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</si>
  <si>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</si>
  <si>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</si>
  <si>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</si>
  <si>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</si>
  <si>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</si>
  <si>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</si>
  <si>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</si>
  <si>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</si>
  <si>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</si>
  <si>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</si>
  <si>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</si>
  <si>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</si>
  <si>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</si>
  <si>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</si>
  <si>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</si>
  <si>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</si>
  <si>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</si>
  <si>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</si>
  <si>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</si>
  <si>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</si>
  <si>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</si>
  <si>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</si>
  <si>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</si>
  <si>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</si>
  <si>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</si>
  <si>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</si>
  <si>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</si>
  <si>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</si>
  <si>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</si>
  <si>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</si>
  <si>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</si>
  <si>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</si>
  <si>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</si>
  <si>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</si>
  <si>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</si>
  <si>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</si>
  <si>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</si>
  <si>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</si>
  <si>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</si>
  <si>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</si>
  <si>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</si>
  <si>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</si>
  <si>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</si>
  <si>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</si>
  <si>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</si>
  <si>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</si>
  <si>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</si>
  <si>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</si>
  <si>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</si>
  <si>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</si>
  <si>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</si>
  <si>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</si>
  <si>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</si>
  <si>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</si>
  <si>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</si>
  <si>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</si>
  <si>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</si>
  <si>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</si>
  <si>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</si>
  <si>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</si>
  <si>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</si>
  <si>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</si>
  <si>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</si>
  <si>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</si>
  <si>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</si>
  <si>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</si>
  <si>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</si>
  <si>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</si>
  <si>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</si>
  <si>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</si>
  <si>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</si>
  <si>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</si>
  <si>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</si>
  <si>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</si>
  <si>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</si>
  <si>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</si>
  <si>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</si>
  <si>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</si>
  <si>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</si>
  <si>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</si>
  <si>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</si>
  <si>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</si>
  <si>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</si>
  <si>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</si>
  <si>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</si>
  <si>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</si>
  <si>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</si>
  <si>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</si>
  <si>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</si>
  <si>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</si>
  <si>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</si>
  <si>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</si>
  <si>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</si>
  <si>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</si>
  <si>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</si>
  <si>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</si>
  <si>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</si>
  <si>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</si>
  <si>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</si>
  <si>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</si>
  <si>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</si>
  <si>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</si>
  <si>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</si>
  <si>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</si>
  <si>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</si>
  <si>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</si>
  <si>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</si>
  <si>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</si>
  <si>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</si>
  <si>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</si>
  <si>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</si>
  <si>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</si>
  <si>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</si>
  <si>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</si>
  <si>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</si>
  <si>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</si>
  <si>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</si>
  <si>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</si>
  <si>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</si>
  <si>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</si>
  <si>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</si>
  <si>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</si>
  <si>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</si>
  <si>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</si>
  <si>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</si>
  <si>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</si>
  <si>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</si>
  <si>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</si>
  <si>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</si>
  <si>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</si>
  <si>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</si>
  <si>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</si>
  <si>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</si>
  <si>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</si>
  <si>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</si>
  <si>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</si>
  <si>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</si>
  <si>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</si>
  <si>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</si>
  <si>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</si>
  <si>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</si>
  <si>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</si>
  <si>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</si>
  <si>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</si>
  <si>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</si>
  <si>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</si>
  <si>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</si>
  <si>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</si>
  <si>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</si>
  <si>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</si>
  <si>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</si>
  <si>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</si>
  <si>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</si>
  <si>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</si>
  <si>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</si>
  <si>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</si>
  <si>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</si>
  <si>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</si>
  <si>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</si>
  <si>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</si>
  <si>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</si>
  <si>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</si>
  <si>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</si>
  <si>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</si>
  <si>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</si>
  <si>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</si>
  <si>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</si>
  <si>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</si>
  <si>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</si>
  <si>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</si>
  <si>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</si>
  <si>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</si>
  <si>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</si>
  <si>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</si>
  <si>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</si>
  <si>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</si>
  <si>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</si>
  <si>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</si>
  <si>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</si>
  <si>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</si>
  <si>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</si>
  <si>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</si>
  <si>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</si>
  <si>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</si>
  <si>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</si>
  <si>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</si>
  <si>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</si>
  <si>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</si>
  <si>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</si>
  <si>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</si>
  <si>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</si>
  <si>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</si>
  <si>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</si>
  <si>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</si>
  <si>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</si>
  <si>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</si>
  <si>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</si>
  <si>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</si>
  <si>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</si>
  <si>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</si>
  <si>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</si>
  <si>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</si>
  <si>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</si>
  <si>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</si>
  <si>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</si>
  <si>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</si>
  <si>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</si>
  <si>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</si>
  <si>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</si>
  <si>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</si>
  <si>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</si>
  <si>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</si>
  <si>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</si>
  <si>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</si>
  <si>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</si>
  <si>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</si>
  <si>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</si>
  <si>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</si>
  <si>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</si>
  <si>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</si>
  <si>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</si>
  <si>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</si>
  <si>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</si>
  <si>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</si>
  <si>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</si>
  <si>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</si>
  <si>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</si>
  <si>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</si>
  <si>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</si>
  <si>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</si>
  <si>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</si>
  <si>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</si>
  <si>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</si>
  <si>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</si>
  <si>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</si>
  <si>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</si>
  <si>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</si>
  <si>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</si>
  <si>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</si>
  <si>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</si>
  <si>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</si>
  <si>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</si>
  <si>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</si>
  <si>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</si>
  <si>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</si>
  <si>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</si>
  <si>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</si>
  <si>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</si>
  <si>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</si>
  <si>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</si>
  <si>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</si>
  <si>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</si>
  <si>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</si>
  <si>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</si>
  <si>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</si>
  <si>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</si>
  <si>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</si>
  <si>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</si>
  <si>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</si>
  <si>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</si>
  <si>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</si>
  <si>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</si>
  <si>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</si>
  <si>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</si>
  <si>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</si>
  <si>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</si>
  <si>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</si>
  <si>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</si>
  <si>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</si>
  <si>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</si>
  <si>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</si>
  <si>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</si>
  <si>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</si>
  <si>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</si>
  <si>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</si>
  <si>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</si>
  <si>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</si>
  <si>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</si>
  <si>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</si>
  <si>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</si>
  <si>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</si>
  <si>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</si>
  <si>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</si>
  <si>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</si>
  <si>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</si>
  <si>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</si>
  <si>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</si>
  <si>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</si>
  <si>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</si>
  <si>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</si>
  <si>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</si>
  <si>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</si>
  <si>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</si>
  <si>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</si>
  <si>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</si>
  <si>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</si>
  <si>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</si>
  <si>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</si>
  <si>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</si>
  <si>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</si>
  <si>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</si>
  <si>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</si>
  <si>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</si>
  <si>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</si>
  <si>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</si>
  <si>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</si>
  <si>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</si>
  <si>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</si>
  <si>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</si>
  <si>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</si>
  <si>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</si>
  <si>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</si>
  <si>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</si>
  <si>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</si>
  <si>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</si>
  <si>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</si>
  <si>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</si>
  <si>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</si>
  <si>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</si>
  <si>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</si>
  <si>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</si>
  <si>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</si>
  <si>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</si>
  <si>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</si>
  <si>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</si>
  <si>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</si>
  <si>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</si>
  <si>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</si>
  <si>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</si>
  <si>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</si>
  <si>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</si>
  <si>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</si>
  <si>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</si>
  <si>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</si>
  <si>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</si>
  <si>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</si>
  <si>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</si>
  <si>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</si>
  <si>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</si>
  <si>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</si>
  <si>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</si>
  <si>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</si>
  <si>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</si>
  <si>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</si>
  <si>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</si>
  <si>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</si>
  <si>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</si>
  <si>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</si>
  <si>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</si>
  <si>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</si>
  <si>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</si>
  <si>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</si>
  <si>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</si>
  <si>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</si>
  <si>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</si>
  <si>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</si>
  <si>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</si>
  <si>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</si>
  <si>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</si>
  <si>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</si>
  <si>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</si>
  <si>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</si>
  <si>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</si>
  <si>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</si>
  <si>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</si>
  <si>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</si>
  <si>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</si>
  <si>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</si>
  <si>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</si>
  <si>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</si>
  <si>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</si>
  <si>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</si>
  <si>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</si>
  <si>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</si>
  <si>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</si>
  <si>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</si>
  <si>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</si>
  <si>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</si>
  <si>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</si>
  <si>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</si>
  <si>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</si>
  <si>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</si>
  <si>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</si>
  <si>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</si>
  <si>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</si>
  <si>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</si>
  <si>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</si>
  <si>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</si>
  <si>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</si>
  <si>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</si>
  <si>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</si>
  <si>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</si>
  <si>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</si>
  <si>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</si>
  <si>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</si>
  <si>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</si>
  <si>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</si>
  <si>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</si>
  <si>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</si>
  <si>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</si>
  <si>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</si>
  <si>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</si>
  <si>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</si>
  <si>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</si>
  <si>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</si>
  <si>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</si>
  <si>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</si>
  <si>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</si>
  <si>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</si>
  <si>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</si>
  <si>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</si>
  <si>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</si>
  <si>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</si>
  <si>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</si>
  <si>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</si>
  <si>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</si>
  <si>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</si>
  <si>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</si>
  <si>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</si>
  <si>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</si>
  <si>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</si>
  <si>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</si>
  <si>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</si>
  <si>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</si>
  <si>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</si>
  <si>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</si>
  <si>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</si>
  <si>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</si>
  <si>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</si>
  <si>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</si>
  <si>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</si>
  <si>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</si>
  <si>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</si>
  <si>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</si>
  <si>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</si>
  <si>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</si>
  <si>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</si>
  <si>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</si>
  <si>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</si>
  <si>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</si>
  <si>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</si>
  <si>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</si>
  <si>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</si>
  <si>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</si>
  <si>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</si>
  <si>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</si>
  <si>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</si>
  <si>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</si>
  <si>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</si>
  <si>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</si>
  <si>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</si>
  <si>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</si>
  <si>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</si>
  <si>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</si>
  <si>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</si>
  <si>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</si>
  <si>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</si>
  <si>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</si>
  <si>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</si>
  <si>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</si>
  <si>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</si>
  <si>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</si>
  <si>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</si>
  <si>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</si>
  <si>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</si>
  <si>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</si>
  <si>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</si>
  <si>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</si>
  <si>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</si>
  <si>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</si>
  <si>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</si>
  <si>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</si>
  <si>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</si>
  <si>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</si>
  <si>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</si>
  <si>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</si>
  <si>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</si>
  <si>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</si>
  <si>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</si>
  <si>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</si>
  <si>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</si>
  <si>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</si>
  <si>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</si>
  <si>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</si>
  <si>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</si>
  <si>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</si>
  <si>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</si>
  <si>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</si>
  <si>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</si>
  <si>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</si>
  <si>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</si>
  <si>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</si>
  <si>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</si>
  <si>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</si>
  <si>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</si>
  <si>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</si>
  <si>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</si>
  <si>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</si>
  <si>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</si>
  <si>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</si>
  <si>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</si>
  <si>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</si>
  <si>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</si>
  <si>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</si>
  <si>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</si>
  <si>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</si>
  <si>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</si>
  <si>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</si>
  <si>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</si>
  <si>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</si>
  <si>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</si>
  <si>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</si>
  <si>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</si>
  <si>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</si>
  <si>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</si>
  <si>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</si>
  <si>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</si>
  <si>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</si>
  <si>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</si>
  <si>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</si>
  <si>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</si>
  <si>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</si>
  <si>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</si>
  <si>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</si>
  <si>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</si>
  <si>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</si>
  <si>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</si>
  <si>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</si>
  <si>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</si>
  <si>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</si>
  <si>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</si>
  <si>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</si>
  <si>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</si>
  <si>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</si>
  <si>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</si>
  <si>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</si>
  <si>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</si>
  <si>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</si>
  <si>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</si>
  <si>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</si>
  <si>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</si>
  <si>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</si>
  <si>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</si>
  <si>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</si>
  <si>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</si>
  <si>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</si>
  <si>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</si>
  <si>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</si>
  <si>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</si>
  <si>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</si>
  <si>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</si>
  <si>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</si>
  <si>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</si>
  <si>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</si>
  <si>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</si>
  <si>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</si>
  <si>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</si>
  <si>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</si>
  <si>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</si>
  <si>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</si>
  <si>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</si>
  <si>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</si>
  <si>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</si>
  <si>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</si>
  <si>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</si>
  <si>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</si>
  <si>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</si>
  <si>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</si>
  <si>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</si>
  <si>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</si>
  <si>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</si>
  <si>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</si>
  <si>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</si>
  <si>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</si>
  <si>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</si>
  <si>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</si>
  <si>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</si>
  <si>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</si>
  <si>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</si>
  <si>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</si>
  <si>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</si>
  <si>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</si>
  <si>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</si>
  <si>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</si>
  <si>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</si>
  <si>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</si>
  <si>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</si>
  <si>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</si>
  <si>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</si>
  <si>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</si>
  <si>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</si>
  <si>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</si>
  <si>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</si>
  <si>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</si>
  <si>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</si>
  <si>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</si>
  <si>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</si>
  <si>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</si>
  <si>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</si>
  <si>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</si>
  <si>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</si>
  <si>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</si>
  <si>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</si>
  <si>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</si>
  <si>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</si>
  <si>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</si>
  <si>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</si>
  <si>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</si>
  <si>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</si>
  <si>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</si>
  <si>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</si>
  <si>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</si>
  <si>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</si>
  <si>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</si>
  <si>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</si>
  <si>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</si>
  <si>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</si>
  <si>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</si>
  <si>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</si>
  <si>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</si>
  <si>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</si>
  <si>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</si>
  <si>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</si>
  <si>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</si>
  <si>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</si>
  <si>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</si>
  <si>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</si>
  <si>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</si>
  <si>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</si>
  <si>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</si>
  <si>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</si>
  <si>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</si>
  <si>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</si>
  <si>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</si>
  <si>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</si>
  <si>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</si>
  <si>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</si>
  <si>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</si>
  <si>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</si>
  <si>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</si>
  <si>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</si>
  <si>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</si>
  <si>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</si>
  <si>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</si>
  <si>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</si>
  <si>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</si>
  <si>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</si>
  <si>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</si>
  <si>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</si>
  <si>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</si>
  <si>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</si>
  <si>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</si>
  <si>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</si>
  <si>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</si>
  <si>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</si>
  <si>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</si>
  <si>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</si>
  <si>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</si>
  <si>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</si>
  <si>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</si>
  <si>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</si>
  <si>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</si>
  <si>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</si>
  <si>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</si>
  <si>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</si>
  <si>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</si>
  <si>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</si>
  <si>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</si>
  <si>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</si>
  <si>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</si>
  <si>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</si>
  <si>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</si>
  <si>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</si>
  <si>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</si>
  <si>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</si>
  <si>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</si>
  <si>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</si>
  <si>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</si>
  <si>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</si>
  <si>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</si>
  <si>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</si>
  <si>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</si>
  <si>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</si>
  <si>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</si>
  <si>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</si>
  <si>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</si>
  <si>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</si>
  <si>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</si>
  <si>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</si>
  <si>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</si>
  <si>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</si>
  <si>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</si>
  <si>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</si>
  <si>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</si>
  <si>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</si>
  <si>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</si>
  <si>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</si>
  <si>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</si>
  <si>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王鹏</t>
  </si>
  <si>
    <t>郑燚</t>
  </si>
  <si>
    <t>五矿国际信托有限公司</t>
    <phoneticPr fontId="3" type="noConversion"/>
  </si>
  <si>
    <t>青海开河置业投资有限公司</t>
    <phoneticPr fontId="6" type="noConversion"/>
  </si>
  <si>
    <t>抵押</t>
  </si>
  <si>
    <t>房地产抵押价值</t>
  </si>
  <si>
    <t>企业</t>
  </si>
  <si>
    <t>青海省西宁市</t>
    <phoneticPr fontId="6" type="noConversion"/>
  </si>
  <si>
    <r>
      <rPr>
        <sz val="10"/>
        <color theme="9" tint="-0.249977111117893"/>
        <rFont val="宋体"/>
        <family val="3"/>
        <charset val="134"/>
      </rPr>
      <t>城中区麟河路</t>
    </r>
    <r>
      <rPr>
        <sz val="10"/>
        <color theme="9" tint="-0.249977111117893"/>
        <rFont val="Arial"/>
        <family val="2"/>
      </rPr>
      <t>31</t>
    </r>
    <r>
      <rPr>
        <sz val="10"/>
        <color theme="9" tint="-0.249977111117893"/>
        <rFont val="宋体"/>
        <family val="3"/>
        <charset val="134"/>
      </rPr>
      <t>号商业服务、物业用房</t>
    </r>
    <phoneticPr fontId="6" type="noConversion"/>
  </si>
  <si>
    <t>出让</t>
  </si>
  <si>
    <t>商业服务、物业用房</t>
    <phoneticPr fontId="6" type="noConversion"/>
  </si>
  <si>
    <r>
      <rPr>
        <sz val="10"/>
        <color theme="9" tint="-0.249977111117893"/>
        <rFont val="宋体"/>
        <family val="3"/>
        <charset val="134"/>
      </rPr>
      <t>商业服务、物业</t>
    </r>
    <r>
      <rPr>
        <sz val="10"/>
        <color theme="9" tint="-0.249977111117893"/>
        <rFont val="Arial"/>
        <family val="2"/>
      </rPr>
      <t>32.61</t>
    </r>
    <r>
      <rPr>
        <sz val="10"/>
        <color theme="9" tint="-0.249977111117893"/>
        <rFont val="宋体"/>
        <family val="3"/>
        <charset val="134"/>
      </rPr>
      <t>年</t>
    </r>
    <phoneticPr fontId="6" type="noConversion"/>
  </si>
  <si>
    <t>否</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</si>
  <si>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青（</t>
    </r>
    <r>
      <rPr>
        <sz val="10"/>
        <color theme="9" tint="-0.249977111117893"/>
        <rFont val="Arial"/>
        <family val="2"/>
      </rPr>
      <t>2020</t>
    </r>
    <r>
      <rPr>
        <sz val="10"/>
        <color theme="9" tint="-0.249977111117893"/>
        <rFont val="宋体"/>
        <family val="3"/>
        <charset val="134"/>
      </rPr>
      <t>）南川工业园区不动产权第</t>
    </r>
    <r>
      <rPr>
        <sz val="10"/>
        <color theme="9" tint="-0.249977111117893"/>
        <rFont val="Arial"/>
        <family val="2"/>
      </rPr>
      <t>0000046</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</si>
  <si>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t>商业项目</t>
  </si>
  <si>
    <t>无</t>
  </si>
  <si>
    <t>现房</t>
  </si>
  <si>
    <t>通路</t>
  </si>
  <si>
    <t>通电</t>
  </si>
  <si>
    <t>通讯</t>
  </si>
  <si>
    <t>通上水</t>
  </si>
  <si>
    <t>通下水</t>
  </si>
  <si>
    <t>燃气</t>
  </si>
  <si>
    <t>通热</t>
  </si>
  <si>
    <t>土地面积</t>
    <phoneticPr fontId="3" type="noConversion"/>
  </si>
  <si>
    <t>地上</t>
  </si>
  <si>
    <t>酒店</t>
  </si>
  <si>
    <t>是</t>
  </si>
  <si>
    <t>成新度</t>
  </si>
  <si>
    <t>建筑面积</t>
    <phoneticPr fontId="3" type="noConversion"/>
  </si>
  <si>
    <t>分摊土地面积</t>
    <phoneticPr fontId="3" type="noConversion"/>
  </si>
  <si>
    <t>钢混</t>
  </si>
  <si>
    <t>非生产用房</t>
  </si>
  <si>
    <t>自定义</t>
  </si>
  <si>
    <t>收益法</t>
  </si>
  <si>
    <t>商业</t>
    <phoneticPr fontId="31" type="noConversion"/>
  </si>
  <si>
    <t>较规则</t>
  </si>
  <si>
    <t>较规则</t>
    <phoneticPr fontId="31" type="noConversion"/>
  </si>
  <si>
    <t>较合适</t>
  </si>
  <si>
    <t>较合适</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</si>
  <si>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</si>
  <si>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</si>
  <si>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</si>
  <si>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</si>
  <si>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</si>
  <si>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</si>
  <si>
    <t>较好</t>
    <phoneticPr fontId="31" type="noConversion"/>
  </si>
  <si>
    <t>地块名称</t>
  </si>
  <si>
    <t>城市</t>
  </si>
  <si>
    <t>用地性质</t>
  </si>
  <si>
    <t>地块编号</t>
  </si>
  <si>
    <t>建设用地面积(㎡)</t>
  </si>
  <si>
    <t>规划建筑面积(㎡)</t>
  </si>
  <si>
    <t>容积率</t>
  </si>
  <si>
    <t>出让方式</t>
  </si>
  <si>
    <t>详细规划</t>
  </si>
  <si>
    <t>集中供地</t>
  </si>
  <si>
    <t>商业比例</t>
  </si>
  <si>
    <t>成交特殊政策</t>
  </si>
  <si>
    <t>开发进度</t>
  </si>
  <si>
    <t>成交日期</t>
  </si>
  <si>
    <t>受让单位</t>
  </si>
  <si>
    <t>成交价(万元)</t>
  </si>
  <si>
    <t>成交每亩价(万元/亩)</t>
  </si>
  <si>
    <t>成交楼面价(元/㎡)</t>
  </si>
  <si>
    <t>溢价率</t>
  </si>
  <si>
    <t>出让年限</t>
  </si>
  <si>
    <t>竞报商办部分自持比例(%)</t>
  </si>
  <si>
    <t>土地星级</t>
  </si>
  <si>
    <t>上新庄镇加牙村</t>
  </si>
  <si>
    <t>西宁市</t>
  </si>
  <si>
    <t>商业/办公用地</t>
  </si>
  <si>
    <t>2021-G08</t>
  </si>
  <si>
    <t>小于或等于3.5</t>
  </si>
  <si>
    <t>挂牌</t>
  </si>
  <si>
    <t>其他商服用地</t>
  </si>
  <si>
    <t>未开工</t>
  </si>
  <si>
    <t>2021-11-29</t>
  </si>
  <si>
    <t>湟中福鑫源开发建设有限公司</t>
  </si>
  <si>
    <t>40年</t>
  </si>
  <si>
    <t>1星</t>
  </si>
  <si>
    <t>田家寨镇田家寨村</t>
  </si>
  <si>
    <t>2020-G20</t>
  </si>
  <si>
    <t>大于或等于2.5并且小于或等于1</t>
  </si>
  <si>
    <t>2021-11-11</t>
  </si>
  <si>
    <t>青海东哥商贸有限公司</t>
  </si>
  <si>
    <t>甘河工业园区东区</t>
  </si>
  <si>
    <t>2020-G011</t>
  </si>
  <si>
    <t>小于或等于0.3</t>
  </si>
  <si>
    <t>2021-02-26</t>
  </si>
  <si>
    <t>中国石油天然气股份有限公司、青海西宁销售分公司</t>
  </si>
  <si>
    <t>城北区规划铁东路与纬二路交叉口东南角</t>
  </si>
  <si>
    <t>2020BC-25</t>
  </si>
  <si>
    <t>≥1,≤2</t>
  </si>
  <si>
    <t>住宅用地;商服用地;</t>
  </si>
  <si>
    <t>开工中</t>
  </si>
  <si>
    <t>2021-01-11</t>
  </si>
  <si>
    <t>西宁阳光唐道置业有限公司</t>
  </si>
  <si>
    <t>商服用地40年住宅用地70年</t>
  </si>
  <si>
    <t>3星</t>
  </si>
  <si>
    <t>土门关乡土门关村</t>
  </si>
  <si>
    <t>2020—G21</t>
  </si>
  <si>
    <t>大于或等于0.6</t>
  </si>
  <si>
    <t>2020-12-02</t>
  </si>
  <si>
    <t>青海拓关能源有限公司</t>
  </si>
  <si>
    <t>东川工业园区八一路北侧</t>
  </si>
  <si>
    <t>2020JC-15</t>
  </si>
  <si>
    <t>小于或等于3</t>
  </si>
  <si>
    <t>青海汇聚产业发展有限责任公司</t>
  </si>
  <si>
    <t>4星</t>
  </si>
  <si>
    <t>鲁沙尔镇庄隆路</t>
  </si>
  <si>
    <t>2020-G10</t>
  </si>
  <si>
    <t>大于或等于0并且小于或等于2</t>
  </si>
  <si>
    <t>2020-10-17</t>
  </si>
  <si>
    <t>青海盈吉房地产开发有限公司</t>
  </si>
  <si>
    <t>2020-G11</t>
  </si>
  <si>
    <t>小于或等于2</t>
  </si>
  <si>
    <t>2019-G03</t>
  </si>
  <si>
    <t>小于或等于1</t>
  </si>
  <si>
    <t>2020-09-03</t>
  </si>
  <si>
    <t>青海千紫园农业科技博览园</t>
  </si>
  <si>
    <t>2019-G04</t>
  </si>
  <si>
    <t>2019-G05</t>
  </si>
  <si>
    <t>小于或等于0.7</t>
  </si>
  <si>
    <t>鲁沙尔镇陈家滩村</t>
  </si>
  <si>
    <t>2020-G04</t>
  </si>
  <si>
    <t>小于或等于1.5</t>
  </si>
  <si>
    <t>2020-07-17</t>
  </si>
  <si>
    <t>青海青辉国际旅行社有限公司</t>
  </si>
  <si>
    <t>2星</t>
  </si>
  <si>
    <t>时代大道与郁金香大街交叉口东南角</t>
  </si>
  <si>
    <t>2020NC-3</t>
  </si>
  <si>
    <t>≥1且≤2.5</t>
  </si>
  <si>
    <t>商服用地</t>
  </si>
  <si>
    <t>2020-06-25</t>
  </si>
  <si>
    <t>青海正悦商源投资有限责任公司</t>
  </si>
  <si>
    <t>2018-G028号</t>
  </si>
  <si>
    <t>2020-03-23</t>
  </si>
  <si>
    <t>NULL</t>
  </si>
  <si>
    <t>城北区柴达木路南侧</t>
  </si>
  <si>
    <t>2019C-7</t>
  </si>
  <si>
    <t>地块a≤1.0,地块b≥1且≤1.5</t>
  </si>
  <si>
    <t>批发市场用地</t>
  </si>
  <si>
    <t>2019-11-23</t>
  </si>
  <si>
    <t>青海农副产品投资发展有限公司</t>
  </si>
  <si>
    <t>批发市场用地40年</t>
  </si>
  <si>
    <t>2019C-6</t>
  </si>
  <si>
    <t>≥1且≤3.5</t>
  </si>
  <si>
    <t>西宁农商投资建设开发管理有限公司</t>
  </si>
  <si>
    <t>商服用地40年</t>
  </si>
  <si>
    <t>城西区五四大街以南</t>
  </si>
  <si>
    <t>2019C-4</t>
  </si>
  <si>
    <t>≥1且≤5.13</t>
  </si>
  <si>
    <t>2019-11-18</t>
  </si>
  <si>
    <t>青海隆中景房地产开发有限责任公司</t>
  </si>
  <si>
    <t>土门关乡上山庄村</t>
  </si>
  <si>
    <t>2019-G10</t>
  </si>
  <si>
    <t>2019-10-10</t>
  </si>
  <si>
    <t>青海祥泉农牧开发有限公司</t>
  </si>
  <si>
    <t>2019-08-28</t>
  </si>
  <si>
    <t>青海千紫园农牧科技开发有限公司</t>
  </si>
  <si>
    <t>2018-G10</t>
  </si>
  <si>
    <t>2019-06-26</t>
  </si>
  <si>
    <t>苏万隆</t>
  </si>
  <si>
    <t>2019BC-2</t>
  </si>
  <si>
    <t>＞1,≤3</t>
  </si>
  <si>
    <t>零售商业用地</t>
  </si>
  <si>
    <t>2019-06-06</t>
  </si>
  <si>
    <t>万达地产集团有限公司</t>
  </si>
  <si>
    <t>城北区门源路南侧</t>
  </si>
  <si>
    <t>2019C-1</t>
  </si>
  <si>
    <t>＞1,≤3.5</t>
  </si>
  <si>
    <t>西宁原田房地产开发有限公司</t>
  </si>
  <si>
    <t>多巴镇新墩村</t>
  </si>
  <si>
    <t>2018-DG16</t>
  </si>
  <si>
    <t>≤2</t>
  </si>
  <si>
    <t>商务金融用地</t>
  </si>
  <si>
    <t>已完工</t>
  </si>
  <si>
    <t>2019-01-19</t>
  </si>
  <si>
    <t>青海兴业建设有限公司</t>
  </si>
  <si>
    <t>甘河工业园区东区中心区</t>
  </si>
  <si>
    <t>2017-G010</t>
  </si>
  <si>
    <t>＜3</t>
  </si>
  <si>
    <t>2018-10-11</t>
  </si>
  <si>
    <t>西宁宝灿商贸有限公司</t>
  </si>
  <si>
    <t>甘河工业园区东区中心区(电信综合商品楼西侧)</t>
  </si>
  <si>
    <t>2017-G008</t>
  </si>
  <si>
    <t>西宁宏盛物业管理有限公司</t>
  </si>
  <si>
    <t>2017-G009</t>
  </si>
  <si>
    <t>青海甘河工业园区开发建设有限公司</t>
  </si>
  <si>
    <t>湟中县上五庄镇合尔盖村</t>
  </si>
  <si>
    <t>2018-G02</t>
  </si>
  <si>
    <t>≤0.6</t>
  </si>
  <si>
    <t>2018-08-28</t>
  </si>
  <si>
    <t>青海中囤加油站</t>
  </si>
  <si>
    <t>多巴镇韦家庄村</t>
  </si>
  <si>
    <t>2018-DG02</t>
  </si>
  <si>
    <t>≤1.5</t>
  </si>
  <si>
    <t>2018-07-12</t>
  </si>
  <si>
    <t>西宁新华联童梦乐园有限公司</t>
  </si>
  <si>
    <t>2018C-6</t>
  </si>
  <si>
    <t>≥1且≤4.5</t>
  </si>
  <si>
    <t>2018-07-09</t>
  </si>
  <si>
    <t>青海威隆房地产有限公司</t>
  </si>
  <si>
    <t>海湖新区中心区</t>
  </si>
  <si>
    <t>57.10-57.70</t>
  </si>
  <si>
    <t>≥1且≤4</t>
  </si>
  <si>
    <t>2018-06-14</t>
  </si>
  <si>
    <t>喻贝尔</t>
  </si>
  <si>
    <t>多巴镇双寨村</t>
  </si>
  <si>
    <t>2018-DG08</t>
  </si>
  <si>
    <t>≤0.8</t>
  </si>
  <si>
    <t>2018-06-04</t>
  </si>
  <si>
    <t>青海欧璐国际物流有限公司</t>
  </si>
  <si>
    <t>城东区湟中路西侧</t>
  </si>
  <si>
    <t>2018C-3</t>
  </si>
  <si>
    <t>批发零售用地</t>
  </si>
  <si>
    <t>2018-05-30</t>
  </si>
  <si>
    <t>青海浩海房地产开发有限责任公司</t>
  </si>
  <si>
    <t>5星</t>
  </si>
  <si>
    <t>鲁沙尔镇石嘴村</t>
  </si>
  <si>
    <t>2017-G11</t>
  </si>
  <si>
    <t>≤1.8</t>
  </si>
  <si>
    <t>2018-05-09</t>
  </si>
  <si>
    <t>湟中县农村信用合作联社</t>
  </si>
  <si>
    <t>多巴镇康城村</t>
  </si>
  <si>
    <t>2017-DG04</t>
  </si>
  <si>
    <t>≤0.5</t>
  </si>
  <si>
    <t>2018-04-23</t>
  </si>
  <si>
    <t>西宁丝绸之路自驾车旅游文化产业有限公司</t>
  </si>
  <si>
    <t>生物园区</t>
  </si>
  <si>
    <t>61.95-70.70</t>
  </si>
  <si>
    <t>≤4.5</t>
  </si>
  <si>
    <t>2018-02-28</t>
  </si>
  <si>
    <t>青海生物产业园孵化创业有限公司</t>
  </si>
  <si>
    <t>南川工业园区</t>
  </si>
  <si>
    <t>43.40-62.40(2)</t>
  </si>
  <si>
    <t>2018-02-02</t>
  </si>
  <si>
    <t>青海恒欣投资管理有限公司</t>
  </si>
  <si>
    <t>43.40-62.40</t>
  </si>
  <si>
    <t>2017-12-18</t>
  </si>
  <si>
    <t>青海浩峰达商贸有限公司</t>
  </si>
  <si>
    <t>62.55-71.45</t>
  </si>
  <si>
    <t>≤5</t>
  </si>
  <si>
    <t>2017-12-13</t>
  </si>
  <si>
    <t>中国石化销售有限公司青海石油分公司</t>
  </si>
  <si>
    <t>西宁经济技术开发区南川工业园区</t>
  </si>
  <si>
    <t>45.20-64.20</t>
  </si>
  <si>
    <t>2017-10-25</t>
  </si>
  <si>
    <t>青海风之谷教育咨询有限公司</t>
  </si>
  <si>
    <t>40.05-60.25</t>
  </si>
  <si>
    <t>＜1</t>
  </si>
  <si>
    <t>2017-09-20</t>
  </si>
  <si>
    <t>中国石油天然气股份有限公司青海西宁销售分公司</t>
  </si>
  <si>
    <t>城北区门源路北侧</t>
  </si>
  <si>
    <t>2017C-4</t>
  </si>
  <si>
    <t>2017-08-16</t>
  </si>
  <si>
    <t>青海建辉房地产开发有限公司</t>
  </si>
  <si>
    <t>62-70-Ⅰ-Ⅱ-Ⅰ</t>
  </si>
  <si>
    <t>≥1.5,≤4</t>
  </si>
  <si>
    <t>2017-05-26</t>
  </si>
  <si>
    <t>青海装备制造投资管理有限公司</t>
  </si>
  <si>
    <t>东川工业园区</t>
  </si>
  <si>
    <t>630102102006GB00308</t>
  </si>
  <si>
    <t>≥1且≤3</t>
  </si>
  <si>
    <t>2017-03-29</t>
  </si>
  <si>
    <t>青海之窗文化旅游开发有限公司</t>
  </si>
  <si>
    <t>较差</t>
  </si>
  <si>
    <t>一般</t>
  </si>
  <si>
    <t>七通</t>
  </si>
  <si>
    <t>楼面地价</t>
  </si>
  <si>
    <t>未包含在土地购买价格中</t>
  </si>
  <si>
    <t>已包含在土地取得成本中</t>
  </si>
  <si>
    <t>成本法</t>
  </si>
  <si>
    <t>收益法-温泉乐园</t>
    <phoneticPr fontId="16" type="noConversion"/>
  </si>
  <si>
    <t>铁东路和汇金路交叉口东北角</t>
    <phoneticPr fontId="140" type="noConversion"/>
  </si>
  <si>
    <t>http://map.sogou.com/t/LPyJbL</t>
    <phoneticPr fontId="140" type="noConversion"/>
  </si>
  <si>
    <r>
      <rPr>
        <sz val="10"/>
        <color theme="9" tint="-0.249977111117893"/>
        <rFont val="宋体"/>
        <family val="3"/>
        <charset val="134"/>
      </rPr>
      <t>《国有土地使用证》</t>
    </r>
    <r>
      <rPr>
        <sz val="10"/>
        <color theme="9" tint="-0.249977111117893"/>
        <rFont val="Arial"/>
        <family val="2"/>
      </rPr>
      <t>[</t>
    </r>
    <r>
      <rPr>
        <sz val="10"/>
        <color theme="9" tint="-0.249977111117893"/>
        <rFont val="宋体"/>
        <family val="3"/>
        <charset val="134"/>
      </rPr>
      <t>西经南国用（</t>
    </r>
    <r>
      <rPr>
        <sz val="10"/>
        <color theme="9" tint="-0.249977111117893"/>
        <rFont val="Arial"/>
        <family val="2"/>
      </rPr>
      <t>2014</t>
    </r>
    <r>
      <rPr>
        <sz val="10"/>
        <color theme="9" tint="-0.249977111117893"/>
        <rFont val="宋体"/>
        <family val="3"/>
        <charset val="134"/>
      </rPr>
      <t>）第</t>
    </r>
    <r>
      <rPr>
        <sz val="10"/>
        <color theme="9" tint="-0.249977111117893"/>
        <rFont val="Arial"/>
        <family val="2"/>
      </rPr>
      <t>18</t>
    </r>
    <r>
      <rPr>
        <sz val="10"/>
        <color theme="9" tint="-0.249977111117893"/>
        <rFont val="宋体"/>
        <family val="3"/>
        <charset val="134"/>
      </rPr>
      <t>号</t>
    </r>
    <r>
      <rPr>
        <sz val="10"/>
        <color theme="9" tint="-0.249977111117893"/>
        <rFont val="Arial"/>
        <family val="2"/>
      </rPr>
      <t>]</t>
    </r>
    <phoneticPr fontId="6" type="noConversion"/>
  </si>
  <si>
    <t>残疾人房</t>
    <phoneticPr fontId="3" type="noConversion"/>
  </si>
  <si>
    <t>成本比率</t>
  </si>
  <si>
    <t>总价</t>
  </si>
  <si>
    <t>情况3</t>
  </si>
  <si>
    <t>正常</t>
  </si>
  <si>
    <t>自行开发建设</t>
  </si>
  <si>
    <t>非个人房产</t>
  </si>
  <si>
    <t>仅含出让金</t>
  </si>
  <si>
    <t>http://map.sogou.com/t/tj2!B!</t>
    <phoneticPr fontId="140" type="noConversion"/>
  </si>
  <si>
    <t>温泉收入</t>
    <phoneticPr fontId="140" type="noConversion"/>
  </si>
  <si>
    <t>水乐园及游泳馆收入</t>
    <phoneticPr fontId="140" type="noConversion"/>
  </si>
  <si>
    <t>休闲部收入</t>
    <phoneticPr fontId="140" type="noConversion"/>
  </si>
  <si>
    <t>康体收入</t>
    <phoneticPr fontId="140" type="noConversion"/>
  </si>
  <si>
    <t>（1）收入</t>
    <phoneticPr fontId="3" type="noConversion"/>
  </si>
  <si>
    <t>卡收入</t>
    <phoneticPr fontId="140" type="noConversion"/>
  </si>
  <si>
    <t>其他收入</t>
    <phoneticPr fontId="140" type="noConversion"/>
  </si>
  <si>
    <t>行政套房</t>
    <phoneticPr fontId="3" type="noConversion"/>
  </si>
  <si>
    <t>沙龙套房（家庭）</t>
    <phoneticPr fontId="3" type="noConversion"/>
  </si>
  <si>
    <t>标准房</t>
    <phoneticPr fontId="3" type="noConversion"/>
  </si>
  <si>
    <t>宴会厅</t>
    <phoneticPr fontId="3" type="noConversion"/>
  </si>
  <si>
    <t>会议室</t>
    <phoneticPr fontId="3" type="noConversion"/>
  </si>
  <si>
    <t>部位</t>
  </si>
  <si>
    <t>席位（人）</t>
  </si>
  <si>
    <t>年营业收入（万元）</t>
  </si>
  <si>
    <t>成本占收入比（%）</t>
  </si>
  <si>
    <t>主营</t>
  </si>
  <si>
    <t>温泉</t>
  </si>
  <si>
    <t>水乐园及游泳馆</t>
  </si>
  <si>
    <t>康体SPA</t>
  </si>
  <si>
    <t>年卡</t>
  </si>
  <si>
    <t>/</t>
  </si>
  <si>
    <t>二销</t>
  </si>
  <si>
    <t>浴袍、毛巾</t>
  </si>
  <si>
    <t>私密汤屋</t>
  </si>
  <si>
    <t>温泉服务岛</t>
  </si>
  <si>
    <t>温泉水吧</t>
  </si>
  <si>
    <t>泳衣商店</t>
  </si>
  <si>
    <t>小吃清真餐</t>
  </si>
  <si>
    <t>水乐园水吧</t>
  </si>
  <si>
    <t>水乐园奶茶</t>
  </si>
  <si>
    <t>游泳馆水吧</t>
  </si>
  <si>
    <t>充电宝、进场费</t>
  </si>
  <si>
    <t>数量（间）</t>
  </si>
  <si>
    <t>建筑面积（间）</t>
  </si>
  <si>
    <t>平均房价（元）</t>
  </si>
  <si>
    <t>平均入住率（%）</t>
  </si>
  <si>
    <t>客房</t>
  </si>
  <si>
    <t>总统套房</t>
  </si>
  <si>
    <t>行政套房</t>
  </si>
  <si>
    <t>76 m²</t>
  </si>
  <si>
    <t>沙龙套房（家庭）</t>
  </si>
  <si>
    <t>114 m²　</t>
  </si>
  <si>
    <t>标准房</t>
  </si>
  <si>
    <t>38 m²</t>
  </si>
  <si>
    <r>
      <t>注：另有的房间服务费</t>
    </r>
    <r>
      <rPr>
        <u/>
        <sz val="10.5"/>
        <color rgb="FF000000"/>
        <rFont val="宋体"/>
        <family val="3"/>
        <charset val="134"/>
      </rPr>
      <t>_10__</t>
    </r>
    <r>
      <rPr>
        <sz val="10.5"/>
        <color rgb="FF000000"/>
        <rFont val="宋体"/>
        <family val="3"/>
        <charset val="134"/>
      </rPr>
      <t>%</t>
    </r>
  </si>
  <si>
    <t>平均收费标准（元）</t>
  </si>
  <si>
    <t>平均使用率（%）</t>
  </si>
  <si>
    <t>会议室（多功能厅）</t>
  </si>
  <si>
    <t>宴会厅</t>
  </si>
  <si>
    <t>会议室</t>
  </si>
  <si>
    <t>餐厅</t>
  </si>
  <si>
    <t>酒吧、咖啡厅</t>
  </si>
  <si>
    <t>中餐</t>
  </si>
  <si>
    <t>西餐</t>
  </si>
  <si>
    <t>娱乐</t>
  </si>
  <si>
    <t>Spa</t>
  </si>
  <si>
    <t>健身中心</t>
  </si>
  <si>
    <t>游泳池</t>
  </si>
  <si>
    <t>夜总会、KTV</t>
  </si>
  <si>
    <t>出租面积（平方米）</t>
  </si>
  <si>
    <t>租期</t>
  </si>
  <si>
    <t>涨幅情况</t>
  </si>
  <si>
    <t>单位租金（元/平方米。日）</t>
  </si>
  <si>
    <t>对外出租</t>
  </si>
  <si>
    <t>三层儿童乐园</t>
  </si>
  <si>
    <t>　120 m²</t>
  </si>
  <si>
    <t>　1年</t>
  </si>
  <si>
    <t>　4.93元</t>
  </si>
  <si>
    <t>超市</t>
  </si>
  <si>
    <t>　36 m²</t>
  </si>
  <si>
    <t>　3.65元</t>
  </si>
  <si>
    <t>商务中心</t>
  </si>
  <si>
    <t>　14 m²</t>
  </si>
  <si>
    <t>　7.04元</t>
  </si>
  <si>
    <t>车位数（个）</t>
  </si>
  <si>
    <t>包月租金（元/车位 月）</t>
  </si>
  <si>
    <t>临时租金（元/车位 小时）</t>
  </si>
  <si>
    <t>地下车库（地面）</t>
  </si>
  <si>
    <t>服务费10%</t>
    <phoneticPr fontId="140" type="noConversion"/>
  </si>
  <si>
    <t>按房产原值计税</t>
  </si>
  <si>
    <t>利息：取LPR加浮动点数</t>
  </si>
  <si>
    <t>正常操作</t>
  </si>
  <si>
    <t>企业提供（在右侧录入）</t>
  </si>
  <si>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</si>
  <si>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</si>
  <si>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</si>
  <si>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</si>
  <si>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</si>
  <si>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</si>
  <si>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</si>
  <si>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</si>
  <si>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</si>
  <si>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</si>
  <si>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</si>
  <si>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</si>
  <si>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</si>
  <si>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</si>
  <si>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</si>
  <si>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</si>
  <si>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</si>
  <si>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</si>
  <si>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</si>
  <si>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</si>
  <si>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</si>
  <si>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</si>
  <si>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</si>
  <si>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</si>
  <si>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</si>
  <si>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</si>
  <si>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</si>
  <si>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</si>
  <si>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</si>
  <si>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</si>
  <si>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</si>
  <si>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</si>
  <si>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</si>
  <si>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</si>
  <si>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</si>
  <si>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</si>
  <si>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</si>
  <si>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</si>
  <si>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</si>
  <si>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</si>
  <si>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</si>
  <si>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</si>
  <si>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</si>
  <si>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</si>
  <si>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</si>
  <si>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</si>
  <si>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</si>
  <si>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</si>
  <si>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</si>
  <si>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</si>
  <si>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</si>
  <si>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</si>
  <si>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</si>
  <si>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</si>
  <si>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</si>
  <si>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</si>
  <si>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</si>
  <si>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</si>
  <si>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</si>
  <si>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</si>
  <si>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</si>
  <si>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</si>
  <si>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</si>
  <si>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</si>
  <si>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</si>
  <si>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</si>
  <si>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</si>
  <si>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</si>
  <si>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</si>
  <si>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</si>
  <si>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</si>
  <si>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</si>
  <si>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</si>
  <si>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</si>
  <si>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</si>
  <si>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</si>
  <si>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</si>
  <si>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</si>
  <si>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</si>
  <si>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</si>
  <si>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</si>
  <si>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</si>
  <si>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</si>
  <si>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</si>
  <si>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</si>
  <si>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</si>
  <si>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</si>
  <si>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</si>
  <si>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</si>
  <si>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</si>
  <si>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</si>
  <si>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</si>
  <si>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</si>
  <si>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</si>
  <si>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</si>
  <si>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</si>
  <si>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</si>
  <si>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</si>
  <si>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</si>
  <si>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</si>
  <si>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</si>
  <si>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小计</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</si>
  <si>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</si>
  <si>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</si>
  <si>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</si>
  <si>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</si>
  <si>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</si>
  <si>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</si>
  <si>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</si>
  <si>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</si>
  <si>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</si>
  <si>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</si>
  <si>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</si>
  <si>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</si>
  <si>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</si>
  <si>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</si>
  <si>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</si>
  <si>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</si>
  <si>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</si>
  <si>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</si>
  <si>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</si>
  <si>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</si>
  <si>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</si>
  <si>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</si>
  <si>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</si>
  <si>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</si>
  <si>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</si>
  <si>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</si>
  <si>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</si>
  <si>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</si>
  <si>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</si>
  <si>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</si>
  <si>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对比</t>
    </r>
    <phoneticPr fontId="3" type="noConversion"/>
  </si>
  <si>
    <r>
      <rPr>
        <sz val="10"/>
        <rFont val="宋体"/>
        <family val="3"/>
        <charset val="134"/>
      </rPr>
      <t>周边办公租金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</si>
  <si>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</si>
  <si>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</si>
  <si>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</si>
  <si>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</si>
  <si>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</si>
  <si>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</si>
  <si>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</si>
  <si>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</si>
  <si>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</si>
  <si>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</si>
  <si>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</si>
  <si>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</si>
  <si>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</si>
  <si>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</si>
  <si>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</si>
  <si>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</si>
  <si>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酒店</t>
    <phoneticPr fontId="7" type="noConversion"/>
  </si>
  <si>
    <t>温泉</t>
    <phoneticPr fontId="7" type="noConversion"/>
  </si>
  <si>
    <t>收益法-温泉乐园</t>
  </si>
  <si>
    <t>收益法（汇总）</t>
  </si>
  <si>
    <t>按明细</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</si>
</sst>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indexed="8"/>
      <name val="仿宋_GB2312"/>
      <family val="3"/>
      <charset val="134"/>
    </font>
    <font>
      <sz val="11"/>
      <color indexed="8"/>
      <name val="仿宋_GB2312"/>
      <family val="3"/>
      <charset val="134"/>
    </font>
    <font>
      <u/>
      <sz val="11"/>
      <color theme="10"/>
      <name val="宋体"/>
      <family val="3"/>
      <charset val="134"/>
      <scheme val="minor"/>
    </font>
    <font>
      <sz val="10"/>
      <color theme="9" tint="-0.249977111117893"/>
      <name val="Arial"/>
      <family val="3"/>
      <charset val="134"/>
    </font>
    <font>
      <b/>
      <sz val="10.5"/>
      <color rgb="FF000000"/>
      <name val="宋体"/>
      <family val="3"/>
      <charset val="134"/>
    </font>
    <font>
      <sz val="10.5"/>
      <color rgb="FF000000"/>
      <name val="宋体"/>
      <family val="3"/>
      <charset val="134"/>
    </font>
    <font>
      <u/>
      <sz val="10.5"/>
      <color rgb="FF00000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theme="0" tint="-0.149998474074526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6" fillId="0" borderId="0" applyNumberFormat="0" applyFill="0" applyBorder="0" applyAlignment="0" applyProtection="0">
      <alignment vertical="center"/>
    </xf>
  </cellStyleXfs>
  <cellXfs count="36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89"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4" fillId="7" borderId="5"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1" fontId="0" fillId="0" borderId="0" xfId="0" applyNumberFormat="1">
      <alignment vertical="center"/>
    </xf>
    <xf numFmtId="0" fontId="55" fillId="0" borderId="0" xfId="17" applyAlignment="1">
      <alignment horizontal="left" vertical="center"/>
    </xf>
    <xf numFmtId="0" fontId="19" fillId="0" borderId="0" xfId="17" applyFont="1" applyAlignment="1">
      <alignment horizontal="left" vertical="center"/>
    </xf>
    <xf numFmtId="0" fontId="55" fillId="5" borderId="0" xfId="17" applyFill="1" applyAlignment="1">
      <alignment horizontal="left" vertical="center"/>
    </xf>
    <xf numFmtId="0" fontId="256" fillId="0" borderId="0" xfId="18" applyAlignment="1">
      <alignment horizontal="left" vertical="center"/>
    </xf>
    <xf numFmtId="0" fontId="55" fillId="0" borderId="0" xfId="17" applyFill="1" applyAlignment="1">
      <alignment horizontal="left" vertical="center"/>
    </xf>
    <xf numFmtId="0" fontId="98" fillId="0" borderId="0" xfId="10">
      <alignment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176" fontId="49" fillId="20" borderId="1" xfId="0" applyNumberFormat="1" applyFont="1" applyFill="1" applyBorder="1" applyAlignment="1" applyProtection="1">
      <alignment horizontal="center" vertical="center" wrapText="1"/>
      <protection locked="0"/>
    </xf>
    <xf numFmtId="0" fontId="55" fillId="20" borderId="0" xfId="17" applyFill="1" applyAlignment="1">
      <alignment horizontal="left" vertical="center"/>
    </xf>
    <xf numFmtId="177" fontId="46" fillId="20" borderId="1" xfId="1" applyNumberFormat="1" applyFont="1" applyFill="1" applyBorder="1" applyAlignment="1" applyProtection="1">
      <alignment horizontal="center" vertical="center"/>
      <protection locked="0"/>
    </xf>
    <xf numFmtId="0" fontId="19" fillId="20" borderId="1" xfId="0" applyFont="1" applyFill="1" applyBorder="1" applyAlignment="1">
      <alignment horizontal="center" vertical="center"/>
    </xf>
    <xf numFmtId="9" fontId="173" fillId="20" borderId="1" xfId="0" applyNumberFormat="1" applyFont="1" applyFill="1" applyBorder="1" applyAlignment="1">
      <alignment horizontal="center" vertical="center"/>
    </xf>
    <xf numFmtId="9" fontId="19" fillId="20" borderId="1" xfId="0" applyNumberFormat="1" applyFont="1" applyFill="1" applyBorder="1" applyAlignment="1"/>
    <xf numFmtId="0" fontId="19" fillId="0" borderId="1" xfId="0" applyFont="1" applyFill="1" applyBorder="1" applyAlignment="1">
      <alignment horizontal="center" vertical="center"/>
    </xf>
    <xf numFmtId="0" fontId="258" fillId="0" borderId="65" xfId="0" applyFont="1" applyBorder="1" applyAlignment="1">
      <alignment horizontal="center" vertical="center"/>
    </xf>
    <xf numFmtId="0" fontId="259" fillId="0" borderId="43" xfId="0" applyFont="1" applyBorder="1" applyAlignment="1">
      <alignment horizontal="center" vertical="center"/>
    </xf>
    <xf numFmtId="3" fontId="258" fillId="0" borderId="43" xfId="0" applyNumberFormat="1" applyFont="1" applyBorder="1" applyAlignment="1">
      <alignment horizontal="center" vertical="center"/>
    </xf>
    <xf numFmtId="4" fontId="0" fillId="0" borderId="0" xfId="0" applyNumberFormat="1">
      <alignment vertical="center"/>
    </xf>
    <xf numFmtId="4" fontId="258" fillId="0" borderId="43" xfId="0" applyNumberFormat="1" applyFont="1" applyBorder="1" applyAlignment="1">
      <alignment horizontal="center" vertical="center"/>
    </xf>
    <xf numFmtId="9" fontId="0" fillId="0" borderId="0" xfId="0" applyNumberFormat="1">
      <alignment vertical="center"/>
    </xf>
    <xf numFmtId="9" fontId="258" fillId="0" borderId="43" xfId="0" applyNumberFormat="1" applyFont="1" applyBorder="1" applyAlignment="1">
      <alignment horizontal="center" vertical="center"/>
    </xf>
    <xf numFmtId="0" fontId="258" fillId="0" borderId="43" xfId="0" applyFont="1" applyBorder="1" applyAlignment="1">
      <alignment horizontal="center" vertical="center"/>
    </xf>
    <xf numFmtId="0" fontId="258" fillId="0" borderId="43" xfId="0" applyFont="1" applyBorder="1" applyAlignment="1">
      <alignment horizontal="left" vertical="center"/>
    </xf>
    <xf numFmtId="0" fontId="258" fillId="0" borderId="65" xfId="0" applyFont="1" applyBorder="1" applyAlignment="1">
      <alignment horizontal="left" vertical="center"/>
    </xf>
    <xf numFmtId="0" fontId="98" fillId="0" borderId="0" xfId="0" applyFont="1">
      <alignment vertical="center"/>
    </xf>
    <xf numFmtId="0" fontId="83" fillId="19" borderId="49" xfId="0" applyFont="1" applyFill="1" applyBorder="1" applyAlignment="1">
      <alignment horizontal="center" vertical="center"/>
    </xf>
    <xf numFmtId="9" fontId="19" fillId="19" borderId="1" xfId="0" applyNumberFormat="1" applyFont="1" applyFill="1" applyBorder="1" applyAlignment="1"/>
    <xf numFmtId="0" fontId="49" fillId="19" borderId="78" xfId="0" applyFont="1" applyFill="1" applyBorder="1" applyAlignment="1" applyProtection="1">
      <alignment horizontal="center" vertical="center"/>
    </xf>
    <xf numFmtId="0" fontId="0" fillId="0" borderId="0" xfId="0" applyAlignment="1">
      <alignment horizontal="left" vertical="center"/>
    </xf>
    <xf numFmtId="9" fontId="49" fillId="19" borderId="5" xfId="0" applyNumberFormat="1" applyFont="1" applyFill="1" applyBorder="1" applyAlignment="1" applyProtection="1">
      <alignment horizontal="center" vertical="center"/>
      <protection locked="0"/>
    </xf>
    <xf numFmtId="4" fontId="19" fillId="0" borderId="24" xfId="0" applyNumberFormat="1" applyFont="1" applyFill="1" applyBorder="1" applyAlignment="1">
      <alignment horizontal="center" vertical="center"/>
    </xf>
    <xf numFmtId="4" fontId="83" fillId="0" borderId="24" xfId="0" applyNumberFormat="1" applyFont="1" applyFill="1" applyBorder="1" applyAlignment="1">
      <alignment horizontal="center" vertical="center"/>
    </xf>
    <xf numFmtId="181" fontId="49" fillId="19" borderId="24" xfId="0" applyNumberFormat="1" applyFont="1" applyFill="1" applyBorder="1" applyAlignment="1" applyProtection="1">
      <alignment horizontal="center" vertical="center"/>
      <protection locked="0"/>
    </xf>
    <xf numFmtId="10" fontId="49" fillId="19" borderId="61" xfId="0" applyNumberFormat="1" applyFont="1" applyFill="1" applyBorder="1" applyAlignment="1" applyProtection="1">
      <alignment horizontal="center" vertical="center"/>
    </xf>
    <xf numFmtId="181" fontId="103" fillId="6" borderId="0" xfId="0" applyNumberFormat="1" applyFont="1" applyFill="1" applyAlignment="1" applyProtection="1">
      <alignment horizontal="left"/>
      <protection locked="0"/>
    </xf>
    <xf numFmtId="181" fontId="54" fillId="6" borderId="0" xfId="0" applyNumberFormat="1" applyFont="1" applyFill="1" applyAlignment="1" applyProtection="1">
      <alignment horizontal="left"/>
      <protection locked="0"/>
    </xf>
    <xf numFmtId="181" fontId="49" fillId="6" borderId="0" xfId="0" applyNumberFormat="1" applyFont="1" applyFill="1" applyAlignment="1" applyProtection="1">
      <alignment horizontal="left" vertical="center"/>
      <protection locked="0"/>
    </xf>
    <xf numFmtId="181" fontId="103" fillId="19" borderId="1" xfId="0" applyNumberFormat="1" applyFont="1" applyFill="1" applyBorder="1" applyAlignment="1" applyProtection="1">
      <alignment horizontal="center" vertical="center"/>
      <protection locked="0"/>
    </xf>
    <xf numFmtId="0" fontId="258" fillId="0" borderId="65" xfId="0" applyFont="1" applyBorder="1" applyAlignment="1">
      <alignment horizontal="center" vertical="center"/>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61"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7"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62" fillId="0" borderId="5" xfId="4" applyFont="1" applyFill="1" applyBorder="1" applyAlignment="1">
      <alignment horizontal="left" vertical="center"/>
    </xf>
    <xf numFmtId="0" fontId="262" fillId="0" borderId="157" xfId="4" applyFont="1" applyFill="1" applyBorder="1" applyAlignment="1">
      <alignment horizontal="left" vertical="center"/>
    </xf>
    <xf numFmtId="0" fontId="262"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7"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7"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7"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7"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7"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8"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61" fillId="0" borderId="0" xfId="4" applyFont="1" applyAlignment="1">
      <alignment horizontal="left" vertical="center"/>
    </xf>
    <xf numFmtId="0" fontId="83" fillId="6" borderId="74" xfId="4" applyFont="1" applyFill="1" applyBorder="1" applyAlignment="1">
      <alignment vertical="center"/>
    </xf>
    <xf numFmtId="0" fontId="102" fillId="19" borderId="1" xfId="0" applyFont="1" applyFill="1" applyBorder="1" applyAlignment="1">
      <alignment horizontal="right" vertical="center"/>
    </xf>
    <xf numFmtId="0" fontId="19" fillId="0" borderId="5" xfId="4" applyFont="1" applyFill="1" applyBorder="1" applyAlignment="1">
      <alignment vertical="center"/>
    </xf>
    <xf numFmtId="4" fontId="56" fillId="0" borderId="34" xfId="4" applyNumberFormat="1" applyFont="1" applyFill="1" applyBorder="1" applyAlignment="1">
      <alignment horizontal="left" vertical="center"/>
    </xf>
    <xf numFmtId="0" fontId="55" fillId="19" borderId="24" xfId="1" applyNumberFormat="1" applyFont="1" applyFill="1" applyBorder="1" applyAlignment="1" applyProtection="1">
      <alignment horizontal="center" vertical="center"/>
      <protection locked="0"/>
    </xf>
    <xf numFmtId="181" fontId="49" fillId="19" borderId="10" xfId="0" applyNumberFormat="1" applyFont="1" applyFill="1" applyBorder="1" applyAlignment="1" applyProtection="1">
      <alignment horizontal="center" vertical="center"/>
      <protection locked="0"/>
    </xf>
    <xf numFmtId="197" fontId="0" fillId="0" borderId="0" xfId="0" applyNumberForma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257"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257"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20" borderId="23" xfId="0" applyFont="1" applyFill="1" applyBorder="1" applyAlignment="1" applyProtection="1">
      <alignment horizontal="center" vertical="center" wrapText="1"/>
      <protection locked="0"/>
    </xf>
    <xf numFmtId="0" fontId="174" fillId="20" borderId="24" xfId="0" applyFont="1" applyFill="1" applyBorder="1" applyAlignment="1" applyProtection="1">
      <alignment horizontal="center" vertical="center" wrapText="1"/>
      <protection locked="0"/>
    </xf>
    <xf numFmtId="0" fontId="174" fillId="20" borderId="22" xfId="0" applyFont="1" applyFill="1" applyBorder="1" applyAlignment="1" applyProtection="1">
      <alignment horizontal="center" vertical="center" wrapText="1"/>
      <protection locked="0"/>
    </xf>
    <xf numFmtId="0" fontId="174" fillId="2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258" fillId="0" borderId="63" xfId="0" applyFont="1" applyBorder="1" applyAlignment="1">
      <alignment horizontal="center" vertical="center" wrapText="1"/>
    </xf>
    <xf numFmtId="0" fontId="258" fillId="0" borderId="65" xfId="0" applyFont="1" applyBorder="1" applyAlignment="1">
      <alignment horizontal="center" vertical="center" wrapText="1"/>
    </xf>
    <xf numFmtId="0" fontId="258" fillId="0" borderId="63" xfId="0" applyFont="1" applyBorder="1" applyAlignment="1">
      <alignment horizontal="center" vertical="center"/>
    </xf>
    <xf numFmtId="0" fontId="258" fillId="0" borderId="65" xfId="0" applyFont="1" applyBorder="1" applyAlignment="1">
      <alignment horizontal="center" vertical="center"/>
    </xf>
    <xf numFmtId="0" fontId="259" fillId="0" borderId="27" xfId="0" applyFont="1" applyBorder="1" applyAlignment="1">
      <alignment horizontal="center" vertical="center"/>
    </xf>
    <xf numFmtId="0" fontId="259" fillId="0" borderId="80" xfId="0" applyFont="1" applyBorder="1" applyAlignment="1">
      <alignment horizontal="center" vertical="center"/>
    </xf>
    <xf numFmtId="0" fontId="259" fillId="0" borderId="81" xfId="0" applyFont="1" applyBorder="1" applyAlignment="1">
      <alignment horizontal="center" vertical="center"/>
    </xf>
    <xf numFmtId="0" fontId="259" fillId="0" borderId="63" xfId="0" applyFont="1" applyBorder="1" applyAlignment="1">
      <alignment horizontal="left" vertical="center"/>
    </xf>
    <xf numFmtId="0" fontId="259" fillId="0" borderId="64" xfId="0" applyFont="1" applyBorder="1" applyAlignment="1">
      <alignment horizontal="left" vertical="center"/>
    </xf>
    <xf numFmtId="0" fontId="259" fillId="0" borderId="65" xfId="0" applyFont="1" applyBorder="1" applyAlignment="1">
      <alignment horizontal="left" vertical="center"/>
    </xf>
    <xf numFmtId="0" fontId="258" fillId="0" borderId="27" xfId="0" applyFont="1" applyBorder="1" applyAlignment="1">
      <alignment horizontal="center" vertical="center" wrapText="1"/>
    </xf>
    <xf numFmtId="0" fontId="258" fillId="0" borderId="80" xfId="0" applyFont="1" applyBorder="1" applyAlignment="1">
      <alignment horizontal="center" vertical="center" wrapText="1"/>
    </xf>
    <xf numFmtId="0" fontId="258" fillId="0" borderId="81" xfId="0" applyFont="1" applyBorder="1" applyAlignment="1">
      <alignment horizontal="center" vertical="center" wrapText="1"/>
    </xf>
    <xf numFmtId="0" fontId="258" fillId="0" borderId="63" xfId="0" applyFont="1" applyBorder="1" applyAlignment="1">
      <alignment horizontal="left" vertical="center" wrapText="1"/>
    </xf>
    <xf numFmtId="0" fontId="258" fillId="0" borderId="65" xfId="0" applyFont="1" applyBorder="1" applyAlignment="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14</xdr:col>
      <xdr:colOff>132264</xdr:colOff>
      <xdr:row>80</xdr:row>
      <xdr:rowOff>113679</xdr:rowOff>
    </xdr:to>
    <xdr:pic>
      <xdr:nvPicPr>
        <xdr:cNvPr id="3" name="图片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1304925"/>
          <a:ext cx="8695239" cy="4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57150</xdr:rowOff>
    </xdr:from>
    <xdr:to>
      <xdr:col>16</xdr:col>
      <xdr:colOff>112901</xdr:colOff>
      <xdr:row>53</xdr:row>
      <xdr:rowOff>66053</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4171950"/>
          <a:ext cx="11200001" cy="4980953"/>
        </a:xfrm>
        <a:prstGeom prst="rect">
          <a:avLst/>
        </a:prstGeom>
      </xdr:spPr>
    </xdr:pic>
    <xdr:clientData/>
  </xdr:twoCellAnchor>
  <xdr:twoCellAnchor editAs="oneCell">
    <xdr:from>
      <xdr:col>0</xdr:col>
      <xdr:colOff>0</xdr:colOff>
      <xdr:row>52</xdr:row>
      <xdr:rowOff>123825</xdr:rowOff>
    </xdr:from>
    <xdr:to>
      <xdr:col>15</xdr:col>
      <xdr:colOff>655844</xdr:colOff>
      <xdr:row>74</xdr:row>
      <xdr:rowOff>75735</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9039225"/>
          <a:ext cx="11057144" cy="3723810"/>
        </a:xfrm>
        <a:prstGeom prst="rect">
          <a:avLst/>
        </a:prstGeom>
      </xdr:spPr>
    </xdr:pic>
    <xdr:clientData/>
  </xdr:twoCellAnchor>
  <xdr:twoCellAnchor editAs="oneCell">
    <xdr:from>
      <xdr:col>0</xdr:col>
      <xdr:colOff>0</xdr:colOff>
      <xdr:row>74</xdr:row>
      <xdr:rowOff>28575</xdr:rowOff>
    </xdr:from>
    <xdr:to>
      <xdr:col>16</xdr:col>
      <xdr:colOff>27186</xdr:colOff>
      <xdr:row>95</xdr:row>
      <xdr:rowOff>85268</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12715875"/>
          <a:ext cx="11114286" cy="3657143"/>
        </a:xfrm>
        <a:prstGeom prst="rect">
          <a:avLst/>
        </a:prstGeom>
      </xdr:spPr>
    </xdr:pic>
    <xdr:clientData/>
  </xdr:twoCellAnchor>
  <xdr:twoCellAnchor editAs="oneCell">
    <xdr:from>
      <xdr:col>0</xdr:col>
      <xdr:colOff>0</xdr:colOff>
      <xdr:row>95</xdr:row>
      <xdr:rowOff>47625</xdr:rowOff>
    </xdr:from>
    <xdr:to>
      <xdr:col>15</xdr:col>
      <xdr:colOff>579653</xdr:colOff>
      <xdr:row>115</xdr:row>
      <xdr:rowOff>47197</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6335375"/>
          <a:ext cx="10980953" cy="3428572"/>
        </a:xfrm>
        <a:prstGeom prst="rect">
          <a:avLst/>
        </a:prstGeom>
      </xdr:spPr>
    </xdr:pic>
    <xdr:clientData/>
  </xdr:twoCellAnchor>
  <xdr:twoCellAnchor editAs="oneCell">
    <xdr:from>
      <xdr:col>0</xdr:col>
      <xdr:colOff>0</xdr:colOff>
      <xdr:row>115</xdr:row>
      <xdr:rowOff>47625</xdr:rowOff>
    </xdr:from>
    <xdr:to>
      <xdr:col>15</xdr:col>
      <xdr:colOff>665367</xdr:colOff>
      <xdr:row>135</xdr:row>
      <xdr:rowOff>28149</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19764375"/>
          <a:ext cx="11066667" cy="3409524"/>
        </a:xfrm>
        <a:prstGeom prst="rect">
          <a:avLst/>
        </a:prstGeom>
      </xdr:spPr>
    </xdr:pic>
    <xdr:clientData/>
  </xdr:twoCellAnchor>
  <xdr:twoCellAnchor editAs="oneCell">
    <xdr:from>
      <xdr:col>0</xdr:col>
      <xdr:colOff>0</xdr:colOff>
      <xdr:row>135</xdr:row>
      <xdr:rowOff>57150</xdr:rowOff>
    </xdr:from>
    <xdr:to>
      <xdr:col>15</xdr:col>
      <xdr:colOff>684415</xdr:colOff>
      <xdr:row>158</xdr:row>
      <xdr:rowOff>37610</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0" y="23202900"/>
          <a:ext cx="11085715" cy="3923810"/>
        </a:xfrm>
        <a:prstGeom prst="rect">
          <a:avLst/>
        </a:prstGeom>
      </xdr:spPr>
    </xdr:pic>
    <xdr:clientData/>
  </xdr:twoCellAnchor>
  <xdr:twoCellAnchor editAs="oneCell">
    <xdr:from>
      <xdr:col>0</xdr:col>
      <xdr:colOff>0</xdr:colOff>
      <xdr:row>0</xdr:row>
      <xdr:rowOff>0</xdr:rowOff>
    </xdr:from>
    <xdr:to>
      <xdr:col>16</xdr:col>
      <xdr:colOff>198615</xdr:colOff>
      <xdr:row>22</xdr:row>
      <xdr:rowOff>104291</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0" y="0"/>
          <a:ext cx="11285715" cy="3876191"/>
        </a:xfrm>
        <a:prstGeom prst="rect">
          <a:avLst/>
        </a:prstGeom>
      </xdr:spPr>
    </xdr:pic>
    <xdr:clientData/>
  </xdr:twoCellAnchor>
  <xdr:twoCellAnchor editAs="oneCell">
    <xdr:from>
      <xdr:col>0</xdr:col>
      <xdr:colOff>0</xdr:colOff>
      <xdr:row>160</xdr:row>
      <xdr:rowOff>0</xdr:rowOff>
    </xdr:from>
    <xdr:to>
      <xdr:col>15</xdr:col>
      <xdr:colOff>608225</xdr:colOff>
      <xdr:row>183</xdr:row>
      <xdr:rowOff>113793</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0" y="27432000"/>
          <a:ext cx="11009525" cy="4057143"/>
        </a:xfrm>
        <a:prstGeom prst="rect">
          <a:avLst/>
        </a:prstGeom>
      </xdr:spPr>
    </xdr:pic>
    <xdr:clientData/>
  </xdr:twoCellAnchor>
  <xdr:twoCellAnchor editAs="oneCell">
    <xdr:from>
      <xdr:col>0</xdr:col>
      <xdr:colOff>0</xdr:colOff>
      <xdr:row>184</xdr:row>
      <xdr:rowOff>0</xdr:rowOff>
    </xdr:from>
    <xdr:to>
      <xdr:col>16</xdr:col>
      <xdr:colOff>46234</xdr:colOff>
      <xdr:row>212</xdr:row>
      <xdr:rowOff>37496</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0" y="31546800"/>
          <a:ext cx="11133334" cy="4838096"/>
        </a:xfrm>
        <a:prstGeom prst="rect">
          <a:avLst/>
        </a:prstGeom>
      </xdr:spPr>
    </xdr:pic>
    <xdr:clientData/>
  </xdr:twoCellAnchor>
  <xdr:twoCellAnchor editAs="oneCell">
    <xdr:from>
      <xdr:col>0</xdr:col>
      <xdr:colOff>0</xdr:colOff>
      <xdr:row>212</xdr:row>
      <xdr:rowOff>0</xdr:rowOff>
    </xdr:from>
    <xdr:to>
      <xdr:col>16</xdr:col>
      <xdr:colOff>65282</xdr:colOff>
      <xdr:row>238</xdr:row>
      <xdr:rowOff>56586</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0" y="36347400"/>
          <a:ext cx="11152382" cy="4514286"/>
        </a:xfrm>
        <a:prstGeom prst="rect">
          <a:avLst/>
        </a:prstGeom>
      </xdr:spPr>
    </xdr:pic>
    <xdr:clientData/>
  </xdr:twoCellAnchor>
  <xdr:twoCellAnchor editAs="oneCell">
    <xdr:from>
      <xdr:col>0</xdr:col>
      <xdr:colOff>0</xdr:colOff>
      <xdr:row>240</xdr:row>
      <xdr:rowOff>0</xdr:rowOff>
    </xdr:from>
    <xdr:to>
      <xdr:col>15</xdr:col>
      <xdr:colOff>627272</xdr:colOff>
      <xdr:row>263</xdr:row>
      <xdr:rowOff>9031</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11"/>
        <a:stretch>
          <a:fillRect/>
        </a:stretch>
      </xdr:blipFill>
      <xdr:spPr>
        <a:xfrm>
          <a:off x="0" y="41148000"/>
          <a:ext cx="11028572" cy="3952381"/>
        </a:xfrm>
        <a:prstGeom prst="rect">
          <a:avLst/>
        </a:prstGeom>
      </xdr:spPr>
    </xdr:pic>
    <xdr:clientData/>
  </xdr:twoCellAnchor>
  <xdr:twoCellAnchor editAs="oneCell">
    <xdr:from>
      <xdr:col>0</xdr:col>
      <xdr:colOff>0</xdr:colOff>
      <xdr:row>263</xdr:row>
      <xdr:rowOff>0</xdr:rowOff>
    </xdr:from>
    <xdr:to>
      <xdr:col>15</xdr:col>
      <xdr:colOff>684415</xdr:colOff>
      <xdr:row>290</xdr:row>
      <xdr:rowOff>94660</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12"/>
        <a:stretch>
          <a:fillRect/>
        </a:stretch>
      </xdr:blipFill>
      <xdr:spPr>
        <a:xfrm>
          <a:off x="0" y="45091350"/>
          <a:ext cx="11085715" cy="4723810"/>
        </a:xfrm>
        <a:prstGeom prst="rect">
          <a:avLst/>
        </a:prstGeom>
      </xdr:spPr>
    </xdr:pic>
    <xdr:clientData/>
  </xdr:twoCellAnchor>
  <xdr:twoCellAnchor editAs="oneCell">
    <xdr:from>
      <xdr:col>0</xdr:col>
      <xdr:colOff>0</xdr:colOff>
      <xdr:row>291</xdr:row>
      <xdr:rowOff>0</xdr:rowOff>
    </xdr:from>
    <xdr:to>
      <xdr:col>16</xdr:col>
      <xdr:colOff>17663</xdr:colOff>
      <xdr:row>319</xdr:row>
      <xdr:rowOff>151781</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13"/>
        <a:stretch>
          <a:fillRect/>
        </a:stretch>
      </xdr:blipFill>
      <xdr:spPr>
        <a:xfrm>
          <a:off x="0" y="49891950"/>
          <a:ext cx="11104763" cy="4952381"/>
        </a:xfrm>
        <a:prstGeom prst="rect">
          <a:avLst/>
        </a:prstGeom>
      </xdr:spPr>
    </xdr:pic>
    <xdr:clientData/>
  </xdr:twoCellAnchor>
  <xdr:twoCellAnchor editAs="oneCell">
    <xdr:from>
      <xdr:col>0</xdr:col>
      <xdr:colOff>0</xdr:colOff>
      <xdr:row>320</xdr:row>
      <xdr:rowOff>0</xdr:rowOff>
    </xdr:from>
    <xdr:to>
      <xdr:col>15</xdr:col>
      <xdr:colOff>608225</xdr:colOff>
      <xdr:row>330</xdr:row>
      <xdr:rowOff>142643</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14"/>
        <a:stretch>
          <a:fillRect/>
        </a:stretch>
      </xdr:blipFill>
      <xdr:spPr>
        <a:xfrm>
          <a:off x="0" y="54864000"/>
          <a:ext cx="11009525" cy="1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27</xdr:row>
      <xdr:rowOff>85136</xdr:rowOff>
    </xdr:to>
    <xdr:pic>
      <xdr:nvPicPr>
        <xdr:cNvPr id="2" name="图片 1">
          <a:extLst>
            <a:ext uri="{FF2B5EF4-FFF2-40B4-BE49-F238E27FC236}">
              <a16:creationId xmlns="" xmlns:a16="http://schemas.microsoft.com/office/drawing/2014/main" id="{E3110450-0D6E-4F96-AAAE-1B5992D255C2}"/>
            </a:ext>
          </a:extLst>
        </xdr:cNvPr>
        <xdr:cNvPicPr>
          <a:picLocks noChangeAspect="1"/>
        </xdr:cNvPicPr>
      </xdr:nvPicPr>
      <xdr:blipFill>
        <a:blip xmlns:r="http://schemas.openxmlformats.org/officeDocument/2006/relationships" r:embed="rId1"/>
        <a:stretch>
          <a:fillRect/>
        </a:stretch>
      </xdr:blipFill>
      <xdr:spPr>
        <a:xfrm>
          <a:off x="0" y="0"/>
          <a:ext cx="11380953" cy="4714286"/>
        </a:xfrm>
        <a:prstGeom prst="rect">
          <a:avLst/>
        </a:prstGeom>
      </xdr:spPr>
    </xdr:pic>
    <xdr:clientData/>
  </xdr:twoCellAnchor>
  <xdr:twoCellAnchor editAs="oneCell">
    <xdr:from>
      <xdr:col>0</xdr:col>
      <xdr:colOff>0</xdr:colOff>
      <xdr:row>28</xdr:row>
      <xdr:rowOff>0</xdr:rowOff>
    </xdr:from>
    <xdr:to>
      <xdr:col>10</xdr:col>
      <xdr:colOff>313428</xdr:colOff>
      <xdr:row>56</xdr:row>
      <xdr:rowOff>85114</xdr:rowOff>
    </xdr:to>
    <xdr:pic>
      <xdr:nvPicPr>
        <xdr:cNvPr id="3" name="图片 2">
          <a:extLst>
            <a:ext uri="{FF2B5EF4-FFF2-40B4-BE49-F238E27FC236}">
              <a16:creationId xmlns="" xmlns:a16="http://schemas.microsoft.com/office/drawing/2014/main" id="{3C145C7E-70D7-4B99-8D52-E4B7DBAD14A9}"/>
            </a:ext>
          </a:extLst>
        </xdr:cNvPr>
        <xdr:cNvPicPr>
          <a:picLocks noChangeAspect="1"/>
        </xdr:cNvPicPr>
      </xdr:nvPicPr>
      <xdr:blipFill>
        <a:blip xmlns:r="http://schemas.openxmlformats.org/officeDocument/2006/relationships" r:embed="rId2"/>
        <a:stretch>
          <a:fillRect/>
        </a:stretch>
      </xdr:blipFill>
      <xdr:spPr>
        <a:xfrm>
          <a:off x="0" y="4800600"/>
          <a:ext cx="7171428" cy="4885714"/>
        </a:xfrm>
        <a:prstGeom prst="rect">
          <a:avLst/>
        </a:prstGeom>
      </xdr:spPr>
    </xdr:pic>
    <xdr:clientData/>
  </xdr:twoCellAnchor>
  <xdr:twoCellAnchor editAs="oneCell">
    <xdr:from>
      <xdr:col>0</xdr:col>
      <xdr:colOff>0</xdr:colOff>
      <xdr:row>57</xdr:row>
      <xdr:rowOff>0</xdr:rowOff>
    </xdr:from>
    <xdr:to>
      <xdr:col>10</xdr:col>
      <xdr:colOff>408667</xdr:colOff>
      <xdr:row>85</xdr:row>
      <xdr:rowOff>132733</xdr:rowOff>
    </xdr:to>
    <xdr:pic>
      <xdr:nvPicPr>
        <xdr:cNvPr id="4" name="图片 3">
          <a:extLst>
            <a:ext uri="{FF2B5EF4-FFF2-40B4-BE49-F238E27FC236}">
              <a16:creationId xmlns="" xmlns:a16="http://schemas.microsoft.com/office/drawing/2014/main" id="{071AFBF5-AA37-4351-8CE5-622391C42B22}"/>
            </a:ext>
          </a:extLst>
        </xdr:cNvPr>
        <xdr:cNvPicPr>
          <a:picLocks noChangeAspect="1"/>
        </xdr:cNvPicPr>
      </xdr:nvPicPr>
      <xdr:blipFill>
        <a:blip xmlns:r="http://schemas.openxmlformats.org/officeDocument/2006/relationships" r:embed="rId3"/>
        <a:stretch>
          <a:fillRect/>
        </a:stretch>
      </xdr:blipFill>
      <xdr:spPr>
        <a:xfrm>
          <a:off x="0" y="9772650"/>
          <a:ext cx="7266667" cy="4933333"/>
        </a:xfrm>
        <a:prstGeom prst="rect">
          <a:avLst/>
        </a:prstGeom>
      </xdr:spPr>
    </xdr:pic>
    <xdr:clientData/>
  </xdr:twoCellAnchor>
  <xdr:twoCellAnchor editAs="oneCell">
    <xdr:from>
      <xdr:col>0</xdr:col>
      <xdr:colOff>0</xdr:colOff>
      <xdr:row>86</xdr:row>
      <xdr:rowOff>0</xdr:rowOff>
    </xdr:from>
    <xdr:to>
      <xdr:col>10</xdr:col>
      <xdr:colOff>332476</xdr:colOff>
      <xdr:row>114</xdr:row>
      <xdr:rowOff>18448</xdr:rowOff>
    </xdr:to>
    <xdr:pic>
      <xdr:nvPicPr>
        <xdr:cNvPr id="5" name="图片 4">
          <a:extLst>
            <a:ext uri="{FF2B5EF4-FFF2-40B4-BE49-F238E27FC236}">
              <a16:creationId xmlns="" xmlns:a16="http://schemas.microsoft.com/office/drawing/2014/main" id="{0D39DC93-9915-421F-BE80-887326848EBF}"/>
            </a:ext>
          </a:extLst>
        </xdr:cNvPr>
        <xdr:cNvPicPr>
          <a:picLocks noChangeAspect="1"/>
        </xdr:cNvPicPr>
      </xdr:nvPicPr>
      <xdr:blipFill>
        <a:blip xmlns:r="http://schemas.openxmlformats.org/officeDocument/2006/relationships" r:embed="rId4"/>
        <a:stretch>
          <a:fillRect/>
        </a:stretch>
      </xdr:blipFill>
      <xdr:spPr>
        <a:xfrm>
          <a:off x="0" y="14744700"/>
          <a:ext cx="7190476" cy="4819048"/>
        </a:xfrm>
        <a:prstGeom prst="rect">
          <a:avLst/>
        </a:prstGeom>
      </xdr:spPr>
    </xdr:pic>
    <xdr:clientData/>
  </xdr:twoCellAnchor>
  <xdr:twoCellAnchor editAs="oneCell">
    <xdr:from>
      <xdr:col>0</xdr:col>
      <xdr:colOff>0</xdr:colOff>
      <xdr:row>114</xdr:row>
      <xdr:rowOff>0</xdr:rowOff>
    </xdr:from>
    <xdr:to>
      <xdr:col>10</xdr:col>
      <xdr:colOff>332476</xdr:colOff>
      <xdr:row>142</xdr:row>
      <xdr:rowOff>113686</xdr:rowOff>
    </xdr:to>
    <xdr:pic>
      <xdr:nvPicPr>
        <xdr:cNvPr id="6" name="图片 5">
          <a:extLst>
            <a:ext uri="{FF2B5EF4-FFF2-40B4-BE49-F238E27FC236}">
              <a16:creationId xmlns="" xmlns:a16="http://schemas.microsoft.com/office/drawing/2014/main" id="{60A513FC-C42B-4F59-AAA7-DF176F1936D8}"/>
            </a:ext>
          </a:extLst>
        </xdr:cNvPr>
        <xdr:cNvPicPr>
          <a:picLocks noChangeAspect="1"/>
        </xdr:cNvPicPr>
      </xdr:nvPicPr>
      <xdr:blipFill>
        <a:blip xmlns:r="http://schemas.openxmlformats.org/officeDocument/2006/relationships" r:embed="rId5"/>
        <a:stretch>
          <a:fillRect/>
        </a:stretch>
      </xdr:blipFill>
      <xdr:spPr>
        <a:xfrm>
          <a:off x="0" y="19545300"/>
          <a:ext cx="7190476" cy="4914286"/>
        </a:xfrm>
        <a:prstGeom prst="rect">
          <a:avLst/>
        </a:prstGeom>
      </xdr:spPr>
    </xdr:pic>
    <xdr:clientData/>
  </xdr:twoCellAnchor>
  <xdr:twoCellAnchor editAs="oneCell">
    <xdr:from>
      <xdr:col>0</xdr:col>
      <xdr:colOff>0</xdr:colOff>
      <xdr:row>143</xdr:row>
      <xdr:rowOff>0</xdr:rowOff>
    </xdr:from>
    <xdr:to>
      <xdr:col>10</xdr:col>
      <xdr:colOff>380095</xdr:colOff>
      <xdr:row>177</xdr:row>
      <xdr:rowOff>113557</xdr:rowOff>
    </xdr:to>
    <xdr:pic>
      <xdr:nvPicPr>
        <xdr:cNvPr id="7" name="图片 6">
          <a:extLst>
            <a:ext uri="{FF2B5EF4-FFF2-40B4-BE49-F238E27FC236}">
              <a16:creationId xmlns="" xmlns:a16="http://schemas.microsoft.com/office/drawing/2014/main" id="{7169B7D4-DFD7-42B3-BDE9-5A5BF3DA6F3E}"/>
            </a:ext>
          </a:extLst>
        </xdr:cNvPr>
        <xdr:cNvPicPr>
          <a:picLocks noChangeAspect="1"/>
        </xdr:cNvPicPr>
      </xdr:nvPicPr>
      <xdr:blipFill>
        <a:blip xmlns:r="http://schemas.openxmlformats.org/officeDocument/2006/relationships" r:embed="rId6"/>
        <a:stretch>
          <a:fillRect/>
        </a:stretch>
      </xdr:blipFill>
      <xdr:spPr>
        <a:xfrm>
          <a:off x="0" y="24517350"/>
          <a:ext cx="7238095" cy="5942857"/>
        </a:xfrm>
        <a:prstGeom prst="rect">
          <a:avLst/>
        </a:prstGeom>
      </xdr:spPr>
    </xdr:pic>
    <xdr:clientData/>
  </xdr:twoCellAnchor>
  <xdr:twoCellAnchor editAs="oneCell">
    <xdr:from>
      <xdr:col>0</xdr:col>
      <xdr:colOff>0</xdr:colOff>
      <xdr:row>178</xdr:row>
      <xdr:rowOff>0</xdr:rowOff>
    </xdr:from>
    <xdr:to>
      <xdr:col>10</xdr:col>
      <xdr:colOff>465809</xdr:colOff>
      <xdr:row>206</xdr:row>
      <xdr:rowOff>123209</xdr:rowOff>
    </xdr:to>
    <xdr:pic>
      <xdr:nvPicPr>
        <xdr:cNvPr id="8" name="图片 7">
          <a:extLst>
            <a:ext uri="{FF2B5EF4-FFF2-40B4-BE49-F238E27FC236}">
              <a16:creationId xmlns="" xmlns:a16="http://schemas.microsoft.com/office/drawing/2014/main" id="{AF0BF09F-1C3C-49F1-B75B-8BD6D91F9FED}"/>
            </a:ext>
          </a:extLst>
        </xdr:cNvPr>
        <xdr:cNvPicPr>
          <a:picLocks noChangeAspect="1"/>
        </xdr:cNvPicPr>
      </xdr:nvPicPr>
      <xdr:blipFill>
        <a:blip xmlns:r="http://schemas.openxmlformats.org/officeDocument/2006/relationships" r:embed="rId7"/>
        <a:stretch>
          <a:fillRect/>
        </a:stretch>
      </xdr:blipFill>
      <xdr:spPr>
        <a:xfrm>
          <a:off x="0" y="30518100"/>
          <a:ext cx="7323809" cy="4923809"/>
        </a:xfrm>
        <a:prstGeom prst="rect">
          <a:avLst/>
        </a:prstGeom>
      </xdr:spPr>
    </xdr:pic>
    <xdr:clientData/>
  </xdr:twoCellAnchor>
  <xdr:twoCellAnchor editAs="oneCell">
    <xdr:from>
      <xdr:col>0</xdr:col>
      <xdr:colOff>0</xdr:colOff>
      <xdr:row>207</xdr:row>
      <xdr:rowOff>0</xdr:rowOff>
    </xdr:from>
    <xdr:to>
      <xdr:col>10</xdr:col>
      <xdr:colOff>322952</xdr:colOff>
      <xdr:row>234</xdr:row>
      <xdr:rowOff>113707</xdr:rowOff>
    </xdr:to>
    <xdr:pic>
      <xdr:nvPicPr>
        <xdr:cNvPr id="9" name="图片 8">
          <a:extLst>
            <a:ext uri="{FF2B5EF4-FFF2-40B4-BE49-F238E27FC236}">
              <a16:creationId xmlns="" xmlns:a16="http://schemas.microsoft.com/office/drawing/2014/main" id="{8B68AB2D-2C3E-44B4-9960-7A64431A3D1C}"/>
            </a:ext>
          </a:extLst>
        </xdr:cNvPr>
        <xdr:cNvPicPr>
          <a:picLocks noChangeAspect="1"/>
        </xdr:cNvPicPr>
      </xdr:nvPicPr>
      <xdr:blipFill>
        <a:blip xmlns:r="http://schemas.openxmlformats.org/officeDocument/2006/relationships" r:embed="rId8"/>
        <a:stretch>
          <a:fillRect/>
        </a:stretch>
      </xdr:blipFill>
      <xdr:spPr>
        <a:xfrm>
          <a:off x="0" y="35490150"/>
          <a:ext cx="7180952" cy="4742857"/>
        </a:xfrm>
        <a:prstGeom prst="rect">
          <a:avLst/>
        </a:prstGeom>
      </xdr:spPr>
    </xdr:pic>
    <xdr:clientData/>
  </xdr:twoCellAnchor>
  <xdr:twoCellAnchor editAs="oneCell">
    <xdr:from>
      <xdr:col>11</xdr:col>
      <xdr:colOff>0</xdr:colOff>
      <xdr:row>28</xdr:row>
      <xdr:rowOff>0</xdr:rowOff>
    </xdr:from>
    <xdr:to>
      <xdr:col>21</xdr:col>
      <xdr:colOff>427714</xdr:colOff>
      <xdr:row>42</xdr:row>
      <xdr:rowOff>142557</xdr:rowOff>
    </xdr:to>
    <xdr:pic>
      <xdr:nvPicPr>
        <xdr:cNvPr id="10" name="图片 9">
          <a:extLst>
            <a:ext uri="{FF2B5EF4-FFF2-40B4-BE49-F238E27FC236}">
              <a16:creationId xmlns="" xmlns:a16="http://schemas.microsoft.com/office/drawing/2014/main" id="{60388F40-94AD-4029-BB30-BECD063FD809}"/>
            </a:ext>
          </a:extLst>
        </xdr:cNvPr>
        <xdr:cNvPicPr>
          <a:picLocks noChangeAspect="1"/>
        </xdr:cNvPicPr>
      </xdr:nvPicPr>
      <xdr:blipFill>
        <a:blip xmlns:r="http://schemas.openxmlformats.org/officeDocument/2006/relationships" r:embed="rId9"/>
        <a:stretch>
          <a:fillRect/>
        </a:stretch>
      </xdr:blipFill>
      <xdr:spPr>
        <a:xfrm>
          <a:off x="7543800" y="4800600"/>
          <a:ext cx="7285714" cy="2542857"/>
        </a:xfrm>
        <a:prstGeom prst="rect">
          <a:avLst/>
        </a:prstGeom>
      </xdr:spPr>
    </xdr:pic>
    <xdr:clientData/>
  </xdr:twoCellAnchor>
  <xdr:twoCellAnchor editAs="oneCell">
    <xdr:from>
      <xdr:col>11</xdr:col>
      <xdr:colOff>0</xdr:colOff>
      <xdr:row>43</xdr:row>
      <xdr:rowOff>0</xdr:rowOff>
    </xdr:from>
    <xdr:to>
      <xdr:col>21</xdr:col>
      <xdr:colOff>475333</xdr:colOff>
      <xdr:row>71</xdr:row>
      <xdr:rowOff>37495</xdr:rowOff>
    </xdr:to>
    <xdr:pic>
      <xdr:nvPicPr>
        <xdr:cNvPr id="11" name="图片 10">
          <a:extLst>
            <a:ext uri="{FF2B5EF4-FFF2-40B4-BE49-F238E27FC236}">
              <a16:creationId xmlns="" xmlns:a16="http://schemas.microsoft.com/office/drawing/2014/main" id="{00F4BA71-1172-4957-A888-57342D5C752E}"/>
            </a:ext>
          </a:extLst>
        </xdr:cNvPr>
        <xdr:cNvPicPr>
          <a:picLocks noChangeAspect="1"/>
        </xdr:cNvPicPr>
      </xdr:nvPicPr>
      <xdr:blipFill>
        <a:blip xmlns:r="http://schemas.openxmlformats.org/officeDocument/2006/relationships" r:embed="rId10"/>
        <a:stretch>
          <a:fillRect/>
        </a:stretch>
      </xdr:blipFill>
      <xdr:spPr>
        <a:xfrm>
          <a:off x="7543800" y="7372350"/>
          <a:ext cx="7333333" cy="4838095"/>
        </a:xfrm>
        <a:prstGeom prst="rect">
          <a:avLst/>
        </a:prstGeom>
      </xdr:spPr>
    </xdr:pic>
    <xdr:clientData/>
  </xdr:twoCellAnchor>
  <xdr:twoCellAnchor editAs="oneCell">
    <xdr:from>
      <xdr:col>11</xdr:col>
      <xdr:colOff>28575</xdr:colOff>
      <xdr:row>71</xdr:row>
      <xdr:rowOff>47625</xdr:rowOff>
    </xdr:from>
    <xdr:to>
      <xdr:col>21</xdr:col>
      <xdr:colOff>475337</xdr:colOff>
      <xdr:row>99</xdr:row>
      <xdr:rowOff>151787</xdr:rowOff>
    </xdr:to>
    <xdr:pic>
      <xdr:nvPicPr>
        <xdr:cNvPr id="12" name="图片 11">
          <a:extLst>
            <a:ext uri="{FF2B5EF4-FFF2-40B4-BE49-F238E27FC236}">
              <a16:creationId xmlns="" xmlns:a16="http://schemas.microsoft.com/office/drawing/2014/main" id="{88528A65-7A36-498B-8E97-B2BD4264EEF9}"/>
            </a:ext>
          </a:extLst>
        </xdr:cNvPr>
        <xdr:cNvPicPr>
          <a:picLocks noChangeAspect="1"/>
        </xdr:cNvPicPr>
      </xdr:nvPicPr>
      <xdr:blipFill>
        <a:blip xmlns:r="http://schemas.openxmlformats.org/officeDocument/2006/relationships" r:embed="rId11"/>
        <a:stretch>
          <a:fillRect/>
        </a:stretch>
      </xdr:blipFill>
      <xdr:spPr>
        <a:xfrm>
          <a:off x="7572375" y="12220575"/>
          <a:ext cx="7304762" cy="4904762"/>
        </a:xfrm>
        <a:prstGeom prst="rect">
          <a:avLst/>
        </a:prstGeom>
      </xdr:spPr>
    </xdr:pic>
    <xdr:clientData/>
  </xdr:twoCellAnchor>
  <xdr:twoCellAnchor editAs="oneCell">
    <xdr:from>
      <xdr:col>11</xdr:col>
      <xdr:colOff>0</xdr:colOff>
      <xdr:row>100</xdr:row>
      <xdr:rowOff>0</xdr:rowOff>
    </xdr:from>
    <xdr:to>
      <xdr:col>21</xdr:col>
      <xdr:colOff>427714</xdr:colOff>
      <xdr:row>128</xdr:row>
      <xdr:rowOff>8924</xdr:rowOff>
    </xdr:to>
    <xdr:pic>
      <xdr:nvPicPr>
        <xdr:cNvPr id="13" name="图片 12">
          <a:extLst>
            <a:ext uri="{FF2B5EF4-FFF2-40B4-BE49-F238E27FC236}">
              <a16:creationId xmlns="" xmlns:a16="http://schemas.microsoft.com/office/drawing/2014/main" id="{102D259D-EBA7-4DF1-A7A3-8AC2539766F3}"/>
            </a:ext>
          </a:extLst>
        </xdr:cNvPr>
        <xdr:cNvPicPr>
          <a:picLocks noChangeAspect="1"/>
        </xdr:cNvPicPr>
      </xdr:nvPicPr>
      <xdr:blipFill>
        <a:blip xmlns:r="http://schemas.openxmlformats.org/officeDocument/2006/relationships" r:embed="rId12"/>
        <a:stretch>
          <a:fillRect/>
        </a:stretch>
      </xdr:blipFill>
      <xdr:spPr>
        <a:xfrm>
          <a:off x="7543800" y="17145000"/>
          <a:ext cx="7285714" cy="4809524"/>
        </a:xfrm>
        <a:prstGeom prst="rect">
          <a:avLst/>
        </a:prstGeom>
      </xdr:spPr>
    </xdr:pic>
    <xdr:clientData/>
  </xdr:twoCellAnchor>
  <xdr:twoCellAnchor editAs="oneCell">
    <xdr:from>
      <xdr:col>11</xdr:col>
      <xdr:colOff>0</xdr:colOff>
      <xdr:row>128</xdr:row>
      <xdr:rowOff>0</xdr:rowOff>
    </xdr:from>
    <xdr:to>
      <xdr:col>21</xdr:col>
      <xdr:colOff>465809</xdr:colOff>
      <xdr:row>149</xdr:row>
      <xdr:rowOff>66217</xdr:rowOff>
    </xdr:to>
    <xdr:pic>
      <xdr:nvPicPr>
        <xdr:cNvPr id="14" name="图片 13">
          <a:extLst>
            <a:ext uri="{FF2B5EF4-FFF2-40B4-BE49-F238E27FC236}">
              <a16:creationId xmlns="" xmlns:a16="http://schemas.microsoft.com/office/drawing/2014/main" id="{DFB4527C-41BF-46DD-B8A3-44BF51B1ACB6}"/>
            </a:ext>
          </a:extLst>
        </xdr:cNvPr>
        <xdr:cNvPicPr>
          <a:picLocks noChangeAspect="1"/>
        </xdr:cNvPicPr>
      </xdr:nvPicPr>
      <xdr:blipFill>
        <a:blip xmlns:r="http://schemas.openxmlformats.org/officeDocument/2006/relationships" r:embed="rId13"/>
        <a:stretch>
          <a:fillRect/>
        </a:stretch>
      </xdr:blipFill>
      <xdr:spPr>
        <a:xfrm>
          <a:off x="7543800" y="21945600"/>
          <a:ext cx="7323809" cy="3666667"/>
        </a:xfrm>
        <a:prstGeom prst="rect">
          <a:avLst/>
        </a:prstGeom>
      </xdr:spPr>
    </xdr:pic>
    <xdr:clientData/>
  </xdr:twoCellAnchor>
  <xdr:twoCellAnchor editAs="oneCell">
    <xdr:from>
      <xdr:col>11</xdr:col>
      <xdr:colOff>0</xdr:colOff>
      <xdr:row>149</xdr:row>
      <xdr:rowOff>0</xdr:rowOff>
    </xdr:from>
    <xdr:to>
      <xdr:col>21</xdr:col>
      <xdr:colOff>380095</xdr:colOff>
      <xdr:row>177</xdr:row>
      <xdr:rowOff>8924</xdr:rowOff>
    </xdr:to>
    <xdr:pic>
      <xdr:nvPicPr>
        <xdr:cNvPr id="15" name="图片 14">
          <a:extLst>
            <a:ext uri="{FF2B5EF4-FFF2-40B4-BE49-F238E27FC236}">
              <a16:creationId xmlns="" xmlns:a16="http://schemas.microsoft.com/office/drawing/2014/main" id="{DCD2DBA2-D404-4237-A074-0AD0E5DEA8AA}"/>
            </a:ext>
          </a:extLst>
        </xdr:cNvPr>
        <xdr:cNvPicPr>
          <a:picLocks noChangeAspect="1"/>
        </xdr:cNvPicPr>
      </xdr:nvPicPr>
      <xdr:blipFill>
        <a:blip xmlns:r="http://schemas.openxmlformats.org/officeDocument/2006/relationships" r:embed="rId14"/>
        <a:stretch>
          <a:fillRect/>
        </a:stretch>
      </xdr:blipFill>
      <xdr:spPr>
        <a:xfrm>
          <a:off x="7543800" y="25546050"/>
          <a:ext cx="7238095" cy="4809524"/>
        </a:xfrm>
        <a:prstGeom prst="rect">
          <a:avLst/>
        </a:prstGeom>
      </xdr:spPr>
    </xdr:pic>
    <xdr:clientData/>
  </xdr:twoCellAnchor>
  <xdr:twoCellAnchor editAs="oneCell">
    <xdr:from>
      <xdr:col>11</xdr:col>
      <xdr:colOff>0</xdr:colOff>
      <xdr:row>177</xdr:row>
      <xdr:rowOff>0</xdr:rowOff>
    </xdr:from>
    <xdr:to>
      <xdr:col>21</xdr:col>
      <xdr:colOff>370571</xdr:colOff>
      <xdr:row>204</xdr:row>
      <xdr:rowOff>104183</xdr:rowOff>
    </xdr:to>
    <xdr:pic>
      <xdr:nvPicPr>
        <xdr:cNvPr id="16" name="图片 15">
          <a:extLst>
            <a:ext uri="{FF2B5EF4-FFF2-40B4-BE49-F238E27FC236}">
              <a16:creationId xmlns="" xmlns:a16="http://schemas.microsoft.com/office/drawing/2014/main" id="{335442A6-65B6-43B7-B923-DA52F44272ED}"/>
            </a:ext>
          </a:extLst>
        </xdr:cNvPr>
        <xdr:cNvPicPr>
          <a:picLocks noChangeAspect="1"/>
        </xdr:cNvPicPr>
      </xdr:nvPicPr>
      <xdr:blipFill>
        <a:blip xmlns:r="http://schemas.openxmlformats.org/officeDocument/2006/relationships" r:embed="rId15"/>
        <a:stretch>
          <a:fillRect/>
        </a:stretch>
      </xdr:blipFill>
      <xdr:spPr>
        <a:xfrm>
          <a:off x="7543800" y="30346650"/>
          <a:ext cx="7228571" cy="4733333"/>
        </a:xfrm>
        <a:prstGeom prst="rect">
          <a:avLst/>
        </a:prstGeom>
      </xdr:spPr>
    </xdr:pic>
    <xdr:clientData/>
  </xdr:twoCellAnchor>
  <xdr:twoCellAnchor editAs="oneCell">
    <xdr:from>
      <xdr:col>11</xdr:col>
      <xdr:colOff>0</xdr:colOff>
      <xdr:row>205</xdr:row>
      <xdr:rowOff>0</xdr:rowOff>
    </xdr:from>
    <xdr:to>
      <xdr:col>21</xdr:col>
      <xdr:colOff>408667</xdr:colOff>
      <xdr:row>233</xdr:row>
      <xdr:rowOff>104162</xdr:rowOff>
    </xdr:to>
    <xdr:pic>
      <xdr:nvPicPr>
        <xdr:cNvPr id="17" name="图片 16">
          <a:extLst>
            <a:ext uri="{FF2B5EF4-FFF2-40B4-BE49-F238E27FC236}">
              <a16:creationId xmlns="" xmlns:a16="http://schemas.microsoft.com/office/drawing/2014/main" id="{2490E949-89C3-47DA-B69E-D8EE59F32B93}"/>
            </a:ext>
          </a:extLst>
        </xdr:cNvPr>
        <xdr:cNvPicPr>
          <a:picLocks noChangeAspect="1"/>
        </xdr:cNvPicPr>
      </xdr:nvPicPr>
      <xdr:blipFill>
        <a:blip xmlns:r="http://schemas.openxmlformats.org/officeDocument/2006/relationships" r:embed="rId16"/>
        <a:stretch>
          <a:fillRect/>
        </a:stretch>
      </xdr:blipFill>
      <xdr:spPr>
        <a:xfrm>
          <a:off x="7543800" y="35147250"/>
          <a:ext cx="7266667"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Downloads/&#19979;&#36733;&#30340;&#25991;&#20214;/&#22303;&#22320;/&#36807;&#31243;/&#35199;&#2342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35199;&#23425;/&#22303;&#22320;/&#36807;&#31243;/&#35199;&#2342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不动产收益法-酒店"/>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位"/>
      <sheetName val="不动产收益法-仓储"/>
      <sheetName val="住宅"/>
      <sheetName val="商业"/>
      <sheetName val="车位"/>
      <sheetName val="仓储"/>
      <sheetName val="酒店"/>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不动产收益法-商业</v>
          </cell>
        </row>
        <row r="22">
          <cell r="A22" t="str">
            <v>燃品库房</v>
          </cell>
          <cell r="B22" t="str">
            <v>不动产收益法-车位</v>
          </cell>
        </row>
        <row r="23">
          <cell r="A23" t="str">
            <v>非燃品库房</v>
          </cell>
          <cell r="B23" t="str">
            <v>不动产收益法-仓储</v>
          </cell>
        </row>
        <row r="24">
          <cell r="A24" t="str">
            <v>——</v>
          </cell>
          <cell r="B24" t="str">
            <v>不动产收益法-酒店</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住宅（居住公寓）</v>
          </cell>
        </row>
        <row r="20">
          <cell r="C20" t="str">
            <v>商业（临街商铺）</v>
          </cell>
        </row>
        <row r="21">
          <cell r="C21" t="str">
            <v>办公（酒店式公寓）</v>
          </cell>
        </row>
        <row r="22">
          <cell r="C22" t="str">
            <v>酒店</v>
          </cell>
        </row>
        <row r="23">
          <cell r="C23" t="str">
            <v>地下车库</v>
          </cell>
        </row>
        <row r="24">
          <cell r="C24" t="str">
            <v>地下仓储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住宅、商业</v>
          </cell>
        </row>
        <row r="108">
          <cell r="B108" t="str">
            <v>毗邻道路的类型与等级</v>
          </cell>
        </row>
        <row r="110">
          <cell r="B110" t="str">
            <v>土地级别</v>
          </cell>
        </row>
        <row r="121">
          <cell r="B121" t="str">
            <v>宗地形状</v>
          </cell>
          <cell r="C121" t="str">
            <v>较规则</v>
          </cell>
          <cell r="D121" t="str">
            <v>较不规则</v>
          </cell>
          <cell r="E121" t="str">
            <v>不规则</v>
          </cell>
        </row>
        <row r="123">
          <cell r="B123" t="str">
            <v>临街宽度及深度</v>
          </cell>
          <cell r="C123" t="str">
            <v>较合适</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较好</v>
          </cell>
        </row>
      </sheetData>
      <sheetData sheetId="18"/>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复式</v>
          </cell>
          <cell r="D100" t="str">
            <v>平层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1"/>
      <sheetData sheetId="32"/>
      <sheetData sheetId="33"/>
      <sheetData sheetId="34"/>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不动产收益法-酒店"/>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位"/>
      <sheetName val="不动产收益法-仓储"/>
      <sheetName val="住宅"/>
      <sheetName val="商业"/>
      <sheetName val="车位"/>
      <sheetName val="仓储"/>
      <sheetName val="酒店"/>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不动产收益法-商业</v>
          </cell>
        </row>
        <row r="22">
          <cell r="A22" t="str">
            <v>燃品库房</v>
          </cell>
          <cell r="B22" t="str">
            <v>不动产收益法-车位</v>
          </cell>
        </row>
        <row r="23">
          <cell r="A23" t="str">
            <v>非燃品库房</v>
          </cell>
          <cell r="B23" t="str">
            <v>不动产收益法-仓储</v>
          </cell>
        </row>
        <row r="24">
          <cell r="A24" t="str">
            <v>——</v>
          </cell>
          <cell r="B24" t="str">
            <v>不动产收益法-酒店</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住宅（居住公寓）</v>
          </cell>
        </row>
        <row r="20">
          <cell r="C20" t="str">
            <v>商业（临街商铺）</v>
          </cell>
        </row>
        <row r="21">
          <cell r="C21" t="str">
            <v>办公（酒店式公寓）</v>
          </cell>
        </row>
        <row r="22">
          <cell r="C22" t="str">
            <v>酒店</v>
          </cell>
        </row>
        <row r="23">
          <cell r="C23" t="str">
            <v>地下车库</v>
          </cell>
        </row>
        <row r="24">
          <cell r="C24" t="str">
            <v>地下仓储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住宅、商业</v>
          </cell>
        </row>
        <row r="108">
          <cell r="B108" t="str">
            <v>毗邻道路的类型与等级</v>
          </cell>
        </row>
        <row r="110">
          <cell r="B110" t="str">
            <v>土地级别</v>
          </cell>
        </row>
        <row r="121">
          <cell r="B121" t="str">
            <v>宗地形状</v>
          </cell>
          <cell r="C121" t="str">
            <v>较规则</v>
          </cell>
          <cell r="D121" t="str">
            <v>较不规则</v>
          </cell>
          <cell r="E121" t="str">
            <v>不规则</v>
          </cell>
        </row>
        <row r="123">
          <cell r="B123" t="str">
            <v>临街宽度及深度</v>
          </cell>
          <cell r="C123" t="str">
            <v>较合适</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较好</v>
          </cell>
        </row>
      </sheetData>
      <sheetData sheetId="18"/>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复式</v>
          </cell>
          <cell r="D100" t="str">
            <v>平层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1"/>
      <sheetData sheetId="32"/>
      <sheetData sheetId="33"/>
      <sheetData sheetId="34"/>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map.sogou.com/t/tj2!B!" TargetMode="External"/><Relationship Id="rId1" Type="http://schemas.openxmlformats.org/officeDocument/2006/relationships/hyperlink" Target="http://map.sogou.com/t/LPyJbL"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1180</v>
      </c>
      <c r="B1" s="1355" t="s">
        <v>1259</v>
      </c>
    </row>
    <row r="2" spans="1:2" s="1360" customFormat="1" ht="15" thickTop="1">
      <c r="A2" s="1358" t="s">
        <v>1181</v>
      </c>
      <c r="B2" s="1359" t="str">
        <f>'预评函-封皮'!B37:I37</f>
        <v>青海省西宁市城中区麟河路31号商业服务、物业用房房地产抵押价值预评估</v>
      </c>
    </row>
    <row r="3" spans="1:2" s="1363" customFormat="1">
      <c r="A3" s="1361" t="s">
        <v>1182</v>
      </c>
      <c r="B3" s="1362" t="str">
        <f>'预评函-封皮'!B40</f>
        <v>五矿国际信托有限公司</v>
      </c>
    </row>
    <row r="4" spans="1:2" s="1363" customFormat="1">
      <c r="A4" s="1361" t="s">
        <v>1183</v>
      </c>
      <c r="B4" s="1362" t="str">
        <f ca="1">'预评函-封皮'!B46</f>
        <v>王鹏（注册号：0)、郑燚（注册号：1120070131)</v>
      </c>
    </row>
    <row r="5" spans="1:2" s="1357" customFormat="1" ht="15" thickBot="1">
      <c r="A5" s="1364" t="s">
        <v>1184</v>
      </c>
      <c r="B5" s="1365" t="str">
        <f>'预评函-封皮'!B49</f>
        <v>康正预评字号</v>
      </c>
    </row>
    <row r="6" spans="1:2" s="1360" customFormat="1" ht="15" thickTop="1">
      <c r="A6" s="1358" t="s">
        <v>1185</v>
      </c>
      <c r="B6" s="1359" t="str">
        <f>'预评函-1'!A4</f>
        <v>受贵公司委托，我公司对青海省西宁市城中区麟河路31号商业服务、物业用房房地产抵押价值进行了预评估。</v>
      </c>
    </row>
    <row r="7" spans="1:2" s="1363" customFormat="1">
      <c r="A7" s="1361" t="s">
        <v>1225</v>
      </c>
      <c r="B7" s="1362" t="str">
        <f>'预评函-1'!A7</f>
        <v>估价对象为青海省西宁市城中区麟河路31号商业服务、物业用房房地产，为青海开河置业投资有限公司所有。根据《国有土地使用证》[西经南国用（2014）第18号]，估价对象（分摊）出让国有建设用地使用权面积为62220.89平方米，建筑面积为66539.56平方米。</v>
      </c>
    </row>
    <row r="8" spans="1:2" s="1363" customFormat="1">
      <c r="A8" s="1361" t="s">
        <v>1226</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1227</v>
      </c>
      <c r="B9" s="1362" t="str">
        <f>'预评函-1'!A10</f>
        <v>估价对象为青海省西宁市城中区麟河路31号商业服务、物业用房房地产,属青海开河置业投资有限公司开发建设的商业项目，该项目尚在开发建设中。根据《国有土地使用证》[西经南国用（2014）第18号]，估价对象（分摊）出让国有建设用地使用权面积为62220.89平方米，规划建筑面积为66539.56平方米。</v>
      </c>
    </row>
    <row r="10" spans="1:2" s="1363" customFormat="1">
      <c r="A10" s="1361" t="s">
        <v>1228</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1186</v>
      </c>
      <c r="B11" s="1362" t="str">
        <f>'预评函-1'!A13</f>
        <v>青海开河置业投资有限公司拟使用青海省西宁市城中区麟河路31号商业服务、物业用房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2" spans="1:2" s="1363" customFormat="1">
      <c r="A12" s="1361" t="s">
        <v>1187</v>
      </c>
      <c r="B12" s="1362" t="str">
        <f>'预评函-1'!A15</f>
        <v>2021年12月11日（评估专业人员实地查勘之日）</v>
      </c>
    </row>
    <row r="13" spans="1:2" s="1363" customFormat="1">
      <c r="A13" s="1361" t="s">
        <v>1188</v>
      </c>
      <c r="B13" s="1362" t="str">
        <f>'预评函-1'!A18</f>
        <v>本次估价的“房地产价值”是指在正常市场情况下，在价值时点2021年12月11日，估价对象规划用途为商业服务、物业用房，土地取得方式为出让，出让国有建设用地使用权剩余土地使用年限为商业服务、物业32.61年，假定未设立法定优先受偿款下的房地产市场价值。</v>
      </c>
    </row>
    <row r="14" spans="1:2" s="1363" customFormat="1">
      <c r="A14" s="1361" t="s">
        <v>1189</v>
      </c>
      <c r="B14" s="1362" t="str">
        <f>'预评函-1'!A19</f>
        <v>其中，“出让国有建设用地使用权价值”是指估价对象用途为商业服务、物业用房，实际开发程度为宗地红线外“七通”（即通路、通电、通讯、通上水、通下水、燃气、通热）、红线内场地平整条件下，剩余土地使用年限为商业服务、物业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1190</v>
      </c>
      <c r="B15" s="1362" t="str">
        <f>'预评函-1'!A20</f>
        <v>本次估价的“房地产抵押价值”是指估价对象在价值时点的“房地产价值”扣减估价师于价值时点所知悉的法定优先受偿款后的余额。</v>
      </c>
    </row>
    <row r="16" spans="1:2" s="1363" customFormat="1">
      <c r="A16" s="1361" t="s">
        <v>1191</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1192</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1193</v>
      </c>
      <c r="B18" s="1365" t="str">
        <f>'预评函-1'!A24</f>
        <v>本次评估采用的主估价方法为成本法和收益法。</v>
      </c>
    </row>
    <row r="19" spans="1:2" s="1360" customFormat="1" ht="15" thickTop="1">
      <c r="A19" s="1358" t="s">
        <v>1194</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1195</v>
      </c>
      <c r="B20" s="1362">
        <f ca="1">'预评函-2'!D5</f>
        <v>56678</v>
      </c>
    </row>
    <row r="21" spans="1:2" s="1363" customFormat="1">
      <c r="A21" s="1361" t="s">
        <v>1196</v>
      </c>
      <c r="B21" s="1362">
        <f ca="1">'预评函-2'!D7</f>
        <v>8518</v>
      </c>
    </row>
    <row r="22" spans="1:2" s="1363" customFormat="1">
      <c r="A22" s="1361" t="s">
        <v>1197</v>
      </c>
      <c r="B22" s="1362" t="str">
        <f ca="1">'预评函-2'!D6</f>
        <v>伍亿陆仟陆佰柒拾捌万元整</v>
      </c>
    </row>
    <row r="23" spans="1:2" s="1363" customFormat="1">
      <c r="A23" s="1361" t="s">
        <v>1248</v>
      </c>
      <c r="B23" s="1362" t="str">
        <f>'预评函-2'!B8</f>
        <v>2.估价师知悉的法定优先受偿款</v>
      </c>
    </row>
    <row r="24" spans="1:2" s="1363" customFormat="1">
      <c r="A24" s="1361" t="s">
        <v>1254</v>
      </c>
      <c r="B24" s="1362">
        <f>'预评函-2'!D8</f>
        <v>20000</v>
      </c>
    </row>
    <row r="25" spans="1:2" s="1363" customFormat="1">
      <c r="A25" s="1361" t="s">
        <v>1198</v>
      </c>
      <c r="B25" s="1362" t="str">
        <f>'预评函-2'!D9</f>
        <v>贰亿元整</v>
      </c>
    </row>
    <row r="26" spans="1:2" s="1363" customFormat="1">
      <c r="A26" s="1361" t="s">
        <v>1199</v>
      </c>
      <c r="B26" s="1362">
        <f>'预评函-2'!D10</f>
        <v>20000</v>
      </c>
    </row>
    <row r="27" spans="1:2" s="1363" customFormat="1">
      <c r="A27" s="1361" t="s">
        <v>1200</v>
      </c>
      <c r="B27" s="1362">
        <f>'预评函-2'!D11</f>
        <v>0</v>
      </c>
    </row>
    <row r="28" spans="1:2" s="1363" customFormat="1">
      <c r="A28" s="1361" t="s">
        <v>1201</v>
      </c>
      <c r="B28" s="1362">
        <f>'预评函-2'!D12</f>
        <v>0</v>
      </c>
    </row>
    <row r="29" spans="1:2" s="1363" customFormat="1">
      <c r="A29" s="1361" t="s">
        <v>1252</v>
      </c>
      <c r="B29" s="1362" t="str">
        <f>'预评函-2'!B13</f>
        <v>3.房地产抵押价值</v>
      </c>
    </row>
    <row r="30" spans="1:2" s="1363" customFormat="1">
      <c r="A30" s="1361" t="s">
        <v>1253</v>
      </c>
      <c r="B30" s="1362">
        <f ca="1">'预评函-2'!D13</f>
        <v>36678</v>
      </c>
    </row>
    <row r="31" spans="1:2" s="1363" customFormat="1">
      <c r="A31" s="1361" t="s">
        <v>1235</v>
      </c>
      <c r="B31" s="1362">
        <f ca="1">'预评函-2'!D15</f>
        <v>5512</v>
      </c>
    </row>
    <row r="32" spans="1:2" s="1363" customFormat="1">
      <c r="A32" s="1361" t="s">
        <v>1202</v>
      </c>
      <c r="B32" s="1362" t="str">
        <f ca="1">'预评函-2'!D14</f>
        <v>叁亿陆仟陆佰柒拾捌万元整</v>
      </c>
    </row>
    <row r="33" spans="1:2" s="1363" customFormat="1">
      <c r="A33" s="1361" t="s">
        <v>1237</v>
      </c>
      <c r="B33" s="1362" t="str">
        <f>'预评函-2'!B16</f>
        <v>——</v>
      </c>
    </row>
    <row r="34" spans="1:2" s="1363" customFormat="1">
      <c r="A34" s="1361" t="s">
        <v>1255</v>
      </c>
      <c r="B34" s="1362" t="str">
        <f>'预评函-2'!D16</f>
        <v>——</v>
      </c>
    </row>
    <row r="35" spans="1:2" s="1363" customFormat="1">
      <c r="A35" s="1361" t="s">
        <v>1236</v>
      </c>
      <c r="B35" s="1362" t="str">
        <f>'预评函-2'!D18</f>
        <v>——</v>
      </c>
    </row>
    <row r="36" spans="1:2" s="1363" customFormat="1">
      <c r="A36" s="1361" t="s">
        <v>1203</v>
      </c>
      <c r="B36" s="1362" t="e">
        <f>'预评函-2'!D17</f>
        <v>#VALUE!</v>
      </c>
    </row>
    <row r="37" spans="1:2" s="1363" customFormat="1">
      <c r="A37" s="1361" t="s">
        <v>1238</v>
      </c>
      <c r="B37" s="1362" t="str">
        <f>'预评函-2'!B19</f>
        <v>——</v>
      </c>
    </row>
    <row r="38" spans="1:2" s="1363" customFormat="1">
      <c r="A38" s="1361" t="s">
        <v>1256</v>
      </c>
      <c r="B38" s="1362" t="str">
        <f>'预评函-2'!D19</f>
        <v>——</v>
      </c>
    </row>
    <row r="39" spans="1:2" s="1363" customFormat="1">
      <c r="A39" s="1361" t="s">
        <v>1204</v>
      </c>
      <c r="B39" s="1362" t="str">
        <f>'预评函-2'!D21</f>
        <v>——</v>
      </c>
    </row>
    <row r="40" spans="1:2" s="1363" customFormat="1">
      <c r="A40" s="1361" t="s">
        <v>1205</v>
      </c>
      <c r="B40" s="1362" t="e">
        <f>'预评函-2'!D20</f>
        <v>#VALUE!</v>
      </c>
    </row>
    <row r="41" spans="1:2" s="1363" customFormat="1">
      <c r="A41" s="1361" t="s">
        <v>1251</v>
      </c>
      <c r="B41" s="1362" t="str">
        <f>'预评函-3'!A4</f>
        <v>青海省西宁市城中区麟河路31号商业服务、物业用房房地产</v>
      </c>
    </row>
    <row r="42" spans="1:2" s="1363" customFormat="1">
      <c r="A42" s="1361" t="s">
        <v>1249</v>
      </c>
      <c r="B42" s="1362" t="str">
        <f>'预评函-3'!B2</f>
        <v>建筑面积</v>
      </c>
    </row>
    <row r="43" spans="1:2" s="1363" customFormat="1">
      <c r="A43" s="1361" t="s">
        <v>1250</v>
      </c>
      <c r="B43" s="1362">
        <f>'预评函-3'!B4</f>
        <v>66539.560000000012</v>
      </c>
    </row>
    <row r="44" spans="1:2" s="1363" customFormat="1">
      <c r="A44" s="1361" t="s">
        <v>1234</v>
      </c>
      <c r="B44" s="1362" t="str">
        <f>'预评函-3'!C2</f>
        <v>(分摊)土地面积</v>
      </c>
    </row>
    <row r="45" spans="1:2" s="1363" customFormat="1">
      <c r="A45" s="1361" t="s">
        <v>1206</v>
      </c>
      <c r="B45" s="1362">
        <f>'预评函-3'!C4</f>
        <v>62220.89</v>
      </c>
    </row>
    <row r="46" spans="1:2" s="1363" customFormat="1">
      <c r="A46" s="1361" t="s">
        <v>1232</v>
      </c>
      <c r="B46" s="1362" t="str">
        <f>'预评函-3'!D2</f>
        <v>出让国有建设用地使用权价值</v>
      </c>
    </row>
    <row r="47" spans="1:2" s="1363" customFormat="1">
      <c r="A47" s="1361" t="s">
        <v>1207</v>
      </c>
      <c r="B47" s="1362">
        <f ca="1">'预评函-3'!D4</f>
        <v>14453</v>
      </c>
    </row>
    <row r="48" spans="1:2" s="1363" customFormat="1">
      <c r="A48" s="1361" t="s">
        <v>1208</v>
      </c>
      <c r="B48" s="1362">
        <f ca="1">'预评函-3'!E4</f>
        <v>2172</v>
      </c>
    </row>
    <row r="49" spans="1:2" s="1363" customFormat="1">
      <c r="A49" s="1361" t="s">
        <v>1209</v>
      </c>
      <c r="B49" s="1362" t="str">
        <f ca="1">'预评函-3'!D5</f>
        <v>壹亿肆仟肆佰伍拾叁万元整</v>
      </c>
    </row>
    <row r="50" spans="1:2" s="1363" customFormat="1">
      <c r="A50" s="1361" t="s">
        <v>1233</v>
      </c>
      <c r="B50" s="1362" t="str">
        <f>'预评函-3'!F2</f>
        <v>在建建筑物价值</v>
      </c>
    </row>
    <row r="51" spans="1:2" s="1363" customFormat="1">
      <c r="A51" s="1361" t="s">
        <v>1210</v>
      </c>
      <c r="B51" s="1362">
        <f ca="1">'预评函-3'!F4</f>
        <v>42225</v>
      </c>
    </row>
    <row r="52" spans="1:2" s="1363" customFormat="1">
      <c r="A52" s="1361" t="s">
        <v>1211</v>
      </c>
      <c r="B52" s="1362">
        <f ca="1">'预评函-3'!G4</f>
        <v>6346</v>
      </c>
    </row>
    <row r="53" spans="1:2" s="1363" customFormat="1">
      <c r="A53" s="1361" t="s">
        <v>1239</v>
      </c>
      <c r="B53" s="1362" t="str">
        <f ca="1">'预评函-3'!F5</f>
        <v>肆亿贰仟贰佰贰拾伍万元整</v>
      </c>
    </row>
    <row r="54" spans="1:2" s="1363" customFormat="1">
      <c r="A54" s="1361" t="s">
        <v>1257</v>
      </c>
      <c r="B54" s="1362" t="str">
        <f>'预评函-3'!A8</f>
        <v>房地产抵押价值</v>
      </c>
    </row>
    <row r="55" spans="1:2" s="1363" customFormat="1">
      <c r="A55" s="1361" t="s">
        <v>1240</v>
      </c>
      <c r="B55" s="1362" t="str">
        <f>'预评函-3'!A10</f>
        <v/>
      </c>
    </row>
    <row r="56" spans="1:2" s="1363" customFormat="1">
      <c r="A56" s="1361" t="s">
        <v>1241</v>
      </c>
      <c r="B56" s="1362" t="str">
        <f>'预评函-3'!A12</f>
        <v/>
      </c>
    </row>
    <row r="57" spans="1:2" s="1357" customFormat="1" ht="15" thickBot="1">
      <c r="A57" s="1364" t="s">
        <v>1258</v>
      </c>
      <c r="B57" s="1365" t="str">
        <f>'预评函-3'!A6</f>
        <v>估价师知悉的法定优先受偿款</v>
      </c>
    </row>
    <row r="58" spans="1:2" s="1360" customFormat="1" ht="15" thickTop="1">
      <c r="A58" s="1358" t="s">
        <v>1212</v>
      </c>
      <c r="B58" s="1359" t="str">
        <f>'预评函-4'!A12</f>
        <v>2.本《评估意见函》仅供金融机构进行内部审核使用，不做其他目的之用。</v>
      </c>
    </row>
    <row r="59" spans="1:2" s="1363" customFormat="1">
      <c r="A59" s="1361" t="s">
        <v>1213</v>
      </c>
      <c r="B59" s="1362" t="str">
        <f>'预评函-4'!A13</f>
        <v>3.抵押双方在办理抵押登记手续时，应使用本公司出具的正式《房地产评估报告》，特提醒报告使用者注意。</v>
      </c>
    </row>
    <row r="60" spans="1:2" s="1363" customFormat="1">
      <c r="A60" s="1361" t="s">
        <v>1214</v>
      </c>
      <c r="B60" s="1362" t="str">
        <f>'预评函-4'!A14</f>
        <v>4.本次评估估价师所知悉的法定优先受偿款情况说明如下：</v>
      </c>
    </row>
    <row r="61" spans="1:2" s="1363" customFormat="1">
      <c r="A61" s="1361" t="s">
        <v>1215</v>
      </c>
      <c r="B61" s="1362" t="str">
        <f>'预评函-4'!A15</f>
        <v>（1）根据估价对象《房屋所有权证》原件、《国有土地使用权》复印件，截至价值时点，估价对象抵押权未见登记。</v>
      </c>
    </row>
    <row r="62" spans="1:2" s="1363" customFormat="1">
      <c r="A62" s="1361" t="s">
        <v>1216</v>
      </c>
      <c r="B62" s="1362" t="str">
        <f>'预评函-4'!A16</f>
        <v>（2）根据《工程款支付情况说明》，截至价值时点，估价对象不存在应付未付工程款项。（只要没有施工方盖章的，均“设定”进行表述）</v>
      </c>
    </row>
    <row r="63" spans="1:2" s="1363" customFormat="1">
      <c r="A63" s="1361" t="s">
        <v>1217</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1229</v>
      </c>
      <c r="B64" s="1362" t="str">
        <f>'预评函-4'!A18</f>
        <v>故，本次评估估价师知悉的法定优先受偿款为人民币20000万元整。</v>
      </c>
    </row>
    <row r="65" spans="1:2" s="1363" customFormat="1">
      <c r="A65" s="1361" t="s">
        <v>1218</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1219</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1230</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1231</v>
      </c>
      <c r="B68" s="1362" t="str">
        <f>'预评函-4'!A22</f>
        <v>8.其他需特殊说明事项：无（注意调整序号）</v>
      </c>
    </row>
    <row r="69" spans="1:2" s="1357" customFormat="1" ht="15" thickBot="1">
      <c r="A69" s="1364" t="s">
        <v>1220</v>
      </c>
      <c r="B69" s="1366">
        <f>'预评函-4'!C31</f>
        <v>42551</v>
      </c>
    </row>
    <row r="70" spans="1:2" ht="15" thickTop="1">
      <c r="A70" s="1367" t="s">
        <v>1221</v>
      </c>
      <c r="B70" s="1368" t="str">
        <f>'预评函-4'!A4</f>
        <v>王鹏</v>
      </c>
    </row>
    <row r="71" spans="1:2">
      <c r="A71" s="1361" t="s">
        <v>1222</v>
      </c>
      <c r="B71" s="1362">
        <f ca="1">'预评函-4'!B4</f>
        <v>0</v>
      </c>
    </row>
    <row r="72" spans="1:2">
      <c r="A72" s="1361" t="s">
        <v>1223</v>
      </c>
      <c r="B72" s="1370" t="str">
        <f>'预评函-4'!A5</f>
        <v>郑燚</v>
      </c>
    </row>
    <row r="73" spans="1:2" s="1357" customFormat="1" ht="15" thickBot="1">
      <c r="A73" s="1364" t="s">
        <v>1224</v>
      </c>
      <c r="B73" s="1365">
        <f ca="1">'预评函-4'!B5</f>
        <v>1120070131</v>
      </c>
    </row>
    <row r="74" spans="1:2" ht="15" thickTop="1">
      <c r="A74" s="1354" t="s">
        <v>1260</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1649</v>
      </c>
      <c r="C1" s="1723" t="s">
        <v>759</v>
      </c>
      <c r="D1" s="1724" t="s">
        <v>1650</v>
      </c>
      <c r="E1" s="1724" t="s">
        <v>1651</v>
      </c>
      <c r="F1" s="1724" t="s">
        <v>1652</v>
      </c>
      <c r="G1" s="1724" t="s">
        <v>1653</v>
      </c>
      <c r="H1" s="1724" t="s">
        <v>1654</v>
      </c>
      <c r="I1" s="1724" t="s">
        <v>1655</v>
      </c>
      <c r="J1" s="1724" t="s">
        <v>1656</v>
      </c>
      <c r="K1" s="1724" t="s">
        <v>1657</v>
      </c>
      <c r="L1" s="1724" t="s">
        <v>1658</v>
      </c>
      <c r="M1" s="1724" t="s">
        <v>1659</v>
      </c>
      <c r="N1" s="1724" t="s">
        <v>1660</v>
      </c>
      <c r="O1" s="1724" t="s">
        <v>1661</v>
      </c>
      <c r="P1" s="1725" t="s">
        <v>753</v>
      </c>
      <c r="Q1" s="1725" t="s">
        <v>1106</v>
      </c>
      <c r="R1" s="1724" t="s">
        <v>1100</v>
      </c>
      <c r="S1" s="1724" t="s">
        <v>1662</v>
      </c>
      <c r="T1" s="1726" t="s">
        <v>1663</v>
      </c>
      <c r="U1" s="1724" t="s">
        <v>1664</v>
      </c>
      <c r="V1" s="1724" t="s">
        <v>1665</v>
      </c>
      <c r="W1" s="1724" t="s">
        <v>755</v>
      </c>
    </row>
    <row r="2" spans="1:23">
      <c r="A2" s="1728" t="s">
        <v>22</v>
      </c>
      <c r="B2" s="1728" t="s">
        <v>1666</v>
      </c>
      <c r="C2" s="1729" t="s">
        <v>760</v>
      </c>
      <c r="D2" s="1730" t="s">
        <v>1667</v>
      </c>
      <c r="E2" s="1730" t="s">
        <v>1668</v>
      </c>
      <c r="F2" s="1730" t="s">
        <v>1669</v>
      </c>
      <c r="G2" s="1730">
        <v>40</v>
      </c>
      <c r="H2" s="1730" t="s">
        <v>1669</v>
      </c>
      <c r="I2" s="1730" t="s">
        <v>1670</v>
      </c>
      <c r="J2" s="1730" t="s">
        <v>1671</v>
      </c>
      <c r="K2" s="1730" t="s">
        <v>1672</v>
      </c>
      <c r="L2" s="1730" t="s">
        <v>1672</v>
      </c>
      <c r="M2" s="1730" t="s">
        <v>1672</v>
      </c>
      <c r="N2" s="1730" t="s">
        <v>1672</v>
      </c>
      <c r="O2" s="1730" t="s">
        <v>1672</v>
      </c>
      <c r="P2" s="1730" t="s">
        <v>1672</v>
      </c>
      <c r="Q2" s="1730" t="s">
        <v>1672</v>
      </c>
      <c r="R2" s="1730" t="s">
        <v>1102</v>
      </c>
      <c r="S2" s="1730" t="s">
        <v>1672</v>
      </c>
      <c r="T2" s="1730" t="s">
        <v>1673</v>
      </c>
      <c r="U2" s="1730" t="s">
        <v>1672</v>
      </c>
      <c r="V2" s="1730" t="s">
        <v>1674</v>
      </c>
      <c r="W2" s="1730" t="s">
        <v>1672</v>
      </c>
    </row>
    <row r="3" spans="1:23">
      <c r="A3" s="1728" t="s">
        <v>1675</v>
      </c>
      <c r="B3" s="1731" t="s">
        <v>1107</v>
      </c>
      <c r="C3" s="1732" t="s">
        <v>761</v>
      </c>
      <c r="D3" s="1730" t="s">
        <v>1676</v>
      </c>
      <c r="E3" s="1730" t="s">
        <v>16</v>
      </c>
      <c r="F3" s="1730" t="s">
        <v>1677</v>
      </c>
      <c r="G3" s="1730">
        <v>50</v>
      </c>
      <c r="H3" s="1730" t="s">
        <v>1677</v>
      </c>
      <c r="I3" s="1730" t="s">
        <v>1678</v>
      </c>
      <c r="J3" s="1730" t="s">
        <v>1679</v>
      </c>
      <c r="K3" s="1730" t="s">
        <v>1680</v>
      </c>
      <c r="L3" s="1730" t="s">
        <v>1680</v>
      </c>
      <c r="M3" s="1730" t="s">
        <v>1680</v>
      </c>
      <c r="N3" s="1730" t="s">
        <v>1680</v>
      </c>
      <c r="O3" s="1730" t="s">
        <v>1680</v>
      </c>
      <c r="P3" s="1730" t="s">
        <v>1680</v>
      </c>
      <c r="Q3" s="1730" t="s">
        <v>1680</v>
      </c>
      <c r="R3" s="1730" t="s">
        <v>1101</v>
      </c>
      <c r="S3" s="1730" t="s">
        <v>1680</v>
      </c>
      <c r="T3" s="1730" t="s">
        <v>1681</v>
      </c>
      <c r="U3" s="1730" t="s">
        <v>1680</v>
      </c>
      <c r="V3" s="1730" t="s">
        <v>1682</v>
      </c>
      <c r="W3" s="1730" t="s">
        <v>1680</v>
      </c>
    </row>
    <row r="4" spans="1:23">
      <c r="A4" s="1728" t="s">
        <v>1683</v>
      </c>
      <c r="B4" s="1728" t="s">
        <v>1684</v>
      </c>
      <c r="C4" s="1729" t="s">
        <v>762</v>
      </c>
      <c r="D4" s="1730" t="s">
        <v>836</v>
      </c>
      <c r="E4" s="1730" t="s">
        <v>1685</v>
      </c>
      <c r="F4" s="1730" t="s">
        <v>1686</v>
      </c>
      <c r="G4" s="1730">
        <v>70</v>
      </c>
      <c r="H4" s="1730" t="s">
        <v>1686</v>
      </c>
      <c r="I4" s="1730" t="s">
        <v>1687</v>
      </c>
      <c r="K4" s="1730" t="s">
        <v>1688</v>
      </c>
      <c r="L4" s="1730" t="s">
        <v>1688</v>
      </c>
      <c r="M4" s="1730" t="s">
        <v>1688</v>
      </c>
      <c r="N4" s="1730" t="s">
        <v>1688</v>
      </c>
      <c r="O4" s="1730" t="s">
        <v>1688</v>
      </c>
      <c r="P4" s="1730" t="s">
        <v>1688</v>
      </c>
      <c r="Q4" s="1730" t="s">
        <v>1688</v>
      </c>
      <c r="R4" s="1730" t="s">
        <v>1103</v>
      </c>
      <c r="S4" s="1730" t="s">
        <v>1688</v>
      </c>
      <c r="T4" s="1730" t="s">
        <v>1689</v>
      </c>
      <c r="U4" s="1730" t="s">
        <v>1688</v>
      </c>
      <c r="W4" s="1730" t="s">
        <v>1688</v>
      </c>
    </row>
    <row r="5" spans="1:23">
      <c r="A5" s="1728" t="s">
        <v>1690</v>
      </c>
      <c r="B5" s="1728" t="s">
        <v>1691</v>
      </c>
      <c r="C5" s="1729" t="s">
        <v>763</v>
      </c>
      <c r="F5" s="1730" t="s">
        <v>1692</v>
      </c>
      <c r="H5" s="1730" t="s">
        <v>1693</v>
      </c>
      <c r="I5" s="1730" t="s">
        <v>1694</v>
      </c>
      <c r="K5" s="1730" t="s">
        <v>1695</v>
      </c>
      <c r="L5" s="1730" t="s">
        <v>1695</v>
      </c>
      <c r="M5" s="1730" t="s">
        <v>1695</v>
      </c>
      <c r="N5" s="1730" t="s">
        <v>1695</v>
      </c>
      <c r="O5" s="1730" t="s">
        <v>1695</v>
      </c>
      <c r="P5" s="1730" t="s">
        <v>1695</v>
      </c>
      <c r="Q5" s="1730" t="s">
        <v>1695</v>
      </c>
      <c r="R5" s="1730" t="s">
        <v>1104</v>
      </c>
      <c r="S5" s="1730" t="s">
        <v>1695</v>
      </c>
      <c r="T5" s="1730" t="s">
        <v>1696</v>
      </c>
      <c r="U5" s="1730" t="s">
        <v>1695</v>
      </c>
      <c r="W5" s="1730" t="s">
        <v>1695</v>
      </c>
    </row>
    <row r="6" spans="1:23">
      <c r="A6" s="1728" t="s">
        <v>1697</v>
      </c>
      <c r="B6" s="1731" t="s">
        <v>1108</v>
      </c>
      <c r="C6" s="1734" t="s">
        <v>30</v>
      </c>
      <c r="F6" s="1730" t="s">
        <v>1693</v>
      </c>
      <c r="H6" s="1730" t="s">
        <v>1698</v>
      </c>
      <c r="I6" s="1730" t="s">
        <v>1699</v>
      </c>
      <c r="K6" s="1730" t="s">
        <v>1700</v>
      </c>
      <c r="L6" s="1730" t="s">
        <v>1700</v>
      </c>
      <c r="M6" s="1730" t="s">
        <v>1700</v>
      </c>
      <c r="N6" s="1730" t="s">
        <v>1700</v>
      </c>
      <c r="O6" s="1730" t="s">
        <v>1700</v>
      </c>
      <c r="P6" s="1730" t="s">
        <v>1700</v>
      </c>
      <c r="Q6" s="1730" t="s">
        <v>1700</v>
      </c>
      <c r="R6" s="1730" t="s">
        <v>1105</v>
      </c>
      <c r="S6" s="1730" t="s">
        <v>1700</v>
      </c>
      <c r="T6" s="1730"/>
      <c r="U6" s="1730" t="s">
        <v>1700</v>
      </c>
      <c r="W6" s="1730" t="s">
        <v>1700</v>
      </c>
    </row>
    <row r="7" spans="1:23">
      <c r="A7" s="1728" t="s">
        <v>1701</v>
      </c>
      <c r="B7" s="1731" t="s">
        <v>1109</v>
      </c>
      <c r="C7" s="1729" t="s">
        <v>31</v>
      </c>
      <c r="F7" s="1730" t="s">
        <v>1702</v>
      </c>
      <c r="H7" s="1730" t="s">
        <v>1703</v>
      </c>
      <c r="I7" s="1730" t="s">
        <v>1704</v>
      </c>
    </row>
    <row r="8" spans="1:23">
      <c r="A8" s="1728" t="s">
        <v>1705</v>
      </c>
      <c r="B8" s="1728" t="s">
        <v>1706</v>
      </c>
      <c r="C8" s="1729" t="s">
        <v>764</v>
      </c>
      <c r="F8" s="1730" t="s">
        <v>1707</v>
      </c>
      <c r="H8" s="1730"/>
      <c r="I8" s="1730" t="s">
        <v>1708</v>
      </c>
    </row>
    <row r="9" spans="1:23">
      <c r="A9" s="1728" t="s">
        <v>1709</v>
      </c>
      <c r="B9" s="1728" t="s">
        <v>1710</v>
      </c>
      <c r="C9" s="1729" t="s">
        <v>765</v>
      </c>
      <c r="F9" s="1730" t="s">
        <v>1711</v>
      </c>
      <c r="H9" s="1730"/>
    </row>
    <row r="10" spans="1:23">
      <c r="A10" s="1728" t="s">
        <v>1712</v>
      </c>
      <c r="B10" s="1728" t="s">
        <v>1713</v>
      </c>
      <c r="C10" s="1729" t="s">
        <v>766</v>
      </c>
      <c r="F10" s="1730" t="s">
        <v>16</v>
      </c>
    </row>
    <row r="11" spans="1:23">
      <c r="A11" s="1728" t="s">
        <v>1714</v>
      </c>
      <c r="B11" s="1728" t="s">
        <v>1715</v>
      </c>
      <c r="C11" s="1729" t="s">
        <v>767</v>
      </c>
    </row>
    <row r="12" spans="1:23">
      <c r="A12" s="1728" t="s">
        <v>1716</v>
      </c>
      <c r="B12" s="1728" t="s">
        <v>1717</v>
      </c>
      <c r="C12" s="1729" t="s">
        <v>768</v>
      </c>
    </row>
    <row r="13" spans="1:23">
      <c r="A13" s="1728" t="s">
        <v>1718</v>
      </c>
      <c r="B13" s="1728" t="s">
        <v>1719</v>
      </c>
      <c r="C13" s="1729" t="s">
        <v>769</v>
      </c>
    </row>
    <row r="14" spans="1:23">
      <c r="A14" s="1728" t="s">
        <v>1720</v>
      </c>
      <c r="B14" s="1728" t="s">
        <v>1721</v>
      </c>
      <c r="C14" s="1730" t="s">
        <v>16</v>
      </c>
    </row>
    <row r="15" spans="1:23">
      <c r="A15" s="1728" t="s">
        <v>1722</v>
      </c>
      <c r="B15" s="1728" t="s">
        <v>1723</v>
      </c>
      <c r="C15" s="1729"/>
    </row>
    <row r="16" spans="1:23">
      <c r="A16" s="1728" t="s">
        <v>1724</v>
      </c>
      <c r="B16" s="1728" t="s">
        <v>756</v>
      </c>
      <c r="C16" s="1729"/>
    </row>
    <row r="17" spans="1:3">
      <c r="A17" s="1728" t="s">
        <v>1725</v>
      </c>
      <c r="B17" s="1728" t="s">
        <v>3030</v>
      </c>
      <c r="C17" s="1729"/>
    </row>
    <row r="18" spans="1:3">
      <c r="A18" s="1728" t="s">
        <v>1726</v>
      </c>
      <c r="B18" s="1728" t="s">
        <v>3330</v>
      </c>
      <c r="C18" s="1729"/>
    </row>
    <row r="19" spans="1:3">
      <c r="A19" s="1728" t="s">
        <v>1727</v>
      </c>
      <c r="B19" s="1728" t="s">
        <v>757</v>
      </c>
      <c r="C19" s="1729"/>
    </row>
    <row r="20" spans="1:3">
      <c r="A20" s="1728" t="s">
        <v>1728</v>
      </c>
      <c r="B20" s="1728" t="s">
        <v>757</v>
      </c>
      <c r="C20" s="1729"/>
    </row>
    <row r="21" spans="1:3">
      <c r="A21" s="1728" t="s">
        <v>1729</v>
      </c>
      <c r="B21" s="1728" t="s">
        <v>757</v>
      </c>
      <c r="C21" s="1729"/>
    </row>
    <row r="22" spans="1:3">
      <c r="A22" s="1728" t="s">
        <v>1730</v>
      </c>
      <c r="B22" s="1728" t="s">
        <v>757</v>
      </c>
      <c r="C22" s="1729"/>
    </row>
    <row r="23" spans="1:3">
      <c r="A23" s="1728" t="s">
        <v>1731</v>
      </c>
      <c r="B23" s="1728" t="s">
        <v>757</v>
      </c>
      <c r="C23" s="1729"/>
    </row>
    <row r="24" spans="1:3">
      <c r="A24" s="1728" t="s">
        <v>1732</v>
      </c>
      <c r="B24" s="1728" t="s">
        <v>757</v>
      </c>
      <c r="C24" s="1729"/>
    </row>
    <row r="25" spans="1:3">
      <c r="A25" s="1728" t="s">
        <v>1733</v>
      </c>
      <c r="B25" s="1728" t="s">
        <v>757</v>
      </c>
      <c r="C25" s="1729"/>
    </row>
    <row r="26" spans="1:3">
      <c r="A26" s="1728" t="s">
        <v>1734</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海开河置业投资有限公司拟使用青海省西宁市城中区麟河路31号商业服务、物业用房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1736" t="s">
        <v>1245</v>
      </c>
    </row>
    <row r="52" spans="1:4">
      <c r="A52" s="1735" t="s">
        <v>826</v>
      </c>
      <c r="B52" s="1735" t="s">
        <v>827</v>
      </c>
      <c r="C52" s="1733" t="s">
        <v>828</v>
      </c>
      <c r="D52" s="1733" t="s">
        <v>829</v>
      </c>
    </row>
    <row r="53" spans="1:4">
      <c r="A53" s="3335"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11日，估价对象规划用途为商业服务、物业用房土地取得方式为出让，出让国有建设用地使用权剩余土地使用年限为XX年(多用途剩余年限尾数不同时，可只体现小数点后一位)，假定未设立法定优先受偿款下的房地产市场价值。</v>
      </c>
    </row>
    <row r="54" spans="1:4">
      <c r="A54" s="3335"/>
      <c r="B54" s="1736" t="s">
        <v>832</v>
      </c>
      <c r="C54" s="1733" t="s">
        <v>1242</v>
      </c>
    </row>
    <row r="55" spans="1:4">
      <c r="A55" s="3335"/>
      <c r="B55" s="1736" t="s">
        <v>833</v>
      </c>
      <c r="C55" s="1733" t="s">
        <v>1243</v>
      </c>
    </row>
    <row r="56" spans="1:4">
      <c r="A56" s="3335"/>
      <c r="B56" s="1736" t="s">
        <v>834</v>
      </c>
      <c r="C56" s="1733" t="s">
        <v>1247</v>
      </c>
    </row>
    <row r="57" spans="1:4">
      <c r="A57" s="3335"/>
      <c r="B57" s="1736" t="s">
        <v>835</v>
      </c>
      <c r="C57" s="1733" t="s">
        <v>1244</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49" customWidth="1"/>
    <col min="12" max="13" width="10" style="2850"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2907</v>
      </c>
      <c r="B1" s="3344" t="str">
        <f>IF(B10="北京市","北京市",C10)&amp;F10&amp;IF(结果表!G1="在建","出让国有建设用地使用权及在建建筑物",IF(结果表!G1="土地","出让国有建设用地使用权",))&amp;B9&amp;"预评估"</f>
        <v>青海省西宁市城中区麟河路31号商业服务、物业用房房地产抵押价值预评估</v>
      </c>
      <c r="C1" s="3345"/>
      <c r="D1" s="3345"/>
      <c r="E1" s="3345"/>
      <c r="F1" s="3345"/>
      <c r="G1" s="3345"/>
      <c r="H1" s="3345"/>
      <c r="I1" s="3346"/>
      <c r="J1" s="2691"/>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青海省西宁市城中区麟河路31号商业服务、物业用房房地产抵押价值</v>
      </c>
      <c r="T1" s="1928"/>
      <c r="U1" s="1928"/>
      <c r="V1" s="1928"/>
      <c r="W1" s="1928"/>
      <c r="X1" s="1928"/>
      <c r="Y1" s="1928"/>
      <c r="Z1" s="1928"/>
      <c r="AA1" s="1928"/>
      <c r="AB1" s="1928"/>
    </row>
    <row r="2" spans="1:28">
      <c r="A2" s="2588" t="s">
        <v>2908</v>
      </c>
      <c r="B2" s="2592"/>
      <c r="C2" s="2593"/>
      <c r="D2" s="2893"/>
      <c r="E2" s="2883"/>
      <c r="F2" s="2883"/>
      <c r="G2" s="2884"/>
      <c r="H2" s="2884"/>
      <c r="I2" s="2884"/>
      <c r="J2" s="2691"/>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青海省西宁市城中区麟河路31号商业服务、物业用房房地产</v>
      </c>
      <c r="T2" s="1928"/>
      <c r="U2" s="1928"/>
      <c r="V2" s="1928"/>
      <c r="W2" s="1928"/>
      <c r="X2" s="1928"/>
      <c r="Y2" s="1928"/>
      <c r="Z2" s="1928"/>
      <c r="AA2" s="1928"/>
      <c r="AB2" s="1928"/>
    </row>
    <row r="3" spans="1:28">
      <c r="A3" s="308" t="s">
        <v>2909</v>
      </c>
      <c r="B3" s="2594">
        <v>44541</v>
      </c>
      <c r="C3" s="2595" t="s">
        <v>2910</v>
      </c>
      <c r="D3" s="2594">
        <f>B3</f>
        <v>44541</v>
      </c>
      <c r="E3" s="2884"/>
      <c r="F3" s="2884"/>
      <c r="G3" s="2884"/>
      <c r="H3" s="2884"/>
      <c r="I3" s="2884"/>
      <c r="J3" s="2691"/>
      <c r="K3" s="2589"/>
      <c r="L3" s="2590"/>
      <c r="M3" s="2590"/>
      <c r="N3" s="2591"/>
      <c r="O3" s="1758"/>
      <c r="P3" s="2591"/>
      <c r="Q3" s="2591"/>
      <c r="R3" s="2591"/>
      <c r="S3" s="1865"/>
      <c r="T3" s="1928"/>
      <c r="U3" s="1928"/>
      <c r="V3" s="1928"/>
      <c r="W3" s="1928"/>
      <c r="X3" s="1928"/>
      <c r="Y3" s="1928"/>
      <c r="Z3" s="1928"/>
      <c r="AA3" s="1928"/>
      <c r="AB3" s="1928"/>
    </row>
    <row r="4" spans="1:28" ht="13.5" thickBot="1">
      <c r="A4" s="1248" t="s">
        <v>2911</v>
      </c>
      <c r="B4" s="2596" t="s">
        <v>3056</v>
      </c>
      <c r="C4" s="2597">
        <f ca="1">SUMIF(注册房地产估价师,B4,估价师及机构信息!B3:B24)</f>
        <v>0</v>
      </c>
      <c r="D4" s="2596" t="s">
        <v>3057</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9"/>
      <c r="K4" s="2599" t="str">
        <f ca="1">CONCATENATE(B4,"（注册号：",C4,")、",D4,"（注册号：",E4,")")</f>
        <v>王鹏（注册号：0)、郑燚（注册号：1120070131)</v>
      </c>
      <c r="L4" s="2590"/>
      <c r="M4" s="2590"/>
      <c r="N4" s="2591"/>
      <c r="O4" s="1758"/>
      <c r="P4" s="2591"/>
      <c r="Q4" s="2591"/>
      <c r="R4" s="2591"/>
      <c r="S4" s="1865"/>
      <c r="T4" s="1928"/>
      <c r="U4" s="1928"/>
      <c r="V4" s="1928"/>
      <c r="W4" s="1928"/>
      <c r="X4" s="1928"/>
      <c r="Y4" s="1928"/>
      <c r="Z4" s="1928"/>
      <c r="AA4" s="1928"/>
      <c r="AB4" s="1928"/>
    </row>
    <row r="5" spans="1:28" ht="13.5" thickTop="1">
      <c r="A5" s="2600" t="s">
        <v>2912</v>
      </c>
      <c r="B5" s="3067" t="s">
        <v>3058</v>
      </c>
      <c r="C5" s="2601"/>
      <c r="D5" s="2602"/>
      <c r="E5" s="2885"/>
      <c r="F5" s="2885"/>
      <c r="G5" s="2885"/>
      <c r="H5" s="2885"/>
      <c r="I5" s="2885"/>
      <c r="J5" s="2659"/>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3" t="s">
        <v>2913</v>
      </c>
      <c r="B6" s="2604" t="str">
        <f>B5</f>
        <v>五矿国际信托有限公司</v>
      </c>
      <c r="C6" s="2605"/>
      <c r="D6" s="2606"/>
      <c r="E6" s="2883"/>
      <c r="F6" s="2885"/>
      <c r="G6" s="2885"/>
      <c r="H6" s="2885"/>
      <c r="I6" s="2885"/>
      <c r="J6" s="2659"/>
      <c r="K6" s="2835" t="str">
        <f>IF(COUNTIF(B6,"*上海银行*"),"上海银行","")</f>
        <v/>
      </c>
      <c r="L6" s="2833"/>
      <c r="M6" s="2833"/>
      <c r="N6" s="2659"/>
      <c r="O6" s="2670"/>
      <c r="P6" s="2659"/>
      <c r="Q6" s="2659"/>
      <c r="R6" s="2659"/>
    </row>
    <row r="7" spans="1:28">
      <c r="A7" s="2603" t="s">
        <v>2914</v>
      </c>
      <c r="B7" s="3068" t="s">
        <v>3059</v>
      </c>
      <c r="C7" s="2605"/>
      <c r="D7" s="2606"/>
      <c r="E7" s="2883"/>
      <c r="F7" s="2885"/>
      <c r="G7" s="2885"/>
      <c r="H7" s="2885"/>
      <c r="I7" s="2885"/>
      <c r="J7" s="2659"/>
      <c r="K7" s="2836"/>
      <c r="L7" s="2833"/>
      <c r="M7" s="2833"/>
      <c r="N7" s="2659"/>
      <c r="O7" s="2670"/>
      <c r="P7" s="2659"/>
      <c r="Q7" s="2659"/>
      <c r="R7" s="2659"/>
    </row>
    <row r="8" spans="1:28">
      <c r="A8" s="2607" t="s">
        <v>2915</v>
      </c>
      <c r="B8" s="2608" t="s">
        <v>3060</v>
      </c>
      <c r="C8" s="2609"/>
      <c r="D8" s="3347" t="s">
        <v>2916</v>
      </c>
      <c r="E8" s="2610" t="s">
        <v>3061</v>
      </c>
      <c r="F8" s="2611"/>
      <c r="G8" s="2884"/>
      <c r="H8" s="2884"/>
      <c r="I8" s="2884"/>
      <c r="J8" s="2659"/>
      <c r="K8" s="2834"/>
      <c r="L8" s="2833"/>
      <c r="M8" s="2833"/>
      <c r="N8" s="2659"/>
      <c r="O8" s="2670"/>
      <c r="P8" s="2659"/>
      <c r="Q8" s="2659"/>
      <c r="R8" s="2659"/>
    </row>
    <row r="9" spans="1:28" ht="13.5" thickBot="1">
      <c r="A9" s="2612" t="s">
        <v>2917</v>
      </c>
      <c r="B9" s="2613" t="s">
        <v>3061</v>
      </c>
      <c r="C9" s="2614"/>
      <c r="D9" s="3348"/>
      <c r="E9" s="2613"/>
      <c r="F9" s="2615"/>
      <c r="G9" s="2886"/>
      <c r="H9" s="2886"/>
      <c r="I9" s="2886"/>
      <c r="J9" s="2659"/>
      <c r="K9" s="2836"/>
      <c r="L9" s="2833"/>
      <c r="M9" s="2833"/>
      <c r="N9" s="2659"/>
      <c r="O9" s="2670"/>
      <c r="P9" s="2659"/>
      <c r="Q9" s="2659"/>
      <c r="R9" s="2659"/>
    </row>
    <row r="10" spans="1:28" ht="13.5" thickTop="1">
      <c r="A10" s="2616" t="s">
        <v>2918</v>
      </c>
      <c r="B10" s="2617"/>
      <c r="C10" s="3068" t="s">
        <v>3063</v>
      </c>
      <c r="D10" s="2602"/>
      <c r="E10" s="2618" t="s">
        <v>2919</v>
      </c>
      <c r="F10" s="2887" t="s">
        <v>3064</v>
      </c>
      <c r="G10" s="2888"/>
      <c r="H10" s="2889"/>
      <c r="I10" s="2890"/>
      <c r="J10" s="2659"/>
      <c r="K10" s="2836"/>
      <c r="L10" s="2833"/>
      <c r="M10" s="2833"/>
      <c r="N10" s="2659"/>
      <c r="O10" s="2670"/>
      <c r="P10" s="2659"/>
      <c r="Q10" s="2659"/>
      <c r="R10" s="2659"/>
    </row>
    <row r="11" spans="1:28" ht="25.5">
      <c r="A11" s="2619" t="s">
        <v>2920</v>
      </c>
      <c r="B11" s="2620" t="s">
        <v>3062</v>
      </c>
      <c r="C11" s="2621" t="str">
        <f>B7</f>
        <v>青海开河置业投资有限公司</v>
      </c>
      <c r="D11" s="2622"/>
      <c r="E11" s="2591"/>
      <c r="F11" s="2591"/>
      <c r="G11" s="2591"/>
      <c r="H11" s="2591"/>
      <c r="I11" s="2591"/>
      <c r="J11" s="2659"/>
      <c r="K11" s="2836"/>
      <c r="L11" s="2833"/>
      <c r="M11" s="2833"/>
      <c r="N11" s="2659"/>
      <c r="O11" s="2670"/>
      <c r="P11" s="2659"/>
      <c r="Q11" s="2659"/>
      <c r="R11" s="2659"/>
    </row>
    <row r="12" spans="1:28">
      <c r="A12" s="2623" t="s">
        <v>2921</v>
      </c>
      <c r="B12" s="2620" t="s">
        <v>3065</v>
      </c>
      <c r="C12" s="329" t="s">
        <v>2922</v>
      </c>
      <c r="D12" s="2624" t="s">
        <v>2923</v>
      </c>
      <c r="E12" s="2624" t="s">
        <v>2924</v>
      </c>
      <c r="F12" s="2624" t="s">
        <v>2925</v>
      </c>
      <c r="G12" s="2624" t="s">
        <v>2926</v>
      </c>
      <c r="H12" s="2624" t="s">
        <v>2927</v>
      </c>
      <c r="I12" s="2624" t="s">
        <v>2928</v>
      </c>
      <c r="J12" s="2659"/>
      <c r="K12" s="2836"/>
      <c r="L12" s="2833"/>
      <c r="M12" s="2833"/>
      <c r="N12" s="2659"/>
      <c r="O12" s="2670"/>
      <c r="P12" s="2659"/>
      <c r="Q12" s="2659"/>
      <c r="R12" s="2659"/>
    </row>
    <row r="13" spans="1:28">
      <c r="A13" s="1239"/>
      <c r="B13" s="2625"/>
      <c r="C13" s="2626" t="s">
        <v>2929</v>
      </c>
      <c r="D13" s="964"/>
      <c r="E13" s="964">
        <v>56447</v>
      </c>
      <c r="F13" s="964"/>
      <c r="G13" s="964"/>
      <c r="H13" s="964"/>
      <c r="I13" s="964"/>
      <c r="J13" s="2659"/>
      <c r="K13" s="2836"/>
      <c r="L13" s="2833"/>
      <c r="M13" s="2833"/>
      <c r="N13" s="2659"/>
      <c r="O13" s="2670"/>
      <c r="P13" s="2659"/>
      <c r="Q13" s="2659"/>
      <c r="R13" s="2659"/>
    </row>
    <row r="14" spans="1:28">
      <c r="A14" s="1239"/>
      <c r="B14" s="2625"/>
      <c r="C14" s="2626" t="s">
        <v>2930</v>
      </c>
      <c r="D14" s="2627"/>
      <c r="E14" s="2627">
        <v>40</v>
      </c>
      <c r="F14" s="2627"/>
      <c r="G14" s="2627"/>
      <c r="H14" s="2627"/>
      <c r="I14" s="2627"/>
      <c r="J14" s="2659"/>
      <c r="K14" s="2837"/>
      <c r="L14" s="2833"/>
      <c r="M14" s="2833"/>
      <c r="N14" s="2659"/>
      <c r="O14" s="2670"/>
      <c r="P14" s="2659"/>
      <c r="Q14" s="2659"/>
      <c r="R14" s="2659"/>
    </row>
    <row r="15" spans="1:28">
      <c r="A15" s="326"/>
      <c r="B15" s="2628"/>
      <c r="C15" s="2629" t="s">
        <v>2931</v>
      </c>
      <c r="D15" s="2630" t="str">
        <f>IF(B12="出让",IF(D13="","",ROUNDDOWN(MIN((D13-$D$3)/365,D14),2)),D14)</f>
        <v/>
      </c>
      <c r="E15" s="2630">
        <f>IF(B12="出让",IF(E13="","",ROUNDDOWN(MIN((E13-$D$3)/365,E14),2)),E14)</f>
        <v>32.61</v>
      </c>
      <c r="F15" s="2630" t="str">
        <f>IF(B12="出让",IF(F13="","",ROUNDDOWN(MIN((F13-$D$3)/365,F14),2)),F14)</f>
        <v/>
      </c>
      <c r="G15" s="2630" t="str">
        <f>IF(B12="出让",IF(G13="","",ROUNDDOWN(MIN((G13-$D$3)/365,G14),2)),G14)</f>
        <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2932</v>
      </c>
      <c r="B16" s="3354" t="s">
        <v>3066</v>
      </c>
      <c r="C16" s="3355"/>
      <c r="D16" s="3356"/>
      <c r="E16" s="2633" t="s">
        <v>2933</v>
      </c>
      <c r="F16" s="3357" t="s">
        <v>3067</v>
      </c>
      <c r="G16" s="3358"/>
      <c r="H16" s="3358"/>
      <c r="I16" s="3359"/>
      <c r="J16" s="2659"/>
      <c r="K16" s="2838"/>
      <c r="L16" s="2671"/>
      <c r="M16" s="2671"/>
      <c r="N16" s="2729"/>
      <c r="O16" s="2671"/>
      <c r="P16" s="2729"/>
      <c r="Q16" s="2659"/>
      <c r="R16" s="2659"/>
    </row>
    <row r="17" spans="1:28">
      <c r="A17" s="319" t="s">
        <v>2934</v>
      </c>
      <c r="B17" s="308" t="s">
        <v>2935</v>
      </c>
      <c r="C17" s="11">
        <f>'数据-汇总表'!E3</f>
        <v>66539.560000000012</v>
      </c>
      <c r="D17" s="2542" t="s">
        <v>2936</v>
      </c>
      <c r="E17" s="3360" t="s">
        <v>3069</v>
      </c>
      <c r="F17" s="3361"/>
      <c r="G17" s="3361"/>
      <c r="H17" s="3361"/>
      <c r="I17" s="3362"/>
      <c r="J17" s="2659"/>
      <c r="K17" s="2839"/>
      <c r="L17" s="2671"/>
      <c r="M17" s="2671"/>
      <c r="N17" s="2729"/>
      <c r="O17" s="2671"/>
      <c r="P17" s="2729"/>
      <c r="Q17" s="2659"/>
      <c r="R17" s="2659"/>
      <c r="S17" s="2659"/>
      <c r="T17" s="2659"/>
      <c r="U17" s="2659"/>
      <c r="V17" s="2659"/>
    </row>
    <row r="18" spans="1:28" ht="24.75" thickBot="1">
      <c r="A18" s="2634" t="s">
        <v>2937</v>
      </c>
      <c r="B18" s="1248" t="s">
        <v>2938</v>
      </c>
      <c r="C18" s="2635">
        <f>'数据-汇总表'!D3</f>
        <v>62220.89</v>
      </c>
      <c r="D18" s="1250" t="s">
        <v>2939</v>
      </c>
      <c r="E18" s="3363" t="s">
        <v>3333</v>
      </c>
      <c r="F18" s="3364"/>
      <c r="G18" s="3364"/>
      <c r="H18" s="3364"/>
      <c r="I18" s="3365"/>
      <c r="J18" s="2659"/>
      <c r="K18" s="2839"/>
      <c r="L18" s="2671"/>
      <c r="M18" s="2671"/>
      <c r="N18" s="2729"/>
      <c r="O18" s="2671"/>
      <c r="P18" s="2729"/>
      <c r="Q18" s="2659"/>
      <c r="R18" s="2659"/>
      <c r="S18" s="2659"/>
      <c r="T18" s="2659"/>
      <c r="U18" s="2659"/>
      <c r="V18" s="2659"/>
    </row>
    <row r="19" spans="1:28" ht="37.5" thickTop="1" thickBot="1">
      <c r="A19" s="333" t="s">
        <v>1735</v>
      </c>
      <c r="B19" s="313" t="s">
        <v>2940</v>
      </c>
      <c r="C19" s="1745" t="s">
        <v>3068</v>
      </c>
      <c r="D19" s="1746" t="s">
        <v>2941</v>
      </c>
      <c r="E19" s="1747" t="s">
        <v>3068</v>
      </c>
      <c r="F19" s="1748" t="str">
        <f>IF(AND(C19="是",E19="否"),"是否提供他项权证或相关说明","")</f>
        <v/>
      </c>
      <c r="G19" s="1749"/>
      <c r="H19" s="2885"/>
      <c r="I19" s="2885"/>
      <c r="J19" s="2659"/>
      <c r="K19" s="2836"/>
      <c r="L19" s="2833"/>
      <c r="M19" s="2833"/>
      <c r="N19" s="2729"/>
      <c r="O19" s="2671"/>
      <c r="P19" s="2729"/>
      <c r="Q19" s="2659"/>
      <c r="R19" s="2659"/>
      <c r="S19" s="2659"/>
      <c r="T19" s="2659"/>
      <c r="U19" s="2659"/>
      <c r="V19" s="2659"/>
    </row>
    <row r="20" spans="1:28">
      <c r="A20" s="2853" t="s">
        <v>2942</v>
      </c>
      <c r="B20" s="3350" t="s">
        <v>2943</v>
      </c>
      <c r="C20" s="3351"/>
      <c r="D20" s="3352" t="s">
        <v>2944</v>
      </c>
      <c r="E20" s="3353"/>
      <c r="F20" s="2868" t="s">
        <v>1736</v>
      </c>
      <c r="G20" s="2885"/>
      <c r="H20" s="2885"/>
      <c r="I20" s="2885"/>
      <c r="J20" s="2659"/>
      <c r="K20" s="3349" t="s">
        <v>2945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2"/>
      <c r="O20" s="2631"/>
      <c r="P20" s="2632"/>
      <c r="Q20" s="2591"/>
      <c r="R20" s="2591"/>
      <c r="S20" s="2591"/>
      <c r="T20" s="2591"/>
      <c r="U20" s="2591"/>
      <c r="V20" s="2591"/>
      <c r="W20" s="1928"/>
      <c r="X20" s="1928"/>
      <c r="Y20" s="1928"/>
      <c r="Z20" s="1928"/>
      <c r="AA20" s="1928"/>
      <c r="AB20" s="1928"/>
    </row>
    <row r="21" spans="1:28" ht="24.75" thickBot="1">
      <c r="A21" s="2853"/>
      <c r="B21" s="2854" t="s">
        <v>2946</v>
      </c>
      <c r="C21" s="2855" t="s">
        <v>1737</v>
      </c>
      <c r="D21" s="1750" t="s">
        <v>2947</v>
      </c>
      <c r="E21" s="2856" t="s">
        <v>1737</v>
      </c>
      <c r="F21" s="2869"/>
      <c r="G21" s="2885"/>
      <c r="H21" s="2885"/>
      <c r="I21" s="2885"/>
      <c r="J21" s="2659"/>
      <c r="K21" s="334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0"/>
      <c r="N21" s="2632"/>
      <c r="O21" s="2631"/>
      <c r="P21" s="2632"/>
      <c r="Q21" s="2591"/>
      <c r="R21" s="2591"/>
      <c r="S21" s="2591"/>
      <c r="T21" s="2591"/>
      <c r="U21" s="2591"/>
      <c r="V21" s="2591"/>
      <c r="W21" s="1928"/>
      <c r="X21" s="1928"/>
      <c r="Y21" s="1928"/>
      <c r="Z21" s="1928"/>
      <c r="AA21" s="1928"/>
      <c r="AB21" s="1928"/>
    </row>
    <row r="22" spans="1:28" ht="24.75" thickBot="1">
      <c r="A22" s="2853"/>
      <c r="B22" s="2857" t="s">
        <v>2948</v>
      </c>
      <c r="C22" s="2855" t="s">
        <v>1738</v>
      </c>
      <c r="D22" s="2884"/>
      <c r="E22" s="2884"/>
      <c r="F22" s="2884"/>
      <c r="G22" s="2885"/>
      <c r="H22" s="2885"/>
      <c r="I22" s="2885"/>
      <c r="J22" s="2659"/>
      <c r="K22" s="334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2"/>
      <c r="O22" s="2631"/>
      <c r="P22" s="2632"/>
      <c r="Q22" s="2591"/>
      <c r="R22" s="2591"/>
      <c r="S22" s="2591"/>
      <c r="T22" s="2591"/>
      <c r="U22" s="2591"/>
      <c r="V22" s="2591"/>
      <c r="W22" s="1928"/>
      <c r="X22" s="1928"/>
      <c r="Y22" s="1928"/>
      <c r="Z22" s="1928"/>
      <c r="AA22" s="1928"/>
      <c r="AB22" s="1928"/>
    </row>
    <row r="23" spans="1:28">
      <c r="A23" s="2858" t="s">
        <v>2949</v>
      </c>
      <c r="B23" s="2722" t="s">
        <v>2950</v>
      </c>
      <c r="C23" s="2859"/>
      <c r="D23" s="2860" t="s">
        <v>2950</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1739</v>
      </c>
      <c r="C24" s="2862"/>
      <c r="D24" s="2858" t="s">
        <v>1739</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1740</v>
      </c>
      <c r="C25" s="2862"/>
      <c r="D25" s="2858" t="s">
        <v>1740</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1741</v>
      </c>
      <c r="C26" s="2866"/>
      <c r="D26" s="2864" t="s">
        <v>1741</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337" t="s">
        <v>2951</v>
      </c>
      <c r="B27" s="326" t="s">
        <v>2952</v>
      </c>
      <c r="C27" s="2636" t="s">
        <v>3070</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337"/>
      <c r="B28" s="308" t="s">
        <v>2953</v>
      </c>
      <c r="C28" s="2638" t="s">
        <v>3071</v>
      </c>
      <c r="D28" s="2639"/>
      <c r="E28" s="2885"/>
      <c r="F28" s="2885"/>
      <c r="G28" s="2885"/>
      <c r="H28" s="2885"/>
      <c r="I28" s="2885"/>
      <c r="J28" s="2659"/>
      <c r="K28" s="2836"/>
      <c r="L28" s="2833"/>
      <c r="M28" s="2833"/>
      <c r="N28" s="2659"/>
      <c r="O28" s="2670"/>
      <c r="P28" s="2659"/>
      <c r="Q28" s="2659"/>
      <c r="R28" s="2659"/>
      <c r="S28" s="2659"/>
      <c r="T28" s="2659"/>
      <c r="U28" s="2659"/>
      <c r="V28" s="2659"/>
    </row>
    <row r="29" spans="1:28">
      <c r="A29" s="3337"/>
      <c r="B29" s="308" t="s">
        <v>2954</v>
      </c>
      <c r="C29" s="2640" t="s">
        <v>3068</v>
      </c>
      <c r="D29" s="2641"/>
      <c r="E29" s="2885"/>
      <c r="F29" s="2885"/>
      <c r="G29" s="2885"/>
      <c r="H29" s="2885"/>
      <c r="I29" s="2885"/>
      <c r="J29" s="2659"/>
      <c r="K29" s="2836"/>
      <c r="L29" s="2833"/>
      <c r="M29" s="2833"/>
      <c r="N29" s="2659"/>
      <c r="O29" s="2670"/>
      <c r="P29" s="2659"/>
      <c r="Q29" s="2659"/>
      <c r="R29" s="2659"/>
      <c r="S29" s="2659"/>
      <c r="T29" s="2659"/>
      <c r="U29" s="2659"/>
      <c r="V29" s="2659"/>
    </row>
    <row r="30" spans="1:28">
      <c r="A30" s="3338"/>
      <c r="B30" s="308" t="s">
        <v>2955</v>
      </c>
      <c r="C30" s="3339"/>
      <c r="D30" s="3340"/>
      <c r="E30" s="2885"/>
      <c r="F30" s="2885"/>
      <c r="G30" s="2885"/>
      <c r="H30" s="2885"/>
      <c r="I30" s="2885"/>
      <c r="J30" s="2659"/>
      <c r="K30" s="2836"/>
      <c r="L30" s="2833"/>
      <c r="M30" s="2833"/>
      <c r="N30" s="2659"/>
      <c r="O30" s="2670"/>
      <c r="P30" s="2659"/>
      <c r="Q30" s="2659"/>
      <c r="R30" s="2659"/>
      <c r="S30" s="2659"/>
      <c r="T30" s="2659"/>
      <c r="U30" s="2659"/>
      <c r="V30" s="2659"/>
    </row>
    <row r="31" spans="1:28">
      <c r="A31" s="3341" t="s">
        <v>2956</v>
      </c>
      <c r="B31" s="2642" t="s">
        <v>3072</v>
      </c>
      <c r="C31" s="2543" t="str">
        <f>IF(B31="现房","成新及维护状况正常否",IF(B31="在建","工程状态是否正常",IF(B31="土地","是否闲置","-")))</f>
        <v>成新及维护状况正常否</v>
      </c>
      <c r="D31" s="1554"/>
      <c r="E31" s="2643"/>
      <c r="F31" s="2885"/>
      <c r="G31" s="2885"/>
      <c r="H31" s="2885"/>
      <c r="I31" s="2885"/>
      <c r="J31" s="2659"/>
      <c r="K31" s="2835"/>
      <c r="L31" s="2833"/>
      <c r="M31" s="2833"/>
      <c r="N31" s="2659"/>
      <c r="O31" s="2670"/>
      <c r="P31" s="2659"/>
      <c r="Q31" s="2659"/>
      <c r="R31" s="2659"/>
      <c r="S31" s="2659"/>
      <c r="T31" s="2659"/>
      <c r="U31" s="2659"/>
      <c r="V31" s="2659"/>
    </row>
    <row r="32" spans="1:28">
      <c r="A32" s="3342"/>
      <c r="B32" s="2642"/>
      <c r="C32" s="2543" t="str">
        <f>IF(B32="现房","成新及维护状况是否正常",IF(B32="在建","工程状态是否正常",IF(B32="土地","是否闲置","-")))</f>
        <v>-</v>
      </c>
      <c r="D32" s="1554"/>
      <c r="E32" s="2643"/>
      <c r="F32" s="2885"/>
      <c r="G32" s="2885"/>
      <c r="H32" s="2885"/>
      <c r="I32" s="2885"/>
      <c r="J32" s="2659"/>
      <c r="K32" s="2836"/>
      <c r="L32" s="2833"/>
      <c r="M32" s="2833"/>
      <c r="N32" s="2659"/>
      <c r="O32" s="2670"/>
      <c r="P32" s="2659"/>
      <c r="Q32" s="2659"/>
      <c r="R32" s="2659"/>
      <c r="S32" s="2659"/>
      <c r="T32" s="2659"/>
      <c r="U32" s="2659"/>
      <c r="V32" s="2659"/>
    </row>
    <row r="33" spans="1:30">
      <c r="A33" s="3342"/>
      <c r="B33" s="2645"/>
      <c r="C33" s="1772" t="str">
        <f>IF(B33="现房","成新及维护状况是否正常",IF(B33="在建","工程状态是否正常",IF(B33="土地","是否闲置","-")))</f>
        <v>-</v>
      </c>
      <c r="D33" s="1546"/>
      <c r="E33" s="2646"/>
      <c r="F33" s="2885"/>
      <c r="G33" s="2885"/>
      <c r="H33" s="2885"/>
      <c r="I33" s="2885"/>
      <c r="J33" s="2659"/>
      <c r="K33" s="2836"/>
      <c r="L33" s="2833"/>
      <c r="M33" s="2833"/>
      <c r="N33" s="2659"/>
      <c r="O33" s="2670"/>
      <c r="P33" s="2659"/>
      <c r="Q33" s="2659"/>
      <c r="R33" s="2659"/>
      <c r="S33" s="2659"/>
      <c r="T33" s="2659"/>
      <c r="U33" s="2659"/>
      <c r="V33" s="2659"/>
    </row>
    <row r="34" spans="1:30">
      <c r="A34" s="308" t="s">
        <v>2957</v>
      </c>
      <c r="B34" s="2211" t="s">
        <v>3073</v>
      </c>
      <c r="C34" s="2211" t="s">
        <v>3074</v>
      </c>
      <c r="D34" s="2211" t="s">
        <v>3075</v>
      </c>
      <c r="E34" s="2211" t="s">
        <v>3076</v>
      </c>
      <c r="F34" s="2211" t="s">
        <v>3077</v>
      </c>
      <c r="G34" s="2211" t="s">
        <v>3078</v>
      </c>
      <c r="H34" s="2211" t="s">
        <v>3079</v>
      </c>
      <c r="I34" s="2885"/>
      <c r="J34" s="2659"/>
      <c r="K34" s="2647">
        <f>COUNTIF(B34:H34,"——")</f>
        <v>0</v>
      </c>
      <c r="L34" s="329" t="s">
        <v>2958</v>
      </c>
      <c r="M34" s="329" t="s">
        <v>2959</v>
      </c>
      <c r="N34" s="329" t="s">
        <v>2960</v>
      </c>
      <c r="O34" s="329" t="s">
        <v>2961</v>
      </c>
      <c r="P34" s="329" t="s">
        <v>2962</v>
      </c>
      <c r="Q34" s="329" t="s">
        <v>2963</v>
      </c>
      <c r="R34" s="329" t="s">
        <v>2964</v>
      </c>
      <c r="S34" s="3336" t="s">
        <v>2965</v>
      </c>
      <c r="T34" s="2648" t="str">
        <f>NUMBERSTRING(7-K34,1)&amp;"通"</f>
        <v>七通</v>
      </c>
      <c r="U34" s="2659"/>
      <c r="V34" s="2659"/>
    </row>
    <row r="35" spans="1:30" ht="25.5">
      <c r="A35" s="2649"/>
      <c r="B35" s="3343" t="s">
        <v>2966</v>
      </c>
      <c r="C35" s="3343"/>
      <c r="D35" s="3343"/>
      <c r="E35" s="3343"/>
      <c r="F35" s="673" t="str">
        <f>C10</f>
        <v>青海省西宁市</v>
      </c>
      <c r="G35" s="2885"/>
      <c r="H35" s="2885"/>
      <c r="I35" s="2885"/>
      <c r="J35" s="265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通路、通电、通讯、通上水、通下水、燃气、通热</v>
      </c>
      <c r="S35" s="3336"/>
      <c r="T35" s="335" t="str">
        <f>IF(T34="一通",L35,IF(T34="二通",M35,IF(T34="三通",N35,IF(T34="四通",O35,IF(T34="五通",P35,IF(T34="六通",Q35,R35))))))</f>
        <v>通路、通电、通讯、通上水、通下水、燃气、通热</v>
      </c>
      <c r="U35" s="2659"/>
      <c r="V35" s="2659"/>
    </row>
    <row r="36" spans="1:30">
      <c r="A36" s="2650"/>
      <c r="B36" s="673" t="s">
        <v>2924</v>
      </c>
      <c r="C36" s="673" t="s">
        <v>2925</v>
      </c>
      <c r="D36" s="673" t="s">
        <v>2923</v>
      </c>
      <c r="E36" s="673" t="s">
        <v>2928</v>
      </c>
      <c r="F36" s="2891"/>
      <c r="G36" s="2885"/>
      <c r="H36" s="2885"/>
      <c r="I36" s="2885"/>
      <c r="J36" s="2659"/>
      <c r="K36" s="2836"/>
      <c r="L36" s="2833"/>
      <c r="M36" s="2833"/>
      <c r="N36" s="2659"/>
      <c r="O36" s="2670"/>
      <c r="P36" s="2659"/>
      <c r="Q36" s="2659"/>
      <c r="R36" s="2659"/>
      <c r="S36" s="2659"/>
      <c r="T36" s="2659"/>
      <c r="U36" s="2659"/>
      <c r="V36" s="2659"/>
    </row>
    <row r="37" spans="1:30">
      <c r="A37" s="2851" t="s">
        <v>2967</v>
      </c>
      <c r="B37" s="2651"/>
      <c r="C37" s="2651"/>
      <c r="D37" s="2651"/>
      <c r="E37" s="2651"/>
      <c r="F37" s="2891"/>
      <c r="G37" s="2885"/>
      <c r="H37" s="2885"/>
      <c r="I37" s="2885"/>
      <c r="J37" s="2659"/>
      <c r="K37" s="2836"/>
      <c r="L37" s="2833"/>
      <c r="M37" s="2833"/>
      <c r="N37" s="2659"/>
      <c r="O37" s="2670"/>
      <c r="P37" s="2659"/>
      <c r="Q37" s="2659"/>
      <c r="R37" s="2659"/>
      <c r="S37" s="2659"/>
      <c r="T37" s="2659"/>
      <c r="U37" s="2659"/>
      <c r="V37" s="2659"/>
    </row>
    <row r="38" spans="1:30" ht="13.5" thickBot="1">
      <c r="A38" s="2852" t="s">
        <v>2968</v>
      </c>
      <c r="B38" s="2652"/>
      <c r="C38" s="2652"/>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2969</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1"/>
      <c r="B40" s="2591"/>
      <c r="C40" s="2591"/>
      <c r="D40" s="2591"/>
      <c r="E40" s="2591"/>
      <c r="F40" s="2591"/>
      <c r="G40" s="2591"/>
      <c r="H40" s="2591"/>
      <c r="I40" s="1760"/>
      <c r="J40" s="2729"/>
      <c r="K40" s="2835"/>
      <c r="L40" s="2671"/>
      <c r="M40" s="2671"/>
      <c r="N40" s="2729"/>
      <c r="O40" s="2671"/>
      <c r="P40" s="2659"/>
      <c r="Q40" s="2659"/>
      <c r="R40" s="2659"/>
      <c r="S40" s="2659"/>
      <c r="T40" s="2659"/>
      <c r="U40" s="2659"/>
      <c r="V40" s="2659"/>
    </row>
    <row r="41" spans="1:30">
      <c r="A41" s="2656" t="s">
        <v>2970</v>
      </c>
      <c r="B41" s="1940"/>
      <c r="C41" s="1554"/>
      <c r="D41" s="2591"/>
      <c r="E41" s="2591"/>
      <c r="F41" s="2591"/>
      <c r="G41" s="2591"/>
      <c r="H41" s="2591"/>
      <c r="I41" s="1758"/>
      <c r="J41" s="2659"/>
      <c r="K41" s="2836"/>
      <c r="L41" s="2833"/>
      <c r="M41" s="2833"/>
      <c r="N41" s="2659"/>
      <c r="O41" s="2670"/>
      <c r="P41" s="2659"/>
      <c r="Q41" s="2659"/>
      <c r="R41" s="2659"/>
      <c r="S41" s="2659"/>
      <c r="T41" s="2659"/>
      <c r="U41" s="2659"/>
      <c r="V41" s="2659"/>
    </row>
    <row r="42" spans="1:30" ht="25.5">
      <c r="A42" s="329" t="s">
        <v>2971</v>
      </c>
      <c r="B42" s="11" t="s">
        <v>2972</v>
      </c>
      <c r="C42" s="11" t="s">
        <v>2973</v>
      </c>
      <c r="D42" s="11" t="s">
        <v>2974</v>
      </c>
      <c r="E42" s="11" t="s">
        <v>2975</v>
      </c>
      <c r="F42" s="11" t="s">
        <v>2976</v>
      </c>
      <c r="G42" s="11" t="s">
        <v>2977</v>
      </c>
      <c r="H42" s="11" t="s">
        <v>2978</v>
      </c>
      <c r="I42" s="11" t="s">
        <v>2979</v>
      </c>
      <c r="J42" s="2847" t="s">
        <v>2980</v>
      </c>
      <c r="K42" s="2848" t="s">
        <v>2981</v>
      </c>
      <c r="L42" s="2848" t="s">
        <v>2982</v>
      </c>
      <c r="M42" s="2848" t="s">
        <v>2983</v>
      </c>
      <c r="N42" s="2841" t="s">
        <v>2984</v>
      </c>
      <c r="O42" s="2841" t="s">
        <v>2985</v>
      </c>
      <c r="P42" s="2841" t="s">
        <v>2986</v>
      </c>
      <c r="Q42" s="2842" t="s">
        <v>2987</v>
      </c>
      <c r="R42" s="2842" t="s">
        <v>2988</v>
      </c>
      <c r="S42" s="2659"/>
      <c r="T42" s="2659"/>
      <c r="U42" s="2659"/>
      <c r="V42" s="2659"/>
    </row>
    <row r="43" spans="1:30" s="1926" customFormat="1">
      <c r="A43" s="1752"/>
      <c r="B43" s="1181"/>
      <c r="C43" s="1181"/>
      <c r="D43" s="1181"/>
      <c r="E43" s="1181"/>
      <c r="F43" s="1181"/>
      <c r="G43" s="1181"/>
      <c r="H43" s="1181"/>
      <c r="I43" s="1181"/>
      <c r="J43" s="2657"/>
      <c r="K43" s="2658"/>
      <c r="L43" s="2658"/>
      <c r="M43" s="1181"/>
      <c r="N43" s="1181"/>
      <c r="O43" s="1181"/>
      <c r="P43" s="1181"/>
      <c r="Q43" s="1181"/>
      <c r="R43" s="1181"/>
      <c r="S43" s="2659"/>
      <c r="T43" s="2659"/>
      <c r="U43" s="2659"/>
      <c r="V43" s="2659"/>
    </row>
    <row r="44" spans="1:30" s="1926" customFormat="1">
      <c r="A44" s="1752"/>
      <c r="B44" s="1752"/>
      <c r="C44" s="1181"/>
      <c r="D44" s="1181"/>
      <c r="E44" s="1181"/>
      <c r="F44" s="1181"/>
      <c r="G44" s="1181"/>
      <c r="H44" s="1181"/>
      <c r="I44" s="1181"/>
      <c r="J44" s="2657"/>
      <c r="K44" s="2658"/>
      <c r="L44" s="2658"/>
      <c r="M44" s="1181"/>
      <c r="N44" s="1181"/>
      <c r="O44" s="1181"/>
      <c r="P44" s="1181"/>
      <c r="Q44" s="1181"/>
      <c r="R44" s="1181"/>
      <c r="S44" s="2659"/>
      <c r="T44" s="2659"/>
      <c r="U44" s="2659"/>
      <c r="V44" s="2659"/>
    </row>
    <row r="45" spans="1:30" s="1926" customFormat="1">
      <c r="A45" s="1752"/>
      <c r="B45" s="1752"/>
      <c r="C45" s="1181"/>
      <c r="D45" s="1181"/>
      <c r="E45" s="1181"/>
      <c r="F45" s="1181"/>
      <c r="G45" s="1181"/>
      <c r="H45" s="1181"/>
      <c r="I45" s="1181"/>
      <c r="J45" s="2657"/>
      <c r="K45" s="2658"/>
      <c r="L45" s="2658"/>
      <c r="M45" s="1181"/>
      <c r="N45" s="1181"/>
      <c r="O45" s="1181"/>
      <c r="P45" s="1181"/>
      <c r="Q45" s="1181"/>
      <c r="R45" s="1181"/>
      <c r="S45" s="2659"/>
      <c r="T45" s="2659"/>
      <c r="U45" s="2659"/>
      <c r="V45" s="2659"/>
    </row>
    <row r="46" spans="1:30" s="1926" customFormat="1">
      <c r="A46" s="1752"/>
      <c r="B46" s="1752"/>
      <c r="C46" s="1181"/>
      <c r="D46" s="1181"/>
      <c r="E46" s="1181"/>
      <c r="F46" s="1181"/>
      <c r="G46" s="1181"/>
      <c r="H46" s="1181"/>
      <c r="I46" s="1181"/>
      <c r="J46" s="2657"/>
      <c r="K46" s="2658"/>
      <c r="L46" s="2658"/>
      <c r="M46" s="1181"/>
      <c r="N46" s="1181"/>
      <c r="O46" s="1181"/>
      <c r="P46" s="1181"/>
      <c r="Q46" s="1181"/>
      <c r="R46" s="1181"/>
      <c r="S46" s="2659"/>
      <c r="T46" s="2659"/>
      <c r="U46" s="2659"/>
      <c r="V46" s="2659"/>
    </row>
    <row r="47" spans="1:30" s="1926" customFormat="1">
      <c r="A47" s="1752"/>
      <c r="B47" s="1752"/>
      <c r="C47" s="1181"/>
      <c r="D47" s="1181"/>
      <c r="E47" s="1181"/>
      <c r="F47" s="1181"/>
      <c r="G47" s="1181"/>
      <c r="H47" s="1181"/>
      <c r="I47" s="1181"/>
      <c r="J47" s="2657"/>
      <c r="K47" s="2658"/>
      <c r="L47" s="2658"/>
      <c r="M47" s="1181"/>
      <c r="N47" s="1181"/>
      <c r="O47" s="1181"/>
      <c r="P47" s="1181"/>
      <c r="Q47" s="1181"/>
      <c r="R47" s="1181"/>
      <c r="S47" s="2659"/>
      <c r="T47" s="2659"/>
      <c r="U47" s="2659"/>
      <c r="V47" s="2659"/>
    </row>
    <row r="48" spans="1:30" s="1926" customFormat="1">
      <c r="A48" s="1752"/>
      <c r="B48" s="1752"/>
      <c r="C48" s="1181"/>
      <c r="D48" s="1181"/>
      <c r="E48" s="1181"/>
      <c r="F48" s="1181"/>
      <c r="G48" s="1181"/>
      <c r="H48" s="1181"/>
      <c r="I48" s="1181"/>
      <c r="J48" s="2657"/>
      <c r="K48" s="2658"/>
      <c r="L48" s="2658"/>
      <c r="M48" s="1181"/>
      <c r="N48" s="1181"/>
      <c r="O48" s="1181"/>
      <c r="P48" s="1181"/>
      <c r="Q48" s="1181"/>
      <c r="R48" s="1181"/>
      <c r="S48" s="2659"/>
      <c r="T48" s="2659"/>
      <c r="U48" s="2659"/>
      <c r="V48" s="2659"/>
    </row>
    <row r="49" spans="1:22" s="1926" customFormat="1">
      <c r="A49" s="1752"/>
      <c r="B49" s="1752"/>
      <c r="C49" s="1181"/>
      <c r="D49" s="1181"/>
      <c r="E49" s="1181"/>
      <c r="F49" s="1181"/>
      <c r="G49" s="1181"/>
      <c r="H49" s="1181"/>
      <c r="I49" s="1181"/>
      <c r="J49" s="2657"/>
      <c r="K49" s="2658"/>
      <c r="L49" s="2658"/>
      <c r="M49" s="1181"/>
      <c r="N49" s="1181"/>
      <c r="O49" s="1181"/>
      <c r="P49" s="1181"/>
      <c r="Q49" s="1181"/>
      <c r="R49" s="1181"/>
      <c r="S49" s="2659"/>
      <c r="T49" s="2659"/>
      <c r="U49" s="2659"/>
      <c r="V49" s="2659"/>
    </row>
    <row r="50" spans="1:22" s="1926" customFormat="1">
      <c r="A50" s="1752"/>
      <c r="B50" s="1752"/>
      <c r="C50" s="1181"/>
      <c r="D50" s="1181"/>
      <c r="E50" s="1181"/>
      <c r="F50" s="1181"/>
      <c r="G50" s="1181"/>
      <c r="H50" s="1181"/>
      <c r="I50" s="1181"/>
      <c r="J50" s="2657"/>
      <c r="K50" s="2658"/>
      <c r="L50" s="2658"/>
      <c r="M50" s="1181"/>
      <c r="N50" s="1181"/>
      <c r="O50" s="1181"/>
      <c r="P50" s="1181"/>
      <c r="Q50" s="1181"/>
      <c r="R50" s="1181"/>
      <c r="S50" s="2659"/>
      <c r="T50" s="2659"/>
      <c r="U50" s="2659"/>
      <c r="V50" s="2659"/>
    </row>
    <row r="51" spans="1:22" s="1926" customFormat="1">
      <c r="A51" s="1752"/>
      <c r="B51" s="1752"/>
      <c r="C51" s="1181"/>
      <c r="D51" s="1181"/>
      <c r="E51" s="1181"/>
      <c r="F51" s="1181"/>
      <c r="G51" s="1181"/>
      <c r="H51" s="1181"/>
      <c r="I51" s="1181"/>
      <c r="J51" s="2657"/>
      <c r="K51" s="2658"/>
      <c r="L51" s="2658"/>
      <c r="M51" s="1181"/>
      <c r="N51" s="1181"/>
      <c r="O51" s="1181"/>
      <c r="P51" s="1181"/>
      <c r="Q51" s="1181"/>
      <c r="R51" s="1181"/>
    </row>
    <row r="52" spans="1:22" s="1926" customFormat="1">
      <c r="A52" s="1752"/>
      <c r="B52" s="1752"/>
      <c r="C52" s="1752"/>
      <c r="D52" s="1752"/>
      <c r="E52" s="1752"/>
      <c r="F52" s="1181"/>
      <c r="G52" s="1752"/>
      <c r="H52" s="1752"/>
      <c r="I52" s="1752"/>
      <c r="J52" s="2660"/>
      <c r="K52" s="2658"/>
      <c r="L52" s="2658"/>
      <c r="M52" s="2658"/>
      <c r="N52" s="1752"/>
      <c r="O52" s="1752"/>
      <c r="P52" s="1752"/>
      <c r="Q52" s="1752"/>
      <c r="R52" s="1752"/>
    </row>
    <row r="53" spans="1:22" s="1926" customFormat="1">
      <c r="A53" s="1752"/>
      <c r="B53" s="1752"/>
      <c r="C53" s="1752"/>
      <c r="D53" s="1752"/>
      <c r="E53" s="1752"/>
      <c r="F53" s="1181"/>
      <c r="G53" s="1752"/>
      <c r="H53" s="1752"/>
      <c r="I53" s="1752"/>
      <c r="J53" s="2660"/>
      <c r="K53" s="2658"/>
      <c r="L53" s="2658"/>
      <c r="M53" s="2658"/>
      <c r="N53" s="1752"/>
      <c r="O53" s="1752"/>
      <c r="P53" s="1752"/>
      <c r="Q53" s="1752"/>
      <c r="R53" s="1752"/>
    </row>
    <row r="54" spans="1:22" s="1926" customFormat="1">
      <c r="A54" s="1752"/>
      <c r="B54" s="1752"/>
      <c r="C54" s="1752"/>
      <c r="D54" s="1752"/>
      <c r="E54" s="1752"/>
      <c r="F54" s="1181"/>
      <c r="G54" s="1752"/>
      <c r="H54" s="1752"/>
      <c r="I54" s="1752"/>
      <c r="J54" s="2660"/>
      <c r="K54" s="2658"/>
      <c r="L54" s="2658"/>
      <c r="M54" s="2658"/>
      <c r="N54" s="1752"/>
      <c r="O54" s="1752"/>
      <c r="P54" s="1752"/>
      <c r="Q54" s="1752"/>
      <c r="R54" s="1752"/>
    </row>
    <row r="55" spans="1:22" s="1926" customFormat="1">
      <c r="A55" s="1752"/>
      <c r="B55" s="1752"/>
      <c r="C55" s="1752"/>
      <c r="D55" s="1752"/>
      <c r="E55" s="1752"/>
      <c r="F55" s="1181"/>
      <c r="G55" s="1752"/>
      <c r="H55" s="1752"/>
      <c r="I55" s="1752"/>
      <c r="J55" s="2660"/>
      <c r="K55" s="2658"/>
      <c r="L55" s="2658"/>
      <c r="M55" s="2658"/>
      <c r="N55" s="1752"/>
      <c r="O55" s="1752"/>
      <c r="P55" s="1752"/>
      <c r="Q55" s="1752"/>
      <c r="R55" s="1752"/>
    </row>
    <row r="56" spans="1:22" s="1926" customFormat="1">
      <c r="A56" s="1752"/>
      <c r="B56" s="1752"/>
      <c r="C56" s="1752"/>
      <c r="D56" s="1752"/>
      <c r="E56" s="1752"/>
      <c r="F56" s="1181"/>
      <c r="G56" s="1752"/>
      <c r="H56" s="1752"/>
      <c r="I56" s="1752"/>
      <c r="J56" s="2660"/>
      <c r="K56" s="2658"/>
      <c r="L56" s="2658"/>
      <c r="M56" s="2658"/>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1742</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1743</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1744</v>
      </c>
      <c r="B2" s="11" t="s">
        <v>1745</v>
      </c>
      <c r="C2" s="11" t="s">
        <v>1746</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8" t="s">
        <v>1747</v>
      </c>
      <c r="AZ2" s="1179" t="s">
        <v>1748</v>
      </c>
      <c r="BA2" s="11" t="s">
        <v>1749</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f>C15</f>
        <v>62220.893809981317</v>
      </c>
      <c r="B3" s="14">
        <f>IF(C3="否",G5-AT5,G5)</f>
        <v>66539.560000000012</v>
      </c>
      <c r="C3" s="1762" t="s">
        <v>1750</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80"/>
      <c r="AZ3" s="1181"/>
      <c r="BA3" s="1182"/>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1751</v>
      </c>
      <c r="B5" s="1528"/>
      <c r="C5" s="1528"/>
      <c r="D5" s="1530"/>
      <c r="E5" s="16" t="s">
        <v>1</v>
      </c>
      <c r="F5" s="16">
        <f>SUM(F13:F587)</f>
        <v>0</v>
      </c>
      <c r="G5" s="16">
        <f>SUM(G13:G587)</f>
        <v>66539.560000000012</v>
      </c>
      <c r="H5" s="16">
        <f t="shared" ref="H5:AT5" si="0">SUM(H13:H656)</f>
        <v>66183.320000000007</v>
      </c>
      <c r="I5" s="16">
        <f t="shared" si="0"/>
        <v>32395.93</v>
      </c>
      <c r="J5" s="16">
        <f t="shared" si="0"/>
        <v>0</v>
      </c>
      <c r="K5" s="16">
        <f t="shared" si="0"/>
        <v>33787.39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356.24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356.24</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1751</v>
      </c>
      <c r="AW5" s="1528"/>
      <c r="AX5" s="1528"/>
      <c r="AY5" s="17" t="s">
        <v>3</v>
      </c>
      <c r="AZ5" s="18">
        <f t="shared" ref="AZ5:BT5" si="1">SUM(AZ13:AZ656)</f>
        <v>66539.560000000012</v>
      </c>
      <c r="BA5" s="18">
        <f t="shared" si="1"/>
        <v>66183.320000000007</v>
      </c>
      <c r="BB5" s="18">
        <f t="shared" si="1"/>
        <v>32395.93</v>
      </c>
      <c r="BC5" s="18">
        <f t="shared" si="1"/>
        <v>33787.39</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356.24</v>
      </c>
      <c r="BM5" s="18">
        <f t="shared" si="1"/>
        <v>0</v>
      </c>
      <c r="BN5" s="18">
        <f t="shared" si="1"/>
        <v>0</v>
      </c>
      <c r="BO5" s="18">
        <f t="shared" si="1"/>
        <v>0</v>
      </c>
      <c r="BP5" s="18">
        <f t="shared" si="1"/>
        <v>0</v>
      </c>
      <c r="BQ5" s="18">
        <f t="shared" si="1"/>
        <v>356.24</v>
      </c>
      <c r="BR5" s="18">
        <f t="shared" si="1"/>
        <v>0</v>
      </c>
      <c r="BS5" s="18">
        <f t="shared" si="1"/>
        <v>0</v>
      </c>
      <c r="BT5" s="19">
        <f t="shared" si="1"/>
        <v>0</v>
      </c>
    </row>
    <row r="6" spans="1:72" s="1771" customFormat="1" ht="12.75">
      <c r="A6" s="15" t="s">
        <v>1752</v>
      </c>
      <c r="B6" s="1768"/>
      <c r="C6" s="1768"/>
      <c r="D6" s="1769"/>
      <c r="E6" s="16">
        <f>H6+AC6+AT6</f>
        <v>62220.890000000007</v>
      </c>
      <c r="F6" s="16" t="s">
        <v>1</v>
      </c>
      <c r="G6" s="16" t="s">
        <v>2</v>
      </c>
      <c r="H6" s="20">
        <f>SUMIF(I$12:AB$12,"总值",I6:AB6)</f>
        <v>61887.770000000004</v>
      </c>
      <c r="I6" s="16">
        <f t="shared" ref="I6:AB6" si="2">ROUND($A$3*I5/$B$3,2)</f>
        <v>30293.31</v>
      </c>
      <c r="J6" s="16">
        <f t="shared" si="2"/>
        <v>0</v>
      </c>
      <c r="K6" s="16">
        <f t="shared" si="2"/>
        <v>31594.46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333.12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333.12</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1752</v>
      </c>
      <c r="AW6" s="1768"/>
      <c r="AX6" s="1768"/>
      <c r="AY6" s="21">
        <f>IF(AY3&gt;0,AY3,ROUND($A$3*AZ5/$B$3,2))</f>
        <v>62220.89</v>
      </c>
      <c r="AZ6" s="16" t="s">
        <v>3</v>
      </c>
      <c r="BA6" s="16">
        <f>ROUND($AY$6*BA5/$AZ$5,2)</f>
        <v>61887.77</v>
      </c>
      <c r="BB6" s="16">
        <f>ROUND($AY$6*BB5/$AZ$5,2)</f>
        <v>30293.31</v>
      </c>
      <c r="BC6" s="16">
        <f t="shared" ref="BC6:BH6" si="4">ROUND($AY$6*BC5/$AZ$5,2)</f>
        <v>31594.46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333.12</v>
      </c>
      <c r="BM6" s="16">
        <f t="shared" si="5"/>
        <v>0</v>
      </c>
      <c r="BN6" s="16">
        <f t="shared" si="5"/>
        <v>0</v>
      </c>
      <c r="BO6" s="16">
        <f t="shared" si="5"/>
        <v>0</v>
      </c>
      <c r="BP6" s="16">
        <f t="shared" si="5"/>
        <v>0</v>
      </c>
      <c r="BQ6" s="16">
        <f t="shared" si="5"/>
        <v>333.12</v>
      </c>
      <c r="BR6" s="16">
        <f t="shared" si="5"/>
        <v>0</v>
      </c>
      <c r="BS6" s="16">
        <f t="shared" si="5"/>
        <v>0</v>
      </c>
      <c r="BT6" s="22">
        <f t="shared" si="5"/>
        <v>0</v>
      </c>
    </row>
    <row r="7" spans="1:72" s="1761" customFormat="1" ht="24.75">
      <c r="A7" s="1751" t="s">
        <v>1753</v>
      </c>
      <c r="B7" s="1751" t="s">
        <v>1754</v>
      </c>
      <c r="C7" s="1751" t="s">
        <v>1755</v>
      </c>
      <c r="D7" s="1751" t="s">
        <v>1756</v>
      </c>
      <c r="E7" s="1751" t="s">
        <v>1757</v>
      </c>
      <c r="F7" s="1751" t="s">
        <v>1758</v>
      </c>
      <c r="G7" s="1772" t="s">
        <v>1759</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1760</v>
      </c>
      <c r="AV7" s="23" t="s">
        <v>1761</v>
      </c>
      <c r="AW7" s="1760" t="s">
        <v>1762</v>
      </c>
      <c r="AX7" s="23" t="s">
        <v>1755</v>
      </c>
      <c r="AY7" s="1528" t="s">
        <v>1763</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1764</v>
      </c>
      <c r="H8" s="1778" t="s">
        <v>1765</v>
      </c>
      <c r="I8" s="1779"/>
      <c r="J8" s="1541"/>
      <c r="K8" s="1541"/>
      <c r="L8" s="1541"/>
      <c r="M8" s="1541"/>
      <c r="N8" s="1541"/>
      <c r="O8" s="1541"/>
      <c r="P8" s="1541"/>
      <c r="Q8" s="1541"/>
      <c r="R8" s="1541"/>
      <c r="S8" s="1541"/>
      <c r="T8" s="1541"/>
      <c r="U8" s="1541"/>
      <c r="V8" s="1780"/>
      <c r="W8" s="1541"/>
      <c r="X8" s="1541"/>
      <c r="Y8" s="1541"/>
      <c r="Z8" s="1541"/>
      <c r="AA8" s="1780"/>
      <c r="AB8" s="1781"/>
      <c r="AC8" s="917" t="s">
        <v>1766</v>
      </c>
      <c r="AD8" s="1782"/>
      <c r="AE8" s="1774"/>
      <c r="AF8" s="1541"/>
      <c r="AG8" s="1541"/>
      <c r="AH8" s="1541"/>
      <c r="AI8" s="1541"/>
      <c r="AJ8" s="1541"/>
      <c r="AK8" s="1541"/>
      <c r="AL8" s="1541"/>
      <c r="AM8" s="1541"/>
      <c r="AN8" s="1541"/>
      <c r="AO8" s="1541"/>
      <c r="AP8" s="1541"/>
      <c r="AQ8" s="1541"/>
      <c r="AR8" s="1541"/>
      <c r="AS8" s="1541"/>
      <c r="AT8" s="1201" t="s">
        <v>1767</v>
      </c>
      <c r="AU8" s="1776" t="s">
        <v>1768</v>
      </c>
      <c r="AV8" s="1201"/>
      <c r="AW8" s="1759"/>
      <c r="AX8" s="1201"/>
      <c r="AY8" s="1760" t="s">
        <v>1769</v>
      </c>
      <c r="AZ8" s="1540" t="s">
        <v>1770</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1"/>
      <c r="H9" s="1784" t="s">
        <v>1771</v>
      </c>
      <c r="I9" s="1785" t="s">
        <v>3081</v>
      </c>
      <c r="J9" s="917"/>
      <c r="K9" s="1785" t="s">
        <v>3081</v>
      </c>
      <c r="L9" s="917"/>
      <c r="M9" s="1785"/>
      <c r="N9" s="917"/>
      <c r="O9" s="1785"/>
      <c r="P9" s="917"/>
      <c r="Q9" s="1785"/>
      <c r="R9" s="917"/>
      <c r="S9" s="1785"/>
      <c r="T9" s="917"/>
      <c r="U9" s="1785"/>
      <c r="V9" s="917"/>
      <c r="W9" s="1785"/>
      <c r="X9" s="1786"/>
      <c r="Y9" s="1785"/>
      <c r="Z9" s="917"/>
      <c r="AA9" s="1785"/>
      <c r="AB9" s="917"/>
      <c r="AC9" s="1777" t="s">
        <v>1771</v>
      </c>
      <c r="AD9" s="15" t="s">
        <v>1772</v>
      </c>
      <c r="AE9" s="1207"/>
      <c r="AF9" s="15" t="s">
        <v>1773</v>
      </c>
      <c r="AG9" s="1207"/>
      <c r="AH9" s="15" t="s">
        <v>1772</v>
      </c>
      <c r="AI9" s="1207"/>
      <c r="AJ9" s="15" t="s">
        <v>1773</v>
      </c>
      <c r="AK9" s="1207"/>
      <c r="AL9" s="15" t="s">
        <v>1772</v>
      </c>
      <c r="AM9" s="1207"/>
      <c r="AN9" s="15" t="s">
        <v>1773</v>
      </c>
      <c r="AO9" s="1207"/>
      <c r="AP9" s="15" t="s">
        <v>1772</v>
      </c>
      <c r="AQ9" s="1207"/>
      <c r="AR9" s="15" t="s">
        <v>1773</v>
      </c>
      <c r="AS9" s="1787"/>
      <c r="AT9" s="1776"/>
      <c r="AU9" s="1776" t="s">
        <v>1774</v>
      </c>
      <c r="AV9" s="1201"/>
      <c r="AW9" s="1759"/>
      <c r="AX9" s="1201"/>
      <c r="AY9" s="28"/>
      <c r="AZ9" s="28" t="s">
        <v>1764</v>
      </c>
      <c r="BA9" s="1788" t="s">
        <v>1775</v>
      </c>
      <c r="BB9" s="1789"/>
      <c r="BC9" s="1246"/>
      <c r="BD9" s="1246"/>
      <c r="BE9" s="1246"/>
      <c r="BF9" s="1246"/>
      <c r="BG9" s="1246"/>
      <c r="BH9" s="1246"/>
      <c r="BI9" s="1246"/>
      <c r="BJ9" s="1246"/>
      <c r="BK9" s="1790"/>
      <c r="BL9" s="15" t="s">
        <v>1776</v>
      </c>
      <c r="BM9" s="1541"/>
      <c r="BN9" s="1779"/>
      <c r="BO9" s="1541"/>
      <c r="BP9" s="1541"/>
      <c r="BQ9" s="1541"/>
      <c r="BR9" s="1541"/>
      <c r="BS9" s="1541"/>
      <c r="BT9" s="26"/>
    </row>
    <row r="10" spans="1:72" s="1783" customFormat="1" ht="12.75">
      <c r="A10" s="1776"/>
      <c r="B10" s="1776"/>
      <c r="C10" s="1776"/>
      <c r="D10" s="1776"/>
      <c r="E10" s="1776"/>
      <c r="F10" s="1776"/>
      <c r="G10" s="1201"/>
      <c r="H10" s="28"/>
      <c r="I10" s="1785" t="s">
        <v>1337</v>
      </c>
      <c r="J10" s="917"/>
      <c r="K10" s="1791" t="s">
        <v>1337</v>
      </c>
      <c r="L10" s="917"/>
      <c r="M10" s="1791"/>
      <c r="N10" s="917"/>
      <c r="O10" s="1791"/>
      <c r="P10" s="917"/>
      <c r="Q10" s="1791"/>
      <c r="R10" s="917"/>
      <c r="S10" s="1791"/>
      <c r="T10" s="917"/>
      <c r="U10" s="1791"/>
      <c r="V10" s="917"/>
      <c r="W10" s="1791"/>
      <c r="X10" s="917"/>
      <c r="Y10" s="1791"/>
      <c r="Z10" s="917"/>
      <c r="AA10" s="1791"/>
      <c r="AB10" s="917"/>
      <c r="AC10" s="1201"/>
      <c r="AD10" s="15" t="s">
        <v>1777</v>
      </c>
      <c r="AE10" s="1792"/>
      <c r="AF10" s="15" t="s">
        <v>1777</v>
      </c>
      <c r="AG10" s="1792"/>
      <c r="AH10" s="15" t="s">
        <v>1778</v>
      </c>
      <c r="AI10" s="1792"/>
      <c r="AJ10" s="15" t="s">
        <v>1778</v>
      </c>
      <c r="AK10" s="1792"/>
      <c r="AL10" s="15" t="s">
        <v>1779</v>
      </c>
      <c r="AM10" s="1207"/>
      <c r="AN10" s="15" t="s">
        <v>1779</v>
      </c>
      <c r="AO10" s="1207"/>
      <c r="AP10" s="15" t="s">
        <v>1780</v>
      </c>
      <c r="AQ10" s="1207"/>
      <c r="AR10" s="15" t="s">
        <v>1780</v>
      </c>
      <c r="AS10" s="1207"/>
      <c r="AT10" s="1776"/>
      <c r="AU10" s="1776"/>
      <c r="AV10" s="1201"/>
      <c r="AW10" s="1759"/>
      <c r="AX10" s="1201"/>
      <c r="AY10" s="28"/>
      <c r="AZ10" s="28"/>
      <c r="BA10" s="1793" t="s">
        <v>1771</v>
      </c>
      <c r="BB10" s="1794" t="str">
        <f>I9</f>
        <v>地上</v>
      </c>
      <c r="BC10" s="29" t="str">
        <f>K9</f>
        <v>地上</v>
      </c>
      <c r="BD10" s="29">
        <f>M9</f>
        <v>0</v>
      </c>
      <c r="BE10" s="29">
        <f>O9</f>
        <v>0</v>
      </c>
      <c r="BF10" s="29">
        <f>Q9</f>
        <v>0</v>
      </c>
      <c r="BG10" s="29">
        <f>S9</f>
        <v>0</v>
      </c>
      <c r="BH10" s="29">
        <f>U9</f>
        <v>0</v>
      </c>
      <c r="BI10" s="29">
        <f>W9</f>
        <v>0</v>
      </c>
      <c r="BJ10" s="29">
        <f>Y9</f>
        <v>0</v>
      </c>
      <c r="BK10" s="29">
        <f>AA9</f>
        <v>0</v>
      </c>
      <c r="BL10" s="25" t="s">
        <v>1771</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1"/>
      <c r="H11" s="1793"/>
      <c r="I11" s="1796" t="s">
        <v>3082</v>
      </c>
      <c r="J11" s="1797"/>
      <c r="K11" s="1796"/>
      <c r="L11" s="1797"/>
      <c r="M11" s="1796"/>
      <c r="N11" s="1797"/>
      <c r="O11" s="1796"/>
      <c r="P11" s="1797"/>
      <c r="Q11" s="1796"/>
      <c r="R11" s="1797"/>
      <c r="S11" s="1796"/>
      <c r="T11" s="1797"/>
      <c r="U11" s="1796"/>
      <c r="V11" s="1797"/>
      <c r="W11" s="1796"/>
      <c r="X11" s="1797"/>
      <c r="Y11" s="1796"/>
      <c r="Z11" s="1797"/>
      <c r="AA11" s="1796"/>
      <c r="AB11" s="1797"/>
      <c r="AC11" s="1201"/>
      <c r="AD11" s="1798" t="s">
        <v>1781</v>
      </c>
      <c r="AE11" s="1542"/>
      <c r="AF11" s="1798" t="s">
        <v>1781</v>
      </c>
      <c r="AG11" s="1542"/>
      <c r="AH11" s="1798" t="s">
        <v>1782</v>
      </c>
      <c r="AI11" s="1799"/>
      <c r="AJ11" s="1798" t="s">
        <v>1782</v>
      </c>
      <c r="AK11" s="1542"/>
      <c r="AL11" s="1540"/>
      <c r="AM11" s="1542"/>
      <c r="AN11" s="1540"/>
      <c r="AO11" s="1542"/>
      <c r="AP11" s="1540"/>
      <c r="AQ11" s="1542"/>
      <c r="AR11" s="1540"/>
      <c r="AS11" s="1542"/>
      <c r="AT11" s="1759"/>
      <c r="AU11" s="1776"/>
      <c r="AV11" s="1201"/>
      <c r="AW11" s="1759"/>
      <c r="AX11" s="1201"/>
      <c r="AY11" s="28"/>
      <c r="AZ11" s="28"/>
      <c r="BA11" s="28"/>
      <c r="BB11" s="1781" t="str">
        <f>I10</f>
        <v>商业</v>
      </c>
      <c r="BC11" s="1781" t="str">
        <f>K10</f>
        <v>商业</v>
      </c>
      <c r="BD11" s="1781">
        <f>M10</f>
        <v>0</v>
      </c>
      <c r="BE11" s="1781">
        <f>O10</f>
        <v>0</v>
      </c>
      <c r="BF11" s="1781">
        <f>Q10</f>
        <v>0</v>
      </c>
      <c r="BG11" s="1781">
        <f>S10</f>
        <v>0</v>
      </c>
      <c r="BH11" s="1781">
        <f>U10</f>
        <v>0</v>
      </c>
      <c r="BI11" s="1781">
        <f>W10</f>
        <v>0</v>
      </c>
      <c r="BJ11" s="1781">
        <f>Y10</f>
        <v>0</v>
      </c>
      <c r="BK11" s="1781">
        <f>AA10</f>
        <v>0</v>
      </c>
      <c r="BL11" s="1201"/>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1783</v>
      </c>
      <c r="J12" s="11" t="s">
        <v>1784</v>
      </c>
      <c r="K12" s="11" t="s">
        <v>1783</v>
      </c>
      <c r="L12" s="11" t="s">
        <v>1784</v>
      </c>
      <c r="M12" s="11" t="s">
        <v>1783</v>
      </c>
      <c r="N12" s="11" t="s">
        <v>1784</v>
      </c>
      <c r="O12" s="11" t="s">
        <v>1783</v>
      </c>
      <c r="P12" s="11" t="s">
        <v>1784</v>
      </c>
      <c r="Q12" s="11" t="s">
        <v>1783</v>
      </c>
      <c r="R12" s="11" t="s">
        <v>1784</v>
      </c>
      <c r="S12" s="11" t="s">
        <v>1783</v>
      </c>
      <c r="T12" s="11" t="s">
        <v>1784</v>
      </c>
      <c r="U12" s="11" t="s">
        <v>1783</v>
      </c>
      <c r="V12" s="1527" t="s">
        <v>1784</v>
      </c>
      <c r="W12" s="11" t="s">
        <v>1783</v>
      </c>
      <c r="X12" s="11" t="s">
        <v>1784</v>
      </c>
      <c r="Y12" s="11" t="s">
        <v>1783</v>
      </c>
      <c r="Z12" s="11" t="s">
        <v>1784</v>
      </c>
      <c r="AA12" s="11" t="s">
        <v>1783</v>
      </c>
      <c r="AB12" s="11" t="s">
        <v>1784</v>
      </c>
      <c r="AC12" s="1803"/>
      <c r="AD12" s="1530" t="s">
        <v>1783</v>
      </c>
      <c r="AE12" s="11" t="s">
        <v>1784</v>
      </c>
      <c r="AF12" s="11" t="s">
        <v>1783</v>
      </c>
      <c r="AG12" s="11" t="s">
        <v>1784</v>
      </c>
      <c r="AH12" s="11" t="s">
        <v>1783</v>
      </c>
      <c r="AI12" s="11" t="s">
        <v>1784</v>
      </c>
      <c r="AJ12" s="11" t="s">
        <v>1783</v>
      </c>
      <c r="AK12" s="11" t="s">
        <v>1784</v>
      </c>
      <c r="AL12" s="11" t="s">
        <v>1783</v>
      </c>
      <c r="AM12" s="11" t="s">
        <v>1784</v>
      </c>
      <c r="AN12" s="11" t="s">
        <v>1783</v>
      </c>
      <c r="AO12" s="11" t="s">
        <v>1784</v>
      </c>
      <c r="AP12" s="11" t="s">
        <v>1783</v>
      </c>
      <c r="AQ12" s="11" t="s">
        <v>1784</v>
      </c>
      <c r="AR12" s="30" t="s">
        <v>1783</v>
      </c>
      <c r="AS12" s="1801" t="s">
        <v>1784</v>
      </c>
      <c r="AT12" s="1804"/>
      <c r="AU12" s="1801"/>
      <c r="AV12" s="31"/>
      <c r="AW12" s="1760"/>
      <c r="AX12" s="31"/>
      <c r="AY12" s="1805"/>
      <c r="AZ12" s="28"/>
      <c r="BA12" s="1793"/>
      <c r="BB12" s="24" t="str">
        <f>I11</f>
        <v>酒店</v>
      </c>
      <c r="BC12" s="1806">
        <f>K11</f>
        <v>0</v>
      </c>
      <c r="BD12" s="1806">
        <f>M11</f>
        <v>0</v>
      </c>
      <c r="BE12" s="1781">
        <f>O11</f>
        <v>0</v>
      </c>
      <c r="BF12" s="1781">
        <f>Q11</f>
        <v>0</v>
      </c>
      <c r="BG12" s="1781">
        <f>S11</f>
        <v>0</v>
      </c>
      <c r="BH12" s="1781">
        <f>U11</f>
        <v>0</v>
      </c>
      <c r="BI12" s="1781">
        <f>W11</f>
        <v>0</v>
      </c>
      <c r="BJ12" s="1781">
        <f>Y11</f>
        <v>0</v>
      </c>
      <c r="BK12" s="1781">
        <f>AA11</f>
        <v>0</v>
      </c>
      <c r="BL12" s="1201"/>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1"/>
      <c r="B13" s="1181"/>
      <c r="C13" s="1181"/>
      <c r="D13" s="1807" t="s">
        <v>3083</v>
      </c>
      <c r="E13" s="16">
        <f>IF($C$3="是",ROUND($A$3*G13/$B$3,2),ROUND($A$3*(G13-AT13)/$B$3,2))</f>
        <v>62220.89</v>
      </c>
      <c r="F13" s="32"/>
      <c r="G13" s="33">
        <f>H13+AC13+AT13</f>
        <v>66539.560000000012</v>
      </c>
      <c r="H13" s="20">
        <f>SUMIF(I$12:AB$12,"总值",I13:AB13)</f>
        <v>66183.320000000007</v>
      </c>
      <c r="I13" s="1808">
        <v>32395.93</v>
      </c>
      <c r="J13" s="1808"/>
      <c r="K13" s="1808">
        <v>33787.39</v>
      </c>
      <c r="L13" s="1808"/>
      <c r="M13" s="1808"/>
      <c r="N13" s="1808"/>
      <c r="O13" s="1808"/>
      <c r="P13" s="1808"/>
      <c r="Q13" s="1808"/>
      <c r="R13" s="1808"/>
      <c r="S13" s="1808"/>
      <c r="T13" s="1808"/>
      <c r="U13" s="1808"/>
      <c r="V13" s="1808"/>
      <c r="W13" s="1808"/>
      <c r="X13" s="1808"/>
      <c r="Y13" s="1808"/>
      <c r="Z13" s="1808"/>
      <c r="AA13" s="1808"/>
      <c r="AB13" s="1808"/>
      <c r="AC13" s="16">
        <f>SUMIF(AD$12:AS$12,"总值",AD13:AS13)</f>
        <v>356.24</v>
      </c>
      <c r="AD13" s="1809"/>
      <c r="AE13" s="1809"/>
      <c r="AF13" s="1809"/>
      <c r="AG13" s="1809"/>
      <c r="AH13" s="1809"/>
      <c r="AI13" s="1809"/>
      <c r="AJ13" s="1809"/>
      <c r="AK13" s="1809"/>
      <c r="AL13" s="3087">
        <v>356.24</v>
      </c>
      <c r="AM13" s="1809"/>
      <c r="AN13" s="1809"/>
      <c r="AO13" s="1809"/>
      <c r="AP13" s="1809"/>
      <c r="AQ13" s="1809"/>
      <c r="AR13" s="1809"/>
      <c r="AS13" s="1809"/>
      <c r="AT13" s="1810"/>
      <c r="AU13" s="1811"/>
      <c r="AV13" s="11">
        <f t="shared" ref="AV13:AX17" si="6">A13</f>
        <v>0</v>
      </c>
      <c r="AW13" s="11">
        <f t="shared" si="6"/>
        <v>0</v>
      </c>
      <c r="AX13" s="11">
        <f t="shared" si="6"/>
        <v>0</v>
      </c>
      <c r="AY13" s="1530">
        <f>ROUND($AY$6*AZ13/$AZ$5,2)</f>
        <v>62220.89</v>
      </c>
      <c r="AZ13" s="16">
        <f>BA13+BL13</f>
        <v>66539.560000000012</v>
      </c>
      <c r="BA13" s="16">
        <f>SUM(BB13:BK13)</f>
        <v>66183.320000000007</v>
      </c>
      <c r="BB13" s="16">
        <f>IF($D13="是",I13-J13,0)</f>
        <v>32395.93</v>
      </c>
      <c r="BC13" s="16">
        <f>IF($D13="是",K13-L13,0)</f>
        <v>33787.39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356.24</v>
      </c>
      <c r="BM13" s="16">
        <f>IF($D13="是",AD13-AE13,0)</f>
        <v>0</v>
      </c>
      <c r="BN13" s="16">
        <f>IF($D13="是",AF13-AG13,0)</f>
        <v>0</v>
      </c>
      <c r="BO13" s="16">
        <f>IF($D13="是",AH13-AI13,0)</f>
        <v>0</v>
      </c>
      <c r="BP13" s="16">
        <f>IF($D13="是",AJ13-AK13,0)</f>
        <v>0</v>
      </c>
      <c r="BQ13" s="16">
        <f>IF($D13="是",AL13-AM13,0)</f>
        <v>356.24</v>
      </c>
      <c r="BR13" s="16">
        <f>IF($D13="是",AN13-AO13,0)</f>
        <v>0</v>
      </c>
      <c r="BS13" s="16">
        <f>IF($D13="是",AP13-AQ13,0)</f>
        <v>0</v>
      </c>
      <c r="BT13" s="22">
        <f>IF($D13="是",AR13-AS13,0)</f>
        <v>0</v>
      </c>
    </row>
    <row r="14" spans="1:72" s="1761" customFormat="1" ht="25.5">
      <c r="A14" s="3069" t="s">
        <v>3080</v>
      </c>
      <c r="B14" s="3069" t="s">
        <v>3085</v>
      </c>
      <c r="C14" s="3071" t="s">
        <v>3086</v>
      </c>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t="str">
        <f t="shared" si="6"/>
        <v>土地面积</v>
      </c>
      <c r="AW14" s="11" t="str">
        <f t="shared" si="6"/>
        <v>建筑面积</v>
      </c>
      <c r="AX14" s="11" t="str">
        <f t="shared" si="6"/>
        <v>分摊土地面积</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3">
        <v>100055.3</v>
      </c>
      <c r="B15" s="1181">
        <v>107000</v>
      </c>
      <c r="C15" s="3072">
        <f>A15*B3/B15</f>
        <v>62220.893809981317</v>
      </c>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100055.3</v>
      </c>
      <c r="AW15" s="11">
        <f t="shared" si="6"/>
        <v>107000</v>
      </c>
      <c r="AX15" s="11">
        <f t="shared" si="6"/>
        <v>62220.893809981317</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1"/>
      <c r="B16" s="1181"/>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1"/>
      <c r="B17" s="1181"/>
      <c r="C17" s="1752">
        <f>26649.2+5330.5+356.2</f>
        <v>32335.9</v>
      </c>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32335.9</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6" t="s">
        <v>0</v>
      </c>
      <c r="B1" s="3366" t="s">
        <v>4</v>
      </c>
      <c r="C1" s="3366" t="s">
        <v>5</v>
      </c>
      <c r="D1" s="3367" t="s">
        <v>53</v>
      </c>
      <c r="E1" s="3367" t="s">
        <v>54</v>
      </c>
      <c r="F1" s="3367"/>
      <c r="G1" s="3367"/>
      <c r="H1" s="3367"/>
      <c r="I1" s="3367"/>
      <c r="J1" s="3367"/>
      <c r="K1" s="3367"/>
      <c r="L1" s="3367"/>
      <c r="M1" s="3367"/>
    </row>
    <row r="2" spans="1:13" ht="27" customHeight="1">
      <c r="A2" s="3366"/>
      <c r="B2" s="3366"/>
      <c r="C2" s="3366"/>
      <c r="D2" s="3367"/>
      <c r="E2" s="3367" t="s">
        <v>37</v>
      </c>
      <c r="F2" s="3367" t="s">
        <v>38</v>
      </c>
      <c r="G2" s="3367"/>
      <c r="H2" s="3367"/>
      <c r="I2" s="3367"/>
      <c r="J2" s="3367" t="s">
        <v>39</v>
      </c>
      <c r="K2" s="3367"/>
      <c r="L2" s="3367"/>
      <c r="M2" s="3367"/>
    </row>
    <row r="3" spans="1:13" ht="28.5">
      <c r="A3" s="3366"/>
      <c r="B3" s="3366"/>
      <c r="C3" s="3366"/>
      <c r="D3" s="3367"/>
      <c r="E3" s="33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7" t="s">
        <v>55</v>
      </c>
      <c r="B9" s="3367"/>
      <c r="C9" s="33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0"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1810</v>
      </c>
      <c r="B1" s="1299"/>
      <c r="C1" s="1299"/>
      <c r="D1" s="1299"/>
      <c r="E1" s="1299"/>
      <c r="F1" s="1299"/>
      <c r="G1" s="1299"/>
      <c r="H1" s="1299"/>
      <c r="I1" s="1299"/>
      <c r="J1" s="1299"/>
      <c r="K1" s="1299"/>
      <c r="L1" s="1299"/>
      <c r="M1" s="1299"/>
      <c r="N1" s="1299"/>
      <c r="O1" s="1299"/>
      <c r="P1" s="1299"/>
    </row>
    <row r="2" spans="1:16" ht="15">
      <c r="A2" s="3377" t="s">
        <v>1811</v>
      </c>
      <c r="B2" s="3377"/>
      <c r="C2" s="3377"/>
      <c r="D2" s="903" t="s">
        <v>1787</v>
      </c>
      <c r="E2" s="1821" t="s">
        <v>1788</v>
      </c>
      <c r="F2" s="2880"/>
      <c r="G2" s="2871"/>
      <c r="H2" s="2872"/>
      <c r="I2" s="2545" t="s">
        <v>1812</v>
      </c>
      <c r="J2" s="2880"/>
      <c r="K2" s="2880"/>
      <c r="L2" s="2880"/>
      <c r="M2" s="2880"/>
      <c r="N2" s="2882"/>
      <c r="O2" s="2880"/>
      <c r="P2" s="2880"/>
    </row>
    <row r="3" spans="1:16" ht="15.75" thickBot="1">
      <c r="A3" s="3378" t="s">
        <v>1785</v>
      </c>
      <c r="B3" s="3378"/>
      <c r="C3" s="3378"/>
      <c r="D3" s="46">
        <f>'数据-基础表'!AY6</f>
        <v>62220.89</v>
      </c>
      <c r="E3" s="46">
        <f>'数据-基础表'!AZ5</f>
        <v>66539.560000000012</v>
      </c>
      <c r="F3" s="2880"/>
      <c r="G3" s="1305"/>
      <c r="H3" s="1156" t="s">
        <v>1786</v>
      </c>
      <c r="I3" s="963">
        <f>ROUND('数据-基础表'!B3/'数据-基础表'!A3,2)</f>
        <v>1.07</v>
      </c>
      <c r="J3" s="2880"/>
      <c r="K3" s="2880"/>
      <c r="L3" s="2880"/>
      <c r="M3" s="2880"/>
      <c r="N3" s="2882"/>
      <c r="O3" s="2880"/>
      <c r="P3" s="2880"/>
    </row>
    <row r="4" spans="1:16" ht="15">
      <c r="A4" s="3379"/>
      <c r="B4" s="3380"/>
      <c r="C4" s="3381"/>
      <c r="D4" s="1823" t="s">
        <v>1787</v>
      </c>
      <c r="E4" s="1824" t="s">
        <v>1788</v>
      </c>
      <c r="F4" s="2880"/>
      <c r="G4" s="2873" t="s">
        <v>1813</v>
      </c>
      <c r="H4" s="1156" t="s">
        <v>1793</v>
      </c>
      <c r="I4" s="963">
        <f>ROUND(SUMIF('数据-基础表'!I9:AS9,"地上",'数据-基础表'!I5:AS5)/'数据-基础表'!A3,2)</f>
        <v>1.07</v>
      </c>
      <c r="J4" s="2880"/>
      <c r="K4" s="2880"/>
      <c r="L4" s="2880"/>
      <c r="M4" s="2880"/>
      <c r="N4" s="2882"/>
      <c r="O4" s="2880"/>
      <c r="P4" s="2880"/>
    </row>
    <row r="5" spans="1:16">
      <c r="A5" s="47" t="s">
        <v>1789</v>
      </c>
      <c r="B5" s="3382" t="s">
        <v>1790</v>
      </c>
      <c r="C5" s="3382"/>
      <c r="D5" s="48">
        <f>ROUND($D$3*E5/$E$3,2)</f>
        <v>0</v>
      </c>
      <c r="E5" s="49">
        <f>SUMIF('数据-基础表'!$11:$11,"住宅",'数据-基础表'!$5:$5)</f>
        <v>0</v>
      </c>
      <c r="F5" s="2880"/>
      <c r="G5" s="1305"/>
      <c r="H5" s="1156" t="s">
        <v>1786</v>
      </c>
      <c r="I5" s="963">
        <f>ROUND(E31/D31,2)</f>
        <v>1.07</v>
      </c>
      <c r="J5" s="2880"/>
      <c r="K5" s="2880"/>
      <c r="L5" s="2880"/>
      <c r="M5" s="2880"/>
      <c r="N5" s="2880"/>
      <c r="O5" s="2880"/>
      <c r="P5" s="2880"/>
    </row>
    <row r="6" spans="1:16" ht="15" thickBot="1">
      <c r="A6" s="1826"/>
      <c r="B6" s="3382" t="s">
        <v>1791</v>
      </c>
      <c r="C6" s="3382"/>
      <c r="D6" s="48">
        <f>ROUND($D$3*E6/$E$3,2)</f>
        <v>62220.89</v>
      </c>
      <c r="E6" s="49">
        <f>E3-E5</f>
        <v>66539.560000000012</v>
      </c>
      <c r="F6" s="2880"/>
      <c r="G6" s="2874" t="s">
        <v>1792</v>
      </c>
      <c r="H6" s="1306" t="s">
        <v>1793</v>
      </c>
      <c r="I6" s="2875">
        <f>ROUND(F31/D31,2)</f>
        <v>1.07</v>
      </c>
      <c r="J6" s="2880"/>
      <c r="K6" s="2880"/>
      <c r="L6" s="2880"/>
      <c r="M6" s="2880"/>
      <c r="N6" s="2880"/>
      <c r="O6" s="2880"/>
      <c r="P6" s="2880"/>
    </row>
    <row r="7" spans="1:16" ht="15.75" thickBot="1">
      <c r="A7" s="3374"/>
      <c r="B7" s="3375"/>
      <c r="C7" s="3376"/>
      <c r="D7" s="1823" t="s">
        <v>1787</v>
      </c>
      <c r="E7" s="1827" t="s">
        <v>1794</v>
      </c>
      <c r="F7" s="2880"/>
      <c r="G7" s="2876" t="s">
        <v>1795</v>
      </c>
      <c r="H7" s="2877"/>
      <c r="I7" s="2878"/>
      <c r="J7" s="2880"/>
      <c r="K7" s="2880"/>
      <c r="L7" s="2880"/>
      <c r="M7" s="2880"/>
      <c r="N7" s="2880"/>
      <c r="O7" s="2880"/>
      <c r="P7" s="2880"/>
    </row>
    <row r="8" spans="1:16">
      <c r="A8" s="47" t="s">
        <v>1796</v>
      </c>
      <c r="B8" s="50" t="s">
        <v>1797</v>
      </c>
      <c r="C8" s="48" t="s">
        <v>1798</v>
      </c>
      <c r="D8" s="48">
        <f t="shared" ref="D8:D15" si="0">ROUND($D$3*E8/$E$3,2)</f>
        <v>61887.77</v>
      </c>
      <c r="E8" s="51">
        <f>SUMIF('数据-基础表'!BB10:BK10,"地上",'数据-基础表'!BB5:BK5)</f>
        <v>66183.320000000007</v>
      </c>
      <c r="F8" s="2880"/>
      <c r="G8" s="2881"/>
      <c r="H8" s="2881"/>
      <c r="I8" s="2880"/>
      <c r="J8" s="2880"/>
      <c r="K8" s="2880"/>
      <c r="L8" s="2880"/>
      <c r="M8" s="2880"/>
      <c r="N8" s="2880"/>
      <c r="O8" s="2880"/>
      <c r="P8" s="2880"/>
    </row>
    <row r="9" spans="1:16">
      <c r="A9" s="1828"/>
      <c r="B9" s="1829"/>
      <c r="C9" s="48" t="s">
        <v>1799</v>
      </c>
      <c r="D9" s="48">
        <f t="shared" si="0"/>
        <v>0</v>
      </c>
      <c r="E9" s="52">
        <v>0</v>
      </c>
      <c r="F9" s="2880"/>
      <c r="G9" s="2881"/>
      <c r="H9" s="2881"/>
      <c r="I9" s="2880"/>
      <c r="J9" s="2880"/>
      <c r="K9" s="2880"/>
      <c r="L9" s="2880"/>
      <c r="M9" s="2880"/>
      <c r="N9" s="2880"/>
      <c r="O9" s="2880"/>
      <c r="P9" s="2880"/>
    </row>
    <row r="10" spans="1:16">
      <c r="A10" s="1828"/>
      <c r="B10" s="1829"/>
      <c r="C10" s="48" t="s">
        <v>1808</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8"/>
      <c r="B11" s="1829"/>
      <c r="C11" s="48" t="s">
        <v>1800</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8"/>
      <c r="B12" s="1829"/>
      <c r="C12" s="48" t="s">
        <v>1801</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8"/>
      <c r="B13" s="1829"/>
      <c r="C13" s="48" t="s">
        <v>1802</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28"/>
      <c r="B14" s="1829"/>
      <c r="C14" s="48" t="s">
        <v>1814</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8"/>
      <c r="B15" s="1829"/>
      <c r="C15" s="48" t="s">
        <v>1809</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6"/>
      <c r="B16" s="1829"/>
      <c r="C16" s="50" t="s">
        <v>1803</v>
      </c>
      <c r="D16" s="50">
        <f>SUM(D8:D15)</f>
        <v>61887.77</v>
      </c>
      <c r="E16" s="53">
        <f>SUM(E8:E15)</f>
        <v>66183.320000000007</v>
      </c>
      <c r="F16" s="2880"/>
      <c r="G16" s="2881"/>
      <c r="H16" s="1830" t="s">
        <v>1815</v>
      </c>
      <c r="I16" s="1831"/>
      <c r="J16" s="1299"/>
      <c r="K16" s="3371" t="s">
        <v>1815</v>
      </c>
      <c r="L16" s="3372"/>
      <c r="M16" s="3372"/>
      <c r="N16" s="3372"/>
      <c r="O16" s="3372"/>
      <c r="P16" s="3373"/>
    </row>
    <row r="17" spans="1:19" ht="15">
      <c r="A17" s="1832" t="s">
        <v>1816</v>
      </c>
      <c r="B17" s="1833" t="s">
        <v>1817</v>
      </c>
      <c r="C17" s="1834" t="s">
        <v>1818</v>
      </c>
      <c r="D17" s="1835" t="s">
        <v>1806</v>
      </c>
      <c r="E17" s="1836" t="s">
        <v>1807</v>
      </c>
      <c r="F17" s="1837"/>
      <c r="G17" s="1838"/>
      <c r="H17" s="1839" t="s">
        <v>1819</v>
      </c>
      <c r="I17" s="1840" t="s">
        <v>1804</v>
      </c>
      <c r="J17" s="1299"/>
      <c r="K17" s="3368" t="s">
        <v>1820</v>
      </c>
      <c r="L17" s="3369"/>
      <c r="M17" s="3370"/>
      <c r="N17" s="3368" t="s">
        <v>1821</v>
      </c>
      <c r="O17" s="3369"/>
      <c r="P17" s="3370"/>
      <c r="R17" s="1822" t="s">
        <v>1822</v>
      </c>
      <c r="S17" s="60"/>
    </row>
    <row r="18" spans="1:19" ht="15">
      <c r="A18" s="1828"/>
      <c r="B18" s="1841"/>
      <c r="C18" s="1842"/>
      <c r="D18" s="1843"/>
      <c r="E18" s="1844" t="s">
        <v>1823</v>
      </c>
      <c r="F18" s="1845" t="s">
        <v>1824</v>
      </c>
      <c r="G18" s="1846" t="s">
        <v>1825</v>
      </c>
      <c r="H18" s="1171" t="s">
        <v>1826</v>
      </c>
      <c r="I18" s="1847" t="s">
        <v>1827</v>
      </c>
      <c r="J18" s="1299"/>
      <c r="K18" s="1171" t="s">
        <v>1828</v>
      </c>
      <c r="L18" s="1848" t="s">
        <v>1829</v>
      </c>
      <c r="M18" s="963" t="s">
        <v>1830</v>
      </c>
      <c r="N18" s="1171" t="s">
        <v>1828</v>
      </c>
      <c r="O18" s="1848" t="s">
        <v>1829</v>
      </c>
      <c r="P18" s="963" t="s">
        <v>1830</v>
      </c>
      <c r="R18" s="1156" t="s">
        <v>1831</v>
      </c>
      <c r="S18" s="1156" t="s">
        <v>1832</v>
      </c>
    </row>
    <row r="19" spans="1:19">
      <c r="A19" s="1849"/>
      <c r="B19" s="50" t="s">
        <v>1805</v>
      </c>
      <c r="C19" s="3070" t="s">
        <v>3577</v>
      </c>
      <c r="D19" s="48">
        <f>ROUND($D$3*E19/$E$3,2)</f>
        <v>30293.31</v>
      </c>
      <c r="E19" s="56">
        <f t="shared" ref="E19:E26" si="1">SUM(F19:G19)</f>
        <v>32395.93</v>
      </c>
      <c r="F19" s="3020">
        <f>'数据-基础表'!I13</f>
        <v>32395.93</v>
      </c>
      <c r="G19" s="3021"/>
      <c r="H19" s="679">
        <f>ROUND($D$3*I19/$E$3,2)</f>
        <v>163.06</v>
      </c>
      <c r="I19" s="51">
        <f t="shared" ref="I19:I26" si="2">IF($I$17="自定义",P19,M19)</f>
        <v>174.38</v>
      </c>
      <c r="J19" s="1299"/>
      <c r="K19" s="1298">
        <f t="shared" ref="K19:K26" si="3">ROUND(E$28*E19/E$27,2)</f>
        <v>174.38</v>
      </c>
      <c r="L19" s="1156">
        <f t="shared" ref="L19:L26" si="4">ROUND(IF(COUNTIF(C19,"*住宅*")&gt;0,E$29*E19/E$32,0),2)</f>
        <v>0</v>
      </c>
      <c r="M19" s="1310">
        <f>K19+L19</f>
        <v>174.38</v>
      </c>
      <c r="N19" s="1851"/>
      <c r="O19" s="1852"/>
      <c r="P19" s="1310">
        <f>N19+O19</f>
        <v>0</v>
      </c>
      <c r="R19" s="1156">
        <f t="shared" ref="R19:S26" si="5">D19+H19</f>
        <v>30456.370000000003</v>
      </c>
      <c r="S19" s="1157">
        <f t="shared" si="5"/>
        <v>32570.31</v>
      </c>
    </row>
    <row r="20" spans="1:19">
      <c r="A20" s="1853"/>
      <c r="B20" s="50" t="s">
        <v>1833</v>
      </c>
      <c r="C20" s="3070" t="s">
        <v>3578</v>
      </c>
      <c r="D20" s="48">
        <f t="shared" ref="D20:D26" si="6">ROUND($D$3*E20/$E$3,2)</f>
        <v>31594.46</v>
      </c>
      <c r="E20" s="56">
        <f t="shared" si="1"/>
        <v>33787.39</v>
      </c>
      <c r="F20" s="3020">
        <f>'数据-基础表'!K13</f>
        <v>33787.39</v>
      </c>
      <c r="G20" s="3021"/>
      <c r="H20" s="679">
        <f t="shared" ref="H20:H26" si="7">ROUND($D$3*I20/$E$3,2)</f>
        <v>170.06</v>
      </c>
      <c r="I20" s="51">
        <f t="shared" si="2"/>
        <v>181.86</v>
      </c>
      <c r="J20" s="1299"/>
      <c r="K20" s="1298">
        <f t="shared" si="3"/>
        <v>181.86</v>
      </c>
      <c r="L20" s="1156">
        <f t="shared" si="4"/>
        <v>0</v>
      </c>
      <c r="M20" s="1310">
        <f t="shared" ref="M20:M26" si="8">K20+L20</f>
        <v>181.86</v>
      </c>
      <c r="N20" s="1851"/>
      <c r="O20" s="1852"/>
      <c r="P20" s="1310">
        <f t="shared" ref="P20:P26" si="9">N20+O20</f>
        <v>0</v>
      </c>
      <c r="R20" s="1156">
        <f t="shared" si="5"/>
        <v>31764.52</v>
      </c>
      <c r="S20" s="1157">
        <f t="shared" si="5"/>
        <v>33969.25</v>
      </c>
    </row>
    <row r="21" spans="1:19">
      <c r="A21" s="1853"/>
      <c r="B21" s="50" t="s">
        <v>1833</v>
      </c>
      <c r="C21" s="1850"/>
      <c r="D21" s="48">
        <f t="shared" si="6"/>
        <v>0</v>
      </c>
      <c r="E21" s="56">
        <f t="shared" si="1"/>
        <v>0</v>
      </c>
      <c r="F21" s="3020"/>
      <c r="G21" s="3021"/>
      <c r="H21" s="679">
        <f t="shared" si="7"/>
        <v>0</v>
      </c>
      <c r="I21" s="51">
        <f t="shared" si="2"/>
        <v>0</v>
      </c>
      <c r="J21" s="1299"/>
      <c r="K21" s="1298">
        <f t="shared" si="3"/>
        <v>0</v>
      </c>
      <c r="L21" s="1156">
        <f t="shared" si="4"/>
        <v>0</v>
      </c>
      <c r="M21" s="1310">
        <f t="shared" si="8"/>
        <v>0</v>
      </c>
      <c r="N21" s="1851"/>
      <c r="O21" s="1852"/>
      <c r="P21" s="1310">
        <f t="shared" si="9"/>
        <v>0</v>
      </c>
      <c r="R21" s="1156">
        <f t="shared" si="5"/>
        <v>0</v>
      </c>
      <c r="S21" s="1157">
        <f t="shared" si="5"/>
        <v>0</v>
      </c>
    </row>
    <row r="22" spans="1:19">
      <c r="A22" s="1853"/>
      <c r="B22" s="50" t="s">
        <v>1833</v>
      </c>
      <c r="C22" s="58"/>
      <c r="D22" s="48">
        <f t="shared" si="6"/>
        <v>0</v>
      </c>
      <c r="E22" s="56">
        <f t="shared" si="1"/>
        <v>0</v>
      </c>
      <c r="F22" s="3022"/>
      <c r="G22" s="3023"/>
      <c r="H22" s="679">
        <f t="shared" si="7"/>
        <v>0</v>
      </c>
      <c r="I22" s="51">
        <f t="shared" si="2"/>
        <v>0</v>
      </c>
      <c r="J22" s="1299"/>
      <c r="K22" s="1298">
        <f t="shared" si="3"/>
        <v>0</v>
      </c>
      <c r="L22" s="1156">
        <f t="shared" si="4"/>
        <v>0</v>
      </c>
      <c r="M22" s="1310">
        <f t="shared" si="8"/>
        <v>0</v>
      </c>
      <c r="N22" s="1851"/>
      <c r="O22" s="1852"/>
      <c r="P22" s="1310">
        <f t="shared" si="9"/>
        <v>0</v>
      </c>
      <c r="R22" s="1156">
        <f t="shared" si="5"/>
        <v>0</v>
      </c>
      <c r="S22" s="1157">
        <f t="shared" si="5"/>
        <v>0</v>
      </c>
    </row>
    <row r="23" spans="1:19">
      <c r="A23" s="1853"/>
      <c r="B23" s="50" t="s">
        <v>1833</v>
      </c>
      <c r="C23" s="58"/>
      <c r="D23" s="48">
        <f>ROUND($D$3*E23/$E$3,2)</f>
        <v>0</v>
      </c>
      <c r="E23" s="56">
        <f>SUM(F23:G23)</f>
        <v>0</v>
      </c>
      <c r="F23" s="3022"/>
      <c r="G23" s="3023"/>
      <c r="H23" s="679">
        <f>ROUND($D$3*I23/$E$3,2)</f>
        <v>0</v>
      </c>
      <c r="I23" s="51">
        <f t="shared" si="2"/>
        <v>0</v>
      </c>
      <c r="J23" s="1299"/>
      <c r="K23" s="1298">
        <f t="shared" si="3"/>
        <v>0</v>
      </c>
      <c r="L23" s="1156">
        <f t="shared" si="4"/>
        <v>0</v>
      </c>
      <c r="M23" s="1310">
        <f t="shared" si="8"/>
        <v>0</v>
      </c>
      <c r="N23" s="1851"/>
      <c r="O23" s="1852"/>
      <c r="P23" s="1310">
        <f t="shared" si="9"/>
        <v>0</v>
      </c>
      <c r="R23" s="1156">
        <f t="shared" si="5"/>
        <v>0</v>
      </c>
      <c r="S23" s="1157">
        <f t="shared" si="5"/>
        <v>0</v>
      </c>
    </row>
    <row r="24" spans="1:19">
      <c r="A24" s="1853"/>
      <c r="B24" s="50" t="s">
        <v>1833</v>
      </c>
      <c r="C24" s="58"/>
      <c r="D24" s="48">
        <f>ROUND($D$3*E24/$E$3,2)</f>
        <v>0</v>
      </c>
      <c r="E24" s="56">
        <f>SUM(F24:G24)</f>
        <v>0</v>
      </c>
      <c r="F24" s="3022"/>
      <c r="G24" s="3023"/>
      <c r="H24" s="679">
        <f>ROUND($D$3*I24/$E$3,2)</f>
        <v>0</v>
      </c>
      <c r="I24" s="51">
        <f t="shared" si="2"/>
        <v>0</v>
      </c>
      <c r="J24" s="1299"/>
      <c r="K24" s="1298">
        <f t="shared" si="3"/>
        <v>0</v>
      </c>
      <c r="L24" s="1156">
        <f t="shared" si="4"/>
        <v>0</v>
      </c>
      <c r="M24" s="1310">
        <f t="shared" si="8"/>
        <v>0</v>
      </c>
      <c r="N24" s="1851"/>
      <c r="O24" s="1852"/>
      <c r="P24" s="1310">
        <f t="shared" si="9"/>
        <v>0</v>
      </c>
      <c r="R24" s="1156">
        <f t="shared" si="5"/>
        <v>0</v>
      </c>
      <c r="S24" s="1157">
        <f t="shared" si="5"/>
        <v>0</v>
      </c>
    </row>
    <row r="25" spans="1:19">
      <c r="A25" s="1853"/>
      <c r="B25" s="50" t="s">
        <v>1833</v>
      </c>
      <c r="C25" s="58"/>
      <c r="D25" s="48">
        <f t="shared" si="6"/>
        <v>0</v>
      </c>
      <c r="E25" s="56">
        <f t="shared" si="1"/>
        <v>0</v>
      </c>
      <c r="F25" s="3022"/>
      <c r="G25" s="3023"/>
      <c r="H25" s="47">
        <f t="shared" si="7"/>
        <v>0</v>
      </c>
      <c r="I25" s="51">
        <f t="shared" si="2"/>
        <v>0</v>
      </c>
      <c r="J25" s="1299"/>
      <c r="K25" s="1298">
        <f t="shared" si="3"/>
        <v>0</v>
      </c>
      <c r="L25" s="1156">
        <f t="shared" si="4"/>
        <v>0</v>
      </c>
      <c r="M25" s="1310">
        <f t="shared" si="8"/>
        <v>0</v>
      </c>
      <c r="N25" s="1851"/>
      <c r="O25" s="1852"/>
      <c r="P25" s="1310">
        <f t="shared" si="9"/>
        <v>0</v>
      </c>
      <c r="R25" s="1156">
        <f t="shared" si="5"/>
        <v>0</v>
      </c>
      <c r="S25" s="1157">
        <f t="shared" si="5"/>
        <v>0</v>
      </c>
    </row>
    <row r="26" spans="1:19">
      <c r="A26" s="1853"/>
      <c r="B26" s="50" t="s">
        <v>1833</v>
      </c>
      <c r="C26" s="59"/>
      <c r="D26" s="48">
        <f t="shared" si="6"/>
        <v>0</v>
      </c>
      <c r="E26" s="56">
        <f t="shared" si="1"/>
        <v>0</v>
      </c>
      <c r="F26" s="3022"/>
      <c r="G26" s="3023"/>
      <c r="H26" s="47">
        <f t="shared" si="7"/>
        <v>0</v>
      </c>
      <c r="I26" s="51">
        <f t="shared" si="2"/>
        <v>0</v>
      </c>
      <c r="J26" s="1299"/>
      <c r="K26" s="1305">
        <f t="shared" si="3"/>
        <v>0</v>
      </c>
      <c r="L26" s="1306">
        <f t="shared" si="4"/>
        <v>0</v>
      </c>
      <c r="M26" s="63">
        <f t="shared" si="8"/>
        <v>0</v>
      </c>
      <c r="N26" s="1854"/>
      <c r="O26" s="1855"/>
      <c r="P26" s="63">
        <f t="shared" si="9"/>
        <v>0</v>
      </c>
      <c r="R26" s="1156">
        <f t="shared" si="5"/>
        <v>0</v>
      </c>
      <c r="S26" s="1157">
        <f t="shared" si="5"/>
        <v>0</v>
      </c>
    </row>
    <row r="27" spans="1:19" ht="15.75" thickBot="1">
      <c r="A27" s="1853"/>
      <c r="B27" s="48"/>
      <c r="C27" s="1856" t="s">
        <v>1834</v>
      </c>
      <c r="D27" s="1300">
        <f>SUM(D19:D26)</f>
        <v>61887.770000000004</v>
      </c>
      <c r="E27" s="1301">
        <f>IF(SUM(E19:E26)='数据-基础表'!BA5,SUM(E19:E26),IF(F27="地上面积有误","面积有误","地下面积有误"))</f>
        <v>66183.320000000007</v>
      </c>
      <c r="F27" s="1300">
        <f>IF(SUM(F19:F26)=E8,SUM(F19:F26),"地上面积有误")</f>
        <v>66183.320000000007</v>
      </c>
      <c r="G27" s="1302">
        <f>SUM(G19:G26)</f>
        <v>0</v>
      </c>
      <c r="H27" s="1303">
        <f>SUM(H19:H26)</f>
        <v>333.12</v>
      </c>
      <c r="I27" s="1304">
        <f>SUM(I19:I26)</f>
        <v>356.24</v>
      </c>
      <c r="J27" s="1299"/>
      <c r="K27" s="1307">
        <f t="shared" ref="K27:P27" si="10">SUM(K19:K26)</f>
        <v>356.24</v>
      </c>
      <c r="L27" s="1308">
        <f t="shared" si="10"/>
        <v>0</v>
      </c>
      <c r="M27" s="1311">
        <f t="shared" si="10"/>
        <v>356.24</v>
      </c>
      <c r="N27" s="1307">
        <f t="shared" si="10"/>
        <v>0</v>
      </c>
      <c r="O27" s="1308">
        <f t="shared" si="10"/>
        <v>0</v>
      </c>
      <c r="P27" s="1309">
        <f t="shared" si="10"/>
        <v>0</v>
      </c>
      <c r="R27" s="1158">
        <f>IF(SUM(R19:R26)=$D$3,SUM(R19:R26),SUM(R19:R26)&amp;"误差"&amp;ROUND(SUM(R19:R26)-$D$3,2))</f>
        <v>62220.89</v>
      </c>
      <c r="S27" s="1156">
        <f>IF(SUM(S19:S26)=$E$3,SUM(S19:S26),SUM(S19:S26)&amp;"误差"&amp;ROUND(SUM(S19:S26)-E3,2))</f>
        <v>66539.56</v>
      </c>
    </row>
    <row r="28" spans="1:19">
      <c r="A28" s="1853"/>
      <c r="B28" s="50" t="s">
        <v>1835</v>
      </c>
      <c r="C28" s="1168" t="s">
        <v>1836</v>
      </c>
      <c r="D28" s="48">
        <f>ROUND($D$3*E28/$E$3,2)</f>
        <v>333.12</v>
      </c>
      <c r="E28" s="56">
        <f>SUM(F28:G28)</f>
        <v>356.24</v>
      </c>
      <c r="F28" s="60">
        <f>'数据-基础表'!BQ5+'数据-基础表'!BS5</f>
        <v>356.24</v>
      </c>
      <c r="G28" s="61">
        <f>'数据-基础表'!BR5+'数据-基础表'!BT5</f>
        <v>0</v>
      </c>
      <c r="H28" s="2880"/>
      <c r="I28" s="2880"/>
      <c r="J28" s="2880"/>
      <c r="K28" s="2880"/>
      <c r="L28" s="2880"/>
      <c r="M28" s="2880"/>
      <c r="N28" s="2880"/>
      <c r="O28" s="2880"/>
      <c r="P28" s="2880"/>
    </row>
    <row r="29" spans="1:19">
      <c r="A29" s="1853"/>
      <c r="B29" s="50" t="s">
        <v>1835</v>
      </c>
      <c r="C29" s="1857" t="s">
        <v>1837</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3"/>
      <c r="B30" s="50"/>
      <c r="C30" s="1858" t="s">
        <v>1834</v>
      </c>
      <c r="D30" s="1300">
        <f>SUM(D28:D29)</f>
        <v>333.12</v>
      </c>
      <c r="E30" s="1300">
        <f>SUM(E28:E29)</f>
        <v>356.24</v>
      </c>
      <c r="F30" s="1300">
        <f>SUM(F28:F29)</f>
        <v>356.24</v>
      </c>
      <c r="G30" s="1302">
        <f>SUM(G28:G29)</f>
        <v>0</v>
      </c>
      <c r="H30" s="2880"/>
      <c r="I30" s="2880"/>
      <c r="J30" s="2880"/>
      <c r="K30" s="2880"/>
      <c r="L30" s="2880"/>
      <c r="M30" s="2880"/>
      <c r="N30" s="2880"/>
      <c r="O30" s="2880"/>
      <c r="P30" s="2880"/>
    </row>
    <row r="31" spans="1:19" ht="15.75" thickBot="1">
      <c r="A31" s="1859"/>
      <c r="B31" s="1860"/>
      <c r="C31" s="943" t="s">
        <v>1838</v>
      </c>
      <c r="D31" s="684">
        <f>D27+D30</f>
        <v>62220.890000000007</v>
      </c>
      <c r="E31" s="684">
        <f>E27+E30</f>
        <v>66539.560000000012</v>
      </c>
      <c r="F31" s="685">
        <f>F27+F30</f>
        <v>66539.560000000012</v>
      </c>
      <c r="G31" s="686">
        <f>G27+G30</f>
        <v>0</v>
      </c>
      <c r="H31" s="2880"/>
      <c r="I31" s="2880"/>
      <c r="J31" s="2880"/>
      <c r="K31" s="2880"/>
      <c r="L31" s="2880"/>
      <c r="M31" s="2880"/>
      <c r="N31" s="2880"/>
      <c r="O31" s="2880"/>
      <c r="P31" s="2880"/>
    </row>
    <row r="32" spans="1:19">
      <c r="A32" s="1825"/>
      <c r="B32" s="1825" t="s">
        <v>1839</v>
      </c>
      <c r="C32" s="1825"/>
      <c r="D32" s="1825"/>
      <c r="E32" s="1183">
        <f>SUMIF(C19:C26,"*住宅*",E19:E26)</f>
        <v>0</v>
      </c>
      <c r="F32" s="1825"/>
      <c r="G32" s="1825"/>
      <c r="H32" s="2880"/>
      <c r="I32" s="2880"/>
      <c r="J32" s="2880"/>
      <c r="K32" s="2880"/>
      <c r="L32" s="2880"/>
      <c r="M32" s="2880"/>
      <c r="N32" s="2880"/>
      <c r="O32" s="2880"/>
      <c r="P32" s="2880"/>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1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1840</v>
      </c>
      <c r="B1" s="687"/>
      <c r="C1" s="1351"/>
      <c r="D1" s="1863"/>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4"/>
      <c r="AO1" s="2894"/>
      <c r="AP1" s="2894"/>
      <c r="AQ1" s="2894"/>
      <c r="AR1" s="2894"/>
    </row>
    <row r="2" spans="1:67" s="1741" customFormat="1" ht="15.75" thickBot="1">
      <c r="A2" s="1866" t="s">
        <v>1841</v>
      </c>
      <c r="B2" s="1175">
        <f>项目基本情况!D3</f>
        <v>44541</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6"/>
      <c r="AO2" s="2896"/>
      <c r="AP2" s="2896"/>
      <c r="AQ2" s="2896"/>
      <c r="AR2" s="2896"/>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6"/>
      <c r="AO3" s="2896"/>
      <c r="AP3" s="2896"/>
      <c r="AQ3" s="2896"/>
      <c r="AR3" s="2896"/>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1842</v>
      </c>
      <c r="B4" s="1871"/>
      <c r="C4" s="1872"/>
      <c r="D4" s="1873"/>
      <c r="E4" s="1872" t="s">
        <v>1843</v>
      </c>
      <c r="F4" s="1872"/>
      <c r="G4" s="1872"/>
      <c r="H4" s="1872"/>
      <c r="I4" s="1872"/>
      <c r="J4" s="1874"/>
      <c r="K4" s="1875"/>
      <c r="L4" s="1876"/>
      <c r="M4" s="1872"/>
      <c r="N4" s="1872" t="s">
        <v>1844</v>
      </c>
      <c r="O4" s="1872"/>
      <c r="P4" s="1872"/>
      <c r="Q4" s="1872"/>
      <c r="R4" s="1872"/>
      <c r="S4" s="1874"/>
      <c r="T4" s="2879" t="str">
        <f>'数据-汇总表'!I17</f>
        <v>按面积比例</v>
      </c>
      <c r="U4" s="1871" t="s">
        <v>1845</v>
      </c>
      <c r="V4" s="1872"/>
      <c r="W4" s="1872"/>
      <c r="X4" s="1872"/>
      <c r="Y4" s="1874"/>
      <c r="Z4" s="1834" t="s">
        <v>1846</v>
      </c>
      <c r="AA4" s="1834"/>
      <c r="AB4" s="1834"/>
      <c r="AC4" s="1834"/>
      <c r="AD4" s="1834"/>
      <c r="AE4" s="1832" t="s">
        <v>1847</v>
      </c>
      <c r="AF4" s="1834"/>
      <c r="AG4" s="1877"/>
      <c r="AH4" s="1871"/>
      <c r="AI4" s="1872"/>
      <c r="AJ4" s="1872"/>
      <c r="AK4" s="1872"/>
      <c r="AL4" s="1872"/>
      <c r="AM4" s="1874"/>
      <c r="AN4" s="2896"/>
      <c r="AO4" s="2896"/>
      <c r="AP4" s="2896"/>
      <c r="AQ4" s="2896"/>
      <c r="AR4" s="2896"/>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1848</v>
      </c>
      <c r="B5" s="1879" t="s">
        <v>1849</v>
      </c>
      <c r="C5" s="1880" t="s">
        <v>1850</v>
      </c>
      <c r="D5" s="1881" t="s">
        <v>1851</v>
      </c>
      <c r="E5" s="1177" t="s">
        <v>1852</v>
      </c>
      <c r="F5" s="1882" t="s">
        <v>1853</v>
      </c>
      <c r="G5" s="1177" t="s">
        <v>1854</v>
      </c>
      <c r="H5" s="1177" t="s">
        <v>1855</v>
      </c>
      <c r="I5" s="1177" t="s">
        <v>1856</v>
      </c>
      <c r="J5" s="1883" t="s">
        <v>1857</v>
      </c>
      <c r="K5" s="1884" t="s">
        <v>1858</v>
      </c>
      <c r="L5" s="1885" t="s">
        <v>1859</v>
      </c>
      <c r="M5" s="1886" t="s">
        <v>1860</v>
      </c>
      <c r="N5" s="1887" t="s">
        <v>3084</v>
      </c>
      <c r="O5" s="1885" t="s">
        <v>1861</v>
      </c>
      <c r="P5" s="1888" t="s">
        <v>1862</v>
      </c>
      <c r="Q5" s="65" t="s">
        <v>1863</v>
      </c>
      <c r="R5" s="1889" t="s">
        <v>1864</v>
      </c>
      <c r="S5" s="1890" t="s">
        <v>1865</v>
      </c>
      <c r="T5" s="1891" t="s">
        <v>1866</v>
      </c>
      <c r="U5" s="1176" t="s">
        <v>1867</v>
      </c>
      <c r="V5" s="1177" t="s">
        <v>1868</v>
      </c>
      <c r="W5" s="1177" t="s">
        <v>1869</v>
      </c>
      <c r="X5" s="67"/>
      <c r="Y5" s="66" t="s">
        <v>1870</v>
      </c>
      <c r="Z5" s="1892" t="s">
        <v>1867</v>
      </c>
      <c r="AA5" s="1177" t="s">
        <v>1868</v>
      </c>
      <c r="AB5" s="1177" t="s">
        <v>1869</v>
      </c>
      <c r="AC5" s="67"/>
      <c r="AD5" s="67" t="s">
        <v>1870</v>
      </c>
      <c r="AE5" s="1176" t="s">
        <v>1871</v>
      </c>
      <c r="AF5" s="1177" t="s">
        <v>1872</v>
      </c>
      <c r="AG5" s="66" t="s">
        <v>1873</v>
      </c>
      <c r="AH5" s="1176" t="s">
        <v>1874</v>
      </c>
      <c r="AI5" s="1892" t="s">
        <v>1875</v>
      </c>
      <c r="AJ5" s="1892" t="s">
        <v>1876</v>
      </c>
      <c r="AK5" s="1177" t="s">
        <v>1877</v>
      </c>
      <c r="AL5" s="1177" t="s">
        <v>1878</v>
      </c>
      <c r="AM5" s="66" t="s">
        <v>1879</v>
      </c>
      <c r="AN5" s="1893" t="s">
        <v>1880</v>
      </c>
      <c r="AO5" s="1744" t="s">
        <v>1881</v>
      </c>
      <c r="AP5" s="1158" t="s">
        <v>1882</v>
      </c>
      <c r="AQ5" s="1894" t="s">
        <v>1883</v>
      </c>
      <c r="AR5" s="1894" t="s">
        <v>1884</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酒店</v>
      </c>
      <c r="B6" s="1896" t="str">
        <f>IF(A6=0,"","经营性")</f>
        <v>经营性</v>
      </c>
      <c r="C6" s="1897" t="s">
        <v>1337</v>
      </c>
      <c r="D6" s="966">
        <f>SUMIF(项目基本情况!D$12:I$12,C6,项目基本情况!D$14:I$14)</f>
        <v>40</v>
      </c>
      <c r="E6" s="965">
        <f>IF(B6="","",SUMIF(项目基本情况!D$12:I$12,C6,项目基本情况!D$13:I$13))</f>
        <v>56447</v>
      </c>
      <c r="F6" s="68">
        <f>SUMIF(项目基本情况!D$12:I$12,C6,项目基本情况!D$15:I$15)</f>
        <v>32.61</v>
      </c>
      <c r="G6" s="69">
        <f t="shared" ref="G6:G13" si="0">IF(ISERROR(ROUND(POWER(1+H6,D6-F6)*(POWER(1+H6,F6)-1)/(POWER(1+H6,D6)-1),3)),0,ROUND(POWER(1+H6,D6-F6)*(POWER(1+H6,F6)-1)/(POWER(1+H6,D6)-1),3))</f>
        <v>0.92800000000000005</v>
      </c>
      <c r="H6" s="3117">
        <v>0.05</v>
      </c>
      <c r="I6" s="3117">
        <v>5.5E-2</v>
      </c>
      <c r="J6" s="70">
        <f>I6+2%</f>
        <v>7.4999999999999997E-2</v>
      </c>
      <c r="K6" s="1160">
        <f>SUMIF('数据-汇总表'!C$19:C$33,A6,'数据-汇总表'!E$19:E$33)</f>
        <v>32395.93</v>
      </c>
      <c r="L6" s="741">
        <v>5000</v>
      </c>
      <c r="M6" s="71">
        <f t="shared" ref="M6:M14" si="1">ROUND(K6*L6/10000,0)</f>
        <v>16198</v>
      </c>
      <c r="N6" s="739">
        <f>ROUND((1-0%)-(2021-2019)/60,2)</f>
        <v>0.97</v>
      </c>
      <c r="O6" s="71" t="str">
        <f>IF($N$5="成新度","——",ROUND(M6*N6,0))</f>
        <v>——</v>
      </c>
      <c r="P6" s="72" t="str">
        <f>IF($N$5="成新度","——",M6-O6)</f>
        <v>——</v>
      </c>
      <c r="Q6" s="742">
        <v>0.12</v>
      </c>
      <c r="R6" s="73">
        <f ca="1">SUMIF('数据-汇总表'!C$19:C$33,A6,'数据-汇总表'!R$19:R$27)</f>
        <v>30456.370000000003</v>
      </c>
      <c r="S6" s="54">
        <f>IF('数据-汇总表'!$I$17="按面积比例",SUMIF('数据-汇总表'!C$19:C$33,A6,'数据-汇总表'!K$19:K$33),SUMIF('数据-汇总表'!C$19:C$33,A6,'数据-汇总表'!N$19:N$33))</f>
        <v>174.38</v>
      </c>
      <c r="T6" s="1332">
        <f>ROUND($L$14*S6/10000,0)</f>
        <v>14</v>
      </c>
      <c r="U6" s="74"/>
      <c r="V6" s="75">
        <v>2.5000000000000001E-2</v>
      </c>
      <c r="W6" s="75">
        <v>0</v>
      </c>
      <c r="X6" s="1170"/>
      <c r="Y6" s="76">
        <f>N6</f>
        <v>0.97</v>
      </c>
      <c r="Z6" s="77"/>
      <c r="AA6" s="70"/>
      <c r="AB6" s="70"/>
      <c r="AC6" s="1170"/>
      <c r="AD6" s="78"/>
      <c r="AE6" s="1171">
        <f ca="1">IF(AN6="",0,SUMIF(INDIRECT("'"&amp;AN6&amp;"'"&amp;"!E:E"),$AE$5,INDIRECT("'"&amp;AN6&amp;"'"&amp;"!F:F")))</f>
        <v>32.61</v>
      </c>
      <c r="AF6" s="1529"/>
      <c r="AG6" s="143">
        <f>IF(AF6="",0,AE6-AF6)</f>
        <v>0</v>
      </c>
      <c r="AH6" s="79">
        <v>1</v>
      </c>
      <c r="AI6" s="81">
        <v>1</v>
      </c>
      <c r="AJ6" s="82"/>
      <c r="AK6" s="83"/>
      <c r="AL6" s="84"/>
      <c r="AM6" s="85"/>
      <c r="AN6" s="1898" t="s">
        <v>3090</v>
      </c>
      <c r="AO6" s="55">
        <f ca="1">SUMIF(INDIRECT("'"&amp;AN6&amp;"'"&amp;"!A:A"),"总价",INDIRECT("'"&amp;AN6&amp;"'"&amp;"!B:B"))</f>
        <v>-4674</v>
      </c>
      <c r="AP6" s="1899">
        <f>IF(C6="住宅",K6*L6,0)</f>
        <v>0</v>
      </c>
      <c r="AQ6" s="55">
        <f>ROUND($L$14*$N$14*S6/10000,0)</f>
        <v>0</v>
      </c>
      <c r="AR6" s="55">
        <f>ROUND($L$14*(1-$N$14)*S6/10000,0)</f>
        <v>14</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t="str">
        <f>'数据-汇总表'!C20</f>
        <v>温泉</v>
      </c>
      <c r="B7" s="1896" t="str">
        <f t="shared" ref="B7:B13" si="2">IF(A7=0,"","经营性")</f>
        <v>经营性</v>
      </c>
      <c r="C7" s="1897" t="s">
        <v>1337</v>
      </c>
      <c r="D7" s="966">
        <f>SUMIF(项目基本情况!D$12:I$12,C7,项目基本情况!D$14:I$14)</f>
        <v>40</v>
      </c>
      <c r="E7" s="965">
        <f>IF(B7="","",SUMIF(项目基本情况!D$12:I$12,C7,项目基本情况!D$13:I$13))</f>
        <v>56447</v>
      </c>
      <c r="F7" s="68">
        <f>SUMIF(项目基本情况!D$12:I$12,C7,项目基本情况!D$15:I$15)</f>
        <v>32.61</v>
      </c>
      <c r="G7" s="69">
        <f t="shared" si="0"/>
        <v>0.93500000000000005</v>
      </c>
      <c r="H7" s="740">
        <v>5.5E-2</v>
      </c>
      <c r="I7" s="740">
        <v>0.06</v>
      </c>
      <c r="J7" s="70">
        <f>J6</f>
        <v>7.4999999999999997E-2</v>
      </c>
      <c r="K7" s="1160">
        <f>SUMIF('数据-汇总表'!C$19:C$33,A7,'数据-汇总表'!E$19:E$33)</f>
        <v>33787.39</v>
      </c>
      <c r="L7" s="741">
        <v>7000</v>
      </c>
      <c r="M7" s="71">
        <f t="shared" si="1"/>
        <v>23651</v>
      </c>
      <c r="N7" s="739">
        <f>N6</f>
        <v>0.97</v>
      </c>
      <c r="O7" s="71" t="str">
        <f t="shared" ref="O7:O14" si="3">IF($N$5="成新度","——",ROUND(M7*N7,0))</f>
        <v>——</v>
      </c>
      <c r="P7" s="72" t="str">
        <f t="shared" ref="P7:P14" si="4">IF($N$5="成新度","——",M7-O7)</f>
        <v>——</v>
      </c>
      <c r="Q7" s="3109">
        <f>Q6</f>
        <v>0.12</v>
      </c>
      <c r="R7" s="73">
        <f ca="1">SUMIF('数据-汇总表'!C$19:C$33,A7,'数据-汇总表'!R$19:R$27)</f>
        <v>31764.52</v>
      </c>
      <c r="S7" s="54">
        <f>IF('数据-汇总表'!$I$17="按面积比例",SUMIF('数据-汇总表'!C$19:C$33,A7,'数据-汇总表'!K$19:K$33),SUMIF('数据-汇总表'!C$19:C$33,A7,'数据-汇总表'!N$19:N$33))</f>
        <v>181.86</v>
      </c>
      <c r="T7" s="1332">
        <f t="shared" ref="T7:T13" si="5">ROUND($L$14*S7/10000,0)</f>
        <v>15</v>
      </c>
      <c r="U7" s="74"/>
      <c r="V7" s="75">
        <f>V6</f>
        <v>2.5000000000000001E-2</v>
      </c>
      <c r="W7" s="75">
        <f>W6</f>
        <v>0</v>
      </c>
      <c r="X7" s="1170"/>
      <c r="Y7" s="76">
        <f>Y6</f>
        <v>0.97</v>
      </c>
      <c r="Z7" s="77"/>
      <c r="AA7" s="70"/>
      <c r="AB7" s="70"/>
      <c r="AC7" s="1170"/>
      <c r="AD7" s="78"/>
      <c r="AE7" s="1171">
        <f t="shared" ref="AE7:AE13" ca="1" si="6">IF(AN7="",0,SUMIF(INDIRECT("'"&amp;AN7&amp;"'"&amp;"!E:E"),$AE$5,INDIRECT("'"&amp;AN7&amp;"'"&amp;"!F:F")))</f>
        <v>32.61</v>
      </c>
      <c r="AF7" s="1529"/>
      <c r="AG7" s="143">
        <f t="shared" ref="AG7:AG13" si="7">IF(AF7="",0,AE7-AF7)</f>
        <v>0</v>
      </c>
      <c r="AH7" s="79">
        <v>1</v>
      </c>
      <c r="AI7" s="81">
        <v>1</v>
      </c>
      <c r="AJ7" s="82"/>
      <c r="AK7" s="83"/>
      <c r="AL7" s="84"/>
      <c r="AM7" s="85"/>
      <c r="AN7" s="1898" t="s">
        <v>3579</v>
      </c>
      <c r="AO7" s="55">
        <f t="shared" ref="AO7:AO13" ca="1" si="8">SUMIF(INDIRECT("'"&amp;AN7&amp;"'"&amp;"!A:A"),"总价",INDIRECT("'"&amp;AN7&amp;"'"&amp;"!B:B"))</f>
        <v>-6046</v>
      </c>
      <c r="AP7" s="1899">
        <f t="shared" ref="AP7:AP13" si="9">IF(C7="住宅",K7*L7,0)</f>
        <v>0</v>
      </c>
      <c r="AQ7" s="55">
        <f t="shared" ref="AQ7:AQ13" si="10">ROUND($L$14*$N$14*S7/10000,0)</f>
        <v>0</v>
      </c>
      <c r="AR7" s="55">
        <f t="shared" ref="AR7:AR13" si="11">ROUND($L$14*(1-$N$14)*S7/10000,0)</f>
        <v>15</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2"/>
        <v/>
      </c>
      <c r="C8" s="1897"/>
      <c r="D8" s="966">
        <f>SUMIF(项目基本情况!D$12:I$12,C8,项目基本情况!D$14:I$14)</f>
        <v>0</v>
      </c>
      <c r="E8" s="965" t="str">
        <f>IF(B8="","",SUMIF(项目基本情况!D$12:I$12,C8,项目基本情况!D$13:I$13))</f>
        <v/>
      </c>
      <c r="F8" s="68">
        <f>SUMIF(项目基本情况!D$12:I$12,C8,项目基本情况!D$15:I$15)</f>
        <v>0</v>
      </c>
      <c r="G8" s="69">
        <f t="shared" si="0"/>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2">
        <f t="shared" si="5"/>
        <v>0</v>
      </c>
      <c r="U8" s="743"/>
      <c r="V8" s="744"/>
      <c r="W8" s="744"/>
      <c r="X8" s="1170"/>
      <c r="Y8" s="745"/>
      <c r="Z8" s="77"/>
      <c r="AA8" s="70"/>
      <c r="AB8" s="70"/>
      <c r="AC8" s="1170"/>
      <c r="AD8" s="78"/>
      <c r="AE8" s="1171">
        <f t="shared" ca="1" si="6"/>
        <v>0</v>
      </c>
      <c r="AF8" s="1529"/>
      <c r="AG8" s="143">
        <f t="shared" si="7"/>
        <v>0</v>
      </c>
      <c r="AH8" s="746"/>
      <c r="AI8" s="81"/>
      <c r="AJ8" s="82"/>
      <c r="AK8" s="747"/>
      <c r="AL8" s="748"/>
      <c r="AM8" s="749"/>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hidden="1">
      <c r="A9" s="1895">
        <f>'数据-汇总表'!C22</f>
        <v>0</v>
      </c>
      <c r="B9" s="1896" t="str">
        <f t="shared" si="2"/>
        <v/>
      </c>
      <c r="C9" s="1897"/>
      <c r="D9" s="966">
        <f>SUMIF(项目基本情况!D$12:I$12,C9,项目基本情况!D$14:I$14)</f>
        <v>0</v>
      </c>
      <c r="E9" s="965" t="str">
        <f>IF(B9="","",SUMIF(项目基本情况!D$12:I$12,C9,项目基本情况!D$13:I$13))</f>
        <v/>
      </c>
      <c r="F9" s="68">
        <f>SUMIF(项目基本情况!D$12:I$12,C9,项目基本情况!D$15:I$15)</f>
        <v>0</v>
      </c>
      <c r="G9" s="69">
        <f t="shared" si="0"/>
        <v>0</v>
      </c>
      <c r="H9" s="70"/>
      <c r="I9" s="70"/>
      <c r="J9" s="70"/>
      <c r="K9" s="1160">
        <f>SUMIF('数据-汇总表'!C$19:C$33,A9,'数据-汇总表'!E$19:E$33)</f>
        <v>0</v>
      </c>
      <c r="L9" s="741"/>
      <c r="M9" s="71">
        <f t="shared" si="1"/>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0"/>
      <c r="Y9" s="76"/>
      <c r="Z9" s="77"/>
      <c r="AA9" s="70"/>
      <c r="AB9" s="70"/>
      <c r="AC9" s="1170"/>
      <c r="AD9" s="78"/>
      <c r="AE9" s="1171">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hidden="1">
      <c r="A10" s="1895">
        <f>'数据-汇总表'!C23</f>
        <v>0</v>
      </c>
      <c r="B10" s="1896" t="str">
        <f t="shared" si="2"/>
        <v/>
      </c>
      <c r="C10" s="1897"/>
      <c r="D10" s="966">
        <f>SUMIF(项目基本情况!D$12:I$12,C10,项目基本情况!D$14:I$14)</f>
        <v>0</v>
      </c>
      <c r="E10" s="965" t="str">
        <f>IF(B10="","",SUMIF(项目基本情况!D$12:I$12,C10,项目基本情况!D$13:I$13))</f>
        <v/>
      </c>
      <c r="F10" s="68">
        <f>SUMIF(项目基本情况!D$12:I$12,C10,项目基本情况!D$15:I$15)</f>
        <v>0</v>
      </c>
      <c r="G10" s="69">
        <f t="shared" si="0"/>
        <v>0</v>
      </c>
      <c r="H10" s="70"/>
      <c r="I10" s="70"/>
      <c r="J10" s="70"/>
      <c r="K10" s="1160">
        <f>SUMIF('数据-汇总表'!C$19:C$33,A10,'数据-汇总表'!E$19:E$33)</f>
        <v>0</v>
      </c>
      <c r="L10" s="741"/>
      <c r="M10" s="71">
        <f t="shared" si="1"/>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0"/>
      <c r="Y10" s="76"/>
      <c r="Z10" s="77"/>
      <c r="AA10" s="70"/>
      <c r="AB10" s="70"/>
      <c r="AC10" s="1170"/>
      <c r="AD10" s="78"/>
      <c r="AE10" s="1171">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hidden="1">
      <c r="A11" s="1895">
        <f>'数据-汇总表'!C24</f>
        <v>0</v>
      </c>
      <c r="B11" s="1896" t="str">
        <f t="shared" si="2"/>
        <v/>
      </c>
      <c r="C11" s="1897"/>
      <c r="D11" s="966">
        <f>SUMIF(项目基本情况!D$12:I$12,C11,项目基本情况!D$14:I$14)</f>
        <v>0</v>
      </c>
      <c r="E11" s="965" t="str">
        <f>IF(B11="","",SUMIF(项目基本情况!D$12:I$12,C11,项目基本情况!D$13:I$13))</f>
        <v/>
      </c>
      <c r="F11" s="68">
        <f>SUMIF(项目基本情况!D$12:I$12,C11,项目基本情况!D$15:I$15)</f>
        <v>0</v>
      </c>
      <c r="G11" s="69">
        <f t="shared" si="0"/>
        <v>0</v>
      </c>
      <c r="H11" s="70"/>
      <c r="I11" s="70"/>
      <c r="J11" s="70"/>
      <c r="K11" s="1160">
        <f>SUMIF('数据-汇总表'!C$19:C$33,A11,'数据-汇总表'!E$19:E$33)</f>
        <v>0</v>
      </c>
      <c r="L11" s="87"/>
      <c r="M11" s="71">
        <f t="shared" si="1"/>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0"/>
      <c r="Y11" s="76"/>
      <c r="Z11" s="89"/>
      <c r="AA11" s="70"/>
      <c r="AB11" s="70"/>
      <c r="AC11" s="1170"/>
      <c r="AD11" s="78"/>
      <c r="AE11" s="1171">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hidden="1">
      <c r="A12" s="1895">
        <f>'数据-汇总表'!C25</f>
        <v>0</v>
      </c>
      <c r="B12" s="1896" t="str">
        <f t="shared" si="2"/>
        <v/>
      </c>
      <c r="C12" s="1897"/>
      <c r="D12" s="966">
        <f>SUMIF(项目基本情况!D$12:I$12,C12,项目基本情况!D$14:I$14)</f>
        <v>0</v>
      </c>
      <c r="E12" s="965" t="str">
        <f>IF(B12="","",SUMIF(项目基本情况!D$12:I$12,C12,项目基本情况!D$13:I$13))</f>
        <v/>
      </c>
      <c r="F12" s="68">
        <f>SUMIF(项目基本情况!D$12:I$12,C12,项目基本情况!D$15:I$15)</f>
        <v>0</v>
      </c>
      <c r="G12" s="69">
        <f t="shared" si="0"/>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0"/>
      <c r="Y12" s="76"/>
      <c r="Z12" s="89"/>
      <c r="AA12" s="70"/>
      <c r="AB12" s="70"/>
      <c r="AC12" s="1170"/>
      <c r="AD12" s="78"/>
      <c r="AE12" s="1171">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hidden="1">
      <c r="A13" s="1895">
        <f>'数据-汇总表'!C26</f>
        <v>0</v>
      </c>
      <c r="B13" s="1896" t="str">
        <f t="shared" si="2"/>
        <v/>
      </c>
      <c r="C13" s="1897"/>
      <c r="D13" s="966">
        <f>SUMIF(项目基本情况!D$12:I$12,C13,项目基本情况!D$14:I$14)</f>
        <v>0</v>
      </c>
      <c r="E13" s="965" t="str">
        <f>IF(B13="","",SUMIF(项目基本情况!D$12:I$12,C13,项目基本情况!D$13:I$13))</f>
        <v/>
      </c>
      <c r="F13" s="68">
        <f>SUMIF(项目基本情况!D$12:I$12,C13,项目基本情况!D$15:I$15)</f>
        <v>0</v>
      </c>
      <c r="G13" s="69">
        <f t="shared" si="0"/>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0"/>
      <c r="Y13" s="76"/>
      <c r="Z13" s="77"/>
      <c r="AA13" s="70"/>
      <c r="AB13" s="70"/>
      <c r="AC13" s="1170"/>
      <c r="AD13" s="78"/>
      <c r="AE13" s="1171">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1885</v>
      </c>
      <c r="B14" s="1896" t="s">
        <v>1886</v>
      </c>
      <c r="C14" s="1901" t="s">
        <v>1885</v>
      </c>
      <c r="D14" s="966"/>
      <c r="E14" s="965"/>
      <c r="F14" s="68"/>
      <c r="G14" s="69"/>
      <c r="H14" s="1159"/>
      <c r="I14" s="1159"/>
      <c r="J14" s="1159"/>
      <c r="K14" s="1160">
        <f>SUMIF('数据-汇总表'!C$19:C$33,A14,'数据-汇总表'!E$19:E$33)</f>
        <v>356.24</v>
      </c>
      <c r="L14" s="3089">
        <v>800</v>
      </c>
      <c r="M14" s="71">
        <f t="shared" si="1"/>
        <v>28</v>
      </c>
      <c r="N14" s="88"/>
      <c r="O14" s="71" t="str">
        <f t="shared" si="3"/>
        <v>——</v>
      </c>
      <c r="P14" s="72" t="str">
        <f t="shared" si="4"/>
        <v>——</v>
      </c>
      <c r="Q14" s="1163"/>
      <c r="R14" s="73"/>
      <c r="S14" s="54"/>
      <c r="T14" s="1332"/>
      <c r="U14" s="679"/>
      <c r="V14" s="1165"/>
      <c r="W14" s="1165"/>
      <c r="X14" s="1166"/>
      <c r="Y14" s="1167"/>
      <c r="Z14" s="1168"/>
      <c r="AA14" s="1169"/>
      <c r="AB14" s="1169"/>
      <c r="AC14" s="1170"/>
      <c r="AD14" s="1166"/>
      <c r="AE14" s="1171"/>
      <c r="AF14" s="55"/>
      <c r="AG14" s="143"/>
      <c r="AH14" s="1171"/>
      <c r="AI14" s="1538"/>
      <c r="AJ14" s="712"/>
      <c r="AK14" s="1172"/>
      <c r="AL14" s="1173"/>
      <c r="AM14" s="1174"/>
      <c r="AN14" s="2894"/>
      <c r="AO14" s="2896"/>
      <c r="AP14" s="2896"/>
      <c r="AQ14" s="2896"/>
      <c r="AR14" s="2896"/>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1887</v>
      </c>
      <c r="B15" s="1896" t="s">
        <v>1886</v>
      </c>
      <c r="C15" s="1901" t="s">
        <v>1888</v>
      </c>
      <c r="D15" s="966"/>
      <c r="E15" s="965"/>
      <c r="F15" s="68"/>
      <c r="G15" s="69"/>
      <c r="H15" s="1159"/>
      <c r="I15" s="1159"/>
      <c r="J15" s="1159"/>
      <c r="K15" s="1160">
        <f>SUMIF('数据-汇总表'!C$19:C$33,A15,'数据-汇总表'!E$19:E$33)</f>
        <v>0</v>
      </c>
      <c r="L15" s="1161"/>
      <c r="M15" s="71"/>
      <c r="N15" s="1162"/>
      <c r="O15" s="71"/>
      <c r="P15" s="72"/>
      <c r="Q15" s="1163"/>
      <c r="R15" s="73"/>
      <c r="S15" s="54"/>
      <c r="T15" s="1332"/>
      <c r="U15" s="679"/>
      <c r="V15" s="1165"/>
      <c r="W15" s="1165"/>
      <c r="X15" s="1166"/>
      <c r="Y15" s="1167"/>
      <c r="Z15" s="1168"/>
      <c r="AA15" s="1169"/>
      <c r="AB15" s="1169"/>
      <c r="AC15" s="1170"/>
      <c r="AD15" s="1166"/>
      <c r="AE15" s="1171"/>
      <c r="AF15" s="55"/>
      <c r="AG15" s="143"/>
      <c r="AH15" s="1171"/>
      <c r="AI15" s="1538"/>
      <c r="AJ15" s="712"/>
      <c r="AK15" s="1172"/>
      <c r="AL15" s="1173"/>
      <c r="AM15" s="1174"/>
      <c r="AN15" s="2894"/>
      <c r="AO15" s="2896"/>
      <c r="AP15" s="2896"/>
      <c r="AQ15" s="2896"/>
      <c r="AR15" s="2896"/>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1889</v>
      </c>
      <c r="B16" s="93"/>
      <c r="C16" s="941"/>
      <c r="D16" s="1903"/>
      <c r="E16" s="93"/>
      <c r="F16" s="93"/>
      <c r="G16" s="94">
        <f>ROUND(SUMPRODUCT(G6:G13,K6:K13)/SUMPRODUCT((G6:G13&gt;0)*(K6:K13)),3)</f>
        <v>0.93200000000000005</v>
      </c>
      <c r="H16" s="95">
        <f>ROUND(SUMPRODUCT(H6:H13,K6:K13)/SUMPRODUCT((H6:H13&gt;0)*(K6:K13)),3)</f>
        <v>5.2999999999999999E-2</v>
      </c>
      <c r="I16" s="96"/>
      <c r="J16" s="96"/>
      <c r="K16" s="97">
        <f>SUM(K6:K15)</f>
        <v>66539.560000000012</v>
      </c>
      <c r="L16" s="98">
        <f>ROUND(M16*10000/SUM(K6:K14),0)</f>
        <v>5993</v>
      </c>
      <c r="M16" s="98">
        <f>SUM(M6:M14)</f>
        <v>39877</v>
      </c>
      <c r="N16" s="99">
        <f>ROUND(SUMPRODUCT(M6:M14,N6:N14)/M16,3)</f>
        <v>0.96899999999999997</v>
      </c>
      <c r="O16" s="98">
        <f>SUM(O6:O14)</f>
        <v>0</v>
      </c>
      <c r="P16" s="98">
        <f>SUM(P6:P14)</f>
        <v>0</v>
      </c>
      <c r="Q16" s="100">
        <f>ROUND(SUMPRODUCT(Q6:Q13,K6:K13)/SUMPRODUCT((Q6:Q13&gt;0)*(K6:K13)),2)</f>
        <v>0.12</v>
      </c>
      <c r="R16" s="1164">
        <f ca="1">SUM(R6:R13)</f>
        <v>62220.89</v>
      </c>
      <c r="S16" s="101">
        <f>SUM(S6:S13)</f>
        <v>356.24</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1890</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5" t="s">
        <v>1891</v>
      </c>
      <c r="B19" s="108">
        <v>0</v>
      </c>
      <c r="C19" s="3024" t="s">
        <v>3042</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6" t="s">
        <v>1892</v>
      </c>
      <c r="B20" s="109">
        <v>2</v>
      </c>
      <c r="C20" s="3025" t="s">
        <v>3040</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7" t="s">
        <v>1893</v>
      </c>
      <c r="B21" s="109">
        <v>2</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6" t="s">
        <v>1894</v>
      </c>
      <c r="B22" s="110">
        <f>B19+B20</f>
        <v>2</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7" t="s">
        <v>1895</v>
      </c>
      <c r="B23" s="110">
        <f>B19+B21</f>
        <v>2</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8" t="s">
        <v>1896</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9"/>
      <c r="B25" s="1870"/>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6" t="s">
        <v>1897</v>
      </c>
      <c r="B26" s="1909" t="s">
        <v>1898</v>
      </c>
      <c r="C26" s="2900" t="s">
        <v>1899</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1" customFormat="1" ht="27.75">
      <c r="A27" s="1910" t="s">
        <v>1900</v>
      </c>
      <c r="B27" s="112">
        <v>60</v>
      </c>
      <c r="C27" s="3026" t="s">
        <v>3044</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1" customFormat="1" ht="27.75">
      <c r="A28" s="1912" t="s">
        <v>1901</v>
      </c>
      <c r="B28" s="115">
        <v>60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1" customFormat="1" ht="28.5" thickBot="1">
      <c r="A29" s="1913" t="s">
        <v>1902</v>
      </c>
      <c r="B29" s="117">
        <v>0</v>
      </c>
      <c r="C29" s="3027" t="s">
        <v>3031</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1" customFormat="1" ht="27">
      <c r="A30" s="1914" t="s">
        <v>1903</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1" customFormat="1" ht="27">
      <c r="A31" s="1912" t="s">
        <v>1904</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1" customFormat="1" ht="27.75" thickBot="1">
      <c r="A32" s="1915" t="s">
        <v>1905</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1" customFormat="1" ht="14.25">
      <c r="A33" s="1910" t="s">
        <v>1906</v>
      </c>
      <c r="B33" s="3291">
        <v>0.05</v>
      </c>
      <c r="C33" s="3028" t="s">
        <v>3032</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1" customFormat="1" ht="14.25">
      <c r="A34" s="1912" t="s">
        <v>1907</v>
      </c>
      <c r="B34" s="118">
        <v>0</v>
      </c>
      <c r="C34" s="3028" t="s">
        <v>3033</v>
      </c>
      <c r="D34" s="2907" t="s">
        <v>3041</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1" customFormat="1" ht="14.25">
      <c r="A35" s="1912" t="s">
        <v>1908</v>
      </c>
      <c r="B35" s="3290">
        <v>350</v>
      </c>
      <c r="C35" s="3028" t="s">
        <v>3034</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3" t="s">
        <v>1909</v>
      </c>
      <c r="B36" s="119">
        <v>1.4999999999999999E-2</v>
      </c>
      <c r="C36" s="3028" t="s">
        <v>3035</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4" t="s">
        <v>1910</v>
      </c>
      <c r="B37" s="120">
        <v>0.03</v>
      </c>
      <c r="C37" s="3028" t="s">
        <v>3036</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2" t="s">
        <v>1911</v>
      </c>
      <c r="B38" s="3112">
        <v>1.4999999999999999E-2</v>
      </c>
      <c r="C38" s="3028" t="s">
        <v>3036</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5" t="s">
        <v>1912</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3424</v>
      </c>
      <c r="B40" s="3113">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0" t="s">
        <v>1913</v>
      </c>
      <c r="B41" s="121">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6" t="s">
        <v>1914</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6" t="s">
        <v>1915</v>
      </c>
      <c r="B43" s="123">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7" t="s">
        <v>1916</v>
      </c>
      <c r="B44" s="124">
        <v>7.0000000000000007E-2</v>
      </c>
      <c r="C44" s="3028" t="s">
        <v>3045</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7" t="s">
        <v>1917</v>
      </c>
      <c r="B45" s="122">
        <v>0.03</v>
      </c>
      <c r="C45" s="3027" t="s">
        <v>3037</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7" t="s">
        <v>1918</v>
      </c>
      <c r="B46" s="122">
        <v>0.02</v>
      </c>
      <c r="C46" s="3027" t="s">
        <v>3038</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8" t="s">
        <v>1919</v>
      </c>
      <c r="B47" s="125"/>
      <c r="C47" s="3030" t="s">
        <v>3046</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9" t="s">
        <v>1920</v>
      </c>
      <c r="B48" s="126">
        <v>0.03</v>
      </c>
      <c r="C48" s="3027" t="s">
        <v>3037</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5" t="s">
        <v>1921</v>
      </c>
      <c r="B49" s="122">
        <v>5.0000000000000001E-4</v>
      </c>
      <c r="C49" s="3027" t="s">
        <v>3039</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0" t="s">
        <v>1922</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3" t="s">
        <v>1923</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0" t="s">
        <v>1924</v>
      </c>
      <c r="B52" s="129">
        <f>SUMIF(A54:A63,B53,B54:B63)</f>
        <v>10</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2" t="s">
        <v>1925</v>
      </c>
      <c r="B53" s="1921" t="s">
        <v>442</v>
      </c>
      <c r="C53" s="2882" t="s">
        <v>1926</v>
      </c>
      <c r="D53" s="3029" t="s">
        <v>3043</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2" t="s">
        <v>1927</v>
      </c>
      <c r="B54" s="80">
        <v>14</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2" t="s">
        <v>1928</v>
      </c>
      <c r="B55" s="80">
        <v>12</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2" t="s">
        <v>1929</v>
      </c>
      <c r="B56" s="80">
        <v>10</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2" t="s">
        <v>1930</v>
      </c>
      <c r="B57" s="80">
        <v>8</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2" t="s">
        <v>1931</v>
      </c>
      <c r="B58" s="80">
        <v>5</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2" t="s">
        <v>1932</v>
      </c>
      <c r="B59" s="80"/>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2" t="s">
        <v>1933</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2" t="s">
        <v>1934</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2" t="s">
        <v>1935</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3" t="s">
        <v>1936</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0"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0"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0"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0"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0"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0" customFormat="1">
      <c r="A69" s="1924"/>
      <c r="D69" s="1925"/>
      <c r="K69" s="736"/>
      <c r="L69" s="736"/>
    </row>
    <row r="70" spans="1:44" s="900" customFormat="1">
      <c r="A70" s="1924"/>
      <c r="D70" s="1925"/>
      <c r="K70" s="736"/>
      <c r="L70" s="736"/>
    </row>
    <row r="71" spans="1:44" s="900" customFormat="1">
      <c r="A71" s="1924"/>
      <c r="D71" s="1925"/>
      <c r="K71" s="736"/>
      <c r="L71" s="736"/>
    </row>
    <row r="72" spans="1:44" s="900" customFormat="1">
      <c r="A72" s="1924"/>
      <c r="D72" s="1925"/>
      <c r="K72" s="736"/>
      <c r="L72" s="736"/>
    </row>
    <row r="73" spans="1:44" s="900" customFormat="1">
      <c r="A73" s="1924"/>
      <c r="D73" s="1925"/>
      <c r="K73" s="736"/>
      <c r="L73" s="736"/>
    </row>
    <row r="74" spans="1:44" s="900" customFormat="1">
      <c r="A74" s="1924"/>
      <c r="D74" s="1925"/>
      <c r="K74" s="736"/>
      <c r="L74" s="736"/>
    </row>
    <row r="75" spans="1:44" s="900" customFormat="1">
      <c r="A75" s="1924"/>
      <c r="D75" s="1925"/>
      <c r="K75" s="736"/>
      <c r="L75" s="736"/>
    </row>
    <row r="76" spans="1:44" s="900" customFormat="1">
      <c r="A76" s="1924"/>
      <c r="D76" s="1925"/>
      <c r="K76" s="736"/>
      <c r="L76" s="736"/>
    </row>
    <row r="77" spans="1:44" s="900" customFormat="1">
      <c r="A77" s="1924"/>
      <c r="D77" s="1925"/>
      <c r="K77" s="736"/>
      <c r="L77" s="736"/>
    </row>
    <row r="78" spans="1:44" s="900" customFormat="1">
      <c r="A78" s="1924"/>
      <c r="D78" s="1925"/>
      <c r="K78" s="736"/>
      <c r="L78" s="736"/>
    </row>
    <row r="79" spans="1:44" s="900" customFormat="1">
      <c r="A79" s="1924"/>
      <c r="D79" s="1925"/>
      <c r="K79" s="736"/>
      <c r="L79" s="736"/>
    </row>
    <row r="80" spans="1:44" s="900" customFormat="1">
      <c r="A80" s="1924"/>
      <c r="D80" s="1925"/>
      <c r="K80" s="736"/>
      <c r="L80" s="736"/>
    </row>
    <row r="81" spans="1:12" s="900" customFormat="1">
      <c r="A81" s="1924"/>
      <c r="D81" s="1925"/>
      <c r="K81" s="736"/>
      <c r="L81" s="736"/>
    </row>
    <row r="82" spans="1:12" s="900" customFormat="1">
      <c r="A82" s="1924"/>
      <c r="D82" s="1925"/>
      <c r="K82" s="736"/>
      <c r="L82" s="736"/>
    </row>
    <row r="83" spans="1:12" s="900" customFormat="1">
      <c r="A83" s="1924"/>
      <c r="D83" s="1925"/>
      <c r="K83" s="736"/>
      <c r="L83" s="736"/>
    </row>
    <row r="84" spans="1:12" s="900" customFormat="1">
      <c r="A84" s="1924"/>
      <c r="D84" s="1925"/>
      <c r="K84" s="736"/>
      <c r="L84" s="736"/>
    </row>
    <row r="85" spans="1:12" s="900" customFormat="1">
      <c r="A85" s="1924"/>
      <c r="D85" s="1925"/>
      <c r="K85" s="736"/>
      <c r="L85" s="736"/>
    </row>
    <row r="86" spans="1:12" s="900" customFormat="1">
      <c r="A86" s="1924"/>
      <c r="D86" s="1925"/>
      <c r="K86" s="736"/>
      <c r="L86" s="736"/>
    </row>
    <row r="87" spans="1:12" s="900" customFormat="1">
      <c r="A87" s="1924"/>
      <c r="D87" s="1925"/>
      <c r="K87" s="736"/>
      <c r="L87" s="736"/>
    </row>
    <row r="88" spans="1:12" s="900" customFormat="1">
      <c r="A88" s="1924"/>
      <c r="D88" s="1925"/>
      <c r="K88" s="736"/>
      <c r="L88" s="736"/>
    </row>
    <row r="89" spans="1:12" s="900" customFormat="1">
      <c r="A89" s="1924"/>
      <c r="D89" s="1925"/>
      <c r="K89" s="736"/>
      <c r="L89" s="736"/>
    </row>
    <row r="90" spans="1:12" s="900" customFormat="1">
      <c r="A90" s="1924"/>
      <c r="D90" s="1925"/>
      <c r="K90" s="736"/>
      <c r="L90" s="736"/>
    </row>
    <row r="91" spans="1:12" s="900" customFormat="1">
      <c r="A91" s="1924"/>
      <c r="D91" s="1925"/>
      <c r="K91" s="736"/>
      <c r="L91" s="736"/>
    </row>
    <row r="92" spans="1:12" s="900" customFormat="1">
      <c r="A92" s="1924"/>
      <c r="D92" s="1925"/>
      <c r="K92" s="736"/>
      <c r="L92" s="736"/>
    </row>
    <row r="93" spans="1:12" s="900" customFormat="1">
      <c r="A93" s="1924"/>
      <c r="D93" s="1925"/>
      <c r="K93" s="736"/>
      <c r="L93" s="736"/>
    </row>
    <row r="94" spans="1:12" s="900" customFormat="1">
      <c r="A94" s="1924"/>
      <c r="D94" s="1925"/>
      <c r="K94" s="736"/>
      <c r="L94" s="736"/>
    </row>
    <row r="95" spans="1:12" s="900" customFormat="1">
      <c r="A95" s="1924"/>
      <c r="D95" s="1925"/>
      <c r="K95" s="736"/>
      <c r="L95" s="736"/>
    </row>
    <row r="96" spans="1:12" s="900" customFormat="1">
      <c r="A96" s="1924"/>
      <c r="D96" s="1925"/>
      <c r="K96" s="736"/>
      <c r="L96" s="736"/>
    </row>
    <row r="97" spans="1:12" s="900" customFormat="1">
      <c r="A97" s="1924"/>
      <c r="D97" s="1925"/>
      <c r="K97" s="736"/>
      <c r="L97" s="736"/>
    </row>
    <row r="98" spans="1:12" s="900" customFormat="1">
      <c r="A98" s="1924"/>
      <c r="D98" s="1925"/>
      <c r="K98" s="736"/>
      <c r="L98" s="736"/>
    </row>
    <row r="99" spans="1:12" s="900" customFormat="1">
      <c r="A99" s="1924"/>
      <c r="D99" s="1925"/>
      <c r="K99" s="736"/>
      <c r="L99" s="736"/>
    </row>
    <row r="100" spans="1:12" s="900" customFormat="1">
      <c r="A100" s="1924"/>
      <c r="D100" s="1925"/>
      <c r="K100" s="736"/>
      <c r="L100" s="736"/>
    </row>
    <row r="101" spans="1:12" s="900" customFormat="1">
      <c r="A101" s="1924"/>
      <c r="D101" s="1925"/>
      <c r="K101" s="736"/>
      <c r="L101" s="736"/>
    </row>
    <row r="102" spans="1:12" s="900" customFormat="1">
      <c r="A102" s="1924"/>
      <c r="D102" s="1925"/>
      <c r="K102" s="736"/>
      <c r="L102" s="736"/>
    </row>
    <row r="103" spans="1:12" s="900" customFormat="1">
      <c r="A103" s="1924"/>
      <c r="D103" s="1925"/>
      <c r="K103" s="736"/>
      <c r="L103" s="736"/>
    </row>
    <row r="104" spans="1:12" s="900" customFormat="1">
      <c r="A104" s="1924"/>
      <c r="D104" s="1925"/>
      <c r="K104" s="736"/>
      <c r="L104" s="736"/>
    </row>
    <row r="105" spans="1:12" s="900" customFormat="1">
      <c r="A105" s="1924"/>
      <c r="D105" s="1925"/>
      <c r="K105" s="736"/>
      <c r="L105" s="736"/>
    </row>
    <row r="106" spans="1:12" s="900" customFormat="1">
      <c r="A106" s="1924"/>
      <c r="D106" s="1925"/>
      <c r="K106" s="736"/>
      <c r="L106" s="736"/>
    </row>
    <row r="107" spans="1:12" s="900" customFormat="1">
      <c r="A107" s="1924"/>
      <c r="D107" s="1925"/>
      <c r="K107" s="736"/>
      <c r="L107" s="736"/>
    </row>
    <row r="108" spans="1:12" s="900" customFormat="1">
      <c r="A108" s="1924"/>
      <c r="D108" s="1925"/>
      <c r="K108" s="736"/>
      <c r="L108" s="736"/>
    </row>
    <row r="109" spans="1:12" s="900" customFormat="1">
      <c r="A109" s="1924"/>
      <c r="D109" s="1925"/>
      <c r="K109" s="736"/>
      <c r="L109" s="736"/>
    </row>
    <row r="110" spans="1:12" s="900" customFormat="1">
      <c r="A110" s="1924"/>
      <c r="D110" s="1925"/>
      <c r="K110" s="736"/>
      <c r="L110" s="736"/>
    </row>
    <row r="111" spans="1:12" s="900" customFormat="1">
      <c r="A111" s="1924"/>
      <c r="D111" s="1925"/>
      <c r="K111" s="736"/>
      <c r="L111" s="736"/>
    </row>
    <row r="112" spans="1:12" s="900" customFormat="1">
      <c r="A112" s="1924"/>
      <c r="D112" s="1925"/>
      <c r="K112" s="736"/>
      <c r="L112" s="736"/>
    </row>
    <row r="113" spans="1:12" s="900" customFormat="1">
      <c r="A113" s="1924"/>
      <c r="D113" s="1925"/>
      <c r="K113" s="736"/>
      <c r="L113" s="736"/>
    </row>
    <row r="114" spans="1:12" s="900" customFormat="1">
      <c r="A114" s="1924"/>
      <c r="D114" s="1925"/>
      <c r="K114" s="736"/>
      <c r="L114" s="736"/>
    </row>
    <row r="115" spans="1:12" s="900" customFormat="1">
      <c r="A115" s="1924"/>
      <c r="D115" s="1925"/>
      <c r="K115" s="736"/>
      <c r="L115" s="736"/>
    </row>
    <row r="116" spans="1:12" s="900" customFormat="1">
      <c r="A116" s="1924"/>
      <c r="D116" s="1925"/>
      <c r="K116" s="736"/>
      <c r="L116" s="736"/>
    </row>
    <row r="117" spans="1:12" s="900" customFormat="1">
      <c r="A117" s="1924"/>
      <c r="D117" s="1925"/>
      <c r="K117" s="736"/>
      <c r="L117" s="736"/>
    </row>
    <row r="118" spans="1:12" s="900" customFormat="1">
      <c r="A118" s="1924"/>
      <c r="D118" s="1925"/>
      <c r="K118" s="736"/>
      <c r="L118" s="736"/>
    </row>
    <row r="119" spans="1:12" s="900" customFormat="1">
      <c r="A119" s="1924"/>
      <c r="D119" s="1925"/>
      <c r="K119" s="736"/>
      <c r="L119" s="736"/>
    </row>
    <row r="120" spans="1:12" s="900" customFormat="1">
      <c r="A120" s="1924"/>
      <c r="D120" s="1925"/>
      <c r="K120" s="736"/>
      <c r="L120" s="736"/>
    </row>
    <row r="121" spans="1:12" s="900" customFormat="1">
      <c r="A121" s="1924"/>
      <c r="D121" s="1925"/>
      <c r="K121" s="736"/>
      <c r="L121" s="736"/>
    </row>
    <row r="122" spans="1:12" s="900" customFormat="1">
      <c r="A122" s="1924"/>
      <c r="D122" s="1925"/>
      <c r="K122" s="736"/>
      <c r="L122" s="736"/>
    </row>
    <row r="123" spans="1:12" s="900" customFormat="1">
      <c r="A123" s="1924"/>
      <c r="D123" s="1925"/>
      <c r="K123" s="736"/>
      <c r="L123" s="736"/>
    </row>
    <row r="124" spans="1:12" s="900" customFormat="1">
      <c r="A124" s="1924"/>
      <c r="D124" s="1925"/>
      <c r="K124" s="736"/>
      <c r="L124" s="736"/>
    </row>
    <row r="125" spans="1:12" s="900" customFormat="1">
      <c r="A125" s="1924"/>
      <c r="D125" s="1925"/>
      <c r="K125" s="736"/>
      <c r="L125" s="736"/>
    </row>
    <row r="126" spans="1:12" s="900" customFormat="1">
      <c r="A126" s="1924"/>
      <c r="D126" s="1925"/>
      <c r="K126" s="736"/>
      <c r="L126" s="736"/>
    </row>
    <row r="127" spans="1:12" s="900" customFormat="1">
      <c r="A127" s="1924"/>
      <c r="D127" s="1925"/>
      <c r="K127" s="736"/>
      <c r="L127" s="736"/>
    </row>
    <row r="128" spans="1:12" s="900" customFormat="1">
      <c r="A128" s="1924"/>
      <c r="D128" s="1925"/>
      <c r="K128" s="736"/>
      <c r="L128" s="736"/>
    </row>
    <row r="129" spans="1:12" s="900" customFormat="1">
      <c r="A129" s="1924"/>
      <c r="D129" s="1925"/>
      <c r="K129" s="736"/>
      <c r="L129" s="736"/>
    </row>
    <row r="130" spans="1:12" s="900" customFormat="1">
      <c r="A130" s="1924"/>
      <c r="D130" s="1925"/>
      <c r="K130" s="736"/>
      <c r="L130" s="736"/>
    </row>
    <row r="131" spans="1:12" s="900" customFormat="1">
      <c r="A131" s="1924"/>
      <c r="D131" s="1925"/>
      <c r="K131" s="736"/>
      <c r="L131" s="736"/>
    </row>
    <row r="132" spans="1:12" s="900" customFormat="1">
      <c r="A132" s="1924"/>
      <c r="D132" s="1925"/>
      <c r="K132" s="736"/>
      <c r="L132" s="736"/>
    </row>
    <row r="133" spans="1:12" s="900" customFormat="1">
      <c r="A133" s="1924"/>
      <c r="D133" s="1925"/>
      <c r="K133" s="736"/>
      <c r="L133" s="736"/>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0" customWidth="1"/>
    <col min="4" max="4" width="2.625" style="2730" customWidth="1"/>
    <col min="5" max="5" width="5.875" style="2730" customWidth="1"/>
    <col min="6" max="6" width="27" style="1754"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6"/>
    <col min="30" max="16384" width="9" style="1869"/>
  </cols>
  <sheetData>
    <row r="1" spans="1:29" s="2677" customFormat="1" ht="18.75" thickBot="1">
      <c r="A1" s="3383" t="s">
        <v>3023</v>
      </c>
      <c r="B1" s="3384"/>
      <c r="C1" s="3384"/>
      <c r="D1" s="3384"/>
      <c r="E1" s="3384"/>
      <c r="F1" s="3384"/>
      <c r="G1" s="3384"/>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3018</v>
      </c>
      <c r="D2" s="2681"/>
      <c r="E2" s="2678"/>
      <c r="F2" s="2682"/>
      <c r="G2" s="2680" t="s">
        <v>3019</v>
      </c>
      <c r="H2" s="906"/>
      <c r="I2" s="906"/>
      <c r="J2" s="906"/>
      <c r="K2" s="906"/>
      <c r="L2" s="906"/>
      <c r="M2" s="906"/>
      <c r="N2" s="906"/>
      <c r="O2" s="906"/>
      <c r="P2" s="906"/>
      <c r="Q2" s="906"/>
      <c r="R2" s="906"/>
    </row>
    <row r="3" spans="1:29" ht="48">
      <c r="A3" s="2661" t="s">
        <v>3020</v>
      </c>
      <c r="B3" s="2683" t="s">
        <v>2989</v>
      </c>
      <c r="C3" s="2684" t="s">
        <v>3021</v>
      </c>
      <c r="D3" s="2685"/>
      <c r="E3" s="2662" t="s">
        <v>3020</v>
      </c>
      <c r="F3" s="2686" t="s">
        <v>2990</v>
      </c>
      <c r="G3" s="2687" t="s">
        <v>3022</v>
      </c>
      <c r="H3" s="906"/>
      <c r="I3" s="906"/>
      <c r="J3" s="906"/>
      <c r="K3" s="906"/>
      <c r="L3" s="906"/>
      <c r="M3" s="906"/>
      <c r="N3" s="906"/>
      <c r="O3" s="906"/>
      <c r="P3" s="906"/>
      <c r="Q3" s="906"/>
      <c r="R3" s="906"/>
    </row>
    <row r="4" spans="1:29" ht="36.75">
      <c r="A4" s="2662"/>
      <c r="B4" s="329" t="s">
        <v>2991</v>
      </c>
      <c r="C4" s="2688" t="s">
        <v>2992</v>
      </c>
      <c r="D4" s="2685"/>
      <c r="E4" s="2689"/>
      <c r="F4" s="1554" t="s">
        <v>2993</v>
      </c>
      <c r="G4" s="2690" t="s">
        <v>2994</v>
      </c>
      <c r="H4" s="906"/>
      <c r="I4" s="906"/>
      <c r="J4" s="906"/>
      <c r="K4" s="906"/>
      <c r="L4" s="906"/>
      <c r="M4" s="906"/>
      <c r="N4" s="906"/>
      <c r="O4" s="906"/>
      <c r="P4" s="906"/>
      <c r="Q4" s="906"/>
      <c r="R4" s="906"/>
    </row>
    <row r="5" spans="1:29" ht="36.75">
      <c r="A5" s="2662"/>
      <c r="B5" s="329" t="s">
        <v>2995</v>
      </c>
      <c r="C5" s="2688" t="s">
        <v>2996</v>
      </c>
      <c r="D5" s="2685"/>
      <c r="E5" s="2689"/>
      <c r="F5" s="329" t="s">
        <v>2997</v>
      </c>
      <c r="G5" s="2690" t="s">
        <v>2998</v>
      </c>
      <c r="H5" s="906"/>
      <c r="I5" s="906"/>
      <c r="J5" s="906"/>
      <c r="K5" s="906"/>
      <c r="L5" s="906"/>
      <c r="M5" s="906"/>
      <c r="N5" s="906"/>
      <c r="O5" s="906"/>
      <c r="P5" s="906"/>
      <c r="Q5" s="906"/>
      <c r="R5" s="906"/>
    </row>
    <row r="6" spans="1:29" ht="36">
      <c r="A6" s="2662"/>
      <c r="B6" s="329" t="s">
        <v>2999</v>
      </c>
      <c r="C6" s="2690" t="s">
        <v>2994</v>
      </c>
      <c r="D6" s="2685"/>
      <c r="E6" s="2689"/>
      <c r="F6" s="329" t="s">
        <v>3000</v>
      </c>
      <c r="G6" s="2690" t="s">
        <v>3001</v>
      </c>
      <c r="H6" s="906"/>
      <c r="I6" s="906"/>
      <c r="J6" s="906"/>
      <c r="K6" s="906"/>
      <c r="L6" s="906"/>
      <c r="M6" s="906"/>
      <c r="N6" s="906"/>
      <c r="O6" s="906"/>
      <c r="P6" s="906"/>
      <c r="Q6" s="906"/>
      <c r="R6" s="906"/>
    </row>
    <row r="7" spans="1:29" ht="24.75" thickBot="1">
      <c r="A7" s="2662"/>
      <c r="B7" s="329" t="s">
        <v>2997</v>
      </c>
      <c r="C7" s="2690" t="s">
        <v>2998</v>
      </c>
      <c r="D7" s="2691"/>
      <c r="E7" s="2692"/>
      <c r="F7" s="2693" t="s">
        <v>3002</v>
      </c>
      <c r="G7" s="2694" t="s">
        <v>3003</v>
      </c>
      <c r="H7" s="906"/>
      <c r="I7" s="906"/>
      <c r="J7" s="906"/>
      <c r="K7" s="906"/>
      <c r="L7" s="906"/>
      <c r="M7" s="906"/>
      <c r="N7" s="906"/>
      <c r="O7" s="906"/>
      <c r="P7" s="906"/>
      <c r="Q7" s="906"/>
      <c r="R7" s="906"/>
    </row>
    <row r="8" spans="1:29">
      <c r="A8" s="2662"/>
      <c r="B8" s="329" t="s">
        <v>3000</v>
      </c>
      <c r="C8" s="2690" t="s">
        <v>3001</v>
      </c>
      <c r="D8" s="2691"/>
      <c r="E8" s="2691"/>
      <c r="F8" s="2695"/>
      <c r="G8" s="2695"/>
      <c r="H8" s="906"/>
      <c r="I8" s="906"/>
      <c r="J8" s="906"/>
      <c r="K8" s="906"/>
      <c r="L8" s="906"/>
      <c r="M8" s="906"/>
      <c r="N8" s="906"/>
      <c r="O8" s="906"/>
      <c r="P8" s="906"/>
      <c r="Q8" s="906"/>
      <c r="R8" s="906"/>
    </row>
    <row r="9" spans="1:29" ht="24">
      <c r="A9" s="2662"/>
      <c r="B9" s="329" t="s">
        <v>3004</v>
      </c>
      <c r="C9" s="2688" t="s">
        <v>3005</v>
      </c>
      <c r="D9" s="2685"/>
      <c r="E9" s="2691"/>
      <c r="F9" s="2695"/>
      <c r="G9" s="2695"/>
      <c r="H9" s="906"/>
      <c r="I9" s="906"/>
      <c r="J9" s="906"/>
      <c r="K9" s="906"/>
      <c r="L9" s="906"/>
      <c r="M9" s="906"/>
      <c r="N9" s="906"/>
      <c r="O9" s="906"/>
      <c r="P9" s="906"/>
      <c r="Q9" s="906"/>
      <c r="R9" s="906"/>
    </row>
    <row r="10" spans="1:29" s="2701" customFormat="1" ht="15" thickBot="1">
      <c r="A10" s="2663"/>
      <c r="B10" s="2696" t="s">
        <v>3006</v>
      </c>
      <c r="C10" s="2697"/>
      <c r="D10" s="2685"/>
      <c r="E10" s="2685"/>
      <c r="F10" s="2695"/>
      <c r="G10" s="2695"/>
      <c r="H10" s="2698"/>
      <c r="I10" s="2699"/>
      <c r="J10" s="2700"/>
      <c r="K10" s="2698"/>
      <c r="L10" s="2699"/>
      <c r="M10" s="2700"/>
      <c r="N10" s="2698"/>
      <c r="O10" s="2699"/>
      <c r="P10" s="2700"/>
      <c r="Q10" s="2698"/>
      <c r="R10" s="2699"/>
      <c r="S10" s="906"/>
      <c r="T10" s="906"/>
      <c r="U10" s="906"/>
      <c r="V10" s="906"/>
      <c r="W10" s="906"/>
      <c r="X10" s="906"/>
      <c r="Y10" s="906"/>
      <c r="Z10" s="906"/>
      <c r="AA10" s="906"/>
      <c r="AB10" s="906"/>
      <c r="AC10" s="906"/>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6"/>
      <c r="T11" s="906"/>
      <c r="U11" s="906"/>
      <c r="V11" s="906"/>
      <c r="W11" s="906"/>
      <c r="X11" s="906"/>
      <c r="Y11" s="906"/>
      <c r="Z11" s="906"/>
      <c r="AA11" s="906"/>
      <c r="AB11" s="906"/>
      <c r="AC11" s="906"/>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3024</v>
      </c>
      <c r="B13" s="2704"/>
      <c r="C13" s="2704"/>
      <c r="D13" s="2702"/>
      <c r="E13" s="2704"/>
      <c r="F13" s="2704"/>
      <c r="G13" s="2704"/>
    </row>
    <row r="14" spans="1:29" ht="15" thickBot="1">
      <c r="A14" s="2714"/>
      <c r="B14" s="2714"/>
      <c r="C14" s="2715" t="s">
        <v>3007</v>
      </c>
      <c r="D14" s="2685"/>
      <c r="E14" s="2716"/>
      <c r="F14" s="2716"/>
      <c r="G14" s="2680" t="s">
        <v>3008</v>
      </c>
    </row>
    <row r="15" spans="1:29" ht="51">
      <c r="A15" s="2664" t="s">
        <v>3009</v>
      </c>
      <c r="B15" s="2717" t="s">
        <v>2989</v>
      </c>
      <c r="C15" s="2718" t="str">
        <f>C3</f>
        <v>估价对象周边居住用地比例、居住小区规模和社区发展完善程度，综合评价居住社区成熟度一般</v>
      </c>
      <c r="D15" s="2685"/>
      <c r="E15" s="2665" t="s">
        <v>3010</v>
      </c>
      <c r="F15" s="2717" t="s">
        <v>3011</v>
      </c>
      <c r="G15" s="2719" t="str">
        <f>G3</f>
        <v>估价对象位于XX开发区，园区建设成熟度XX，产业集聚程度XX</v>
      </c>
    </row>
    <row r="16" spans="1:29" ht="38.25">
      <c r="A16" s="2666"/>
      <c r="B16" s="2720" t="s">
        <v>2991</v>
      </c>
      <c r="C16" s="2721" t="str">
        <f>C4</f>
        <v>估价对象位于XX商圈，周边商业氛围成熟，人流量大，商业繁华度好</v>
      </c>
      <c r="D16" s="2685"/>
      <c r="E16" s="2667"/>
      <c r="F16" s="2722" t="s">
        <v>2993</v>
      </c>
      <c r="G16" s="2723" t="str">
        <f>G4</f>
        <v>估价对象周边道路状况、公共交通通达情况、停车便捷程度，综合评价交通便捷度较好</v>
      </c>
    </row>
    <row r="17" spans="1:18" ht="38.25">
      <c r="A17" s="2666"/>
      <c r="B17" s="2720" t="s">
        <v>2995</v>
      </c>
      <c r="C17" s="2721" t="str">
        <f>C5</f>
        <v>估价对象位于XX商圈，周边办公楼项目较多，入驻率高，办公集聚程度较好</v>
      </c>
      <c r="D17" s="2691"/>
      <c r="E17" s="2667"/>
      <c r="F17" s="2722" t="s">
        <v>3012</v>
      </c>
      <c r="G17" s="2724"/>
    </row>
    <row r="18" spans="1:18" ht="38.25">
      <c r="A18" s="2666"/>
      <c r="B18" s="2722" t="s">
        <v>2999</v>
      </c>
      <c r="C18" s="2723" t="str">
        <f>C6</f>
        <v>估价对象周边道路状况、公共交通通达情况、停车便捷程度，综合评价交通便捷度较好</v>
      </c>
      <c r="D18" s="2691"/>
      <c r="E18" s="2667"/>
      <c r="F18" s="2722" t="s">
        <v>3002</v>
      </c>
      <c r="G18" s="2723" t="str">
        <f>G7</f>
        <v>该园区内是否有污染型企业，绿化情况，卫生条件，整体环境状况判断</v>
      </c>
    </row>
    <row r="19" spans="1:18" ht="25.5">
      <c r="A19" s="2666"/>
      <c r="B19" s="2722" t="s">
        <v>3013</v>
      </c>
      <c r="C19" s="2724"/>
      <c r="D19" s="2685"/>
      <c r="E19" s="2667"/>
      <c r="F19" s="329" t="s">
        <v>2997</v>
      </c>
      <c r="G19" s="2723" t="str">
        <f>G5</f>
        <v>估价对象所在区域公共配套设施齐备情况</v>
      </c>
    </row>
    <row r="20" spans="1:18" ht="25.5">
      <c r="A20" s="2666"/>
      <c r="B20" s="2722" t="s">
        <v>3014</v>
      </c>
      <c r="C20" s="2721" t="str">
        <f>C9</f>
        <v>区域自然环境：；人文环境；综合评价环境状况一般</v>
      </c>
      <c r="D20" s="2691"/>
      <c r="E20" s="2667"/>
      <c r="F20" s="329" t="s">
        <v>3000</v>
      </c>
      <c r="G20" s="2723" t="str">
        <f>G6</f>
        <v>估价对象所在区域基础设施水平</v>
      </c>
    </row>
    <row r="21" spans="1:18" ht="25.5">
      <c r="A21" s="2666"/>
      <c r="B21" s="329" t="s">
        <v>2997</v>
      </c>
      <c r="C21" s="2723" t="str">
        <f>C7</f>
        <v>估价对象所在区域公共配套设施齐备情况</v>
      </c>
      <c r="D21" s="2685"/>
      <c r="E21" s="2667"/>
      <c r="F21" s="2722" t="s">
        <v>3015</v>
      </c>
      <c r="G21" s="2725"/>
    </row>
    <row r="22" spans="1:18" ht="13.5" customHeight="1">
      <c r="A22" s="2666"/>
      <c r="B22" s="329" t="s">
        <v>3000</v>
      </c>
      <c r="C22" s="2723" t="str">
        <f>C8</f>
        <v>估价对象所在区域基础设施水平</v>
      </c>
      <c r="D22" s="2685"/>
      <c r="E22" s="2667"/>
      <c r="F22" s="2722" t="s">
        <v>3006</v>
      </c>
      <c r="G22" s="2724"/>
    </row>
    <row r="23" spans="1:18" s="906" customFormat="1" ht="15" thickBot="1">
      <c r="A23" s="2666"/>
      <c r="B23" s="2722" t="s">
        <v>3015</v>
      </c>
      <c r="C23" s="2725"/>
      <c r="D23" s="1924"/>
      <c r="E23" s="2668"/>
      <c r="F23" s="2726" t="s">
        <v>3016</v>
      </c>
      <c r="G23" s="2727"/>
      <c r="H23" s="2711"/>
      <c r="I23" s="2712"/>
      <c r="J23" s="2711"/>
      <c r="K23" s="2711"/>
      <c r="L23" s="2712"/>
      <c r="M23" s="2711"/>
      <c r="N23" s="2711"/>
      <c r="O23" s="2712"/>
      <c r="P23" s="2711"/>
      <c r="Q23" s="2711"/>
      <c r="R23" s="2713"/>
    </row>
    <row r="24" spans="1:18" s="906" customFormat="1" ht="15" thickBot="1">
      <c r="A24" s="2669"/>
      <c r="B24" s="2726" t="s">
        <v>3017</v>
      </c>
      <c r="C24" s="2728">
        <f>C10</f>
        <v>0</v>
      </c>
      <c r="D24" s="1924"/>
      <c r="E24" s="2659"/>
      <c r="F24" s="2659"/>
      <c r="G24" s="2729"/>
      <c r="H24" s="2711"/>
      <c r="I24" s="2712"/>
      <c r="J24" s="2711"/>
      <c r="K24" s="2711"/>
      <c r="L24" s="2712"/>
      <c r="M24" s="2711"/>
      <c r="N24" s="2711"/>
      <c r="O24" s="2712"/>
      <c r="P24" s="2711"/>
      <c r="Q24" s="2711"/>
      <c r="R24" s="2713"/>
    </row>
    <row r="25" spans="1:18" s="906" customFormat="1">
      <c r="B25" s="2711"/>
      <c r="C25" s="2711"/>
      <c r="D25" s="2711"/>
      <c r="H25" s="2711"/>
      <c r="I25" s="2712"/>
      <c r="J25" s="2711"/>
      <c r="K25" s="2711"/>
      <c r="L25" s="2712"/>
      <c r="M25" s="2711"/>
      <c r="N25" s="2711"/>
      <c r="O25" s="2712"/>
      <c r="P25" s="2711"/>
      <c r="Q25" s="2711"/>
      <c r="R25" s="2713"/>
    </row>
    <row r="26" spans="1:18" s="906" customFormat="1">
      <c r="B26" s="2711"/>
      <c r="C26" s="2711"/>
      <c r="D26" s="2711"/>
      <c r="H26" s="2711"/>
      <c r="I26" s="2712"/>
      <c r="J26" s="2711"/>
      <c r="K26" s="2711"/>
      <c r="L26" s="2712"/>
      <c r="M26" s="2711"/>
      <c r="N26" s="2711"/>
      <c r="O26" s="2712"/>
      <c r="P26" s="2711"/>
      <c r="Q26" s="2711"/>
      <c r="R26" s="2713"/>
    </row>
    <row r="27" spans="1:18" s="906" customFormat="1">
      <c r="B27" s="2711"/>
      <c r="C27" s="2711"/>
      <c r="D27" s="2711"/>
      <c r="H27" s="2711"/>
      <c r="I27" s="2712"/>
      <c r="J27" s="2711"/>
      <c r="K27" s="2711"/>
      <c r="L27" s="2712"/>
      <c r="M27" s="2711"/>
      <c r="N27" s="2711"/>
      <c r="O27" s="2712"/>
      <c r="P27" s="2711"/>
      <c r="Q27" s="2711"/>
      <c r="R27" s="2713"/>
    </row>
    <row r="28" spans="1:18" s="906" customFormat="1">
      <c r="B28" s="2711"/>
      <c r="C28" s="2711"/>
      <c r="D28" s="2711"/>
      <c r="H28" s="2711"/>
      <c r="I28" s="2712"/>
      <c r="J28" s="2711"/>
      <c r="K28" s="2711"/>
      <c r="L28" s="2712"/>
      <c r="M28" s="2711"/>
      <c r="N28" s="2711"/>
      <c r="O28" s="2712"/>
      <c r="P28" s="2711"/>
      <c r="Q28" s="2711"/>
      <c r="R28" s="2713"/>
    </row>
    <row r="29" spans="1:18" s="906" customFormat="1">
      <c r="B29" s="2711"/>
      <c r="C29" s="2711"/>
      <c r="D29" s="2711"/>
      <c r="H29" s="2711"/>
      <c r="I29" s="2712"/>
      <c r="J29" s="2711"/>
      <c r="K29" s="2711"/>
      <c r="L29" s="2712"/>
      <c r="M29" s="2711"/>
      <c r="N29" s="2711"/>
      <c r="O29" s="2712"/>
      <c r="P29" s="2711"/>
      <c r="Q29" s="2711"/>
      <c r="R29" s="2713"/>
    </row>
    <row r="30" spans="1:18" s="906" customFormat="1">
      <c r="B30" s="2711"/>
      <c r="C30" s="2711"/>
      <c r="D30" s="2711"/>
      <c r="H30" s="2711"/>
      <c r="I30" s="2712"/>
      <c r="J30" s="2711"/>
      <c r="K30" s="2711"/>
      <c r="L30" s="2712"/>
      <c r="M30" s="2711"/>
      <c r="N30" s="2711"/>
      <c r="O30" s="2712"/>
      <c r="P30" s="2711"/>
      <c r="Q30" s="2711"/>
      <c r="R30" s="2713"/>
    </row>
    <row r="31" spans="1:18" s="906" customFormat="1">
      <c r="B31" s="2711"/>
      <c r="C31" s="2711"/>
      <c r="D31" s="2711"/>
      <c r="H31" s="2711"/>
      <c r="I31" s="2712"/>
      <c r="J31" s="2711"/>
      <c r="K31" s="2711"/>
      <c r="L31" s="2712"/>
      <c r="M31" s="2711"/>
      <c r="N31" s="2711"/>
      <c r="O31" s="2712"/>
      <c r="P31" s="2711"/>
      <c r="Q31" s="2711"/>
      <c r="R31" s="2713"/>
    </row>
    <row r="32" spans="1:18" s="906" customFormat="1">
      <c r="B32" s="2711"/>
      <c r="C32" s="2711"/>
      <c r="D32" s="2711"/>
      <c r="H32" s="2711"/>
      <c r="I32" s="2712"/>
      <c r="J32" s="2711"/>
      <c r="K32" s="2711"/>
      <c r="L32" s="2712"/>
      <c r="M32" s="2711"/>
      <c r="N32" s="2711"/>
      <c r="O32" s="2712"/>
      <c r="P32" s="2711"/>
      <c r="Q32" s="2711"/>
      <c r="R32" s="2713"/>
    </row>
    <row r="33" spans="2:18" s="906" customFormat="1">
      <c r="B33" s="2711"/>
      <c r="C33" s="2711"/>
      <c r="D33" s="2711"/>
      <c r="H33" s="2711"/>
      <c r="I33" s="2712"/>
      <c r="J33" s="2711"/>
      <c r="K33" s="2711"/>
      <c r="L33" s="2712"/>
      <c r="M33" s="2711"/>
      <c r="N33" s="2711"/>
      <c r="O33" s="2712"/>
      <c r="P33" s="2711"/>
      <c r="Q33" s="2711"/>
      <c r="R33" s="2713"/>
    </row>
    <row r="34" spans="2:18" s="906" customFormat="1">
      <c r="B34" s="2711"/>
      <c r="C34" s="2711"/>
      <c r="D34" s="2711"/>
      <c r="H34" s="2711"/>
      <c r="I34" s="2712"/>
      <c r="J34" s="2711"/>
      <c r="K34" s="2711"/>
      <c r="L34" s="2712"/>
      <c r="M34" s="2711"/>
      <c r="N34" s="2711"/>
      <c r="O34" s="2712"/>
      <c r="P34" s="2711"/>
      <c r="Q34" s="2711"/>
      <c r="R34" s="2713"/>
    </row>
    <row r="35" spans="2:18" s="906" customFormat="1">
      <c r="B35" s="2711"/>
      <c r="C35" s="2711"/>
      <c r="D35" s="2711"/>
      <c r="H35" s="2711"/>
      <c r="I35" s="2712"/>
      <c r="J35" s="2711"/>
      <c r="K35" s="2711"/>
      <c r="L35" s="2712"/>
      <c r="M35" s="2711"/>
      <c r="N35" s="2711"/>
      <c r="O35" s="2712"/>
      <c r="P35" s="2711"/>
      <c r="Q35" s="2711"/>
      <c r="R35" s="2713"/>
    </row>
    <row r="36" spans="2:18" s="906" customFormat="1">
      <c r="B36" s="2711"/>
      <c r="C36" s="2711"/>
      <c r="D36" s="2711"/>
      <c r="H36" s="2711"/>
      <c r="I36" s="2712"/>
      <c r="J36" s="2711"/>
      <c r="K36" s="2711"/>
      <c r="L36" s="2712"/>
      <c r="M36" s="2711"/>
      <c r="N36" s="2711"/>
      <c r="O36" s="2712"/>
      <c r="P36" s="2711"/>
      <c r="Q36" s="2711"/>
      <c r="R36" s="2713"/>
    </row>
    <row r="37" spans="2:18" s="906" customFormat="1">
      <c r="B37" s="2711"/>
      <c r="C37" s="2711"/>
      <c r="D37" s="2711"/>
      <c r="H37" s="2711"/>
      <c r="I37" s="2712"/>
      <c r="J37" s="2711"/>
      <c r="K37" s="2711"/>
      <c r="L37" s="2712"/>
      <c r="M37" s="2711"/>
      <c r="N37" s="2711"/>
      <c r="O37" s="2712"/>
      <c r="P37" s="2711"/>
      <c r="Q37" s="2711"/>
      <c r="R37" s="2713"/>
    </row>
    <row r="38" spans="2:18" s="906" customFormat="1">
      <c r="B38" s="2711"/>
      <c r="C38" s="2711"/>
      <c r="D38" s="2711"/>
      <c r="E38" s="2711"/>
      <c r="F38" s="2711"/>
      <c r="G38" s="2712"/>
      <c r="H38" s="2711"/>
      <c r="I38" s="2712"/>
      <c r="J38" s="2711"/>
      <c r="K38" s="2711"/>
      <c r="L38" s="2712"/>
      <c r="M38" s="2711"/>
      <c r="N38" s="2711"/>
      <c r="O38" s="2712"/>
      <c r="P38" s="2711"/>
      <c r="Q38" s="2711"/>
      <c r="R38" s="2713"/>
    </row>
    <row r="39" spans="2:18" s="906" customFormat="1">
      <c r="B39" s="2711"/>
      <c r="C39" s="2711"/>
      <c r="D39" s="2711"/>
      <c r="E39" s="2711"/>
      <c r="F39" s="2711"/>
      <c r="G39" s="2712"/>
      <c r="H39" s="2711"/>
      <c r="I39" s="2712"/>
      <c r="J39" s="2711"/>
      <c r="K39" s="2711"/>
      <c r="L39" s="2712"/>
      <c r="M39" s="2711"/>
      <c r="N39" s="2711"/>
      <c r="O39" s="2712"/>
      <c r="P39" s="2711"/>
      <c r="Q39" s="2711"/>
      <c r="R39" s="2713"/>
    </row>
    <row r="40" spans="2:18" s="906" customFormat="1">
      <c r="B40" s="2711"/>
      <c r="C40" s="2711"/>
      <c r="D40" s="2711"/>
      <c r="E40" s="2711"/>
      <c r="F40" s="2711"/>
      <c r="G40" s="2712"/>
      <c r="H40" s="2711"/>
      <c r="I40" s="2712"/>
      <c r="J40" s="2711"/>
      <c r="K40" s="2711"/>
      <c r="L40" s="2712"/>
      <c r="M40" s="2711"/>
      <c r="N40" s="2711"/>
      <c r="O40" s="2712"/>
      <c r="P40" s="2711"/>
      <c r="Q40" s="2711"/>
      <c r="R40" s="2713"/>
    </row>
    <row r="41" spans="2:18" s="906" customFormat="1">
      <c r="B41" s="2711"/>
      <c r="C41" s="2711"/>
      <c r="D41" s="2711"/>
      <c r="E41" s="2711"/>
      <c r="F41" s="2711"/>
      <c r="G41" s="2712"/>
      <c r="H41" s="2711"/>
      <c r="I41" s="2712"/>
      <c r="J41" s="2711"/>
      <c r="K41" s="2711"/>
      <c r="L41" s="2712"/>
      <c r="M41" s="2711"/>
      <c r="N41" s="2711"/>
      <c r="O41" s="2712"/>
      <c r="P41" s="2711"/>
      <c r="Q41" s="2711"/>
      <c r="R41" s="2713"/>
    </row>
    <row r="42" spans="2:18" s="906" customFormat="1">
      <c r="B42" s="2711"/>
      <c r="C42" s="2711"/>
      <c r="D42" s="2711"/>
      <c r="E42" s="2711"/>
      <c r="F42" s="2711"/>
      <c r="G42" s="2712"/>
      <c r="H42" s="2711"/>
      <c r="I42" s="2712"/>
      <c r="J42" s="2711"/>
      <c r="K42" s="2711"/>
      <c r="L42" s="2712"/>
      <c r="M42" s="2711"/>
      <c r="N42" s="2711"/>
      <c r="O42" s="2712"/>
      <c r="P42" s="2711"/>
      <c r="Q42" s="2711"/>
      <c r="R42" s="2713"/>
    </row>
    <row r="43" spans="2:18" s="906" customFormat="1">
      <c r="B43" s="2711"/>
      <c r="C43" s="2711"/>
      <c r="D43" s="2711"/>
      <c r="E43" s="2711"/>
      <c r="F43" s="2711"/>
      <c r="G43" s="2712"/>
      <c r="H43" s="2711"/>
      <c r="I43" s="2712"/>
      <c r="J43" s="2711"/>
      <c r="K43" s="2711"/>
      <c r="L43" s="2712"/>
      <c r="M43" s="2711"/>
      <c r="N43" s="2711"/>
      <c r="O43" s="2712"/>
      <c r="P43" s="2711"/>
      <c r="Q43" s="2711"/>
      <c r="R43" s="2713"/>
    </row>
    <row r="44" spans="2:18" s="906" customFormat="1">
      <c r="B44" s="2711"/>
      <c r="C44" s="2711"/>
      <c r="D44" s="2711"/>
      <c r="E44" s="2711"/>
      <c r="F44" s="2711"/>
      <c r="G44" s="2712"/>
      <c r="H44" s="2711"/>
      <c r="I44" s="2712"/>
      <c r="J44" s="2711"/>
      <c r="K44" s="2711"/>
      <c r="L44" s="2712"/>
      <c r="M44" s="2711"/>
      <c r="N44" s="2711"/>
      <c r="O44" s="2712"/>
      <c r="P44" s="2711"/>
      <c r="Q44" s="2711"/>
      <c r="R44" s="2713"/>
    </row>
    <row r="45" spans="2:18" s="906" customFormat="1">
      <c r="B45" s="2711"/>
      <c r="C45" s="2711"/>
      <c r="D45" s="2711"/>
      <c r="E45" s="2711"/>
      <c r="F45" s="2711"/>
      <c r="G45" s="2712"/>
      <c r="H45" s="2711"/>
      <c r="I45" s="2712"/>
      <c r="J45" s="2711"/>
      <c r="K45" s="2711"/>
      <c r="L45" s="2712"/>
      <c r="M45" s="2711"/>
      <c r="N45" s="2711"/>
      <c r="O45" s="2712"/>
      <c r="P45" s="2711"/>
      <c r="Q45" s="2711"/>
      <c r="R45" s="2713"/>
    </row>
    <row r="46" spans="2:18" s="906" customFormat="1">
      <c r="B46" s="2711"/>
      <c r="C46" s="2711"/>
      <c r="D46" s="2711"/>
      <c r="E46" s="2711"/>
      <c r="F46" s="2711"/>
      <c r="G46" s="2712"/>
      <c r="H46" s="2711"/>
      <c r="I46" s="2712"/>
      <c r="J46" s="2711"/>
      <c r="K46" s="2711"/>
      <c r="L46" s="2712"/>
      <c r="M46" s="2711"/>
      <c r="N46" s="2711"/>
      <c r="O46" s="2712"/>
      <c r="P46" s="2711"/>
      <c r="Q46" s="2711"/>
      <c r="R46" s="2713"/>
    </row>
    <row r="47" spans="2:18" s="906" customFormat="1">
      <c r="B47" s="2711"/>
      <c r="C47" s="2711"/>
      <c r="D47" s="2711"/>
      <c r="E47" s="2711"/>
      <c r="F47" s="2711"/>
      <c r="G47" s="2712"/>
      <c r="H47" s="2711"/>
      <c r="I47" s="2712"/>
      <c r="J47" s="2711"/>
      <c r="K47" s="2711"/>
      <c r="L47" s="2712"/>
      <c r="M47" s="2711"/>
      <c r="N47" s="2711"/>
      <c r="O47" s="2712"/>
      <c r="P47" s="2711"/>
      <c r="Q47" s="2711"/>
      <c r="R47" s="2713"/>
    </row>
    <row r="48" spans="2:18" s="906" customFormat="1">
      <c r="B48" s="2711"/>
      <c r="C48" s="2711"/>
      <c r="D48" s="2711"/>
      <c r="E48" s="2711"/>
      <c r="F48" s="2711"/>
      <c r="G48" s="2712"/>
      <c r="H48" s="2711"/>
      <c r="I48" s="2712"/>
      <c r="J48" s="2711"/>
      <c r="K48" s="2711"/>
      <c r="L48" s="2712"/>
      <c r="M48" s="2711"/>
      <c r="N48" s="2711"/>
      <c r="O48" s="2712"/>
      <c r="P48" s="2711"/>
      <c r="Q48" s="2711"/>
      <c r="R48" s="2713"/>
    </row>
    <row r="49" spans="2:18" s="906" customFormat="1">
      <c r="B49" s="2711"/>
      <c r="C49" s="2711"/>
      <c r="D49" s="2711"/>
      <c r="E49" s="2711"/>
      <c r="F49" s="2711"/>
      <c r="G49" s="2712"/>
      <c r="H49" s="2711"/>
      <c r="I49" s="2712"/>
      <c r="J49" s="2711"/>
      <c r="K49" s="2711"/>
      <c r="L49" s="2712"/>
      <c r="M49" s="2711"/>
      <c r="N49" s="2711"/>
      <c r="O49" s="2712"/>
      <c r="P49" s="2711"/>
      <c r="Q49" s="2711"/>
      <c r="R49" s="2713"/>
    </row>
    <row r="50" spans="2:18" s="906" customFormat="1">
      <c r="B50" s="2711"/>
      <c r="C50" s="2711"/>
      <c r="D50" s="2711"/>
      <c r="E50" s="2711"/>
      <c r="F50" s="2711"/>
      <c r="G50" s="2712"/>
      <c r="H50" s="2711"/>
      <c r="I50" s="2712"/>
      <c r="J50" s="2711"/>
      <c r="K50" s="2711"/>
      <c r="L50" s="2712"/>
      <c r="M50" s="2711"/>
      <c r="N50" s="2711"/>
      <c r="O50" s="2712"/>
      <c r="P50" s="2711"/>
      <c r="Q50" s="2711"/>
      <c r="R50" s="2713"/>
    </row>
    <row r="51" spans="2:18" s="906" customFormat="1">
      <c r="B51" s="2711"/>
      <c r="C51" s="2711"/>
      <c r="D51" s="2711"/>
      <c r="E51" s="2711"/>
      <c r="F51" s="2711"/>
      <c r="G51" s="2712"/>
      <c r="H51" s="2711"/>
      <c r="I51" s="2712"/>
      <c r="J51" s="2711"/>
      <c r="K51" s="2711"/>
      <c r="L51" s="2712"/>
      <c r="M51" s="2711"/>
      <c r="N51" s="2711"/>
      <c r="O51" s="2712"/>
      <c r="P51" s="2711"/>
      <c r="Q51" s="2711"/>
      <c r="R51" s="2713"/>
    </row>
    <row r="52" spans="2:18" s="906" customFormat="1">
      <c r="B52" s="2711"/>
      <c r="C52" s="2711"/>
      <c r="D52" s="2711"/>
      <c r="E52" s="2711"/>
      <c r="F52" s="2711"/>
      <c r="G52" s="2712"/>
      <c r="H52" s="2711"/>
      <c r="I52" s="2712"/>
      <c r="J52" s="2711"/>
      <c r="K52" s="2711"/>
      <c r="L52" s="2712"/>
      <c r="M52" s="2711"/>
      <c r="N52" s="2711"/>
      <c r="O52" s="2712"/>
      <c r="P52" s="2711"/>
      <c r="Q52" s="2711"/>
      <c r="R52" s="2713"/>
    </row>
    <row r="53" spans="2:18" s="906" customFormat="1">
      <c r="B53" s="2711"/>
      <c r="C53" s="2711"/>
      <c r="D53" s="2711"/>
      <c r="E53" s="2711"/>
      <c r="F53" s="2711"/>
      <c r="G53" s="2712"/>
      <c r="H53" s="2711"/>
      <c r="I53" s="2712"/>
      <c r="J53" s="2711"/>
      <c r="K53" s="2711"/>
      <c r="L53" s="2712"/>
      <c r="M53" s="2711"/>
      <c r="N53" s="2711"/>
      <c r="O53" s="2712"/>
      <c r="P53" s="2711"/>
      <c r="Q53" s="2711"/>
      <c r="R53" s="2713"/>
    </row>
    <row r="54" spans="2:18" s="906" customFormat="1">
      <c r="B54" s="2711"/>
      <c r="C54" s="2711"/>
      <c r="D54" s="2711"/>
      <c r="E54" s="2711"/>
      <c r="F54" s="2711"/>
      <c r="G54" s="2712"/>
      <c r="H54" s="2711"/>
      <c r="I54" s="2712"/>
      <c r="J54" s="2711"/>
      <c r="K54" s="2711"/>
      <c r="L54" s="2712"/>
      <c r="M54" s="2711"/>
      <c r="N54" s="2711"/>
      <c r="O54" s="2712"/>
      <c r="P54" s="2711"/>
      <c r="Q54" s="2711"/>
      <c r="R54" s="2713"/>
    </row>
    <row r="55" spans="2:18" s="906" customFormat="1">
      <c r="B55" s="2711"/>
      <c r="C55" s="2711"/>
      <c r="D55" s="2711"/>
      <c r="E55" s="2711"/>
      <c r="F55" s="2711"/>
      <c r="G55" s="2712"/>
      <c r="H55" s="2711"/>
      <c r="I55" s="2712"/>
      <c r="J55" s="2711"/>
      <c r="K55" s="2711"/>
      <c r="L55" s="2712"/>
      <c r="M55" s="2711"/>
      <c r="N55" s="2711"/>
      <c r="O55" s="2712"/>
      <c r="P55" s="2711"/>
      <c r="Q55" s="2711"/>
      <c r="R55" s="2713"/>
    </row>
    <row r="56" spans="2:18" s="906" customFormat="1">
      <c r="B56" s="2711"/>
      <c r="C56" s="2711"/>
      <c r="D56" s="2711"/>
      <c r="E56" s="2711"/>
      <c r="F56" s="2711"/>
      <c r="G56" s="2712"/>
      <c r="H56" s="2711"/>
      <c r="I56" s="2712"/>
      <c r="J56" s="2711"/>
      <c r="K56" s="2711"/>
      <c r="L56" s="2712"/>
      <c r="M56" s="2711"/>
      <c r="N56" s="2711"/>
      <c r="O56" s="2712"/>
      <c r="P56" s="2711"/>
      <c r="Q56" s="2711"/>
      <c r="R56" s="2713"/>
    </row>
    <row r="57" spans="2:18" s="906" customFormat="1">
      <c r="B57" s="2711"/>
      <c r="C57" s="2711"/>
      <c r="D57" s="2711"/>
      <c r="E57" s="2711"/>
      <c r="F57" s="2711"/>
      <c r="G57" s="2712"/>
      <c r="H57" s="2711"/>
      <c r="I57" s="2712"/>
      <c r="J57" s="2711"/>
      <c r="K57" s="2711"/>
      <c r="L57" s="2712"/>
      <c r="M57" s="2711"/>
      <c r="N57" s="2711"/>
      <c r="O57" s="2712"/>
      <c r="P57" s="2711"/>
      <c r="Q57" s="2711"/>
      <c r="R57" s="2713"/>
    </row>
    <row r="58" spans="2:18" s="906" customFormat="1">
      <c r="B58" s="2711"/>
      <c r="C58" s="2711"/>
      <c r="D58" s="2711"/>
      <c r="E58" s="2711"/>
      <c r="F58" s="2711"/>
      <c r="G58" s="2712"/>
      <c r="H58" s="2711"/>
      <c r="I58" s="2712"/>
      <c r="J58" s="2711"/>
      <c r="K58" s="2711"/>
      <c r="L58" s="2712"/>
      <c r="M58" s="2711"/>
      <c r="N58" s="2711"/>
      <c r="O58" s="2712"/>
      <c r="P58" s="2711"/>
      <c r="Q58" s="2711"/>
      <c r="R58" s="2713"/>
    </row>
    <row r="59" spans="2:18" s="906" customFormat="1">
      <c r="B59" s="2711"/>
      <c r="C59" s="2711"/>
      <c r="D59" s="2711"/>
      <c r="E59" s="2711"/>
      <c r="F59" s="2711"/>
      <c r="G59" s="2712"/>
      <c r="H59" s="2711"/>
      <c r="I59" s="2712"/>
      <c r="J59" s="2711"/>
      <c r="K59" s="2711"/>
      <c r="L59" s="2712"/>
      <c r="M59" s="2711"/>
      <c r="N59" s="2711"/>
      <c r="O59" s="2712"/>
      <c r="P59" s="2711"/>
      <c r="Q59" s="2711"/>
      <c r="R59" s="2713"/>
    </row>
    <row r="60" spans="2:18" s="906" customFormat="1">
      <c r="B60" s="2711"/>
      <c r="C60" s="2711"/>
      <c r="D60" s="2711"/>
      <c r="E60" s="2711"/>
      <c r="F60" s="2711"/>
      <c r="G60" s="2712"/>
      <c r="H60" s="2711"/>
      <c r="I60" s="2712"/>
      <c r="J60" s="2711"/>
      <c r="K60" s="2711"/>
      <c r="L60" s="2712"/>
      <c r="M60" s="2711"/>
      <c r="N60" s="2711"/>
      <c r="O60" s="2712"/>
      <c r="P60" s="2711"/>
      <c r="Q60" s="2711"/>
      <c r="R60" s="2713"/>
    </row>
    <row r="61" spans="2:18" s="906" customFormat="1">
      <c r="B61" s="2711"/>
      <c r="C61" s="2711"/>
      <c r="D61" s="2711"/>
      <c r="E61" s="2711"/>
      <c r="F61" s="2711"/>
      <c r="G61" s="2712"/>
      <c r="H61" s="2711"/>
      <c r="I61" s="2712"/>
      <c r="J61" s="2711"/>
      <c r="K61" s="2711"/>
      <c r="L61" s="2712"/>
      <c r="M61" s="2711"/>
      <c r="N61" s="2711"/>
      <c r="O61" s="2712"/>
      <c r="P61" s="2711"/>
      <c r="Q61" s="2711"/>
      <c r="R61" s="2713"/>
    </row>
    <row r="62" spans="2:18" s="906" customFormat="1">
      <c r="B62" s="2711"/>
      <c r="C62" s="2711"/>
      <c r="D62" s="2711"/>
      <c r="E62" s="2711"/>
      <c r="F62" s="2711"/>
      <c r="G62" s="2712"/>
      <c r="H62" s="2711"/>
      <c r="I62" s="2712"/>
      <c r="J62" s="2711"/>
      <c r="K62" s="2711"/>
      <c r="L62" s="2712"/>
      <c r="M62" s="2711"/>
      <c r="N62" s="2711"/>
      <c r="O62" s="2712"/>
      <c r="P62" s="2711"/>
      <c r="Q62" s="2711"/>
      <c r="R62" s="2713"/>
    </row>
    <row r="63" spans="2:18" s="906" customFormat="1">
      <c r="B63" s="2711"/>
      <c r="C63" s="2711"/>
      <c r="D63" s="2711"/>
      <c r="E63" s="2711"/>
      <c r="F63" s="2711"/>
      <c r="G63" s="2712"/>
      <c r="H63" s="2711"/>
      <c r="I63" s="2712"/>
      <c r="J63" s="2711"/>
      <c r="K63" s="2711"/>
      <c r="L63" s="2712"/>
      <c r="M63" s="2711"/>
      <c r="N63" s="2711"/>
      <c r="O63" s="2712"/>
      <c r="P63" s="2711"/>
      <c r="Q63" s="2711"/>
      <c r="R63" s="2713"/>
    </row>
    <row r="64" spans="2:18" s="906" customFormat="1">
      <c r="B64" s="2711"/>
      <c r="C64" s="2711"/>
      <c r="D64" s="2711"/>
      <c r="E64" s="2711"/>
      <c r="F64" s="2711"/>
      <c r="G64" s="2712"/>
      <c r="H64" s="2711"/>
      <c r="I64" s="2712"/>
      <c r="J64" s="2711"/>
      <c r="K64" s="2711"/>
      <c r="L64" s="2712"/>
      <c r="M64" s="2711"/>
      <c r="N64" s="2711"/>
      <c r="O64" s="2712"/>
      <c r="P64" s="2711"/>
      <c r="Q64" s="2711"/>
      <c r="R64" s="2713"/>
    </row>
    <row r="65" spans="2:18" s="906" customFormat="1">
      <c r="B65" s="2711"/>
      <c r="C65" s="2711"/>
      <c r="D65" s="2711"/>
      <c r="E65" s="2711"/>
      <c r="F65" s="2711"/>
      <c r="G65" s="2712"/>
      <c r="H65" s="2711"/>
      <c r="I65" s="2712"/>
      <c r="J65" s="2711"/>
      <c r="K65" s="2711"/>
      <c r="L65" s="2712"/>
      <c r="M65" s="2711"/>
      <c r="N65" s="2711"/>
      <c r="O65" s="2712"/>
      <c r="P65" s="2711"/>
      <c r="Q65" s="2711"/>
      <c r="R65" s="2713"/>
    </row>
    <row r="66" spans="2:18" s="906" customFormat="1">
      <c r="B66" s="2711"/>
      <c r="C66" s="2711"/>
      <c r="D66" s="2711"/>
      <c r="E66" s="2711"/>
      <c r="F66" s="2711"/>
      <c r="G66" s="2712"/>
      <c r="H66" s="2711"/>
      <c r="I66" s="2712"/>
      <c r="J66" s="2711"/>
      <c r="K66" s="2711"/>
      <c r="L66" s="2712"/>
      <c r="M66" s="2711"/>
      <c r="N66" s="2711"/>
      <c r="O66" s="2712"/>
      <c r="P66" s="2711"/>
      <c r="Q66" s="2711"/>
      <c r="R66" s="2713"/>
    </row>
    <row r="67" spans="2:18" s="906" customFormat="1">
      <c r="B67" s="2711"/>
      <c r="C67" s="2711"/>
      <c r="D67" s="2711"/>
      <c r="E67" s="2711"/>
      <c r="F67" s="2711"/>
      <c r="G67" s="2712"/>
      <c r="H67" s="2711"/>
      <c r="I67" s="2712"/>
      <c r="J67" s="2711"/>
      <c r="K67" s="2711"/>
      <c r="L67" s="2712"/>
      <c r="M67" s="2711"/>
      <c r="N67" s="2711"/>
      <c r="O67" s="2712"/>
      <c r="P67" s="2711"/>
      <c r="Q67" s="2711"/>
      <c r="R67" s="2713"/>
    </row>
    <row r="68" spans="2:18" s="906" customFormat="1">
      <c r="B68" s="2711"/>
      <c r="C68" s="2711"/>
      <c r="D68" s="2711"/>
      <c r="E68" s="2711"/>
      <c r="F68" s="2711"/>
      <c r="G68" s="2712"/>
      <c r="H68" s="2711"/>
      <c r="I68" s="2712"/>
      <c r="J68" s="2711"/>
      <c r="K68" s="2711"/>
      <c r="L68" s="2712"/>
      <c r="M68" s="2711"/>
      <c r="N68" s="2711"/>
      <c r="O68" s="2712"/>
      <c r="P68" s="2711"/>
      <c r="Q68" s="2711"/>
      <c r="R68" s="2713"/>
    </row>
    <row r="69" spans="2:18" s="906" customFormat="1">
      <c r="B69" s="2711"/>
      <c r="C69" s="2711"/>
      <c r="D69" s="2711"/>
      <c r="E69" s="2711"/>
      <c r="F69" s="2711"/>
      <c r="G69" s="2712"/>
      <c r="H69" s="2711"/>
      <c r="I69" s="2712"/>
      <c r="J69" s="2711"/>
      <c r="K69" s="2711"/>
      <c r="L69" s="2712"/>
      <c r="M69" s="2711"/>
      <c r="N69" s="2711"/>
      <c r="O69" s="2712"/>
      <c r="P69" s="2711"/>
      <c r="Q69" s="2711"/>
      <c r="R69" s="2713"/>
    </row>
    <row r="70" spans="2:18" s="906" customFormat="1">
      <c r="B70" s="2711"/>
      <c r="C70" s="2711"/>
      <c r="D70" s="2711"/>
      <c r="E70" s="2711"/>
      <c r="F70" s="2711"/>
      <c r="G70" s="2712"/>
      <c r="H70" s="2711"/>
      <c r="I70" s="2712"/>
      <c r="J70" s="2711"/>
      <c r="K70" s="2711"/>
      <c r="L70" s="2712"/>
      <c r="M70" s="2711"/>
      <c r="N70" s="2711"/>
      <c r="O70" s="2712"/>
      <c r="P70" s="2711"/>
      <c r="Q70" s="2711"/>
      <c r="R70" s="2713"/>
    </row>
    <row r="71" spans="2:18" s="906" customFormat="1">
      <c r="B71" s="2711"/>
      <c r="C71" s="2711"/>
      <c r="D71" s="2711"/>
      <c r="E71" s="2711"/>
      <c r="F71" s="2711"/>
      <c r="G71" s="2712"/>
      <c r="H71" s="2711"/>
      <c r="I71" s="2712"/>
      <c r="J71" s="2711"/>
      <c r="K71" s="2711"/>
      <c r="L71" s="2712"/>
      <c r="M71" s="2711"/>
      <c r="N71" s="2711"/>
      <c r="O71" s="2712"/>
      <c r="P71" s="2711"/>
      <c r="Q71" s="2711"/>
      <c r="R71" s="2713"/>
    </row>
    <row r="72" spans="2:18" s="906" customFormat="1">
      <c r="B72" s="2711"/>
      <c r="C72" s="2711"/>
      <c r="D72" s="2711"/>
      <c r="E72" s="2711"/>
      <c r="F72" s="2711"/>
      <c r="G72" s="2712"/>
      <c r="H72" s="2711"/>
      <c r="I72" s="2712"/>
      <c r="J72" s="2711"/>
      <c r="K72" s="2711"/>
      <c r="L72" s="2712"/>
      <c r="M72" s="2711"/>
      <c r="N72" s="2711"/>
      <c r="O72" s="2712"/>
      <c r="P72" s="2711"/>
      <c r="Q72" s="2711"/>
      <c r="R72" s="2713"/>
    </row>
    <row r="73" spans="2:18" s="906" customFormat="1">
      <c r="B73" s="2711"/>
      <c r="C73" s="2711"/>
      <c r="D73" s="2711"/>
      <c r="E73" s="2711"/>
      <c r="F73" s="2711"/>
      <c r="G73" s="2712"/>
      <c r="H73" s="2711"/>
      <c r="I73" s="2712"/>
      <c r="J73" s="2711"/>
      <c r="K73" s="2711"/>
      <c r="L73" s="2712"/>
      <c r="M73" s="2711"/>
      <c r="N73" s="2711"/>
      <c r="O73" s="2712"/>
      <c r="P73" s="2711"/>
      <c r="Q73" s="2711"/>
      <c r="R73" s="2713"/>
    </row>
    <row r="74" spans="2:18" s="906" customFormat="1">
      <c r="B74" s="2711"/>
      <c r="C74" s="2711"/>
      <c r="D74" s="2711"/>
      <c r="E74" s="2711"/>
      <c r="F74" s="2711"/>
      <c r="G74" s="2712"/>
      <c r="H74" s="2711"/>
      <c r="I74" s="2712"/>
      <c r="J74" s="2711"/>
      <c r="K74" s="2711"/>
      <c r="L74" s="2712"/>
      <c r="M74" s="2711"/>
      <c r="N74" s="2711"/>
      <c r="O74" s="2712"/>
      <c r="P74" s="2711"/>
      <c r="Q74" s="2711"/>
      <c r="R74" s="2713"/>
    </row>
    <row r="75" spans="2:18" s="906" customFormat="1">
      <c r="B75" s="2711"/>
      <c r="C75" s="2711"/>
      <c r="D75" s="2711"/>
      <c r="E75" s="2711"/>
      <c r="F75" s="2711"/>
      <c r="G75" s="2712"/>
      <c r="H75" s="2711"/>
      <c r="I75" s="2712"/>
      <c r="J75" s="2711"/>
      <c r="K75" s="2711"/>
      <c r="L75" s="2712"/>
      <c r="M75" s="2711"/>
      <c r="N75" s="2711"/>
      <c r="O75" s="2712"/>
      <c r="P75" s="2711"/>
      <c r="Q75" s="2711"/>
      <c r="R75" s="2713"/>
    </row>
    <row r="76" spans="2:18" s="906" customFormat="1">
      <c r="B76" s="2711"/>
      <c r="C76" s="2711"/>
      <c r="D76" s="2711"/>
      <c r="E76" s="2711"/>
      <c r="F76" s="2711"/>
      <c r="G76" s="2712"/>
      <c r="H76" s="2711"/>
      <c r="I76" s="2712"/>
      <c r="J76" s="2711"/>
      <c r="K76" s="2711"/>
      <c r="L76" s="2712"/>
      <c r="M76" s="2711"/>
      <c r="N76" s="2711"/>
      <c r="O76" s="2712"/>
      <c r="P76" s="2711"/>
      <c r="Q76" s="2711"/>
      <c r="R76" s="2713"/>
    </row>
    <row r="77" spans="2:18" s="906" customFormat="1">
      <c r="B77" s="2711"/>
      <c r="C77" s="2711"/>
      <c r="D77" s="2711"/>
      <c r="E77" s="2711"/>
      <c r="F77" s="2711"/>
      <c r="G77" s="2712"/>
      <c r="H77" s="2711"/>
      <c r="I77" s="2712"/>
      <c r="J77" s="2711"/>
      <c r="K77" s="2711"/>
      <c r="L77" s="2712"/>
      <c r="M77" s="2711"/>
      <c r="N77" s="2711"/>
      <c r="O77" s="2712"/>
      <c r="P77" s="2711"/>
      <c r="Q77" s="2711"/>
      <c r="R77" s="2713"/>
    </row>
    <row r="78" spans="2:18" s="906" customFormat="1">
      <c r="B78" s="2711"/>
      <c r="C78" s="2711"/>
      <c r="D78" s="2711"/>
      <c r="E78" s="2711"/>
      <c r="F78" s="2711"/>
      <c r="G78" s="2712"/>
      <c r="H78" s="2711"/>
      <c r="I78" s="2712"/>
      <c r="J78" s="2711"/>
      <c r="K78" s="2711"/>
      <c r="L78" s="2712"/>
      <c r="M78" s="2711"/>
      <c r="N78" s="2711"/>
      <c r="O78" s="2712"/>
      <c r="P78" s="2711"/>
      <c r="Q78" s="2711"/>
      <c r="R78" s="2713"/>
    </row>
    <row r="79" spans="2:18" s="906" customFormat="1">
      <c r="B79" s="2711"/>
      <c r="C79" s="2711"/>
      <c r="D79" s="2711"/>
      <c r="E79" s="2711"/>
      <c r="F79" s="2711"/>
      <c r="G79" s="2712"/>
      <c r="H79" s="2711"/>
      <c r="I79" s="2712"/>
      <c r="J79" s="2711"/>
      <c r="K79" s="2711"/>
      <c r="L79" s="2712"/>
      <c r="M79" s="2711"/>
      <c r="N79" s="2711"/>
      <c r="O79" s="2712"/>
      <c r="P79" s="2711"/>
      <c r="Q79" s="2711"/>
      <c r="R79" s="2713"/>
    </row>
    <row r="80" spans="2:18" s="906" customFormat="1">
      <c r="B80" s="2711"/>
      <c r="C80" s="2711"/>
      <c r="D80" s="2711"/>
      <c r="E80" s="2711"/>
      <c r="F80" s="2711"/>
      <c r="G80" s="2712"/>
      <c r="H80" s="2711"/>
      <c r="I80" s="2712"/>
      <c r="J80" s="2711"/>
      <c r="K80" s="2711"/>
      <c r="L80" s="2712"/>
      <c r="M80" s="2711"/>
      <c r="N80" s="2711"/>
      <c r="O80" s="2712"/>
      <c r="P80" s="2711"/>
      <c r="Q80" s="2711"/>
      <c r="R80" s="2713"/>
    </row>
    <row r="81" spans="2:18" s="906" customFormat="1">
      <c r="B81" s="2711"/>
      <c r="C81" s="2711"/>
      <c r="D81" s="2711"/>
      <c r="E81" s="2711"/>
      <c r="F81" s="2711"/>
      <c r="G81" s="2712"/>
      <c r="H81" s="2711"/>
      <c r="I81" s="2712"/>
      <c r="J81" s="2711"/>
      <c r="K81" s="2711"/>
      <c r="L81" s="2712"/>
      <c r="M81" s="2711"/>
      <c r="N81" s="2711"/>
      <c r="O81" s="2712"/>
      <c r="P81" s="2711"/>
      <c r="Q81" s="2711"/>
      <c r="R81" s="2713"/>
    </row>
    <row r="82" spans="2:18" s="906" customFormat="1">
      <c r="B82" s="2711"/>
      <c r="C82" s="2711"/>
      <c r="D82" s="2711"/>
      <c r="E82" s="2711"/>
      <c r="F82" s="2711"/>
      <c r="G82" s="2712"/>
      <c r="H82" s="2711"/>
      <c r="I82" s="2712"/>
      <c r="J82" s="2711"/>
      <c r="K82" s="2711"/>
      <c r="L82" s="2712"/>
      <c r="M82" s="2711"/>
      <c r="N82" s="2711"/>
      <c r="O82" s="2712"/>
      <c r="P82" s="2711"/>
      <c r="Q82" s="2711"/>
      <c r="R82" s="2713"/>
    </row>
    <row r="83" spans="2:18" s="906" customFormat="1">
      <c r="B83" s="2711"/>
      <c r="C83" s="2711"/>
      <c r="D83" s="2711"/>
      <c r="E83" s="2711"/>
      <c r="F83" s="2711"/>
      <c r="G83" s="2712"/>
      <c r="H83" s="2711"/>
      <c r="I83" s="2712"/>
      <c r="J83" s="2711"/>
      <c r="K83" s="2711"/>
      <c r="L83" s="2712"/>
      <c r="M83" s="2711"/>
      <c r="N83" s="2711"/>
      <c r="O83" s="2712"/>
      <c r="P83" s="2711"/>
      <c r="Q83" s="2711"/>
      <c r="R83" s="2713"/>
    </row>
    <row r="84" spans="2:18" s="906" customFormat="1">
      <c r="B84" s="2711"/>
      <c r="C84" s="2711"/>
      <c r="D84" s="2711"/>
      <c r="E84" s="2711"/>
      <c r="F84" s="2711"/>
      <c r="G84" s="2712"/>
      <c r="H84" s="2711"/>
      <c r="I84" s="2712"/>
      <c r="J84" s="2711"/>
      <c r="K84" s="2711"/>
      <c r="L84" s="2712"/>
      <c r="M84" s="2711"/>
      <c r="N84" s="2711"/>
      <c r="O84" s="2712"/>
      <c r="P84" s="2711"/>
      <c r="Q84" s="2711"/>
      <c r="R84" s="2713"/>
    </row>
    <row r="85" spans="2:18" s="906" customFormat="1">
      <c r="B85" s="2711"/>
      <c r="C85" s="2711"/>
      <c r="D85" s="2711"/>
      <c r="E85" s="2711"/>
      <c r="F85" s="2711"/>
      <c r="G85" s="2712"/>
      <c r="H85" s="2711"/>
      <c r="I85" s="2712"/>
      <c r="J85" s="2711"/>
      <c r="K85" s="2711"/>
      <c r="L85" s="2712"/>
      <c r="M85" s="2711"/>
      <c r="N85" s="2711"/>
      <c r="O85" s="2712"/>
      <c r="P85" s="2711"/>
      <c r="Q85" s="2711"/>
      <c r="R85" s="2713"/>
    </row>
    <row r="86" spans="2:18" s="906" customFormat="1">
      <c r="B86" s="2711"/>
      <c r="C86" s="2711"/>
      <c r="D86" s="2711"/>
      <c r="E86" s="2711"/>
      <c r="F86" s="2711"/>
      <c r="G86" s="2712"/>
      <c r="H86" s="2711"/>
      <c r="I86" s="2712"/>
      <c r="J86" s="2711"/>
      <c r="K86" s="2711"/>
      <c r="L86" s="2712"/>
      <c r="M86" s="2711"/>
      <c r="N86" s="2711"/>
      <c r="O86" s="2712"/>
      <c r="P86" s="2711"/>
      <c r="Q86" s="2711"/>
      <c r="R86" s="2713"/>
    </row>
    <row r="87" spans="2:18" s="906" customFormat="1">
      <c r="B87" s="2711"/>
      <c r="C87" s="2711"/>
      <c r="D87" s="2711"/>
      <c r="E87" s="2711"/>
      <c r="F87" s="2711"/>
      <c r="G87" s="2712"/>
      <c r="H87" s="2711"/>
      <c r="I87" s="2712"/>
      <c r="J87" s="2711"/>
      <c r="K87" s="2711"/>
      <c r="L87" s="2712"/>
      <c r="M87" s="2711"/>
      <c r="N87" s="2711"/>
      <c r="O87" s="2712"/>
      <c r="P87" s="2711"/>
      <c r="Q87" s="2711"/>
      <c r="R87" s="2713"/>
    </row>
    <row r="88" spans="2:18" s="906" customFormat="1">
      <c r="B88" s="2711"/>
      <c r="C88" s="2711"/>
      <c r="D88" s="2711"/>
      <c r="E88" s="2711"/>
      <c r="F88" s="2711"/>
      <c r="G88" s="2712"/>
      <c r="H88" s="2711"/>
      <c r="I88" s="2712"/>
      <c r="J88" s="2711"/>
      <c r="K88" s="2711"/>
      <c r="L88" s="2712"/>
      <c r="M88" s="2711"/>
      <c r="N88" s="2711"/>
      <c r="O88" s="2712"/>
      <c r="P88" s="2711"/>
      <c r="Q88" s="2711"/>
      <c r="R88" s="2713"/>
    </row>
    <row r="89" spans="2:18" s="906" customFormat="1">
      <c r="B89" s="2711"/>
      <c r="C89" s="2711"/>
      <c r="D89" s="2711"/>
      <c r="E89" s="2711"/>
      <c r="F89" s="2711"/>
      <c r="G89" s="2712"/>
      <c r="H89" s="2711"/>
      <c r="I89" s="2712"/>
      <c r="J89" s="2711"/>
      <c r="K89" s="2711"/>
      <c r="L89" s="2712"/>
      <c r="M89" s="2711"/>
      <c r="N89" s="2711"/>
      <c r="O89" s="2712"/>
      <c r="P89" s="2711"/>
      <c r="Q89" s="2711"/>
      <c r="R89" s="2713"/>
    </row>
    <row r="90" spans="2:18" s="906" customFormat="1">
      <c r="B90" s="2711"/>
      <c r="C90" s="2711"/>
      <c r="D90" s="2711"/>
      <c r="E90" s="2711"/>
      <c r="F90" s="2711"/>
      <c r="G90" s="2712"/>
      <c r="H90" s="2711"/>
      <c r="I90" s="2712"/>
      <c r="J90" s="2711"/>
      <c r="K90" s="2711"/>
      <c r="L90" s="2712"/>
      <c r="M90" s="2711"/>
      <c r="N90" s="2711"/>
      <c r="O90" s="2712"/>
      <c r="P90" s="2711"/>
      <c r="Q90" s="2711"/>
      <c r="R90" s="2713"/>
    </row>
    <row r="91" spans="2:18" s="906" customFormat="1">
      <c r="B91" s="2711"/>
      <c r="C91" s="2711"/>
      <c r="D91" s="2711"/>
      <c r="E91" s="2711"/>
      <c r="F91" s="2711"/>
      <c r="G91" s="2712"/>
      <c r="H91" s="2711"/>
      <c r="I91" s="2712"/>
      <c r="J91" s="2711"/>
      <c r="K91" s="2711"/>
      <c r="L91" s="2712"/>
      <c r="M91" s="2711"/>
      <c r="N91" s="2711"/>
      <c r="O91" s="2712"/>
      <c r="P91" s="2711"/>
      <c r="Q91" s="2711"/>
      <c r="R91" s="2713"/>
    </row>
    <row r="92" spans="2:18" s="906" customFormat="1">
      <c r="B92" s="2711"/>
      <c r="C92" s="2711"/>
      <c r="D92" s="2711"/>
      <c r="E92" s="2711"/>
      <c r="F92" s="2711"/>
      <c r="G92" s="2712"/>
      <c r="H92" s="2711"/>
      <c r="I92" s="2712"/>
      <c r="J92" s="2711"/>
      <c r="K92" s="2711"/>
      <c r="L92" s="2712"/>
      <c r="M92" s="2711"/>
      <c r="N92" s="2711"/>
      <c r="O92" s="2712"/>
      <c r="P92" s="2711"/>
      <c r="Q92" s="2711"/>
      <c r="R92" s="2713"/>
    </row>
    <row r="93" spans="2:18" s="906" customFormat="1">
      <c r="B93" s="2711"/>
      <c r="C93" s="2711"/>
      <c r="D93" s="2711"/>
      <c r="E93" s="2711"/>
      <c r="F93" s="2711"/>
      <c r="G93" s="2712"/>
      <c r="H93" s="2711"/>
      <c r="I93" s="2712"/>
      <c r="J93" s="2711"/>
      <c r="K93" s="2711"/>
      <c r="L93" s="2712"/>
      <c r="M93" s="2711"/>
      <c r="N93" s="2711"/>
      <c r="O93" s="2712"/>
      <c r="P93" s="2711"/>
      <c r="Q93" s="2711"/>
      <c r="R93" s="2713"/>
    </row>
    <row r="94" spans="2:18" s="906" customFormat="1">
      <c r="B94" s="2711"/>
      <c r="C94" s="2711"/>
      <c r="D94" s="2711"/>
      <c r="E94" s="2711"/>
      <c r="F94" s="2711"/>
      <c r="G94" s="2712"/>
      <c r="H94" s="2711"/>
      <c r="I94" s="2712"/>
      <c r="J94" s="2711"/>
      <c r="K94" s="2711"/>
      <c r="L94" s="2712"/>
      <c r="M94" s="2711"/>
      <c r="N94" s="2711"/>
      <c r="O94" s="2712"/>
      <c r="P94" s="2711"/>
      <c r="Q94" s="2711"/>
      <c r="R94" s="2713"/>
    </row>
    <row r="95" spans="2:18" s="906" customFormat="1">
      <c r="B95" s="2711"/>
      <c r="C95" s="2711"/>
      <c r="D95" s="2711"/>
      <c r="E95" s="2711"/>
      <c r="F95" s="2711"/>
      <c r="G95" s="2712"/>
      <c r="H95" s="2711"/>
      <c r="I95" s="2712"/>
      <c r="J95" s="2711"/>
      <c r="K95" s="2711"/>
      <c r="L95" s="2712"/>
      <c r="M95" s="2711"/>
      <c r="N95" s="2711"/>
      <c r="O95" s="2712"/>
      <c r="P95" s="2711"/>
      <c r="Q95" s="2711"/>
      <c r="R95" s="2713"/>
    </row>
    <row r="96" spans="2:18" s="906" customFormat="1">
      <c r="B96" s="2711"/>
      <c r="C96" s="2711"/>
      <c r="D96" s="2711"/>
      <c r="E96" s="2711"/>
      <c r="F96" s="2711"/>
      <c r="G96" s="2712"/>
      <c r="H96" s="2711"/>
      <c r="I96" s="2712"/>
      <c r="J96" s="2711"/>
      <c r="K96" s="2711"/>
      <c r="L96" s="2712"/>
      <c r="M96" s="2711"/>
      <c r="N96" s="2711"/>
      <c r="O96" s="2712"/>
      <c r="P96" s="2711"/>
      <c r="Q96" s="2711"/>
      <c r="R96" s="2713"/>
    </row>
    <row r="97" spans="2:18" s="906" customFormat="1">
      <c r="B97" s="2711"/>
      <c r="C97" s="2711"/>
      <c r="D97" s="2711"/>
      <c r="E97" s="2711"/>
      <c r="F97" s="2711"/>
      <c r="G97" s="2712"/>
      <c r="H97" s="2711"/>
      <c r="I97" s="2712"/>
      <c r="J97" s="2711"/>
      <c r="K97" s="2711"/>
      <c r="L97" s="2712"/>
      <c r="M97" s="2711"/>
      <c r="N97" s="2711"/>
      <c r="O97" s="2712"/>
      <c r="P97" s="2711"/>
      <c r="Q97" s="2711"/>
      <c r="R97" s="2713"/>
    </row>
    <row r="98" spans="2:18" s="906" customFormat="1">
      <c r="B98" s="2711"/>
      <c r="C98" s="2711"/>
      <c r="D98" s="2711"/>
      <c r="E98" s="2711"/>
      <c r="F98" s="2711"/>
      <c r="G98" s="2712"/>
      <c r="H98" s="2711"/>
      <c r="I98" s="2712"/>
      <c r="J98" s="2711"/>
      <c r="K98" s="2711"/>
      <c r="L98" s="2712"/>
      <c r="M98" s="2711"/>
      <c r="N98" s="2711"/>
      <c r="O98" s="2712"/>
      <c r="P98" s="2711"/>
      <c r="Q98" s="2711"/>
      <c r="R98" s="2713"/>
    </row>
    <row r="99" spans="2:18" s="906" customFormat="1">
      <c r="B99" s="2711"/>
      <c r="C99" s="2711"/>
      <c r="D99" s="2711"/>
      <c r="E99" s="2711"/>
      <c r="F99" s="2711"/>
      <c r="G99" s="2712"/>
      <c r="H99" s="2711"/>
      <c r="I99" s="2712"/>
      <c r="J99" s="2711"/>
      <c r="K99" s="2711"/>
      <c r="L99" s="2712"/>
      <c r="M99" s="2711"/>
      <c r="N99" s="2711"/>
      <c r="O99" s="2712"/>
      <c r="P99" s="2711"/>
      <c r="Q99" s="2711"/>
      <c r="R99" s="2713"/>
    </row>
    <row r="100" spans="2:18" s="906" customFormat="1">
      <c r="B100" s="2711"/>
      <c r="C100" s="2711"/>
      <c r="D100" s="2711"/>
      <c r="E100" s="2711"/>
      <c r="F100" s="2711"/>
      <c r="G100" s="2712"/>
      <c r="H100" s="2711"/>
      <c r="I100" s="2712"/>
      <c r="J100" s="2711"/>
      <c r="K100" s="2711"/>
      <c r="L100" s="2712"/>
      <c r="M100" s="2711"/>
      <c r="N100" s="2711"/>
      <c r="O100" s="2712"/>
      <c r="P100" s="2711"/>
      <c r="Q100" s="2711"/>
      <c r="R100" s="2713"/>
    </row>
    <row r="101" spans="2:18" s="906" customFormat="1">
      <c r="B101" s="2711"/>
      <c r="C101" s="2711"/>
      <c r="D101" s="2711"/>
      <c r="E101" s="2711"/>
      <c r="F101" s="2711"/>
      <c r="G101" s="2712"/>
      <c r="H101" s="2711"/>
      <c r="I101" s="2712"/>
      <c r="J101" s="2711"/>
      <c r="K101" s="2711"/>
      <c r="L101" s="2712"/>
      <c r="M101" s="2711"/>
      <c r="N101" s="2711"/>
      <c r="O101" s="2712"/>
      <c r="P101" s="2711"/>
      <c r="Q101" s="2711"/>
      <c r="R101" s="2713"/>
    </row>
    <row r="102" spans="2:18" s="906" customFormat="1">
      <c r="B102" s="2711"/>
      <c r="C102" s="2711"/>
      <c r="D102" s="2711"/>
      <c r="E102" s="2711"/>
      <c r="F102" s="2711"/>
      <c r="G102" s="2712"/>
      <c r="H102" s="2711"/>
      <c r="I102" s="2712"/>
      <c r="J102" s="2711"/>
      <c r="K102" s="2711"/>
      <c r="L102" s="2712"/>
      <c r="M102" s="2711"/>
      <c r="N102" s="2711"/>
      <c r="O102" s="2712"/>
      <c r="P102" s="2711"/>
      <c r="Q102" s="2711"/>
      <c r="R102" s="2713"/>
    </row>
    <row r="103" spans="2:18" s="906" customFormat="1">
      <c r="B103" s="2711"/>
      <c r="C103" s="2711"/>
      <c r="D103" s="2711"/>
      <c r="E103" s="2711"/>
      <c r="F103" s="2711"/>
      <c r="G103" s="2712"/>
      <c r="H103" s="2711"/>
      <c r="I103" s="2712"/>
      <c r="J103" s="2711"/>
      <c r="K103" s="2711"/>
      <c r="L103" s="2712"/>
      <c r="M103" s="2711"/>
      <c r="N103" s="2711"/>
      <c r="O103" s="2712"/>
      <c r="P103" s="2711"/>
      <c r="Q103" s="2711"/>
      <c r="R103" s="2713"/>
    </row>
    <row r="104" spans="2:18" s="906" customFormat="1">
      <c r="B104" s="2711"/>
      <c r="C104" s="2711"/>
      <c r="D104" s="2711"/>
      <c r="E104" s="2711"/>
      <c r="F104" s="2711"/>
      <c r="G104" s="2712"/>
      <c r="H104" s="2711"/>
      <c r="I104" s="2712"/>
      <c r="J104" s="2711"/>
      <c r="K104" s="2711"/>
      <c r="L104" s="2712"/>
      <c r="M104" s="2711"/>
      <c r="N104" s="2711"/>
      <c r="O104" s="2712"/>
      <c r="P104" s="2711"/>
      <c r="Q104" s="2711"/>
      <c r="R104" s="2713"/>
    </row>
    <row r="105" spans="2:18" s="906" customFormat="1">
      <c r="B105" s="2711"/>
      <c r="C105" s="2711"/>
      <c r="D105" s="2711"/>
      <c r="E105" s="2711"/>
      <c r="F105" s="2711"/>
      <c r="G105" s="2712"/>
      <c r="H105" s="2711"/>
      <c r="I105" s="2712"/>
      <c r="J105" s="2711"/>
      <c r="K105" s="2711"/>
      <c r="L105" s="2712"/>
      <c r="M105" s="2711"/>
      <c r="N105" s="2711"/>
      <c r="O105" s="2712"/>
      <c r="P105" s="2711"/>
      <c r="Q105" s="2711"/>
      <c r="R105" s="2713"/>
    </row>
    <row r="106" spans="2:18" s="906" customFormat="1">
      <c r="B106" s="2711"/>
      <c r="C106" s="2711"/>
      <c r="D106" s="2711"/>
      <c r="E106" s="2711"/>
      <c r="F106" s="2711"/>
      <c r="G106" s="2712"/>
      <c r="H106" s="2711"/>
      <c r="I106" s="2712"/>
      <c r="J106" s="2711"/>
      <c r="K106" s="2711"/>
      <c r="L106" s="2712"/>
      <c r="M106" s="2711"/>
      <c r="N106" s="2711"/>
      <c r="O106" s="2712"/>
      <c r="P106" s="2711"/>
      <c r="Q106" s="2711"/>
      <c r="R106" s="2713"/>
    </row>
    <row r="107" spans="2:18" s="906" customFormat="1">
      <c r="B107" s="2711"/>
      <c r="C107" s="2711"/>
      <c r="D107" s="2711"/>
      <c r="E107" s="2711"/>
      <c r="F107" s="2711"/>
      <c r="G107" s="2712"/>
      <c r="H107" s="2711"/>
      <c r="I107" s="2712"/>
      <c r="J107" s="2711"/>
      <c r="K107" s="2711"/>
      <c r="L107" s="2712"/>
      <c r="M107" s="2711"/>
      <c r="N107" s="2711"/>
      <c r="O107" s="2712"/>
      <c r="P107" s="2711"/>
      <c r="Q107" s="2711"/>
      <c r="R107" s="2713"/>
    </row>
    <row r="108" spans="2:18" s="906" customFormat="1">
      <c r="B108" s="2711"/>
      <c r="C108" s="2711"/>
      <c r="D108" s="2711"/>
      <c r="E108" s="2711"/>
      <c r="F108" s="2711"/>
      <c r="G108" s="2712"/>
      <c r="H108" s="2711"/>
      <c r="I108" s="2712"/>
      <c r="J108" s="2711"/>
      <c r="K108" s="2711"/>
      <c r="L108" s="2712"/>
      <c r="M108" s="2711"/>
      <c r="N108" s="2711"/>
      <c r="O108" s="2712"/>
      <c r="P108" s="2711"/>
      <c r="Q108" s="2711"/>
      <c r="R108" s="2713"/>
    </row>
    <row r="109" spans="2:18" s="906" customFormat="1">
      <c r="B109" s="2711"/>
      <c r="C109" s="2711"/>
      <c r="D109" s="2711"/>
      <c r="E109" s="2711"/>
      <c r="F109" s="2711"/>
      <c r="G109" s="2712"/>
      <c r="H109" s="2711"/>
      <c r="I109" s="2712"/>
      <c r="J109" s="2711"/>
      <c r="K109" s="2711"/>
      <c r="L109" s="2712"/>
      <c r="M109" s="2711"/>
      <c r="N109" s="2711"/>
      <c r="O109" s="2712"/>
      <c r="P109" s="2711"/>
      <c r="Q109" s="2711"/>
      <c r="R109" s="2713"/>
    </row>
    <row r="110" spans="2:18" s="906" customFormat="1">
      <c r="B110" s="2711"/>
      <c r="C110" s="2711"/>
      <c r="D110" s="2711"/>
      <c r="E110" s="2711"/>
      <c r="F110" s="2711"/>
      <c r="G110" s="2712"/>
      <c r="H110" s="2711"/>
      <c r="I110" s="2712"/>
      <c r="J110" s="2711"/>
      <c r="K110" s="2711"/>
      <c r="L110" s="2712"/>
      <c r="M110" s="2711"/>
      <c r="N110" s="2711"/>
      <c r="O110" s="2712"/>
      <c r="P110" s="2711"/>
      <c r="Q110" s="2711"/>
      <c r="R110" s="2713"/>
    </row>
    <row r="111" spans="2:18" s="906" customFormat="1">
      <c r="B111" s="2711"/>
      <c r="C111" s="2711"/>
      <c r="D111" s="2711"/>
      <c r="E111" s="2711"/>
      <c r="F111" s="2711"/>
      <c r="G111" s="2712"/>
      <c r="H111" s="2711"/>
      <c r="I111" s="2712"/>
      <c r="J111" s="2711"/>
      <c r="K111" s="2711"/>
      <c r="L111" s="2712"/>
      <c r="M111" s="2711"/>
      <c r="N111" s="2711"/>
      <c r="O111" s="2712"/>
      <c r="P111" s="2711"/>
      <c r="Q111" s="2711"/>
      <c r="R111" s="2713"/>
    </row>
    <row r="112" spans="2:18" s="906" customFormat="1">
      <c r="B112" s="2711"/>
      <c r="C112" s="2711"/>
      <c r="D112" s="2711"/>
      <c r="E112" s="2711"/>
      <c r="F112" s="2711"/>
      <c r="G112" s="2712"/>
      <c r="H112" s="2711"/>
      <c r="I112" s="2712"/>
      <c r="J112" s="2711"/>
      <c r="K112" s="2711"/>
      <c r="L112" s="2712"/>
      <c r="M112" s="2711"/>
      <c r="N112" s="2711"/>
      <c r="O112" s="2712"/>
      <c r="P112" s="2711"/>
      <c r="Q112" s="2711"/>
      <c r="R112" s="2713"/>
    </row>
    <row r="113" spans="2:18" s="906" customFormat="1">
      <c r="B113" s="2711"/>
      <c r="C113" s="2711"/>
      <c r="D113" s="2711"/>
      <c r="E113" s="2711"/>
      <c r="F113" s="2711"/>
      <c r="G113" s="2712"/>
      <c r="H113" s="2711"/>
      <c r="I113" s="2712"/>
      <c r="J113" s="2711"/>
      <c r="K113" s="2711"/>
      <c r="L113" s="2712"/>
      <c r="M113" s="2711"/>
      <c r="N113" s="2711"/>
      <c r="O113" s="2712"/>
      <c r="P113" s="2711"/>
      <c r="Q113" s="2711"/>
      <c r="R113" s="2713"/>
    </row>
    <row r="114" spans="2:18" s="906" customFormat="1">
      <c r="B114" s="2711"/>
      <c r="C114" s="2711"/>
      <c r="D114" s="2711"/>
      <c r="E114" s="2711"/>
      <c r="F114" s="2711"/>
      <c r="G114" s="2712"/>
      <c r="H114" s="2711"/>
      <c r="I114" s="2712"/>
      <c r="J114" s="2711"/>
      <c r="K114" s="2711"/>
      <c r="L114" s="2712"/>
      <c r="M114" s="2711"/>
      <c r="N114" s="2711"/>
      <c r="O114" s="2712"/>
      <c r="P114" s="2711"/>
      <c r="Q114" s="2711"/>
      <c r="R114" s="2713"/>
    </row>
    <row r="115" spans="2:18" s="906" customFormat="1">
      <c r="B115" s="2711"/>
      <c r="C115" s="2711"/>
      <c r="D115" s="2711"/>
      <c r="E115" s="2711"/>
      <c r="F115" s="2711"/>
      <c r="G115" s="2712"/>
      <c r="H115" s="2711"/>
      <c r="I115" s="2712"/>
      <c r="J115" s="2711"/>
      <c r="K115" s="2711"/>
      <c r="L115" s="2712"/>
      <c r="M115" s="2711"/>
      <c r="N115" s="2711"/>
      <c r="O115" s="2712"/>
      <c r="P115" s="2711"/>
      <c r="Q115" s="2711"/>
      <c r="R115" s="2713"/>
    </row>
    <row r="116" spans="2:18" s="906" customFormat="1">
      <c r="B116" s="2711"/>
      <c r="C116" s="2711"/>
      <c r="D116" s="2711"/>
      <c r="E116" s="2711"/>
      <c r="F116" s="2711"/>
      <c r="G116" s="2712"/>
      <c r="H116" s="2711"/>
      <c r="I116" s="2712"/>
      <c r="J116" s="2711"/>
      <c r="K116" s="2711"/>
      <c r="L116" s="2712"/>
      <c r="M116" s="2711"/>
      <c r="N116" s="2711"/>
      <c r="O116" s="2712"/>
      <c r="P116" s="2711"/>
      <c r="Q116" s="2711"/>
      <c r="R116" s="2713"/>
    </row>
    <row r="117" spans="2:18" s="906" customFormat="1">
      <c r="B117" s="2711"/>
      <c r="C117" s="2711"/>
      <c r="D117" s="2711"/>
      <c r="E117" s="2711"/>
      <c r="F117" s="2711"/>
      <c r="G117" s="2712"/>
      <c r="H117" s="2711"/>
      <c r="I117" s="2712"/>
      <c r="J117" s="2711"/>
      <c r="K117" s="2711"/>
      <c r="L117" s="2712"/>
      <c r="M117" s="2711"/>
      <c r="N117" s="2711"/>
      <c r="O117" s="2712"/>
      <c r="P117" s="2711"/>
      <c r="Q117" s="2711"/>
      <c r="R117" s="2713"/>
    </row>
    <row r="118" spans="2:18" s="906" customFormat="1">
      <c r="B118" s="2711"/>
      <c r="C118" s="2711"/>
      <c r="D118" s="2711"/>
      <c r="E118" s="2711"/>
      <c r="F118" s="2711"/>
      <c r="G118" s="2712"/>
      <c r="H118" s="2711"/>
      <c r="I118" s="2712"/>
      <c r="J118" s="2711"/>
      <c r="K118" s="2711"/>
      <c r="L118" s="2712"/>
      <c r="M118" s="2711"/>
      <c r="N118" s="2711"/>
      <c r="O118" s="2712"/>
      <c r="P118" s="2711"/>
      <c r="Q118" s="2711"/>
      <c r="R118" s="2713"/>
    </row>
    <row r="119" spans="2:18" s="906" customFormat="1">
      <c r="B119" s="2711"/>
      <c r="C119" s="2711"/>
      <c r="D119" s="2711"/>
      <c r="E119" s="2711"/>
      <c r="F119" s="2711"/>
      <c r="G119" s="2712"/>
      <c r="H119" s="2711"/>
      <c r="I119" s="2712"/>
      <c r="J119" s="2711"/>
      <c r="K119" s="2711"/>
      <c r="L119" s="2712"/>
      <c r="M119" s="2711"/>
      <c r="N119" s="2711"/>
      <c r="O119" s="2712"/>
      <c r="P119" s="2711"/>
      <c r="Q119" s="2711"/>
      <c r="R119" s="2713"/>
    </row>
    <row r="120" spans="2:18" s="906" customFormat="1">
      <c r="B120" s="2711"/>
      <c r="C120" s="2711"/>
      <c r="D120" s="2711"/>
      <c r="E120" s="2711"/>
      <c r="F120" s="2711"/>
      <c r="G120" s="2712"/>
      <c r="H120" s="2711"/>
      <c r="I120" s="2712"/>
      <c r="J120" s="2711"/>
      <c r="K120" s="2711"/>
      <c r="L120" s="2712"/>
      <c r="M120" s="2711"/>
      <c r="N120" s="2711"/>
      <c r="O120" s="2712"/>
      <c r="P120" s="2711"/>
      <c r="Q120" s="2711"/>
      <c r="R120" s="2713"/>
    </row>
    <row r="121" spans="2:18" s="906" customFormat="1">
      <c r="B121" s="2711"/>
      <c r="C121" s="2711"/>
      <c r="D121" s="2711"/>
      <c r="E121" s="2711"/>
      <c r="F121" s="2711"/>
      <c r="G121" s="2712"/>
      <c r="H121" s="2711"/>
      <c r="I121" s="2712"/>
      <c r="J121" s="2711"/>
      <c r="K121" s="2711"/>
      <c r="L121" s="2712"/>
      <c r="M121" s="2711"/>
      <c r="N121" s="2711"/>
      <c r="O121" s="2712"/>
      <c r="P121" s="2711"/>
      <c r="Q121" s="2711"/>
      <c r="R121" s="2713"/>
    </row>
    <row r="122" spans="2:18" s="906" customFormat="1">
      <c r="B122" s="2711"/>
      <c r="C122" s="2711"/>
      <c r="D122" s="2711"/>
      <c r="E122" s="2711"/>
      <c r="F122" s="2711"/>
      <c r="G122" s="2712"/>
      <c r="H122" s="2711"/>
      <c r="I122" s="2712"/>
      <c r="J122" s="2711"/>
      <c r="K122" s="2711"/>
      <c r="L122" s="2712"/>
      <c r="M122" s="2711"/>
      <c r="N122" s="2711"/>
      <c r="O122" s="2712"/>
      <c r="P122" s="2711"/>
      <c r="Q122" s="2711"/>
      <c r="R122" s="2713"/>
    </row>
    <row r="123" spans="2:18" s="906" customFormat="1">
      <c r="B123" s="2711"/>
      <c r="C123" s="2711"/>
      <c r="D123" s="2711"/>
      <c r="E123" s="2711"/>
      <c r="F123" s="2711"/>
      <c r="G123" s="2712"/>
      <c r="H123" s="2711"/>
      <c r="I123" s="2712"/>
      <c r="J123" s="2711"/>
      <c r="K123" s="2711"/>
      <c r="L123" s="2712"/>
      <c r="M123" s="2711"/>
      <c r="N123" s="2711"/>
      <c r="O123" s="2712"/>
      <c r="P123" s="2711"/>
      <c r="Q123" s="2711"/>
      <c r="R123" s="2713"/>
    </row>
    <row r="124" spans="2:18" s="906" customFormat="1">
      <c r="B124" s="2711"/>
      <c r="C124" s="2711"/>
      <c r="D124" s="2711"/>
      <c r="E124" s="2711"/>
      <c r="F124" s="2711"/>
      <c r="G124" s="2712"/>
      <c r="H124" s="2711"/>
      <c r="I124" s="2712"/>
      <c r="J124" s="2711"/>
      <c r="K124" s="2711"/>
      <c r="L124" s="2712"/>
      <c r="M124" s="2711"/>
      <c r="N124" s="2711"/>
      <c r="O124" s="2712"/>
      <c r="P124" s="2711"/>
      <c r="Q124" s="2711"/>
      <c r="R124" s="2713"/>
    </row>
    <row r="125" spans="2:18" s="906" customFormat="1">
      <c r="B125" s="2711"/>
      <c r="C125" s="2711"/>
      <c r="D125" s="2711"/>
      <c r="E125" s="2711"/>
      <c r="F125" s="2711"/>
      <c r="G125" s="2712"/>
      <c r="H125" s="2711"/>
      <c r="I125" s="2712"/>
      <c r="J125" s="2711"/>
      <c r="K125" s="2711"/>
      <c r="L125" s="2712"/>
      <c r="M125" s="2711"/>
      <c r="N125" s="2711"/>
      <c r="O125" s="2712"/>
      <c r="P125" s="2711"/>
      <c r="Q125" s="2711"/>
      <c r="R125" s="2713"/>
    </row>
    <row r="126" spans="2:18" s="906" customFormat="1">
      <c r="B126" s="2711"/>
      <c r="C126" s="2711"/>
      <c r="D126" s="2711"/>
      <c r="E126" s="2711"/>
      <c r="F126" s="2711"/>
      <c r="G126" s="2712"/>
      <c r="H126" s="2711"/>
      <c r="I126" s="2712"/>
      <c r="J126" s="2711"/>
      <c r="K126" s="2711"/>
      <c r="L126" s="2712"/>
      <c r="M126" s="2711"/>
      <c r="N126" s="2711"/>
      <c r="O126" s="2712"/>
      <c r="P126" s="2711"/>
      <c r="Q126" s="2711"/>
      <c r="R126" s="2713"/>
    </row>
    <row r="127" spans="2:18" s="906" customFormat="1">
      <c r="B127" s="2711"/>
      <c r="C127" s="2711"/>
      <c r="D127" s="2711"/>
      <c r="E127" s="2711"/>
      <c r="F127" s="2711"/>
      <c r="G127" s="2712"/>
      <c r="H127" s="2711"/>
      <c r="I127" s="2712"/>
      <c r="J127" s="2711"/>
      <c r="K127" s="2711"/>
      <c r="L127" s="2712"/>
      <c r="M127" s="2711"/>
      <c r="N127" s="2711"/>
      <c r="O127" s="2712"/>
      <c r="P127" s="2711"/>
      <c r="Q127" s="2711"/>
      <c r="R127" s="2713"/>
    </row>
    <row r="128" spans="2:18" s="906" customFormat="1">
      <c r="B128" s="2711"/>
      <c r="C128" s="2711"/>
      <c r="D128" s="2711"/>
      <c r="E128" s="2711"/>
      <c r="F128" s="2711"/>
      <c r="G128" s="2712"/>
      <c r="H128" s="2711"/>
      <c r="I128" s="2712"/>
      <c r="J128" s="2711"/>
      <c r="K128" s="2711"/>
      <c r="L128" s="2712"/>
      <c r="M128" s="2711"/>
      <c r="N128" s="2711"/>
      <c r="O128" s="2712"/>
      <c r="P128" s="2711"/>
      <c r="Q128" s="2711"/>
      <c r="R128" s="2713"/>
    </row>
    <row r="129" spans="2:18" s="906" customFormat="1">
      <c r="B129" s="2711"/>
      <c r="C129" s="2711"/>
      <c r="D129" s="2711"/>
      <c r="E129" s="2711"/>
      <c r="F129" s="2711"/>
      <c r="G129" s="2712"/>
      <c r="H129" s="2711"/>
      <c r="I129" s="2712"/>
      <c r="J129" s="2711"/>
      <c r="K129" s="2711"/>
      <c r="L129" s="2712"/>
      <c r="M129" s="2711"/>
      <c r="N129" s="2711"/>
      <c r="O129" s="2712"/>
      <c r="P129" s="2711"/>
      <c r="Q129" s="2711"/>
      <c r="R129" s="2713"/>
    </row>
    <row r="130" spans="2:18" s="906" customFormat="1">
      <c r="B130" s="2711"/>
      <c r="C130" s="2711"/>
      <c r="D130" s="2711"/>
      <c r="E130" s="2711"/>
      <c r="F130" s="2711"/>
      <c r="G130" s="2712"/>
      <c r="H130" s="2711"/>
      <c r="I130" s="2712"/>
      <c r="J130" s="2711"/>
      <c r="K130" s="2711"/>
      <c r="L130" s="2712"/>
      <c r="M130" s="2711"/>
      <c r="N130" s="2711"/>
      <c r="O130" s="2712"/>
      <c r="P130" s="2711"/>
      <c r="Q130" s="2711"/>
      <c r="R130" s="2713"/>
    </row>
    <row r="131" spans="2:18" s="906" customFormat="1">
      <c r="B131" s="2711"/>
      <c r="C131" s="2711"/>
      <c r="D131" s="2711"/>
      <c r="E131" s="2711"/>
      <c r="F131" s="2711"/>
      <c r="G131" s="2712"/>
      <c r="H131" s="2711"/>
      <c r="I131" s="2712"/>
      <c r="J131" s="2711"/>
      <c r="K131" s="2711"/>
      <c r="L131" s="2712"/>
      <c r="M131" s="2711"/>
      <c r="N131" s="2711"/>
      <c r="O131" s="2712"/>
      <c r="P131" s="2711"/>
      <c r="Q131" s="2711"/>
      <c r="R131" s="2713"/>
    </row>
    <row r="132" spans="2:18" s="906" customFormat="1">
      <c r="B132" s="2711"/>
      <c r="C132" s="2711"/>
      <c r="D132" s="2711"/>
      <c r="E132" s="2711"/>
      <c r="F132" s="2711"/>
      <c r="G132" s="2712"/>
      <c r="H132" s="2711"/>
      <c r="I132" s="2712"/>
      <c r="J132" s="2711"/>
      <c r="K132" s="2711"/>
      <c r="L132" s="2712"/>
      <c r="M132" s="2711"/>
      <c r="N132" s="2711"/>
      <c r="O132" s="2712"/>
      <c r="P132" s="2711"/>
      <c r="Q132" s="2711"/>
      <c r="R132" s="2713"/>
    </row>
    <row r="133" spans="2:18" s="906" customFormat="1">
      <c r="B133" s="2711"/>
      <c r="C133" s="2711"/>
      <c r="D133" s="2711"/>
      <c r="E133" s="2711"/>
      <c r="F133" s="2711"/>
      <c r="G133" s="2712"/>
      <c r="H133" s="2711"/>
      <c r="I133" s="2712"/>
      <c r="J133" s="2711"/>
      <c r="K133" s="2711"/>
      <c r="L133" s="2712"/>
      <c r="M133" s="2711"/>
      <c r="N133" s="2711"/>
      <c r="O133" s="2712"/>
      <c r="P133" s="2711"/>
      <c r="Q133" s="2711"/>
      <c r="R133" s="2713"/>
    </row>
    <row r="134" spans="2:18" s="906" customFormat="1">
      <c r="B134" s="2711"/>
      <c r="C134" s="2711"/>
      <c r="D134" s="2711"/>
      <c r="E134" s="2711"/>
      <c r="F134" s="2711"/>
      <c r="G134" s="2712"/>
      <c r="H134" s="2711"/>
      <c r="I134" s="2712"/>
      <c r="J134" s="2711"/>
      <c r="K134" s="2711"/>
      <c r="L134" s="2712"/>
      <c r="M134" s="2711"/>
      <c r="N134" s="2711"/>
      <c r="O134" s="2712"/>
      <c r="P134" s="2711"/>
      <c r="Q134" s="2711"/>
      <c r="R134" s="2713"/>
    </row>
    <row r="135" spans="2:18" s="906" customFormat="1">
      <c r="B135" s="2711"/>
      <c r="C135" s="2711"/>
      <c r="D135" s="2711"/>
      <c r="E135" s="2711"/>
      <c r="F135" s="2711"/>
      <c r="G135" s="2712"/>
      <c r="H135" s="2711"/>
      <c r="I135" s="2712"/>
      <c r="J135" s="2711"/>
      <c r="K135" s="2711"/>
      <c r="L135" s="2712"/>
      <c r="M135" s="2711"/>
      <c r="N135" s="2711"/>
      <c r="O135" s="2712"/>
      <c r="P135" s="2711"/>
      <c r="Q135" s="2711"/>
      <c r="R135" s="2713"/>
    </row>
    <row r="136" spans="2:18" s="906" customFormat="1">
      <c r="B136" s="2711"/>
      <c r="C136" s="2711"/>
      <c r="D136" s="2711"/>
      <c r="E136" s="2711"/>
      <c r="F136" s="2711"/>
      <c r="G136" s="2712"/>
      <c r="H136" s="2711"/>
      <c r="I136" s="2712"/>
      <c r="J136" s="2711"/>
      <c r="K136" s="2711"/>
      <c r="L136" s="2712"/>
      <c r="M136" s="2711"/>
      <c r="N136" s="2711"/>
      <c r="O136" s="2712"/>
      <c r="P136" s="2711"/>
      <c r="Q136" s="2711"/>
      <c r="R136" s="2713"/>
    </row>
    <row r="137" spans="2:18" s="906" customFormat="1">
      <c r="B137" s="2711"/>
      <c r="C137" s="2711"/>
      <c r="D137" s="2711"/>
      <c r="E137" s="2711"/>
      <c r="F137" s="2711"/>
      <c r="G137" s="2712"/>
      <c r="H137" s="2711"/>
      <c r="I137" s="2712"/>
      <c r="J137" s="2711"/>
      <c r="K137" s="2711"/>
      <c r="L137" s="2712"/>
      <c r="M137" s="2711"/>
      <c r="N137" s="2711"/>
      <c r="O137" s="2712"/>
      <c r="P137" s="2711"/>
      <c r="Q137" s="2711"/>
      <c r="R137" s="2713"/>
    </row>
    <row r="138" spans="2:18" s="906" customFormat="1">
      <c r="B138" s="2711"/>
      <c r="C138" s="2711"/>
      <c r="D138" s="2711"/>
      <c r="E138" s="2711"/>
      <c r="F138" s="2711"/>
      <c r="G138" s="2712"/>
      <c r="H138" s="2711"/>
      <c r="I138" s="2712"/>
      <c r="J138" s="2711"/>
      <c r="K138" s="2711"/>
      <c r="L138" s="2712"/>
      <c r="M138" s="2711"/>
      <c r="N138" s="2711"/>
      <c r="O138" s="2712"/>
      <c r="P138" s="2711"/>
      <c r="Q138" s="2711"/>
      <c r="R138" s="2713"/>
    </row>
    <row r="139" spans="2:18" s="906" customFormat="1">
      <c r="B139" s="2711"/>
      <c r="C139" s="2711"/>
      <c r="D139" s="2711"/>
      <c r="E139" s="2711"/>
      <c r="F139" s="2711"/>
      <c r="G139" s="2712"/>
      <c r="H139" s="2711"/>
      <c r="I139" s="2712"/>
      <c r="J139" s="2711"/>
      <c r="K139" s="2711"/>
      <c r="L139" s="2712"/>
      <c r="M139" s="2711"/>
      <c r="N139" s="2711"/>
      <c r="O139" s="2712"/>
      <c r="P139" s="2711"/>
      <c r="Q139" s="2711"/>
      <c r="R139" s="2713"/>
    </row>
    <row r="140" spans="2:18" s="906" customFormat="1">
      <c r="B140" s="2711"/>
      <c r="C140" s="2711"/>
      <c r="D140" s="2711"/>
      <c r="E140" s="2711"/>
      <c r="F140" s="2711"/>
      <c r="G140" s="2712"/>
      <c r="H140" s="2711"/>
      <c r="I140" s="2712"/>
      <c r="J140" s="2711"/>
      <c r="K140" s="2711"/>
      <c r="L140" s="2712"/>
      <c r="M140" s="2711"/>
      <c r="N140" s="2711"/>
      <c r="O140" s="2712"/>
      <c r="P140" s="2711"/>
      <c r="Q140" s="2711"/>
      <c r="R140" s="2713"/>
    </row>
    <row r="141" spans="2:18" s="906" customFormat="1">
      <c r="B141" s="2711"/>
      <c r="C141" s="2711"/>
      <c r="D141" s="2711"/>
      <c r="E141" s="2711"/>
      <c r="F141" s="2711"/>
      <c r="G141" s="2712"/>
      <c r="H141" s="2711"/>
      <c r="I141" s="2712"/>
      <c r="J141" s="2711"/>
      <c r="K141" s="2711"/>
      <c r="L141" s="2712"/>
      <c r="M141" s="2711"/>
      <c r="N141" s="2711"/>
      <c r="O141" s="2712"/>
      <c r="P141" s="2711"/>
      <c r="Q141" s="2711"/>
      <c r="R141" s="2713"/>
    </row>
    <row r="142" spans="2:18" s="906" customFormat="1">
      <c r="B142" s="2711"/>
      <c r="C142" s="2711"/>
      <c r="D142" s="2711"/>
      <c r="E142" s="2711"/>
      <c r="F142" s="2711"/>
      <c r="G142" s="2712"/>
      <c r="H142" s="2711"/>
      <c r="I142" s="2712"/>
      <c r="J142" s="2711"/>
      <c r="K142" s="2711"/>
      <c r="L142" s="2712"/>
      <c r="M142" s="2711"/>
      <c r="N142" s="2711"/>
      <c r="O142" s="2712"/>
      <c r="P142" s="2711"/>
      <c r="Q142" s="2711"/>
      <c r="R142" s="2713"/>
    </row>
    <row r="143" spans="2:18" s="906" customFormat="1">
      <c r="B143" s="2711"/>
      <c r="C143" s="2711"/>
      <c r="D143" s="2711"/>
      <c r="E143" s="2711"/>
      <c r="F143" s="2711"/>
      <c r="G143" s="2712"/>
      <c r="H143" s="2711"/>
      <c r="I143" s="2712"/>
      <c r="J143" s="2711"/>
      <c r="K143" s="2711"/>
      <c r="L143" s="2712"/>
      <c r="M143" s="2711"/>
      <c r="N143" s="2711"/>
      <c r="O143" s="2712"/>
      <c r="P143" s="2711"/>
      <c r="Q143" s="2711"/>
      <c r="R143" s="2713"/>
    </row>
    <row r="144" spans="2:18" s="906" customFormat="1">
      <c r="B144" s="2711"/>
      <c r="C144" s="2711"/>
      <c r="D144" s="2711"/>
      <c r="E144" s="2711"/>
      <c r="F144" s="2711"/>
      <c r="G144" s="2712"/>
      <c r="H144" s="2711"/>
      <c r="I144" s="2712"/>
      <c r="J144" s="2711"/>
      <c r="K144" s="2711"/>
      <c r="L144" s="2712"/>
      <c r="M144" s="2711"/>
      <c r="N144" s="2711"/>
      <c r="O144" s="2712"/>
      <c r="P144" s="2711"/>
      <c r="Q144" s="2711"/>
      <c r="R144" s="2713"/>
    </row>
    <row r="145" spans="2:18" s="906" customFormat="1">
      <c r="B145" s="2711"/>
      <c r="C145" s="2711"/>
      <c r="D145" s="2711"/>
      <c r="E145" s="2711"/>
      <c r="F145" s="2711"/>
      <c r="G145" s="2712"/>
      <c r="H145" s="2711"/>
      <c r="I145" s="2712"/>
      <c r="J145" s="2711"/>
      <c r="K145" s="2711"/>
      <c r="L145" s="2712"/>
      <c r="M145" s="2711"/>
      <c r="N145" s="2711"/>
      <c r="O145" s="2712"/>
      <c r="P145" s="2711"/>
      <c r="Q145" s="2711"/>
      <c r="R145" s="2713"/>
    </row>
    <row r="146" spans="2:18" s="906" customFormat="1">
      <c r="B146" s="2711"/>
      <c r="C146" s="2711"/>
      <c r="D146" s="2711"/>
      <c r="E146" s="2711"/>
      <c r="F146" s="2711"/>
      <c r="G146" s="2712"/>
      <c r="H146" s="2711"/>
      <c r="I146" s="2712"/>
      <c r="J146" s="2711"/>
      <c r="K146" s="2711"/>
      <c r="L146" s="2712"/>
      <c r="M146" s="2711"/>
      <c r="N146" s="2711"/>
      <c r="O146" s="2712"/>
      <c r="P146" s="2711"/>
      <c r="Q146" s="2711"/>
      <c r="R146" s="2713"/>
    </row>
    <row r="147" spans="2:18" s="906" customFormat="1">
      <c r="B147" s="2711"/>
      <c r="C147" s="2711"/>
      <c r="D147" s="2711"/>
      <c r="E147" s="2711"/>
      <c r="F147" s="2711"/>
      <c r="G147" s="2712"/>
      <c r="H147" s="2711"/>
      <c r="I147" s="2712"/>
      <c r="J147" s="2711"/>
      <c r="K147" s="2711"/>
      <c r="L147" s="2712"/>
      <c r="M147" s="2711"/>
      <c r="N147" s="2711"/>
      <c r="O147" s="2712"/>
      <c r="P147" s="2711"/>
      <c r="Q147" s="2711"/>
      <c r="R147" s="2713"/>
    </row>
    <row r="148" spans="2:18" s="906" customFormat="1">
      <c r="B148" s="2711"/>
      <c r="C148" s="2711"/>
      <c r="D148" s="2711"/>
      <c r="E148" s="2711"/>
      <c r="F148" s="2711"/>
      <c r="G148" s="2712"/>
      <c r="H148" s="2711"/>
      <c r="I148" s="2712"/>
      <c r="J148" s="2711"/>
      <c r="K148" s="2711"/>
      <c r="L148" s="2712"/>
      <c r="M148" s="2711"/>
      <c r="N148" s="2711"/>
      <c r="O148" s="2712"/>
      <c r="P148" s="2711"/>
      <c r="Q148" s="2711"/>
      <c r="R148" s="2713"/>
    </row>
    <row r="149" spans="2:18" s="906" customFormat="1">
      <c r="B149" s="2711"/>
      <c r="C149" s="2711"/>
      <c r="D149" s="2711"/>
      <c r="E149" s="2711"/>
      <c r="F149" s="2711"/>
      <c r="G149" s="2712"/>
      <c r="H149" s="2711"/>
      <c r="I149" s="2712"/>
      <c r="J149" s="2711"/>
      <c r="K149" s="2711"/>
      <c r="L149" s="2712"/>
      <c r="M149" s="2711"/>
      <c r="N149" s="2711"/>
      <c r="O149" s="2712"/>
      <c r="P149" s="2711"/>
      <c r="Q149" s="2711"/>
      <c r="R149" s="2713"/>
    </row>
    <row r="150" spans="2:18" s="906" customFormat="1">
      <c r="B150" s="2711"/>
      <c r="C150" s="2711"/>
      <c r="D150" s="2711"/>
      <c r="E150" s="2711"/>
      <c r="F150" s="2711"/>
      <c r="G150" s="2712"/>
      <c r="H150" s="2711"/>
      <c r="I150" s="2712"/>
      <c r="J150" s="2711"/>
      <c r="K150" s="2711"/>
      <c r="L150" s="2712"/>
      <c r="M150" s="2711"/>
      <c r="N150" s="2711"/>
      <c r="O150" s="2712"/>
      <c r="P150" s="2711"/>
      <c r="Q150" s="2711"/>
      <c r="R150" s="2713"/>
    </row>
    <row r="151" spans="2:18" s="906" customFormat="1">
      <c r="B151" s="2711"/>
      <c r="C151" s="2711"/>
      <c r="D151" s="2711"/>
      <c r="E151" s="2711"/>
      <c r="F151" s="2711"/>
      <c r="G151" s="2712"/>
      <c r="H151" s="2711"/>
      <c r="I151" s="2712"/>
      <c r="J151" s="2711"/>
      <c r="K151" s="2711"/>
      <c r="L151" s="2712"/>
      <c r="M151" s="2711"/>
      <c r="N151" s="2711"/>
      <c r="O151" s="2712"/>
      <c r="P151" s="2711"/>
      <c r="Q151" s="2711"/>
      <c r="R151" s="2713"/>
    </row>
    <row r="152" spans="2:18" s="906" customFormat="1">
      <c r="B152" s="2711"/>
      <c r="C152" s="2711"/>
      <c r="D152" s="2711"/>
      <c r="E152" s="2711"/>
      <c r="F152" s="2711"/>
      <c r="G152" s="2712"/>
      <c r="H152" s="2711"/>
      <c r="I152" s="2712"/>
      <c r="J152" s="2711"/>
      <c r="K152" s="2711"/>
      <c r="L152" s="2712"/>
      <c r="M152" s="2711"/>
      <c r="N152" s="2711"/>
      <c r="O152" s="2712"/>
      <c r="P152" s="2711"/>
      <c r="Q152" s="2711"/>
      <c r="R152" s="2713"/>
    </row>
    <row r="153" spans="2:18" s="906" customFormat="1">
      <c r="B153" s="2711"/>
      <c r="C153" s="2711"/>
      <c r="D153" s="2711"/>
      <c r="E153" s="2711"/>
      <c r="F153" s="2711"/>
      <c r="G153" s="2712"/>
      <c r="H153" s="2711"/>
      <c r="I153" s="2712"/>
      <c r="J153" s="2711"/>
      <c r="K153" s="2711"/>
      <c r="L153" s="2712"/>
      <c r="M153" s="2711"/>
      <c r="N153" s="2711"/>
      <c r="O153" s="2712"/>
      <c r="P153" s="2711"/>
      <c r="Q153" s="2711"/>
      <c r="R153" s="2713"/>
    </row>
    <row r="154" spans="2:18" s="906" customFormat="1">
      <c r="B154" s="2711"/>
      <c r="C154" s="2711"/>
      <c r="D154" s="2711"/>
      <c r="E154" s="2711"/>
      <c r="F154" s="2711"/>
      <c r="G154" s="2712"/>
      <c r="H154" s="2711"/>
      <c r="I154" s="2712"/>
      <c r="J154" s="2711"/>
      <c r="K154" s="2711"/>
      <c r="L154" s="2712"/>
      <c r="M154" s="2711"/>
      <c r="N154" s="2711"/>
      <c r="O154" s="2712"/>
      <c r="P154" s="2711"/>
      <c r="Q154" s="2711"/>
      <c r="R154" s="2713"/>
    </row>
    <row r="155" spans="2:18" s="906" customFormat="1">
      <c r="B155" s="2711"/>
      <c r="C155" s="2711"/>
      <c r="D155" s="2711"/>
      <c r="E155" s="2711"/>
      <c r="F155" s="2711"/>
      <c r="G155" s="2712"/>
      <c r="H155" s="2711"/>
      <c r="I155" s="2712"/>
      <c r="J155" s="2711"/>
      <c r="K155" s="2711"/>
      <c r="L155" s="2712"/>
      <c r="M155" s="2711"/>
      <c r="N155" s="2711"/>
      <c r="O155" s="2712"/>
      <c r="P155" s="2711"/>
      <c r="Q155" s="2711"/>
      <c r="R155" s="2713"/>
    </row>
    <row r="156" spans="2:18" s="906" customFormat="1">
      <c r="B156" s="2711"/>
      <c r="C156" s="2711"/>
      <c r="D156" s="2711"/>
      <c r="E156" s="2711"/>
      <c r="F156" s="2711"/>
      <c r="G156" s="2712"/>
      <c r="H156" s="2711"/>
      <c r="I156" s="2712"/>
      <c r="J156" s="2711"/>
      <c r="K156" s="2711"/>
      <c r="L156" s="2712"/>
      <c r="M156" s="2711"/>
      <c r="N156" s="2711"/>
      <c r="O156" s="2712"/>
      <c r="P156" s="2711"/>
      <c r="Q156" s="2711"/>
      <c r="R156" s="2713"/>
    </row>
    <row r="157" spans="2:18" s="906" customFormat="1">
      <c r="B157" s="2711"/>
      <c r="C157" s="2711"/>
      <c r="D157" s="2711"/>
      <c r="E157" s="2711"/>
      <c r="F157" s="2711"/>
      <c r="G157" s="2712"/>
      <c r="H157" s="2711"/>
      <c r="I157" s="2712"/>
      <c r="J157" s="2711"/>
      <c r="K157" s="2711"/>
      <c r="L157" s="2712"/>
      <c r="M157" s="2711"/>
      <c r="N157" s="2711"/>
      <c r="O157" s="2712"/>
      <c r="P157" s="2711"/>
      <c r="Q157" s="2711"/>
      <c r="R157" s="2713"/>
    </row>
    <row r="158" spans="2:18" s="906" customFormat="1">
      <c r="B158" s="2711"/>
      <c r="C158" s="2711"/>
      <c r="D158" s="2711"/>
      <c r="E158" s="2711"/>
      <c r="F158" s="2711"/>
      <c r="G158" s="2712"/>
      <c r="H158" s="2711"/>
      <c r="I158" s="2712"/>
      <c r="J158" s="2711"/>
      <c r="K158" s="2711"/>
      <c r="L158" s="2712"/>
      <c r="M158" s="2711"/>
      <c r="N158" s="2711"/>
      <c r="O158" s="2712"/>
      <c r="P158" s="2711"/>
      <c r="Q158" s="2711"/>
      <c r="R158" s="2713"/>
    </row>
    <row r="159" spans="2:18" s="906" customFormat="1">
      <c r="B159" s="2711"/>
      <c r="C159" s="2711"/>
      <c r="D159" s="2711"/>
      <c r="E159" s="2711"/>
      <c r="F159" s="2711"/>
      <c r="G159" s="2712"/>
      <c r="H159" s="2711"/>
      <c r="I159" s="2712"/>
      <c r="J159" s="2711"/>
      <c r="K159" s="2711"/>
      <c r="L159" s="2712"/>
      <c r="M159" s="2711"/>
      <c r="N159" s="2711"/>
      <c r="O159" s="2712"/>
      <c r="P159" s="2711"/>
      <c r="Q159" s="2711"/>
      <c r="R159" s="2713"/>
    </row>
    <row r="160" spans="2:18" s="906" customFormat="1">
      <c r="B160" s="2711"/>
      <c r="C160" s="2711"/>
      <c r="D160" s="2711"/>
      <c r="E160" s="2711"/>
      <c r="F160" s="2711"/>
      <c r="G160" s="2712"/>
      <c r="H160" s="2711"/>
      <c r="I160" s="2712"/>
      <c r="J160" s="2711"/>
      <c r="K160" s="2711"/>
      <c r="L160" s="2712"/>
      <c r="M160" s="2711"/>
      <c r="N160" s="2711"/>
      <c r="O160" s="2712"/>
      <c r="P160" s="2711"/>
      <c r="Q160" s="2711"/>
      <c r="R160" s="2713"/>
    </row>
    <row r="161" spans="2:18" s="906" customFormat="1">
      <c r="B161" s="2711"/>
      <c r="C161" s="2711"/>
      <c r="D161" s="2711"/>
      <c r="E161" s="2711"/>
      <c r="F161" s="2711"/>
      <c r="G161" s="2712"/>
      <c r="H161" s="2711"/>
      <c r="I161" s="2712"/>
      <c r="J161" s="2711"/>
      <c r="K161" s="2711"/>
      <c r="L161" s="2712"/>
      <c r="M161" s="2711"/>
      <c r="N161" s="2711"/>
      <c r="O161" s="2712"/>
      <c r="P161" s="2711"/>
      <c r="Q161" s="2711"/>
      <c r="R161" s="2713"/>
    </row>
    <row r="162" spans="2:18" s="906" customFormat="1">
      <c r="B162" s="2711"/>
      <c r="C162" s="2711"/>
      <c r="D162" s="2711"/>
      <c r="E162" s="2711"/>
      <c r="F162" s="2711"/>
      <c r="G162" s="2712"/>
      <c r="H162" s="2711"/>
      <c r="I162" s="2712"/>
      <c r="J162" s="2711"/>
      <c r="K162" s="2711"/>
      <c r="L162" s="2712"/>
      <c r="M162" s="2711"/>
      <c r="N162" s="2711"/>
      <c r="O162" s="2712"/>
      <c r="P162" s="2711"/>
      <c r="Q162" s="2711"/>
      <c r="R162" s="2713"/>
    </row>
    <row r="163" spans="2:18" s="906" customFormat="1">
      <c r="B163" s="2711"/>
      <c r="C163" s="2711"/>
      <c r="D163" s="2711"/>
      <c r="E163" s="2711"/>
      <c r="F163" s="2711"/>
      <c r="G163" s="2712"/>
      <c r="H163" s="2711"/>
      <c r="I163" s="2712"/>
      <c r="J163" s="2711"/>
      <c r="K163" s="2711"/>
      <c r="L163" s="2712"/>
      <c r="M163" s="2711"/>
      <c r="N163" s="2711"/>
      <c r="O163" s="2712"/>
      <c r="P163" s="2711"/>
      <c r="Q163" s="2711"/>
      <c r="R163" s="2713"/>
    </row>
    <row r="164" spans="2:18" s="906" customFormat="1">
      <c r="B164" s="2711"/>
      <c r="C164" s="2711"/>
      <c r="D164" s="2711"/>
      <c r="E164" s="2711"/>
      <c r="F164" s="2711"/>
      <c r="G164" s="2712"/>
      <c r="H164" s="2711"/>
      <c r="I164" s="2712"/>
      <c r="J164" s="2711"/>
      <c r="K164" s="2711"/>
      <c r="L164" s="2712"/>
      <c r="M164" s="2711"/>
      <c r="N164" s="2711"/>
      <c r="O164" s="2712"/>
      <c r="P164" s="2711"/>
      <c r="Q164" s="2711"/>
      <c r="R164" s="2713"/>
    </row>
    <row r="165" spans="2:18" s="906" customFormat="1">
      <c r="B165" s="2711"/>
      <c r="C165" s="2711"/>
      <c r="D165" s="2711"/>
      <c r="E165" s="2711"/>
      <c r="F165" s="2711"/>
      <c r="G165" s="2712"/>
      <c r="H165" s="2711"/>
      <c r="I165" s="2712"/>
      <c r="J165" s="2711"/>
      <c r="K165" s="2711"/>
      <c r="L165" s="2712"/>
      <c r="M165" s="2711"/>
      <c r="N165" s="2711"/>
      <c r="O165" s="2712"/>
      <c r="P165" s="2711"/>
      <c r="Q165" s="2711"/>
      <c r="R165" s="2713"/>
    </row>
    <row r="166" spans="2:18" s="906" customFormat="1">
      <c r="B166" s="2711"/>
      <c r="C166" s="2711"/>
      <c r="D166" s="2711"/>
      <c r="E166" s="2711"/>
      <c r="F166" s="2711"/>
      <c r="G166" s="2712"/>
      <c r="H166" s="2711"/>
      <c r="I166" s="2712"/>
      <c r="J166" s="2711"/>
      <c r="K166" s="2711"/>
      <c r="L166" s="2712"/>
      <c r="M166" s="2711"/>
      <c r="N166" s="2711"/>
      <c r="O166" s="2712"/>
      <c r="P166" s="2711"/>
      <c r="Q166" s="2711"/>
      <c r="R166" s="2713"/>
    </row>
    <row r="167" spans="2:18" s="906" customFormat="1">
      <c r="B167" s="2711"/>
      <c r="C167" s="2711"/>
      <c r="D167" s="2711"/>
      <c r="E167" s="2711"/>
      <c r="F167" s="2711"/>
      <c r="G167" s="2712"/>
      <c r="H167" s="2711"/>
      <c r="I167" s="2712"/>
      <c r="J167" s="2711"/>
      <c r="K167" s="2711"/>
      <c r="L167" s="2712"/>
      <c r="M167" s="2711"/>
      <c r="N167" s="2711"/>
      <c r="O167" s="2712"/>
      <c r="P167" s="2711"/>
      <c r="Q167" s="2711"/>
      <c r="R167" s="2713"/>
    </row>
    <row r="168" spans="2:18" s="906" customFormat="1">
      <c r="B168" s="2711"/>
      <c r="C168" s="2711"/>
      <c r="D168" s="2711"/>
      <c r="E168" s="2711"/>
      <c r="F168" s="2711"/>
      <c r="G168" s="2712"/>
      <c r="H168" s="2711"/>
      <c r="I168" s="2712"/>
      <c r="J168" s="2711"/>
      <c r="K168" s="2711"/>
      <c r="L168" s="2712"/>
      <c r="M168" s="2711"/>
      <c r="N168" s="2711"/>
      <c r="O168" s="2712"/>
      <c r="P168" s="2711"/>
      <c r="Q168" s="2711"/>
      <c r="R168" s="2713"/>
    </row>
    <row r="169" spans="2:18" s="906" customFormat="1">
      <c r="B169" s="2711"/>
      <c r="C169" s="2711"/>
      <c r="D169" s="2711"/>
      <c r="E169" s="2711"/>
      <c r="F169" s="2711"/>
      <c r="G169" s="2712"/>
      <c r="H169" s="2711"/>
      <c r="I169" s="2712"/>
      <c r="J169" s="2711"/>
      <c r="K169" s="2711"/>
      <c r="L169" s="2712"/>
      <c r="M169" s="2711"/>
      <c r="N169" s="2711"/>
      <c r="O169" s="2712"/>
      <c r="P169" s="2711"/>
      <c r="Q169" s="2711"/>
      <c r="R169" s="2713"/>
    </row>
    <row r="170" spans="2:18" s="906" customFormat="1">
      <c r="B170" s="2711"/>
      <c r="C170" s="2711"/>
      <c r="D170" s="2711"/>
      <c r="E170" s="2711"/>
      <c r="F170" s="2711"/>
      <c r="G170" s="2712"/>
      <c r="H170" s="2711"/>
      <c r="I170" s="2712"/>
      <c r="J170" s="2711"/>
      <c r="K170" s="2711"/>
      <c r="L170" s="2712"/>
      <c r="M170" s="2711"/>
      <c r="N170" s="2711"/>
      <c r="O170" s="2712"/>
      <c r="P170" s="2711"/>
      <c r="Q170" s="2711"/>
      <c r="R170" s="2713"/>
    </row>
    <row r="171" spans="2:18" s="906" customFormat="1">
      <c r="B171" s="2711"/>
      <c r="C171" s="2711"/>
      <c r="D171" s="2711"/>
      <c r="E171" s="2711"/>
      <c r="F171" s="2711"/>
      <c r="G171" s="2712"/>
      <c r="H171" s="2711"/>
      <c r="I171" s="2712"/>
      <c r="J171" s="2711"/>
      <c r="K171" s="2711"/>
      <c r="L171" s="2712"/>
      <c r="M171" s="2711"/>
      <c r="N171" s="2711"/>
      <c r="O171" s="2712"/>
      <c r="P171" s="2711"/>
      <c r="Q171" s="2711"/>
      <c r="R171" s="2713"/>
    </row>
    <row r="172" spans="2:18" s="906" customFormat="1">
      <c r="B172" s="2711"/>
      <c r="C172" s="2711"/>
      <c r="D172" s="2711"/>
      <c r="E172" s="2711"/>
      <c r="F172" s="2711"/>
      <c r="G172" s="2712"/>
      <c r="H172" s="2711"/>
      <c r="I172" s="2712"/>
      <c r="J172" s="2711"/>
      <c r="K172" s="2711"/>
      <c r="L172" s="2712"/>
      <c r="M172" s="2711"/>
      <c r="N172" s="2711"/>
      <c r="O172" s="2712"/>
      <c r="P172" s="2711"/>
      <c r="Q172" s="2711"/>
      <c r="R172" s="2713"/>
    </row>
    <row r="173" spans="2:18" s="906" customFormat="1">
      <c r="B173" s="2711"/>
      <c r="C173" s="2711"/>
      <c r="D173" s="2711"/>
      <c r="E173" s="2711"/>
      <c r="F173" s="2711"/>
      <c r="G173" s="2712"/>
      <c r="H173" s="2711"/>
      <c r="I173" s="2712"/>
      <c r="J173" s="2711"/>
      <c r="K173" s="2711"/>
      <c r="L173" s="2712"/>
      <c r="M173" s="2711"/>
      <c r="N173" s="2711"/>
      <c r="O173" s="2712"/>
      <c r="P173" s="2711"/>
      <c r="Q173" s="2711"/>
      <c r="R173" s="2713"/>
    </row>
    <row r="174" spans="2:18" s="906" customFormat="1">
      <c r="B174" s="2711"/>
      <c r="C174" s="2711"/>
      <c r="D174" s="2711"/>
      <c r="E174" s="2711"/>
      <c r="F174" s="2711"/>
      <c r="G174" s="2712"/>
      <c r="H174" s="2711"/>
      <c r="I174" s="2712"/>
      <c r="J174" s="2711"/>
      <c r="K174" s="2711"/>
      <c r="L174" s="2712"/>
      <c r="M174" s="2711"/>
      <c r="N174" s="2711"/>
      <c r="O174" s="2712"/>
      <c r="P174" s="2711"/>
      <c r="Q174" s="2711"/>
      <c r="R174" s="2713"/>
    </row>
    <row r="175" spans="2:18" s="906" customFormat="1">
      <c r="B175" s="2711"/>
      <c r="C175" s="2711"/>
      <c r="D175" s="2711"/>
      <c r="E175" s="2711"/>
      <c r="F175" s="2711"/>
      <c r="G175" s="2712"/>
      <c r="H175" s="2711"/>
      <c r="I175" s="2712"/>
      <c r="J175" s="2711"/>
      <c r="K175" s="2711"/>
      <c r="L175" s="2712"/>
      <c r="M175" s="2711"/>
      <c r="N175" s="2711"/>
      <c r="O175" s="2712"/>
      <c r="P175" s="2711"/>
      <c r="Q175" s="2711"/>
      <c r="R175" s="2713"/>
    </row>
    <row r="176" spans="2:18" s="906" customFormat="1">
      <c r="B176" s="2711"/>
      <c r="C176" s="2711"/>
      <c r="D176" s="2711"/>
      <c r="E176" s="2711"/>
      <c r="F176" s="2711"/>
      <c r="G176" s="2712"/>
      <c r="H176" s="2711"/>
      <c r="I176" s="2712"/>
      <c r="J176" s="2711"/>
      <c r="K176" s="2711"/>
      <c r="L176" s="2712"/>
      <c r="M176" s="2711"/>
      <c r="N176" s="2711"/>
      <c r="O176" s="2712"/>
      <c r="P176" s="2711"/>
      <c r="Q176" s="2711"/>
      <c r="R176" s="2713"/>
    </row>
    <row r="177" spans="1:18" s="906" customFormat="1">
      <c r="B177" s="2711"/>
      <c r="C177" s="2711"/>
      <c r="D177" s="2711"/>
      <c r="E177" s="2711"/>
      <c r="F177" s="2711"/>
      <c r="G177" s="2712"/>
      <c r="H177" s="2711"/>
      <c r="I177" s="2712"/>
      <c r="J177" s="2711"/>
      <c r="K177" s="2711"/>
      <c r="L177" s="2712"/>
      <c r="M177" s="2711"/>
      <c r="N177" s="2711"/>
      <c r="O177" s="2712"/>
      <c r="P177" s="2711"/>
      <c r="Q177" s="2711"/>
      <c r="R177" s="2713"/>
    </row>
    <row r="178" spans="1:18" s="906" customFormat="1">
      <c r="B178" s="2711"/>
      <c r="C178" s="2711"/>
      <c r="D178" s="2711"/>
      <c r="E178" s="2711"/>
      <c r="F178" s="2711"/>
      <c r="G178" s="2712"/>
      <c r="H178" s="2711"/>
      <c r="I178" s="2712"/>
      <c r="J178" s="2711"/>
      <c r="K178" s="2711"/>
      <c r="L178" s="2712"/>
      <c r="M178" s="2711"/>
      <c r="N178" s="2711"/>
      <c r="O178" s="2712"/>
      <c r="P178" s="2711"/>
      <c r="Q178" s="2711"/>
      <c r="R178" s="2713"/>
    </row>
    <row r="179" spans="1:18" s="906" customFormat="1">
      <c r="B179" s="2711"/>
      <c r="C179" s="2711"/>
      <c r="D179" s="2711"/>
      <c r="E179" s="2711"/>
      <c r="F179" s="2711"/>
      <c r="G179" s="2712"/>
      <c r="H179" s="2711"/>
      <c r="I179" s="2712"/>
      <c r="J179" s="2711"/>
      <c r="K179" s="2711"/>
      <c r="L179" s="2712"/>
      <c r="M179" s="2711"/>
      <c r="N179" s="2711"/>
      <c r="O179" s="2712"/>
      <c r="P179" s="2711"/>
      <c r="Q179" s="2711"/>
      <c r="R179" s="2713"/>
    </row>
    <row r="180" spans="1:18" s="906" customFormat="1">
      <c r="B180" s="2711"/>
      <c r="C180" s="2711"/>
      <c r="D180" s="2711"/>
      <c r="E180" s="2711"/>
      <c r="F180" s="2711"/>
      <c r="G180" s="2712"/>
      <c r="H180" s="2711"/>
      <c r="I180" s="2712"/>
      <c r="J180" s="2711"/>
      <c r="K180" s="2711"/>
      <c r="L180" s="2712"/>
      <c r="M180" s="2711"/>
      <c r="N180" s="2711"/>
      <c r="O180" s="2712"/>
      <c r="P180" s="2711"/>
      <c r="Q180" s="2711"/>
      <c r="R180" s="2713"/>
    </row>
    <row r="181" spans="1:18" s="906" customFormat="1">
      <c r="B181" s="2711"/>
      <c r="C181" s="2711"/>
      <c r="D181" s="2711"/>
      <c r="E181" s="2711"/>
      <c r="F181" s="2711"/>
      <c r="G181" s="2712"/>
      <c r="H181" s="2711"/>
      <c r="I181" s="2712"/>
      <c r="J181" s="2711"/>
      <c r="K181" s="2711"/>
      <c r="L181" s="2712"/>
      <c r="M181" s="2711"/>
      <c r="N181" s="2711"/>
      <c r="O181" s="2712"/>
      <c r="P181" s="2711"/>
      <c r="Q181" s="2711"/>
      <c r="R181" s="2713"/>
    </row>
    <row r="182" spans="1:18" s="906" customFormat="1">
      <c r="B182" s="2711"/>
      <c r="C182" s="2711"/>
      <c r="D182" s="2711"/>
      <c r="E182" s="2711"/>
      <c r="F182" s="2711"/>
      <c r="G182" s="2712"/>
      <c r="H182" s="2711"/>
      <c r="I182" s="2712"/>
      <c r="J182" s="2711"/>
      <c r="K182" s="2711"/>
      <c r="L182" s="2712"/>
      <c r="M182" s="2711"/>
      <c r="N182" s="2711"/>
      <c r="O182" s="2712"/>
      <c r="P182" s="2711"/>
      <c r="Q182" s="2711"/>
      <c r="R182" s="2713"/>
    </row>
    <row r="183" spans="1:18" s="906" customFormat="1">
      <c r="B183" s="2711"/>
      <c r="C183" s="2711"/>
      <c r="D183" s="2711"/>
      <c r="E183" s="2711"/>
      <c r="F183" s="2711"/>
      <c r="G183" s="2712"/>
      <c r="H183" s="2711"/>
      <c r="I183" s="2712"/>
      <c r="J183" s="2711"/>
      <c r="K183" s="2711"/>
      <c r="L183" s="2712"/>
      <c r="M183" s="2711"/>
      <c r="N183" s="2711"/>
      <c r="O183" s="2712"/>
      <c r="P183" s="2711"/>
      <c r="Q183" s="2711"/>
      <c r="R183" s="2713"/>
    </row>
    <row r="184" spans="1:18" s="906" customFormat="1">
      <c r="B184" s="2711"/>
      <c r="C184" s="2711"/>
      <c r="D184" s="2711"/>
      <c r="E184" s="2711"/>
      <c r="F184" s="2711"/>
      <c r="G184" s="2712"/>
      <c r="H184" s="2711"/>
      <c r="I184" s="2712"/>
      <c r="J184" s="2711"/>
      <c r="K184" s="2711"/>
      <c r="L184" s="2712"/>
      <c r="M184" s="2711"/>
      <c r="N184" s="2711"/>
      <c r="O184" s="2712"/>
      <c r="P184" s="2711"/>
      <c r="Q184" s="2711"/>
      <c r="R184" s="2713"/>
    </row>
    <row r="185" spans="1:18" s="906"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6"/>
      <c r="B186" s="2711"/>
      <c r="C186" s="2711"/>
      <c r="E186" s="2711"/>
      <c r="F186" s="2711"/>
      <c r="G186" s="2712"/>
    </row>
    <row r="187" spans="1:18">
      <c r="A187" s="906"/>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C6" sqref="C6"/>
    </sheetView>
  </sheetViews>
  <sheetFormatPr defaultColWidth="9" defaultRowHeight="13.5"/>
  <cols>
    <col min="1" max="1" width="25" style="2733" customWidth="1"/>
    <col min="2" max="9" width="15.75" style="2733" customWidth="1"/>
    <col min="10" max="16384" width="9" style="2733"/>
  </cols>
  <sheetData>
    <row r="1" spans="1:11" ht="16.5">
      <c r="A1" s="2732" t="s">
        <v>1325</v>
      </c>
      <c r="B1" s="2732">
        <f>SUM(B14:B23)</f>
        <v>66539.560000000012</v>
      </c>
      <c r="C1" s="2909"/>
      <c r="D1" s="2909"/>
      <c r="E1" s="2909"/>
      <c r="F1" s="2909"/>
      <c r="G1" s="2910"/>
      <c r="H1" s="2911"/>
      <c r="I1" s="2911"/>
      <c r="J1" s="2911"/>
      <c r="K1" s="2911"/>
    </row>
    <row r="2" spans="1:11" ht="16.5">
      <c r="A2" s="2732" t="s">
        <v>1313</v>
      </c>
      <c r="B2" s="2732">
        <f>SUM(C14:C23)</f>
        <v>62220.89</v>
      </c>
      <c r="C2" s="2909"/>
      <c r="D2" s="2909"/>
      <c r="E2" s="2909"/>
      <c r="F2" s="2909"/>
      <c r="G2" s="2910"/>
      <c r="H2" s="2911"/>
      <c r="I2" s="2911"/>
      <c r="J2" s="2911"/>
      <c r="K2" s="2911"/>
    </row>
    <row r="3" spans="1:11" ht="16.5">
      <c r="A3" s="2732" t="s">
        <v>1322</v>
      </c>
      <c r="B3" s="2734">
        <f>项目基本情况!D3</f>
        <v>44541</v>
      </c>
      <c r="C3" s="2909"/>
      <c r="D3" s="2909"/>
      <c r="E3" s="2909"/>
      <c r="F3" s="2909"/>
      <c r="G3" s="2910"/>
      <c r="H3" s="2911"/>
      <c r="I3" s="2911"/>
      <c r="J3" s="2911"/>
      <c r="K3" s="2911"/>
    </row>
    <row r="4" spans="1:11" ht="33">
      <c r="A4" s="2732" t="s">
        <v>1321</v>
      </c>
      <c r="B4" s="2732" t="s">
        <v>1320</v>
      </c>
      <c r="C4" s="2732" t="s">
        <v>1319</v>
      </c>
      <c r="D4" s="2732" t="s">
        <v>1318</v>
      </c>
      <c r="E4" s="2909"/>
      <c r="F4" s="2910"/>
      <c r="G4" s="2910"/>
      <c r="H4" s="2911"/>
      <c r="I4" s="2911"/>
      <c r="J4" s="2911"/>
      <c r="K4" s="2911"/>
    </row>
    <row r="5" spans="1:11" ht="16.5">
      <c r="A5" s="2732" t="s">
        <v>1317</v>
      </c>
      <c r="B5" s="2732">
        <f ca="1">SUM(D14:D23)</f>
        <v>56678</v>
      </c>
      <c r="C5" s="2732">
        <f ca="1">ROUND(B5*10000/$B$1,0)</f>
        <v>8518</v>
      </c>
      <c r="D5" s="2732">
        <f ca="1">ROUND(B5*10000/$B$2,0)</f>
        <v>9109</v>
      </c>
      <c r="E5" s="2909"/>
      <c r="F5" s="2910"/>
      <c r="G5" s="2910"/>
      <c r="H5" s="2911"/>
      <c r="I5" s="2911"/>
      <c r="J5" s="2911"/>
      <c r="K5" s="2911"/>
    </row>
    <row r="6" spans="1:11" ht="16.5">
      <c r="A6" s="2732" t="s">
        <v>1316</v>
      </c>
      <c r="B6" s="2732">
        <f ca="1">SUM(G14:G23)</f>
        <v>36678</v>
      </c>
      <c r="C6" s="2732">
        <f ca="1">ROUND(B6*10000/$B$1,0)</f>
        <v>5512</v>
      </c>
      <c r="D6" s="2732">
        <f ca="1">ROUND(B6*10000/$B$2,0)</f>
        <v>5895</v>
      </c>
      <c r="E6" s="2909"/>
      <c r="F6" s="2910"/>
      <c r="G6" s="2910"/>
      <c r="H6" s="2911"/>
      <c r="I6" s="2911"/>
      <c r="J6" s="2911"/>
      <c r="K6" s="2911"/>
    </row>
    <row r="7" spans="1:11" ht="16.5">
      <c r="A7" s="2732" t="s">
        <v>1324</v>
      </c>
      <c r="B7" s="2732">
        <f>SUM(H14:H23)</f>
        <v>0</v>
      </c>
      <c r="C7" s="2732">
        <f>ROUND(B7*10000/$B$1,0)</f>
        <v>0</v>
      </c>
      <c r="D7" s="2732">
        <f>ROUND(B7*10000/$B$2,0)</f>
        <v>0</v>
      </c>
      <c r="E7" s="2909"/>
      <c r="F7" s="2910"/>
      <c r="G7" s="2910"/>
      <c r="H7" s="2911"/>
      <c r="I7" s="2911"/>
      <c r="J7" s="2911"/>
      <c r="K7" s="2911"/>
    </row>
    <row r="8" spans="1:11" ht="16.5">
      <c r="A8" s="2732" t="s">
        <v>1246</v>
      </c>
      <c r="B8" s="2732">
        <f>SUM(I14:I23)</f>
        <v>0</v>
      </c>
      <c r="C8" s="2732">
        <f>ROUND(B8*10000/$B$1,0)</f>
        <v>0</v>
      </c>
      <c r="D8" s="2732">
        <f>ROUND(B8*10000/$B$2,0)</f>
        <v>0</v>
      </c>
      <c r="E8" s="2909"/>
      <c r="F8" s="2910"/>
      <c r="G8" s="2910"/>
      <c r="H8" s="2911"/>
      <c r="I8" s="2911"/>
      <c r="J8" s="2911"/>
      <c r="K8" s="2911"/>
    </row>
    <row r="9" spans="1:11" ht="16.5">
      <c r="A9" s="2732" t="s">
        <v>1315</v>
      </c>
      <c r="B9" s="2740"/>
      <c r="C9" s="2909"/>
      <c r="D9" s="2909"/>
      <c r="E9" s="2909"/>
      <c r="F9" s="2910"/>
      <c r="G9" s="2910"/>
      <c r="H9" s="2911"/>
      <c r="I9" s="2911"/>
      <c r="J9" s="2911"/>
      <c r="K9" s="2911"/>
    </row>
    <row r="10" spans="1:11" ht="16.5">
      <c r="A10" s="2732" t="s">
        <v>1314</v>
      </c>
      <c r="B10" s="2740"/>
      <c r="C10" s="2909"/>
      <c r="D10" s="2909"/>
      <c r="E10" s="2909"/>
      <c r="F10" s="2910"/>
      <c r="G10" s="2910"/>
      <c r="H10" s="2911"/>
      <c r="I10" s="2911"/>
      <c r="J10" s="2911"/>
      <c r="K10" s="2911"/>
    </row>
    <row r="11" spans="1:11" ht="16.5">
      <c r="A11" s="2732" t="s">
        <v>1330</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1329</v>
      </c>
      <c r="B13" s="2736" t="s">
        <v>1326</v>
      </c>
      <c r="C13" s="2736" t="s">
        <v>1328</v>
      </c>
      <c r="D13" s="2736" t="s">
        <v>1327</v>
      </c>
      <c r="E13" s="2732" t="s">
        <v>1319</v>
      </c>
      <c r="F13" s="2732" t="s">
        <v>1318</v>
      </c>
      <c r="G13" s="2736" t="s">
        <v>1312</v>
      </c>
      <c r="H13" s="2736" t="s">
        <v>1323</v>
      </c>
      <c r="I13" s="2736" t="s">
        <v>1311</v>
      </c>
      <c r="J13" s="2910"/>
      <c r="K13" s="2911"/>
    </row>
    <row r="14" spans="1:11" ht="16.5">
      <c r="A14" s="2737" t="s">
        <v>1310</v>
      </c>
      <c r="B14" s="2738">
        <f>结果表!B118</f>
        <v>66539.560000000012</v>
      </c>
      <c r="C14" s="2738">
        <f>结果表!C118</f>
        <v>62220.89</v>
      </c>
      <c r="D14" s="2738">
        <f ca="1">结果表!H118</f>
        <v>56678</v>
      </c>
      <c r="E14" s="2738">
        <f ca="1">ROUND(D14*10000/B14,0)</f>
        <v>8518</v>
      </c>
      <c r="F14" s="2738">
        <f ca="1">ROUND(D14*10000/C14,0)</f>
        <v>9109</v>
      </c>
      <c r="G14" s="2738">
        <f ca="1">结果表!D122</f>
        <v>36678</v>
      </c>
      <c r="H14" s="2738" t="str">
        <f>结果表!D124</f>
        <v>——</v>
      </c>
      <c r="I14" s="2738" t="str">
        <f>结果表!D126</f>
        <v>——</v>
      </c>
      <c r="J14" s="2910"/>
      <c r="K14" s="2911"/>
    </row>
    <row r="15" spans="1:11" ht="16.5">
      <c r="A15" s="2737" t="s">
        <v>1309</v>
      </c>
      <c r="B15" s="2739"/>
      <c r="C15" s="2739"/>
      <c r="D15" s="2739"/>
      <c r="E15" s="2738" t="e">
        <f t="shared" ref="E15:E23" si="0">ROUND(D15*10000/B15,0)</f>
        <v>#DIV/0!</v>
      </c>
      <c r="F15" s="2738" t="e">
        <f t="shared" ref="F15:F23" si="1">ROUND(D15*10000/C15,0)</f>
        <v>#DIV/0!</v>
      </c>
      <c r="G15" s="1498"/>
      <c r="H15" s="1498"/>
      <c r="I15" s="2739"/>
      <c r="J15" s="2910"/>
      <c r="K15" s="2911"/>
    </row>
    <row r="16" spans="1:11" ht="16.5">
      <c r="A16" s="2737" t="s">
        <v>1308</v>
      </c>
      <c r="B16" s="2739"/>
      <c r="C16" s="2739"/>
      <c r="D16" s="2739"/>
      <c r="E16" s="2738" t="e">
        <f t="shared" si="0"/>
        <v>#DIV/0!</v>
      </c>
      <c r="F16" s="2738" t="e">
        <f t="shared" si="1"/>
        <v>#DIV/0!</v>
      </c>
      <c r="G16" s="1498"/>
      <c r="H16" s="1498"/>
      <c r="I16" s="2739"/>
      <c r="J16" s="2911"/>
      <c r="K16" s="2911"/>
    </row>
    <row r="17" spans="1:11" ht="16.5">
      <c r="A17" s="2737" t="s">
        <v>1307</v>
      </c>
      <c r="B17" s="2739"/>
      <c r="C17" s="2739"/>
      <c r="D17" s="2739"/>
      <c r="E17" s="2738" t="e">
        <f t="shared" si="0"/>
        <v>#DIV/0!</v>
      </c>
      <c r="F17" s="2738" t="e">
        <f t="shared" si="1"/>
        <v>#DIV/0!</v>
      </c>
      <c r="G17" s="1498"/>
      <c r="H17" s="1498"/>
      <c r="I17" s="2739"/>
      <c r="J17" s="2911"/>
      <c r="K17" s="2911"/>
    </row>
    <row r="18" spans="1:11" ht="16.5">
      <c r="A18" s="2737" t="s">
        <v>1306</v>
      </c>
      <c r="B18" s="2739"/>
      <c r="C18" s="2739"/>
      <c r="D18" s="2739"/>
      <c r="E18" s="2738" t="e">
        <f t="shared" si="0"/>
        <v>#DIV/0!</v>
      </c>
      <c r="F18" s="2738" t="e">
        <f t="shared" si="1"/>
        <v>#DIV/0!</v>
      </c>
      <c r="G18" s="2739"/>
      <c r="H18" s="2739"/>
      <c r="I18" s="2739"/>
      <c r="J18" s="2911"/>
      <c r="K18" s="2911"/>
    </row>
    <row r="19" spans="1:11" ht="16.5">
      <c r="A19" s="2737" t="s">
        <v>1305</v>
      </c>
      <c r="B19" s="2739"/>
      <c r="C19" s="2739"/>
      <c r="D19" s="2739"/>
      <c r="E19" s="2738" t="e">
        <f t="shared" si="0"/>
        <v>#DIV/0!</v>
      </c>
      <c r="F19" s="2738" t="e">
        <f t="shared" si="1"/>
        <v>#DIV/0!</v>
      </c>
      <c r="G19" s="2739"/>
      <c r="H19" s="2739"/>
      <c r="I19" s="2739"/>
      <c r="J19" s="2911"/>
      <c r="K19" s="2911"/>
    </row>
    <row r="20" spans="1:11" ht="16.5">
      <c r="A20" s="2737" t="s">
        <v>1304</v>
      </c>
      <c r="B20" s="2739"/>
      <c r="C20" s="2739"/>
      <c r="D20" s="2739"/>
      <c r="E20" s="2738" t="e">
        <f t="shared" si="0"/>
        <v>#DIV/0!</v>
      </c>
      <c r="F20" s="2738" t="e">
        <f t="shared" si="1"/>
        <v>#DIV/0!</v>
      </c>
      <c r="G20" s="2739"/>
      <c r="H20" s="2739"/>
      <c r="I20" s="2739"/>
      <c r="J20" s="2911"/>
      <c r="K20" s="2911"/>
    </row>
    <row r="21" spans="1:11" ht="16.5">
      <c r="A21" s="2737" t="s">
        <v>1303</v>
      </c>
      <c r="B21" s="2739"/>
      <c r="C21" s="2739"/>
      <c r="D21" s="2739"/>
      <c r="E21" s="2738" t="e">
        <f t="shared" si="0"/>
        <v>#DIV/0!</v>
      </c>
      <c r="F21" s="2738" t="e">
        <f t="shared" si="1"/>
        <v>#DIV/0!</v>
      </c>
      <c r="G21" s="2739"/>
      <c r="H21" s="2739"/>
      <c r="I21" s="2739"/>
      <c r="J21" s="2911"/>
      <c r="K21" s="2911"/>
    </row>
    <row r="22" spans="1:11" ht="16.5">
      <c r="A22" s="2737" t="s">
        <v>1302</v>
      </c>
      <c r="B22" s="2739"/>
      <c r="C22" s="2739"/>
      <c r="D22" s="2739"/>
      <c r="E22" s="2738" t="e">
        <f t="shared" si="0"/>
        <v>#DIV/0!</v>
      </c>
      <c r="F22" s="2738" t="e">
        <f t="shared" si="1"/>
        <v>#DIV/0!</v>
      </c>
      <c r="G22" s="2739"/>
      <c r="H22" s="2739"/>
      <c r="I22" s="2739"/>
      <c r="J22" s="2911"/>
      <c r="K22" s="2911"/>
    </row>
    <row r="23" spans="1:11" ht="16.5">
      <c r="A23" s="2737" t="s">
        <v>1301</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108" sqref="J108"/>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19" t="s">
        <v>1942</v>
      </c>
      <c r="B1" s="1930"/>
      <c r="C1" s="1931"/>
      <c r="D1" s="1930"/>
      <c r="E1" s="1930"/>
      <c r="F1" s="1932" t="s">
        <v>1943</v>
      </c>
      <c r="G1" s="1743"/>
      <c r="H1" s="1933" t="str">
        <f>IF(G1="现房","——","估价对象范围")</f>
        <v>估价对象范围</v>
      </c>
      <c r="I1" s="1934"/>
    </row>
    <row r="2" spans="1:12" ht="21.75" customHeight="1" thickBot="1">
      <c r="A2" s="3419" t="str">
        <f>项目基本情况!S2</f>
        <v>青海省西宁市城中区麟河路31号商业服务、物业用房房地产</v>
      </c>
      <c r="B2" s="3420"/>
      <c r="C2" s="3420"/>
      <c r="D2" s="3420"/>
      <c r="E2" s="3420"/>
      <c r="F2" s="3420"/>
      <c r="G2" s="3420"/>
      <c r="H2" s="3420"/>
      <c r="I2" s="3421"/>
    </row>
    <row r="3" spans="1:12" ht="12.75">
      <c r="A3" s="3423" t="s">
        <v>1944</v>
      </c>
      <c r="B3" s="3424"/>
      <c r="C3" s="3424"/>
      <c r="D3" s="3424"/>
      <c r="E3" s="3424"/>
      <c r="F3" s="3424"/>
      <c r="G3" s="3424"/>
      <c r="H3" s="3424"/>
      <c r="I3" s="3424"/>
    </row>
    <row r="4" spans="1:12" ht="14.25">
      <c r="A4" s="1937" t="s">
        <v>1945</v>
      </c>
      <c r="B4" s="1938" t="s">
        <v>1946</v>
      </c>
      <c r="C4" s="1939" t="s">
        <v>3329</v>
      </c>
      <c r="D4" s="1939" t="s">
        <v>3580</v>
      </c>
      <c r="E4" s="3428" t="s">
        <v>1947</v>
      </c>
      <c r="F4" s="3429"/>
      <c r="G4" s="3429"/>
      <c r="H4" s="3429"/>
      <c r="I4" s="343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9" t="s">
        <v>1948</v>
      </c>
      <c r="B5" s="3386">
        <v>25</v>
      </c>
      <c r="C5" s="3425"/>
      <c r="D5" s="3422"/>
      <c r="E5" s="136" t="s">
        <v>1949</v>
      </c>
      <c r="F5" s="1940"/>
      <c r="G5" s="1940"/>
      <c r="H5" s="1940"/>
      <c r="I5" s="1554"/>
    </row>
    <row r="6" spans="1:12" ht="12.75">
      <c r="A6" s="3399"/>
      <c r="B6" s="3386"/>
      <c r="C6" s="3427"/>
      <c r="D6" s="3422"/>
      <c r="E6" s="136" t="s">
        <v>1950</v>
      </c>
      <c r="F6" s="1940"/>
      <c r="G6" s="1940"/>
      <c r="H6" s="1940"/>
      <c r="I6" s="1554"/>
    </row>
    <row r="7" spans="1:12" ht="12.75">
      <c r="A7" s="3399"/>
      <c r="B7" s="3386"/>
      <c r="C7" s="3426"/>
      <c r="D7" s="3422"/>
      <c r="E7" s="136" t="s">
        <v>1951</v>
      </c>
      <c r="F7" s="1940"/>
      <c r="G7" s="1940"/>
      <c r="H7" s="1940"/>
      <c r="I7" s="1554"/>
    </row>
    <row r="8" spans="1:12" ht="12.75">
      <c r="A8" s="3399" t="s">
        <v>1952</v>
      </c>
      <c r="B8" s="3386">
        <v>15</v>
      </c>
      <c r="C8" s="3425"/>
      <c r="D8" s="3422"/>
      <c r="E8" s="136" t="s">
        <v>1953</v>
      </c>
      <c r="F8" s="1940"/>
      <c r="G8" s="1940"/>
      <c r="H8" s="1940"/>
      <c r="I8" s="1554"/>
    </row>
    <row r="9" spans="1:12" ht="12.75">
      <c r="A9" s="3399"/>
      <c r="B9" s="3386"/>
      <c r="C9" s="3426"/>
      <c r="D9" s="3422"/>
      <c r="E9" s="136" t="s">
        <v>1954</v>
      </c>
      <c r="F9" s="1940"/>
      <c r="G9" s="1940"/>
      <c r="H9" s="1940"/>
      <c r="I9" s="1554"/>
    </row>
    <row r="10" spans="1:12" ht="12.75">
      <c r="A10" s="3399" t="s">
        <v>1955</v>
      </c>
      <c r="B10" s="3386">
        <v>15</v>
      </c>
      <c r="C10" s="3425"/>
      <c r="D10" s="3422"/>
      <c r="E10" s="136" t="s">
        <v>1956</v>
      </c>
      <c r="F10" s="1940"/>
      <c r="G10" s="1940"/>
      <c r="H10" s="1940"/>
      <c r="I10" s="1554"/>
    </row>
    <row r="11" spans="1:12" ht="12.75">
      <c r="A11" s="3399"/>
      <c r="B11" s="3386"/>
      <c r="C11" s="3426"/>
      <c r="D11" s="3422"/>
      <c r="E11" s="136" t="s">
        <v>1957</v>
      </c>
      <c r="F11" s="1940"/>
      <c r="G11" s="1940"/>
      <c r="H11" s="1940"/>
      <c r="I11" s="1554"/>
    </row>
    <row r="12" spans="1:12" ht="12.75">
      <c r="A12" s="3399" t="s">
        <v>1958</v>
      </c>
      <c r="B12" s="3386">
        <v>15</v>
      </c>
      <c r="C12" s="3425"/>
      <c r="D12" s="3422"/>
      <c r="E12" s="136" t="s">
        <v>1959</v>
      </c>
      <c r="F12" s="1940"/>
      <c r="G12" s="1940"/>
      <c r="H12" s="1940"/>
      <c r="I12" s="1554"/>
    </row>
    <row r="13" spans="1:12" ht="12.75">
      <c r="A13" s="3399"/>
      <c r="B13" s="3386"/>
      <c r="C13" s="3426"/>
      <c r="D13" s="3422"/>
      <c r="E13" s="136" t="s">
        <v>1960</v>
      </c>
      <c r="F13" s="1940"/>
      <c r="G13" s="1940"/>
      <c r="H13" s="1940"/>
      <c r="I13" s="1554"/>
    </row>
    <row r="14" spans="1:12" ht="12.75">
      <c r="A14" s="3399" t="s">
        <v>1961</v>
      </c>
      <c r="B14" s="3386">
        <v>30</v>
      </c>
      <c r="C14" s="3402">
        <v>3</v>
      </c>
      <c r="D14" s="3452">
        <v>7</v>
      </c>
      <c r="E14" s="136" t="s">
        <v>1962</v>
      </c>
      <c r="F14" s="1940"/>
      <c r="G14" s="1940"/>
      <c r="H14" s="1940"/>
      <c r="I14" s="1554"/>
    </row>
    <row r="15" spans="1:12" ht="12.75">
      <c r="A15" s="3399"/>
      <c r="B15" s="3386"/>
      <c r="C15" s="3403"/>
      <c r="D15" s="3452"/>
      <c r="E15" s="136" t="s">
        <v>1963</v>
      </c>
      <c r="F15" s="1940"/>
      <c r="G15" s="1940"/>
      <c r="H15" s="1940"/>
      <c r="I15" s="1554"/>
    </row>
    <row r="16" spans="1:12" ht="12.75">
      <c r="A16" s="3399"/>
      <c r="B16" s="3386"/>
      <c r="C16" s="3404"/>
      <c r="D16" s="3452"/>
      <c r="E16" s="136" t="s">
        <v>1964</v>
      </c>
      <c r="F16" s="1940"/>
      <c r="G16" s="1940"/>
      <c r="H16" s="1940"/>
      <c r="I16" s="1554"/>
    </row>
    <row r="17" spans="1:36" ht="15">
      <c r="A17" s="1941" t="s">
        <v>1965</v>
      </c>
      <c r="B17" s="60"/>
      <c r="C17" s="137">
        <f>SUM(C5:C16)</f>
        <v>3</v>
      </c>
      <c r="D17" s="137">
        <f>SUM(D5:D16)</f>
        <v>7</v>
      </c>
      <c r="E17" s="134"/>
      <c r="F17" s="134"/>
      <c r="G17" s="134"/>
      <c r="H17" s="134"/>
      <c r="I17" s="134"/>
      <c r="K17" s="308"/>
      <c r="L17" s="308" t="s">
        <v>1966</v>
      </c>
      <c r="M17" s="308" t="s">
        <v>1967</v>
      </c>
    </row>
    <row r="18" spans="1:36" ht="31.9" customHeight="1" thickBot="1">
      <c r="A18" s="1942" t="s">
        <v>1968</v>
      </c>
      <c r="B18" s="1943"/>
      <c r="C18" s="138">
        <f>ROUND(C17/SUM(C17:D17),2)</f>
        <v>0.3</v>
      </c>
      <c r="D18" s="138">
        <f>1-C18</f>
        <v>0.7</v>
      </c>
      <c r="E18" s="3409" t="s">
        <v>2866</v>
      </c>
      <c r="F18" s="3410"/>
      <c r="G18" s="3410"/>
      <c r="H18" s="3410"/>
      <c r="I18" s="3410"/>
      <c r="K18" s="308" t="s">
        <v>1969</v>
      </c>
      <c r="L18" s="308">
        <f>IF(C1="",'数据-汇总表'!E3,SUMIF(项目类型,C1,'数据-汇总表'!E17:E26)+SUMIF(项目类型,C1,'数据-汇总表'!I17:I26))</f>
        <v>66539.560000000012</v>
      </c>
      <c r="M18" s="308">
        <f>IF(C1="",'数据-汇总表'!E3,SUMIF(项目类型,C1,'数据-汇总表'!E17:E26))</f>
        <v>66539.560000000012</v>
      </c>
    </row>
    <row r="19" spans="1:36" ht="15">
      <c r="A19" s="1944" t="s">
        <v>1970</v>
      </c>
      <c r="B19" s="1945" t="s">
        <v>1971</v>
      </c>
      <c r="C19" s="139">
        <f ca="1">SUMIF(INDIRECT("'"&amp;C4&amp;"'"&amp;"!A:A"),结果表!B19,INDIRECT("'"&amp;C4&amp;"'"&amp;"!B:B"))</f>
        <v>75130</v>
      </c>
      <c r="D19" s="140">
        <f ca="1">SUMIF(INDIRECT("'"&amp;D4&amp;"'"&amp;"!A:A"),结果表!B19,INDIRECT("'"&amp;D4&amp;"'"&amp;"!B:B"))</f>
        <v>48770</v>
      </c>
      <c r="E19" s="1944" t="s">
        <v>1972</v>
      </c>
      <c r="F19" s="1945" t="s">
        <v>1971</v>
      </c>
      <c r="G19" s="141">
        <f ca="1">ROUND(C19*$C$18+D19*$D$18,0)</f>
        <v>56678</v>
      </c>
      <c r="H19" s="1946" t="s">
        <v>1973</v>
      </c>
      <c r="I19" s="134"/>
      <c r="K19" s="308" t="s">
        <v>1974</v>
      </c>
      <c r="L19" s="308">
        <f>IF(C1="",'数据-汇总表'!D3,SUMIF(项目类型,C1,'数据-汇总表'!D17:D26)+SUMIF(项目类型,C1,'数据-汇总表'!H17:H27))</f>
        <v>62220.89</v>
      </c>
      <c r="M19" s="308">
        <f>IF(C1="",'数据-汇总表'!D3,SUMIF(项目类型,C1,'数据-汇总表'!D17:D26))</f>
        <v>62220.89</v>
      </c>
    </row>
    <row r="20" spans="1:36" ht="15">
      <c r="A20" s="1947"/>
      <c r="B20" s="1156" t="s">
        <v>1975</v>
      </c>
      <c r="C20" s="142">
        <f ca="1">SUMIF(INDIRECT("'"&amp;C4&amp;"'"&amp;"!A:A"),结果表!B20,INDIRECT("'"&amp;C4&amp;"'"&amp;"!B:B"))</f>
        <v>11291</v>
      </c>
      <c r="D20" s="143">
        <f ca="1">SUMIF(INDIRECT("'"&amp;D4&amp;"'"&amp;"!A:A"),结果表!B20,INDIRECT("'"&amp;D4&amp;"'"&amp;"!B:B"))</f>
        <v>7329</v>
      </c>
      <c r="E20" s="1947"/>
      <c r="F20" s="1156" t="s">
        <v>1975</v>
      </c>
      <c r="G20" s="144">
        <f ca="1">ROUND(C20*$C$18+D20*$D$18,0)</f>
        <v>8518</v>
      </c>
      <c r="H20" s="916" t="s">
        <v>1976</v>
      </c>
      <c r="I20" s="134"/>
    </row>
    <row r="21" spans="1:36" ht="15" customHeight="1" thickBot="1">
      <c r="A21" s="936"/>
      <c r="B21" s="1948" t="s">
        <v>1977</v>
      </c>
      <c r="C21" s="727">
        <f ca="1">ROUND(C19*10000/L19,0)</f>
        <v>12075</v>
      </c>
      <c r="D21" s="728">
        <f ca="1">ROUND(D19*10000/L19,0)</f>
        <v>7838</v>
      </c>
      <c r="E21" s="936"/>
      <c r="F21" s="1948" t="s">
        <v>1977</v>
      </c>
      <c r="G21" s="145">
        <f ca="1">ROUND(G19*10000/L19,0)</f>
        <v>9109</v>
      </c>
      <c r="H21" s="1949" t="s">
        <v>1976</v>
      </c>
      <c r="I21" s="134"/>
    </row>
    <row r="22" spans="1:36" ht="15" thickBot="1">
      <c r="A22" s="1871" t="s">
        <v>1978</v>
      </c>
      <c r="B22" s="1950"/>
      <c r="C22" s="1951"/>
      <c r="D22" s="729">
        <f ca="1">IF(C19&lt;D19,D19/C19-1,C19/D19-1)</f>
        <v>0.54049620668443721</v>
      </c>
      <c r="E22" s="134"/>
      <c r="F22" s="134"/>
      <c r="G22" s="134"/>
      <c r="H22" s="134"/>
      <c r="I22" s="134"/>
    </row>
    <row r="23" spans="1:36" ht="13.5" thickBot="1">
      <c r="A23" s="1930"/>
      <c r="B23" s="1930"/>
      <c r="C23" s="1930"/>
      <c r="D23" s="1930"/>
      <c r="E23" s="134"/>
      <c r="F23" s="134"/>
      <c r="G23" s="134"/>
      <c r="H23" s="134"/>
      <c r="I23" s="134"/>
    </row>
    <row r="24" spans="1:36" ht="14.25">
      <c r="A24" s="3393" t="s">
        <v>1979</v>
      </c>
      <c r="B24" s="1945" t="s">
        <v>1971</v>
      </c>
      <c r="C24" s="141">
        <f>IF(B30=0,0,D30)</f>
        <v>0</v>
      </c>
      <c r="D24" s="1952"/>
      <c r="E24" s="134"/>
      <c r="F24" s="134"/>
      <c r="G24" s="134"/>
      <c r="H24" s="134"/>
      <c r="I24" s="134"/>
    </row>
    <row r="25" spans="1:36" ht="14.25">
      <c r="A25" s="3394"/>
      <c r="B25" s="1156" t="s">
        <v>1975</v>
      </c>
      <c r="C25" s="146">
        <f>IF(B30=0,0,C30)</f>
        <v>0</v>
      </c>
      <c r="D25" s="1953"/>
      <c r="E25" s="134"/>
      <c r="F25" s="134"/>
      <c r="G25" s="134"/>
      <c r="H25" s="134"/>
      <c r="I25" s="134"/>
    </row>
    <row r="26" spans="1:36" ht="13.5" customHeight="1">
      <c r="A26" s="1954" t="s">
        <v>1980</v>
      </c>
      <c r="B26" s="147" t="s">
        <v>1981</v>
      </c>
      <c r="C26" s="147" t="s">
        <v>1982</v>
      </c>
      <c r="D26" s="148" t="s">
        <v>1983</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1984</v>
      </c>
      <c r="B30" s="147"/>
      <c r="C30" s="147"/>
      <c r="D30" s="147"/>
      <c r="E30" s="2518" t="s">
        <v>2867</v>
      </c>
      <c r="F30" s="134"/>
      <c r="G30" s="134"/>
      <c r="H30" s="134"/>
      <c r="I30" s="134"/>
    </row>
    <row r="31" spans="1:36" s="2524" customFormat="1" ht="26.45" customHeight="1" thickTop="1" thickBot="1">
      <c r="A31" s="2519"/>
      <c r="B31" s="2520"/>
      <c r="C31" s="2520"/>
      <c r="D31" s="2520"/>
      <c r="E31" s="2520"/>
      <c r="F31" s="2520"/>
      <c r="G31" s="2520"/>
      <c r="H31" s="2520"/>
      <c r="I31" s="2521" t="s">
        <v>2868</v>
      </c>
      <c r="J31" s="2912"/>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1985</v>
      </c>
      <c r="B32" s="1957"/>
      <c r="C32" s="149">
        <f ca="1">IF(D32="总价",G19-C24,G20-C25)</f>
        <v>56678</v>
      </c>
      <c r="D32" s="1958" t="s">
        <v>3336</v>
      </c>
      <c r="E32" s="134"/>
      <c r="F32" s="134"/>
      <c r="G32" s="134"/>
      <c r="H32" s="134"/>
      <c r="I32" s="134"/>
    </row>
    <row r="33" spans="1:15" ht="15">
      <c r="A33" s="893" t="s">
        <v>1986</v>
      </c>
      <c r="B33" s="1959"/>
      <c r="C33" s="1960" t="s">
        <v>3335</v>
      </c>
      <c r="D33" s="1961" t="s">
        <v>3329</v>
      </c>
      <c r="E33" s="1962" t="s">
        <v>1987</v>
      </c>
      <c r="F33" s="1963" t="str">
        <f>IF(D32="楼面单价","取值（单价）","取值（总价）")</f>
        <v>取值（总价）</v>
      </c>
      <c r="G33" s="134"/>
      <c r="H33" s="134"/>
      <c r="I33" s="134"/>
    </row>
    <row r="34" spans="1:15" ht="15">
      <c r="A34" s="1964"/>
      <c r="B34" s="1965" t="s">
        <v>1988</v>
      </c>
      <c r="C34" s="153">
        <f ca="1">IF(C33="自定义",F34,C32-C35)</f>
        <v>14453</v>
      </c>
      <c r="D34" s="969">
        <f ca="1">IF(C33="自定义",ROUND(C34/C32,3),IF(C33="收益比率",SUMIF(INDIRECT("'"&amp;D33&amp;"'"&amp;"!b:b"),"土地收益比率",INDIRECT("'"&amp;D33&amp;"'"&amp;"!c:c")),SUMIF(INDIRECT("'"&amp;D33&amp;"'"&amp;"!b:b"),"土地成本比率",INDIRECT("'"&amp;D33&amp;"'"&amp;"!c:c"))))</f>
        <v>0.255</v>
      </c>
      <c r="E34" s="1966" t="s">
        <v>1989</v>
      </c>
      <c r="F34" s="1496"/>
      <c r="G34" s="134"/>
      <c r="H34" s="134"/>
      <c r="I34" s="134"/>
    </row>
    <row r="35" spans="1:15" ht="15.75" thickBot="1">
      <c r="A35" s="1967"/>
      <c r="B35" s="1968" t="s">
        <v>1990</v>
      </c>
      <c r="C35" s="1330">
        <f ca="1">IF(C33="自定义",F35,ROUND(C32*D35,0))</f>
        <v>42225</v>
      </c>
      <c r="D35" s="1331">
        <f ca="1">IF(C33="自定义",ROUND(C35/C32,3),IF(C33="收益比率",SUMIF(INDIRECT("'"&amp;D33&amp;"'"&amp;"!b:b"),"建筑物收益比率",INDIRECT("'"&amp;D33&amp;"'"&amp;"!c:c")),SUMIF(INDIRECT("'"&amp;D33&amp;"'"&amp;"!b:b"),"建筑物成本比率",INDIRECT("'"&amp;D33&amp;"'"&amp;"!c:c"))))</f>
        <v>0.745</v>
      </c>
      <c r="E35" s="1969" t="s">
        <v>1991</v>
      </c>
      <c r="F35" s="159"/>
      <c r="G35" s="134"/>
      <c r="H35" s="134"/>
      <c r="I35" s="134"/>
    </row>
    <row r="36" spans="1:15" ht="15.75" thickBot="1">
      <c r="A36" s="3413" t="s">
        <v>1992</v>
      </c>
      <c r="B36" s="1970" t="s">
        <v>1993</v>
      </c>
      <c r="C36" s="150">
        <v>20000</v>
      </c>
      <c r="D36" s="1971" t="s">
        <v>3425</v>
      </c>
      <c r="E36" s="1972"/>
      <c r="F36" s="1973"/>
      <c r="G36" s="134"/>
      <c r="H36" s="134"/>
      <c r="I36" s="134"/>
    </row>
    <row r="37" spans="1:15" ht="15.75" thickBot="1">
      <c r="A37" s="3414"/>
      <c r="B37" s="1857" t="s">
        <v>1994</v>
      </c>
      <c r="C37" s="152"/>
      <c r="D37" s="1299"/>
      <c r="E37" s="1299"/>
      <c r="F37" s="1973"/>
      <c r="G37" s="134"/>
      <c r="H37" s="134"/>
      <c r="I37" s="134"/>
    </row>
    <row r="38" spans="1:15" ht="15.75" thickBot="1">
      <c r="A38" s="3415"/>
      <c r="B38" s="1974" t="s">
        <v>1995</v>
      </c>
      <c r="C38" s="682"/>
      <c r="D38" s="1975" t="s">
        <v>1996</v>
      </c>
      <c r="E38" s="1299"/>
      <c r="F38" s="1973"/>
      <c r="G38" s="134"/>
      <c r="H38" s="134"/>
      <c r="I38" s="134"/>
    </row>
    <row r="39" spans="1:15" ht="15">
      <c r="A39" s="1947" t="s">
        <v>1997</v>
      </c>
      <c r="B39" s="1976" t="s">
        <v>1998</v>
      </c>
      <c r="C39" s="1977" t="s">
        <v>1999</v>
      </c>
      <c r="D39" s="1977" t="s">
        <v>2000</v>
      </c>
      <c r="E39" s="1978" t="s">
        <v>2001</v>
      </c>
      <c r="F39" s="1973"/>
      <c r="G39" s="134"/>
      <c r="H39" s="134"/>
      <c r="I39" s="134"/>
    </row>
    <row r="40" spans="1:15" ht="14.25">
      <c r="A40" s="1979" t="s">
        <v>2002</v>
      </c>
      <c r="B40" s="154"/>
      <c r="C40" s="155"/>
      <c r="D40" s="155"/>
      <c r="E40" s="156"/>
      <c r="F40" s="1973"/>
      <c r="G40" s="134"/>
      <c r="H40" s="134"/>
      <c r="I40" s="134"/>
    </row>
    <row r="41" spans="1:15" ht="14.25">
      <c r="A41" s="1979" t="s">
        <v>2003</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2004</v>
      </c>
      <c r="B44" s="1984"/>
      <c r="C44" s="1984"/>
      <c r="D44" s="1985"/>
      <c r="E44" s="1985"/>
      <c r="F44" s="1986"/>
      <c r="G44" s="1986"/>
      <c r="H44" s="1986"/>
      <c r="I44" s="1986"/>
      <c r="J44" s="1987" t="s">
        <v>2005</v>
      </c>
      <c r="K44" s="1988"/>
      <c r="L44" s="1988"/>
      <c r="M44" s="1988"/>
      <c r="N44" s="1988"/>
      <c r="O44" s="1988"/>
    </row>
    <row r="45" spans="1:15" ht="14.25" customHeight="1" thickBot="1">
      <c r="A45" s="3390" t="s">
        <v>2006</v>
      </c>
      <c r="B45" s="3391"/>
      <c r="C45" s="3392"/>
      <c r="D45" s="160">
        <f ca="1">ROUND(H101*F45,0)</f>
        <v>56678</v>
      </c>
      <c r="E45" s="161" t="s">
        <v>2007</v>
      </c>
      <c r="F45" s="162">
        <v>1</v>
      </c>
      <c r="G45" s="163" t="s">
        <v>2008</v>
      </c>
      <c r="H45" s="134"/>
      <c r="I45" s="134"/>
      <c r="J45" s="3475" t="s">
        <v>2009</v>
      </c>
      <c r="K45" s="3475"/>
      <c r="L45" s="3475"/>
      <c r="M45" s="3475"/>
      <c r="N45" s="3475"/>
      <c r="O45" s="3475"/>
    </row>
    <row r="46" spans="1:15" ht="14.25" customHeight="1">
      <c r="A46" s="3387" t="s">
        <v>2010</v>
      </c>
      <c r="B46" s="3388"/>
      <c r="C46" s="3388"/>
      <c r="D46" s="3388"/>
      <c r="E46" s="3388"/>
      <c r="F46" s="3388"/>
      <c r="G46" s="3389"/>
      <c r="H46" s="1989"/>
      <c r="I46" s="164"/>
      <c r="J46" s="2743">
        <v>1</v>
      </c>
      <c r="K46" s="3456" t="s">
        <v>2011</v>
      </c>
      <c r="L46" s="3456"/>
      <c r="M46" s="3476"/>
      <c r="N46" s="3476"/>
      <c r="O46" s="3476"/>
    </row>
    <row r="47" spans="1:15" ht="12" customHeight="1">
      <c r="A47" s="165" t="s">
        <v>2012</v>
      </c>
      <c r="B47" s="166"/>
      <c r="C47" s="167"/>
      <c r="D47" s="1245" t="s">
        <v>2013</v>
      </c>
      <c r="E47" s="308" t="s">
        <v>2014</v>
      </c>
      <c r="F47" s="168" t="s">
        <v>2015</v>
      </c>
      <c r="G47" s="2766" t="s">
        <v>2016</v>
      </c>
      <c r="H47" s="2767"/>
      <c r="I47" s="164"/>
      <c r="J47" s="2743">
        <v>2</v>
      </c>
      <c r="K47" s="3456" t="s">
        <v>2017</v>
      </c>
      <c r="L47" s="3456"/>
      <c r="M47" s="3477">
        <f>'数据-取费表'!B2</f>
        <v>44541</v>
      </c>
      <c r="N47" s="3477"/>
      <c r="O47" s="3477"/>
    </row>
    <row r="48" spans="1:15" ht="25.5">
      <c r="A48" s="3418" t="s">
        <v>2018</v>
      </c>
      <c r="B48" s="3401"/>
      <c r="C48" s="3401"/>
      <c r="D48" s="2544">
        <f ca="1">IF(H48="情况1",0,IF(H48="情况2",D52,IF(H48="情况3",D53,IF(H48="情况4",D54))))</f>
        <v>3023</v>
      </c>
      <c r="E48" s="2554" t="str">
        <f>IF(H48="情况4","(销售额-原购置价)×税（费）率","销售额×税（费）率")</f>
        <v>销售额×税（费）率</v>
      </c>
      <c r="F48" s="2768">
        <f>IF(H48="情况1","免征",'数据-取费表'!B41)</f>
        <v>5.6000000000000001E-2</v>
      </c>
      <c r="G48" s="2769" t="s">
        <v>2019</v>
      </c>
      <c r="H48" s="2770" t="s">
        <v>3337</v>
      </c>
      <c r="I48" s="1989"/>
      <c r="J48" s="2743">
        <v>3</v>
      </c>
      <c r="K48" s="3456" t="s">
        <v>2020</v>
      </c>
      <c r="L48" s="3456"/>
      <c r="M48" s="3478">
        <f ca="1">H101</f>
        <v>56678</v>
      </c>
      <c r="N48" s="3478"/>
      <c r="O48" s="3478"/>
    </row>
    <row r="49" spans="1:35" ht="25.5" customHeight="1">
      <c r="A49" s="2553" t="s">
        <v>2021</v>
      </c>
      <c r="B49" s="3385" t="s">
        <v>2022</v>
      </c>
      <c r="C49" s="3385"/>
      <c r="D49" s="1772">
        <v>0</v>
      </c>
      <c r="E49" s="330" t="s">
        <v>2023</v>
      </c>
      <c r="F49" s="2644" t="s">
        <v>34</v>
      </c>
      <c r="G49" s="3462"/>
      <c r="H49" s="2525" t="s">
        <v>2869</v>
      </c>
      <c r="I49" s="2526"/>
      <c r="J49" s="2743">
        <v>4</v>
      </c>
      <c r="K49" s="3456" t="str">
        <f>IF(项目基本情况!E8="房地产抵押价值","房地产抵押价值","抵押担保权已注销时的房地产抵押价值")</f>
        <v>房地产抵押价值</v>
      </c>
      <c r="L49" s="3456"/>
      <c r="M49" s="3478">
        <f ca="1">IF(项目基本情况!E8="房地产抵押价值",H107,H109)</f>
        <v>36678</v>
      </c>
      <c r="N49" s="3478"/>
      <c r="O49" s="3478"/>
    </row>
    <row r="50" spans="1:35" ht="25.5" customHeight="1">
      <c r="A50" s="2771"/>
      <c r="B50" s="3385" t="s">
        <v>2024</v>
      </c>
      <c r="C50" s="3385"/>
      <c r="D50" s="2772"/>
      <c r="E50" s="338"/>
      <c r="F50" s="2644"/>
      <c r="G50" s="3463"/>
      <c r="H50" s="2527" t="s">
        <v>2870</v>
      </c>
      <c r="I50" s="2526"/>
      <c r="J50" s="3475" t="s">
        <v>2025</v>
      </c>
      <c r="K50" s="3475"/>
      <c r="L50" s="3475"/>
      <c r="M50" s="3475"/>
      <c r="N50" s="3475"/>
      <c r="O50" s="3475"/>
    </row>
    <row r="51" spans="1:35" ht="20.45" customHeight="1">
      <c r="A51" s="2773"/>
      <c r="B51" s="3385" t="s">
        <v>2026</v>
      </c>
      <c r="C51" s="3385"/>
      <c r="D51" s="1245"/>
      <c r="E51" s="333"/>
      <c r="F51" s="2644"/>
      <c r="G51" s="3464"/>
      <c r="H51" s="2527" t="s">
        <v>2871</v>
      </c>
      <c r="I51" s="2526"/>
      <c r="J51" s="2744" t="s">
        <v>2027</v>
      </c>
      <c r="K51" s="3456" t="s">
        <v>2028</v>
      </c>
      <c r="L51" s="3456"/>
      <c r="M51" s="2744" t="s">
        <v>2029</v>
      </c>
      <c r="N51" s="2744" t="s">
        <v>2030</v>
      </c>
      <c r="O51" s="2744" t="s">
        <v>2031</v>
      </c>
    </row>
    <row r="52" spans="1:35" ht="24" customHeight="1">
      <c r="A52" s="2555" t="s">
        <v>2032</v>
      </c>
      <c r="B52" s="3385" t="s">
        <v>2033</v>
      </c>
      <c r="C52" s="3385"/>
      <c r="D52" s="1245">
        <f ca="1">ROUND(D45*'数据-取费表'!B41/(1+'数据-取费表'!C42),0)</f>
        <v>3023</v>
      </c>
      <c r="E52" s="2554" t="s">
        <v>2034</v>
      </c>
      <c r="F52" s="2774">
        <f>'数据-取费表'!B41</f>
        <v>5.6000000000000001E-2</v>
      </c>
      <c r="G52" s="2775"/>
      <c r="H52" s="2764"/>
      <c r="I52" s="1990"/>
      <c r="J52" s="2743">
        <v>1</v>
      </c>
      <c r="K52" s="3457" t="s">
        <v>2035</v>
      </c>
      <c r="L52" s="3457"/>
      <c r="M52" s="2745">
        <f ca="1">D48</f>
        <v>3023</v>
      </c>
      <c r="N52" s="2743" t="str">
        <f>E48</f>
        <v>销售额×税（费）率</v>
      </c>
      <c r="O52" s="2746">
        <f>F48</f>
        <v>5.6000000000000001E-2</v>
      </c>
    </row>
    <row r="53" spans="1:35" ht="12" customHeight="1">
      <c r="A53" s="2555" t="s">
        <v>2036</v>
      </c>
      <c r="B53" s="3411" t="s">
        <v>3028</v>
      </c>
      <c r="C53" s="3412"/>
      <c r="D53" s="1245">
        <f ca="1">ROUND(D45*'数据-取费表'!B41/(1+'数据-取费表'!C42),0)</f>
        <v>3023</v>
      </c>
      <c r="E53" s="2554" t="s">
        <v>2034</v>
      </c>
      <c r="F53" s="2774">
        <f>'数据-取费表'!B41</f>
        <v>5.6000000000000001E-2</v>
      </c>
      <c r="G53" s="2775"/>
      <c r="H53" s="2764"/>
      <c r="I53" s="1990"/>
      <c r="J53" s="2743">
        <v>2</v>
      </c>
      <c r="K53" s="3457" t="s">
        <v>2037</v>
      </c>
      <c r="L53" s="3457"/>
      <c r="M53" s="2745">
        <f t="shared" ref="M53:O54" ca="1" si="0">D55</f>
        <v>28</v>
      </c>
      <c r="N53" s="2743" t="str">
        <f t="shared" si="0"/>
        <v>销售额×税（费）率</v>
      </c>
      <c r="O53" s="2746">
        <f t="shared" si="0"/>
        <v>5.0000000000000001E-4</v>
      </c>
    </row>
    <row r="54" spans="1:35" ht="12" customHeight="1">
      <c r="A54" s="2555" t="s">
        <v>2038</v>
      </c>
      <c r="B54" s="3411" t="s">
        <v>3029</v>
      </c>
      <c r="C54" s="3412"/>
      <c r="D54" s="1245">
        <f ca="1">C68</f>
        <v>3023</v>
      </c>
      <c r="E54" s="333" t="s">
        <v>2039</v>
      </c>
      <c r="F54" s="2774">
        <f>'数据-取费表'!B41</f>
        <v>5.6000000000000001E-2</v>
      </c>
      <c r="G54" s="2775"/>
      <c r="H54" s="2776"/>
      <c r="I54" s="1990"/>
      <c r="J54" s="2743">
        <v>3</v>
      </c>
      <c r="K54" s="3457" t="s">
        <v>2040</v>
      </c>
      <c r="L54" s="3457"/>
      <c r="M54" s="2745">
        <f t="shared" ca="1" si="0"/>
        <v>0</v>
      </c>
      <c r="N54" s="2743" t="str">
        <f t="shared" si="0"/>
        <v>增值额×税（费）率</v>
      </c>
      <c r="O54" s="2747" t="str">
        <f t="shared" si="0"/>
        <v>——</v>
      </c>
    </row>
    <row r="55" spans="1:35" ht="24" customHeight="1">
      <c r="A55" s="3400" t="s">
        <v>2041</v>
      </c>
      <c r="B55" s="3401"/>
      <c r="C55" s="3401"/>
      <c r="D55" s="2544">
        <f ca="1">IF(H55="个人住宅",0,ROUND(D45*I55,0))</f>
        <v>28</v>
      </c>
      <c r="E55" s="2554" t="s">
        <v>2042</v>
      </c>
      <c r="F55" s="2774">
        <f>IF(H55="正常",I55,"免征")</f>
        <v>5.0000000000000001E-4</v>
      </c>
      <c r="G55" s="2775"/>
      <c r="H55" s="2770" t="s">
        <v>3338</v>
      </c>
      <c r="I55" s="170">
        <f>'数据-取费表'!B49</f>
        <v>5.0000000000000001E-4</v>
      </c>
      <c r="J55" s="2743" t="str">
        <f>IF(H59="非个人房产","",4)</f>
        <v/>
      </c>
      <c r="K55" s="3457" t="str">
        <f>IF(H59="非个人房产","——","个人所得税")</f>
        <v>——</v>
      </c>
      <c r="L55" s="3457"/>
      <c r="M55" s="2748" t="str">
        <f>D59</f>
        <v>——</v>
      </c>
      <c r="N55" s="2225" t="str">
        <f>E59</f>
        <v>——</v>
      </c>
      <c r="O55" s="2749" t="str">
        <f>F59</f>
        <v>——</v>
      </c>
    </row>
    <row r="56" spans="1:35" ht="24.75">
      <c r="A56" s="3400" t="s">
        <v>2043</v>
      </c>
      <c r="B56" s="3401"/>
      <c r="C56" s="3401"/>
      <c r="D56" s="2544">
        <f ca="1">IF(H56="个人住宅",D57,D58)</f>
        <v>0</v>
      </c>
      <c r="E56" s="2554" t="s">
        <v>2044</v>
      </c>
      <c r="F56" s="2774" t="str">
        <f>IF(H56="正常",F58,"免征")</f>
        <v>——</v>
      </c>
      <c r="G56" s="2777" t="s">
        <v>2045</v>
      </c>
      <c r="H56" s="2778" t="s">
        <v>3338</v>
      </c>
      <c r="I56" s="1991"/>
      <c r="J56" s="2743" t="str">
        <f>IF(项目基本情况!K6="上海银行",IF(J55="",4,J55+1),"")</f>
        <v/>
      </c>
      <c r="K56" s="3480" t="str">
        <f>IF(项目基本情况!K6="上海银行","其他处置费用","")</f>
        <v/>
      </c>
      <c r="L56" s="3481"/>
      <c r="M56" s="2745" t="str">
        <f>IF(项目基本情况!K6="上海银行",M69,"")</f>
        <v/>
      </c>
      <c r="N56" s="3480" t="str">
        <f>IF(项目基本情况!K6="上海银行","包含处置中涉及的律师、诉讼、拍卖、评估等费用","")</f>
        <v/>
      </c>
      <c r="O56" s="3483"/>
    </row>
    <row r="57" spans="1:35" ht="12.75">
      <c r="A57" s="2555" t="s">
        <v>2021</v>
      </c>
      <c r="B57" s="3411" t="s">
        <v>2046</v>
      </c>
      <c r="C57" s="3412"/>
      <c r="D57" s="1772">
        <v>0</v>
      </c>
      <c r="E57" s="330" t="s">
        <v>2023</v>
      </c>
      <c r="F57" s="308"/>
      <c r="G57" s="2775"/>
      <c r="H57" s="2779"/>
      <c r="I57" s="1991"/>
      <c r="J57" s="3457">
        <f>IF(AND(J55="",J56=""),4,IF(项目基本情况!K6="上海银行",结果表!J56+1,结果表!J55+1))</f>
        <v>4</v>
      </c>
      <c r="K57" s="3457" t="s">
        <v>2047</v>
      </c>
      <c r="L57" s="2750" t="s">
        <v>2048</v>
      </c>
      <c r="M57" s="2751"/>
      <c r="N57" s="2752">
        <f ca="1">SUMIF(M52:M56,"&lt;9e307")</f>
        <v>3051</v>
      </c>
      <c r="O57" s="2753"/>
      <c r="P57" s="2913">
        <f ca="1">N57/M49</f>
        <v>8.3183379682643541E-2</v>
      </c>
    </row>
    <row r="58" spans="1:35" ht="24.75">
      <c r="A58" s="2555" t="s">
        <v>2032</v>
      </c>
      <c r="B58" s="3411" t="s">
        <v>2049</v>
      </c>
      <c r="C58" s="3385"/>
      <c r="D58" s="2544">
        <f ca="1">IF(H58="转让取得",C81,C97)</f>
        <v>0</v>
      </c>
      <c r="E58" s="2554" t="s">
        <v>2044</v>
      </c>
      <c r="F58" s="308" t="s">
        <v>34</v>
      </c>
      <c r="G58" s="2775"/>
      <c r="H58" s="2778" t="s">
        <v>3339</v>
      </c>
      <c r="I58" s="1991"/>
      <c r="J58" s="3457"/>
      <c r="K58" s="3457"/>
      <c r="L58" s="2750" t="s">
        <v>2050</v>
      </c>
      <c r="M58" s="2754"/>
      <c r="N58" s="2755" t="str">
        <f ca="1">NUMBERSTRING(INT(N57*10000),2)&amp;"元整"</f>
        <v>叁仟零伍拾壹万元整</v>
      </c>
      <c r="O58" s="2756"/>
    </row>
    <row r="59" spans="1:35" ht="24.75" thickBot="1">
      <c r="A59" s="3460" t="s">
        <v>2051</v>
      </c>
      <c r="B59" s="3461"/>
      <c r="C59" s="3461"/>
      <c r="D59" s="2780" t="str">
        <f>IF(H59="非个人房产","——",IF(H59="个人住宅（满五唯一有凭证）",0,IF(H59="个人其他（无凭证）",ROUND(D45*F59,0),ROUND(C67*F59,0))))</f>
        <v>——</v>
      </c>
      <c r="E59" s="2781" t="str">
        <f>IF(H59="非个人房产","——",IF(H59="个人其他（无凭证）","销售额×税（费）率",IF(H59="个人住宅（满五唯一有凭证）","免征","差额计税")))</f>
        <v>——</v>
      </c>
      <c r="F59" s="2782" t="str">
        <f>IF(OR(H59="非个人房产",H59="个人住宅（满五唯一有凭证）"),"——",IF(H59="个人其他（有凭证）",20%,1%))</f>
        <v>——</v>
      </c>
      <c r="G59" s="2783" t="s">
        <v>2045</v>
      </c>
      <c r="H59" s="2529" t="s">
        <v>3340</v>
      </c>
      <c r="I59" s="2528" t="s">
        <v>2872</v>
      </c>
      <c r="J59" s="3458">
        <f>J57+1</f>
        <v>5</v>
      </c>
      <c r="K59" s="3457" t="s">
        <v>2052</v>
      </c>
      <c r="L59" s="2743" t="s">
        <v>2048</v>
      </c>
      <c r="M59" s="2757"/>
      <c r="N59" s="2758">
        <f ca="1">M49-N57</f>
        <v>33627</v>
      </c>
      <c r="O59" s="2759"/>
    </row>
    <row r="60" spans="1:35" ht="12" customHeight="1">
      <c r="A60" s="1992"/>
      <c r="B60" s="1930"/>
      <c r="C60" s="1930"/>
      <c r="D60" s="1930"/>
      <c r="E60" s="1760"/>
      <c r="F60" s="1991"/>
      <c r="G60" s="1991"/>
      <c r="H60" s="1993"/>
      <c r="I60" s="134"/>
      <c r="J60" s="3459"/>
      <c r="K60" s="3457"/>
      <c r="L60" s="2750" t="s">
        <v>2050</v>
      </c>
      <c r="M60" s="2754"/>
      <c r="N60" s="2755" t="str">
        <f ca="1">NUMBERSTRING(INT(N59*10000),2)&amp;"元整"</f>
        <v>叁亿叁仟陆佰贰拾柒万元整</v>
      </c>
      <c r="O60" s="2756"/>
    </row>
    <row r="61" spans="1:35" ht="13.5" thickBot="1">
      <c r="A61" s="3398" t="s">
        <v>2053</v>
      </c>
      <c r="B61" s="3398"/>
      <c r="C61" s="3398"/>
      <c r="D61" s="3398"/>
      <c r="E61" s="3398"/>
      <c r="F61" s="1991"/>
      <c r="G61" s="1991"/>
      <c r="H61" s="1993"/>
      <c r="I61" s="134"/>
      <c r="J61" s="2743">
        <f>J59+1</f>
        <v>6</v>
      </c>
      <c r="K61" s="3457" t="s">
        <v>2054</v>
      </c>
      <c r="L61" s="3457"/>
      <c r="M61" s="2760"/>
      <c r="N61" s="2761">
        <f ca="1">ROUND(N59*10000/'数据-汇总表'!E3,0)</f>
        <v>5054</v>
      </c>
      <c r="O61" s="2762"/>
    </row>
    <row r="62" spans="1:35" ht="12.75">
      <c r="A62" s="3416" t="s">
        <v>2055</v>
      </c>
      <c r="B62" s="3417"/>
      <c r="C62" s="2206"/>
      <c r="D62" s="2206" t="s">
        <v>2056</v>
      </c>
      <c r="E62" s="171" t="s">
        <v>2057</v>
      </c>
      <c r="F62" s="1991"/>
      <c r="G62" s="1991"/>
      <c r="H62" s="1993"/>
      <c r="I62" s="134"/>
    </row>
    <row r="63" spans="1:35" ht="12.75">
      <c r="A63" s="178" t="s">
        <v>775</v>
      </c>
      <c r="B63" s="172" t="s">
        <v>2058</v>
      </c>
      <c r="C63" s="2784">
        <f ca="1">ROUND((C64+C65)/(1+'数据-取费表'!C42),0)</f>
        <v>53979</v>
      </c>
      <c r="D63" s="172"/>
      <c r="E63" s="173"/>
      <c r="F63" s="1991"/>
      <c r="G63" s="1991"/>
      <c r="H63" s="1993"/>
      <c r="I63" s="134"/>
      <c r="J63" s="3482" t="s">
        <v>2059</v>
      </c>
      <c r="K63" s="1499" t="s">
        <v>2060</v>
      </c>
      <c r="L63" s="1499">
        <f ca="1">IF(M49&gt;10000,M49*0.5%,IF(AND(M49&gt;1000,M49&lt;=10000),M49*1%,IF(AND(M49&gt;100,M49&lt;=1000),M49*3%,IF(AND(M49&gt;10,M49&lt;=100),M49*5%,M49*8%))))</f>
        <v>183.39000000000001</v>
      </c>
      <c r="M63" s="308">
        <f ca="1">ROUND(L63,1)</f>
        <v>183.4</v>
      </c>
      <c r="N63" s="2763"/>
      <c r="Z63" s="1935"/>
      <c r="AI63" s="1936"/>
    </row>
    <row r="64" spans="1:35" ht="14.25" customHeight="1">
      <c r="A64" s="174" t="s">
        <v>770</v>
      </c>
      <c r="B64" s="175" t="s">
        <v>2061</v>
      </c>
      <c r="C64" s="2785">
        <f ca="1">D45</f>
        <v>56678</v>
      </c>
      <c r="D64" s="175" t="s">
        <v>32</v>
      </c>
      <c r="E64" s="177"/>
      <c r="F64" s="1991"/>
      <c r="G64" s="1991"/>
      <c r="H64" s="1993"/>
      <c r="I64" s="134"/>
      <c r="J64" s="3482"/>
      <c r="K64" s="1499" t="s">
        <v>2062</v>
      </c>
      <c r="L64" s="1499">
        <f ca="1">IF(M49&gt;2000,M49*0.5%,IF(AND(M49&gt;1000,M49&lt;=2000),M49*0.6%,IF(AND(M49&gt;500,M49&lt;=1000),M49*0.7%,IF(AND(M49&gt;200,M49&lt;=500),M49*0.8%,IF(AND(M49&gt;100,M49&lt;=200),M49*0.9%,IF(AND(M49&gt;50,M49&lt;=100),M49*1%,IF(AND(M49&gt;20,M49&lt;=50),M49*1.5%,IF(AND(M49&gt;10,M49&lt;=20),M49*2%,IF(AND(M49&gt;1,M49&lt;=10),M49*2.5%)))))))))</f>
        <v>183.39000000000001</v>
      </c>
      <c r="M64" s="308">
        <f ca="1">ROUND(L64,1)</f>
        <v>183.4</v>
      </c>
      <c r="N64" s="2764" t="s">
        <v>2063</v>
      </c>
      <c r="Z64" s="1935"/>
      <c r="AI64" s="1936"/>
    </row>
    <row r="65" spans="1:35" ht="14.25" customHeight="1">
      <c r="A65" s="174" t="s">
        <v>771</v>
      </c>
      <c r="B65" s="175" t="s">
        <v>2064</v>
      </c>
      <c r="C65" s="2786"/>
      <c r="D65" s="175"/>
      <c r="E65" s="177"/>
      <c r="F65" s="1991"/>
      <c r="G65" s="1991"/>
      <c r="H65" s="1993"/>
      <c r="I65" s="134"/>
      <c r="J65" s="3482"/>
      <c r="K65" s="1499" t="s">
        <v>2065</v>
      </c>
      <c r="L65" s="1499">
        <f ca="1">IF(M49&gt;1000,M49*0.1%,IF(AND(M49&gt;500,M49&lt;=1000),M49*0.5%,IF(AND(M49&gt;50,M49&lt;=500),M49*1%,IF(AND(M49&gt;1,M49&lt;=50),M49*1.5%))))</f>
        <v>36.677999999999997</v>
      </c>
      <c r="M65" s="308">
        <f ca="1">ROUND(L65,1)</f>
        <v>36.700000000000003</v>
      </c>
      <c r="N65" s="2764" t="s">
        <v>2063</v>
      </c>
      <c r="Z65" s="1935"/>
      <c r="AI65" s="1936"/>
    </row>
    <row r="66" spans="1:35" ht="14.25" customHeight="1">
      <c r="A66" s="178" t="s">
        <v>772</v>
      </c>
      <c r="B66" s="179" t="s">
        <v>2066</v>
      </c>
      <c r="C66" s="2787"/>
      <c r="D66" s="179" t="s">
        <v>32</v>
      </c>
      <c r="E66" s="1506" t="s">
        <v>1331</v>
      </c>
      <c r="F66" s="1991"/>
      <c r="G66" s="1991"/>
      <c r="H66" s="1993"/>
      <c r="I66" s="134"/>
      <c r="J66" s="3482"/>
      <c r="K66" s="1499" t="s">
        <v>2067</v>
      </c>
      <c r="L66" s="1499">
        <f ca="1">M49*0.5%</f>
        <v>183.39000000000001</v>
      </c>
      <c r="M66" s="308">
        <f ca="1">IF(L66&gt;0.5,0.5,ROUND(L66,0))</f>
        <v>0.5</v>
      </c>
      <c r="N66" s="2764" t="s">
        <v>2068</v>
      </c>
      <c r="Z66" s="1935"/>
      <c r="AI66" s="1936"/>
    </row>
    <row r="67" spans="1:35" ht="14.25" customHeight="1">
      <c r="A67" s="178" t="s">
        <v>773</v>
      </c>
      <c r="B67" s="179" t="s">
        <v>2069</v>
      </c>
      <c r="C67" s="2788">
        <f ca="1">C63-C66</f>
        <v>53979</v>
      </c>
      <c r="D67" s="175" t="s">
        <v>32</v>
      </c>
      <c r="E67" s="177"/>
      <c r="F67" s="1991"/>
      <c r="G67" s="1991"/>
      <c r="H67" s="1993"/>
      <c r="I67" s="134"/>
      <c r="J67" s="3482"/>
      <c r="K67" s="1499" t="s">
        <v>2070</v>
      </c>
      <c r="L67" s="1499">
        <f ca="1">IF(M49&gt;=10000,(8.25+(M49-10000)*0.01%),IF(AND(M49&gt;=8000,M49&lt;10000),(7.85+(M49-8000)*0.02%),IF(AND(M49&gt;=5000,M49&lt;8000),(6.65+(M49-5000)*0.04%),IF(AND(M49&gt;=2000,M49&lt;5000),(4.25+(PM49-2000)*0.08%),IF(AND(M49&gt;=1000,M49&lt;2000),(2.75+(M49-1000)*0.15%),IF(AND(M49&gt;=100,M49&lt;1000),(0.5+(M49-100)*0.25%),IF(AND(M49&gt;0,M49&lt;100),M49*0.5%)))))))</f>
        <v>10.9178</v>
      </c>
      <c r="M67" s="308">
        <f ca="1">ROUND(L67*0.9,1)</f>
        <v>9.8000000000000007</v>
      </c>
      <c r="N67" s="2763"/>
      <c r="Z67" s="1935"/>
      <c r="AI67" s="1936"/>
    </row>
    <row r="68" spans="1:35" ht="14.25" customHeight="1" thickBot="1">
      <c r="A68" s="181" t="s">
        <v>774</v>
      </c>
      <c r="B68" s="182" t="s">
        <v>2071</v>
      </c>
      <c r="C68" s="2789">
        <f ca="1">IF(C67&lt;=0,0,ROUND(C67*D68,0))</f>
        <v>3023</v>
      </c>
      <c r="D68" s="2790">
        <f>'数据-取费表'!B41</f>
        <v>5.6000000000000001E-2</v>
      </c>
      <c r="E68" s="184"/>
      <c r="F68" s="1991"/>
      <c r="G68" s="1991"/>
      <c r="H68" s="1993"/>
      <c r="I68" s="134"/>
      <c r="J68" s="3482"/>
      <c r="K68" s="1499" t="s">
        <v>2072</v>
      </c>
      <c r="L68" s="1499">
        <f ca="1">IF(M49&gt;10000,M49*0.5%,IF(AND(M49&gt;5000,M49&lt;=10000),M49*1%,IF(AND(M49&gt;1000,M49&lt;=5000),M49*2%,IF(AND(M49&gt;200,M49&lt;=1000),M49*3%,M49*5%))))</f>
        <v>183.39000000000001</v>
      </c>
      <c r="M68" s="308">
        <f ca="1">ROUND(L68,1)</f>
        <v>183.4</v>
      </c>
      <c r="N68" s="2763"/>
      <c r="Z68" s="1935"/>
      <c r="AI68" s="1936"/>
    </row>
    <row r="69" spans="1:35" s="1955" customFormat="1" ht="16.5" customHeight="1">
      <c r="A69" s="1994"/>
      <c r="B69" s="1995"/>
      <c r="C69" s="1996"/>
      <c r="D69" s="1997"/>
      <c r="E69" s="1998"/>
      <c r="F69" s="1760"/>
      <c r="G69" s="1760"/>
      <c r="H69" s="1759"/>
      <c r="I69" s="1930"/>
      <c r="J69" s="3482"/>
      <c r="K69" s="1499" t="s">
        <v>2073</v>
      </c>
      <c r="L69" s="1499"/>
      <c r="M69" s="308">
        <f ca="1">ROUND(SUM(M63:M68),0)</f>
        <v>597</v>
      </c>
      <c r="N69" s="2765">
        <f ca="1">M69/M49</f>
        <v>1.6276787174873221E-2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440" t="s">
        <v>2074</v>
      </c>
      <c r="B70" s="3441"/>
      <c r="C70" s="3441"/>
      <c r="D70" s="3441"/>
      <c r="E70" s="3441"/>
      <c r="F70" s="3441"/>
      <c r="G70" s="3441"/>
      <c r="H70" s="3441"/>
      <c r="I70" s="1999"/>
      <c r="J70" s="2914"/>
      <c r="K70" s="2914"/>
      <c r="L70" s="2914"/>
      <c r="M70" s="2914"/>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416" t="s">
        <v>2055</v>
      </c>
      <c r="B71" s="3417"/>
      <c r="C71" s="2206"/>
      <c r="D71" s="2206" t="s">
        <v>2056</v>
      </c>
      <c r="E71" s="185" t="s">
        <v>2057</v>
      </c>
      <c r="F71" s="186"/>
      <c r="G71" s="186"/>
      <c r="H71" s="187"/>
      <c r="I71" s="2003"/>
      <c r="J71" s="2914"/>
      <c r="K71" s="2914"/>
      <c r="L71" s="2914"/>
      <c r="M71" s="2914"/>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2075</v>
      </c>
      <c r="C72" s="2788">
        <f ca="1">ROUND(D45/(1+'数据-取费表'!C42),0)</f>
        <v>53979</v>
      </c>
      <c r="D72" s="175" t="s">
        <v>32</v>
      </c>
      <c r="E72" s="2551"/>
      <c r="F72" s="2550"/>
      <c r="G72" s="2550"/>
      <c r="H72" s="188"/>
      <c r="I72" s="2003"/>
      <c r="J72" s="2914"/>
      <c r="K72" s="2914"/>
      <c r="L72" s="2914"/>
      <c r="M72" s="2914"/>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2076</v>
      </c>
      <c r="C73" s="2788">
        <f ca="1">C74+C78</f>
        <v>324</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2077</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2078</v>
      </c>
      <c r="C75" s="2791"/>
      <c r="D75" s="175" t="s">
        <v>32</v>
      </c>
      <c r="E75" s="190" t="s">
        <v>2079</v>
      </c>
      <c r="F75" s="2792"/>
      <c r="G75" s="190" t="s">
        <v>2080</v>
      </c>
      <c r="H75" s="2793"/>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2081</v>
      </c>
      <c r="C76" s="175">
        <f>IF(F75="购房发票",ROUND(C75*H75*D76,0),0)</f>
        <v>0</v>
      </c>
      <c r="D76" s="2794">
        <v>0.05</v>
      </c>
      <c r="E76" s="3411" t="s">
        <v>2082</v>
      </c>
      <c r="F76" s="3385"/>
      <c r="G76" s="3385"/>
      <c r="H76" s="3439"/>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2083</v>
      </c>
      <c r="C77" s="175">
        <f>ROUND(IF(G77="个人住宅",0,IF(G77="2016年5月1日前购买",C75*D77,C75*D77/(1+'数据-取费表'!C42))),0)</f>
        <v>0</v>
      </c>
      <c r="D77" s="2795">
        <f>'数据-取费表'!B48+'数据-取费表'!B49</f>
        <v>3.0499999999999999E-2</v>
      </c>
      <c r="E77" s="2544" t="s">
        <v>2084</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2085</v>
      </c>
      <c r="C78" s="2796">
        <f ca="1">ROUND(D45*D78/(1+'数据-取费表'!C42),0)</f>
        <v>324</v>
      </c>
      <c r="D78" s="2797">
        <f>'数据-取费表'!B43</f>
        <v>6.000000000000001E-3</v>
      </c>
      <c r="E78" s="3395" t="s">
        <v>2086</v>
      </c>
      <c r="F78" s="3396"/>
      <c r="G78" s="3396"/>
      <c r="H78" s="3405"/>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2087</v>
      </c>
      <c r="C79" s="2788">
        <f ca="1">C72-C73</f>
        <v>53655</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2088</v>
      </c>
      <c r="C80" s="2798">
        <f ca="1">IF(C79&lt;=0,0,C79/C73)</f>
        <v>165.60185185185185</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2089</v>
      </c>
      <c r="C81" s="2799">
        <f ca="1">ROUND(IF(C79&lt;=0,0,IF(C80&gt;=200%,C79*60%-C73*35%,IF(C80&gt;=100%,C79*50%-C73*15%,IF(C80&gt;=50%,C79*40%-C73*5%,IF(C80&lt;50%,C79*30%,0))))),0)</f>
        <v>32080</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440" t="s">
        <v>2090</v>
      </c>
      <c r="B83" s="3441"/>
      <c r="C83" s="3441"/>
      <c r="D83" s="3441"/>
      <c r="E83" s="3441"/>
      <c r="F83" s="3441"/>
      <c r="G83" s="3441"/>
      <c r="H83" s="3441"/>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416" t="s">
        <v>2055</v>
      </c>
      <c r="B84" s="3417"/>
      <c r="C84" s="2206"/>
      <c r="D84" s="2206" t="s">
        <v>2056</v>
      </c>
      <c r="E84" s="185" t="s">
        <v>2057</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2075</v>
      </c>
      <c r="C85" s="2788">
        <f ca="1">ROUND(D45/(1+'数据-取费表'!C42),0)</f>
        <v>53979</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2076</v>
      </c>
      <c r="C86" s="2788">
        <f ca="1">IF(H88="仅含出让金",C87+C90+C91+C92+C93+C94,C87+C91+C92+C93+C94)</f>
        <v>114850.48237547232</v>
      </c>
      <c r="D86" s="2801"/>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2091</v>
      </c>
      <c r="C87" s="2796">
        <f>C88+C89</f>
        <v>4828.1412118968237</v>
      </c>
      <c r="D87" s="2797"/>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2092</v>
      </c>
      <c r="C88" s="2802">
        <f>75340160/'数据-基础表'!A15*'数据-基础表'!A3/10000</f>
        <v>4685.1412118968237</v>
      </c>
      <c r="D88" s="2797"/>
      <c r="E88" s="199" t="s">
        <v>2093</v>
      </c>
      <c r="F88" s="2547"/>
      <c r="G88" s="200" t="s">
        <v>2094</v>
      </c>
      <c r="H88" s="2007" t="s">
        <v>3341</v>
      </c>
      <c r="I88" s="2004"/>
      <c r="J88" s="2741" t="s">
        <v>3025</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2083</v>
      </c>
      <c r="C89" s="2796">
        <f>ROUND(C88*D89,0)</f>
        <v>143</v>
      </c>
      <c r="D89" s="2797">
        <f>'数据-取费表'!B48+'数据-取费表'!B49</f>
        <v>3.0499999999999999E-2</v>
      </c>
      <c r="E89" s="199" t="s">
        <v>2095</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2096</v>
      </c>
      <c r="C90" s="2802"/>
      <c r="D90" s="2797"/>
      <c r="E90" s="199" t="str">
        <f>IF(H88="-","土地取得成本中已包含该笔费用"," ")</f>
        <v xml:space="preserve"> </v>
      </c>
      <c r="F90" s="2547"/>
      <c r="G90" s="3484" t="s">
        <v>2864</v>
      </c>
      <c r="H90" s="3485"/>
      <c r="I90" s="2004"/>
      <c r="J90" s="2741" t="s">
        <v>3026</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2097</v>
      </c>
      <c r="B91" s="175" t="s">
        <v>2098</v>
      </c>
      <c r="C91" s="2796">
        <f>IF(H91="——",成本法!C33,I91)</f>
        <v>83269.341163575489</v>
      </c>
      <c r="D91" s="2797"/>
      <c r="E91" s="3395" t="s">
        <v>2099</v>
      </c>
      <c r="F91" s="3396"/>
      <c r="G91" s="3396"/>
      <c r="H91" s="2008" t="s">
        <v>3426</v>
      </c>
      <c r="I91" s="2009">
        <f>(346632227.099197+486061184.536558)/10000</f>
        <v>83269.341163575489</v>
      </c>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2100</v>
      </c>
      <c r="B92" s="175" t="s">
        <v>2101</v>
      </c>
      <c r="C92" s="2796">
        <f>ROUND((C87+C90+C91)*D92,0)</f>
        <v>8810</v>
      </c>
      <c r="D92" s="2803">
        <v>0.1</v>
      </c>
      <c r="E92" s="3395" t="s">
        <v>2102</v>
      </c>
      <c r="F92" s="3396"/>
      <c r="G92" s="3396"/>
      <c r="H92" s="3405"/>
      <c r="I92" s="2004"/>
      <c r="J92" s="2742" t="s">
        <v>3027</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2103</v>
      </c>
      <c r="B93" s="175" t="s">
        <v>2085</v>
      </c>
      <c r="C93" s="2796">
        <f ca="1">ROUND(D45*D93/(1+'数据-取费表'!C42),0)</f>
        <v>324</v>
      </c>
      <c r="D93" s="2797">
        <f>'数据-取费表'!B43</f>
        <v>6.000000000000001E-3</v>
      </c>
      <c r="E93" s="3395" t="s">
        <v>2086</v>
      </c>
      <c r="F93" s="3396"/>
      <c r="G93" s="3396"/>
      <c r="H93" s="3405"/>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2104</v>
      </c>
      <c r="B94" s="175" t="s">
        <v>2105</v>
      </c>
      <c r="C94" s="2802">
        <f>ROUND((C87+C90+C91)*D94,0)</f>
        <v>17619</v>
      </c>
      <c r="D94" s="2797">
        <v>0.2</v>
      </c>
      <c r="E94" s="3406" t="s">
        <v>2106</v>
      </c>
      <c r="F94" s="3407"/>
      <c r="G94" s="3407"/>
      <c r="H94" s="3408"/>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2087</v>
      </c>
      <c r="C95" s="2788">
        <f ca="1">ROUND(C85-C86,0)</f>
        <v>-60871</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2088</v>
      </c>
      <c r="C96" s="2798">
        <f ca="1">IF(C95&lt;=0,0,C95/C86)</f>
        <v>0</v>
      </c>
      <c r="D96" s="175" t="s">
        <v>32</v>
      </c>
      <c r="E96" s="2544" t="str">
        <f ca="1">IF(C96&gt;=200%,"增值额超过扣除项目金额200%",IF(C96&gt;=100%,"增值额超过扣除项目金额100%，未超过200%",IF(C96&gt;=50%,"增值额超过扣除项目金额50%，未超过100%",IF(C96&lt;50%,"增值额未超过扣除项目金额50%"))))</f>
        <v>增值额未超过扣除项目金额50%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2089</v>
      </c>
      <c r="C97" s="2799">
        <f ca="1">ROUND(IF(C95&lt;=0,0,IF(C96&gt;=200%,C95*60%-C86*35%,IF(C96&gt;=100%,C95*50%-C86*15%,IF(C96&gt;=50%,C95*40%-C86*5%,IF(C96&lt;50%,C95*30%,0))))),0)</f>
        <v>0</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2107</v>
      </c>
      <c r="B99" s="1930"/>
      <c r="C99" s="1930"/>
      <c r="D99" s="1930"/>
      <c r="E99" s="1760"/>
      <c r="F99" s="1760"/>
      <c r="G99" s="1760"/>
      <c r="H99" s="1759"/>
      <c r="I99" s="134"/>
    </row>
    <row r="100" spans="1:35" ht="18.75" customHeight="1">
      <c r="A100" s="3379" t="s">
        <v>2108</v>
      </c>
      <c r="B100" s="3380"/>
      <c r="C100" s="3380"/>
      <c r="D100" s="3397"/>
      <c r="E100" s="3380" t="s">
        <v>2109</v>
      </c>
      <c r="F100" s="3380"/>
      <c r="G100" s="3380"/>
      <c r="H100" s="3397"/>
      <c r="I100" s="134"/>
    </row>
    <row r="101" spans="1:35" ht="18.75" customHeight="1">
      <c r="A101" s="3465" t="s">
        <v>2110</v>
      </c>
      <c r="B101" s="3466"/>
      <c r="C101" s="2805" t="str">
        <f>C4</f>
        <v>成本法</v>
      </c>
      <c r="D101" s="2806" t="str">
        <f>D4</f>
        <v>收益法（汇总）</v>
      </c>
      <c r="E101" s="3479" t="s">
        <v>2111</v>
      </c>
      <c r="F101" s="3432"/>
      <c r="G101" s="2010" t="s">
        <v>2112</v>
      </c>
      <c r="H101" s="2815">
        <f ca="1">H118</f>
        <v>56678</v>
      </c>
      <c r="I101" s="134"/>
    </row>
    <row r="102" spans="1:35" ht="18.75" customHeight="1">
      <c r="A102" s="3434" t="s">
        <v>2113</v>
      </c>
      <c r="B102" s="2804" t="s">
        <v>2112</v>
      </c>
      <c r="C102" s="2805">
        <f ca="1">C19</f>
        <v>75130</v>
      </c>
      <c r="D102" s="2806">
        <f ca="1">D19</f>
        <v>48770</v>
      </c>
      <c r="E102" s="3479"/>
      <c r="F102" s="3432"/>
      <c r="G102" s="2010" t="s">
        <v>2114</v>
      </c>
      <c r="H102" s="2775">
        <f ca="1">I118</f>
        <v>8518</v>
      </c>
      <c r="I102" s="134"/>
    </row>
    <row r="103" spans="1:35" ht="42.75" customHeight="1">
      <c r="A103" s="3434"/>
      <c r="B103" s="2804" t="s">
        <v>2114</v>
      </c>
      <c r="C103" s="2807">
        <f ca="1">C20</f>
        <v>11291</v>
      </c>
      <c r="D103" s="2808">
        <f ca="1">D20</f>
        <v>7329</v>
      </c>
      <c r="E103" s="3473" t="s">
        <v>2115</v>
      </c>
      <c r="F103" s="3474"/>
      <c r="G103" s="2011" t="s">
        <v>2116</v>
      </c>
      <c r="H103" s="2815">
        <f>IF(D36="正常操作",H104+H105+H106,H105+H106)</f>
        <v>20000</v>
      </c>
      <c r="I103" s="134"/>
    </row>
    <row r="104" spans="1:35" ht="18.75" customHeight="1">
      <c r="A104" s="3434" t="s">
        <v>2117</v>
      </c>
      <c r="B104" s="2809" t="s">
        <v>2112</v>
      </c>
      <c r="C104" s="2810">
        <f ca="1">H118</f>
        <v>56678</v>
      </c>
      <c r="D104" s="2811"/>
      <c r="E104" s="1857" t="s">
        <v>2118</v>
      </c>
      <c r="F104" s="1848"/>
      <c r="G104" s="2011" t="s">
        <v>2116</v>
      </c>
      <c r="H104" s="2816">
        <f>IF(D36="同一抵押权人同一抵押物续贷",C36&amp;"（续贷，未扣减，详见特别提示）",C36)</f>
        <v>20000</v>
      </c>
      <c r="I104" s="134"/>
    </row>
    <row r="105" spans="1:35" ht="18.75" customHeight="1" thickBot="1">
      <c r="A105" s="3435"/>
      <c r="B105" s="2812" t="s">
        <v>2114</v>
      </c>
      <c r="C105" s="2813">
        <f ca="1">I118</f>
        <v>8518</v>
      </c>
      <c r="D105" s="2814"/>
      <c r="E105" s="1857" t="s">
        <v>2119</v>
      </c>
      <c r="F105" s="1848"/>
      <c r="G105" s="2011" t="s">
        <v>2116</v>
      </c>
      <c r="H105" s="2817">
        <f>C37</f>
        <v>0</v>
      </c>
      <c r="I105" s="134"/>
    </row>
    <row r="106" spans="1:35" ht="18.75" customHeight="1">
      <c r="A106" s="1930" t="s">
        <v>2120</v>
      </c>
      <c r="B106" s="1930"/>
      <c r="C106" s="1930"/>
      <c r="D106" s="1930"/>
      <c r="E106" s="2012" t="s">
        <v>2121</v>
      </c>
      <c r="F106" s="1848"/>
      <c r="G106" s="2011" t="s">
        <v>2116</v>
      </c>
      <c r="H106" s="2817">
        <f>C38</f>
        <v>0</v>
      </c>
      <c r="I106" s="134"/>
    </row>
    <row r="107" spans="1:35" ht="18.75" customHeight="1">
      <c r="A107" s="134"/>
      <c r="B107" s="134"/>
      <c r="C107" s="134"/>
      <c r="D107" s="134"/>
      <c r="E107" s="3431" t="str">
        <f>IF(项目基本情况!E8="已注销","——","3.房地产抵押价值")</f>
        <v>3.房地产抵押价值</v>
      </c>
      <c r="F107" s="3432"/>
      <c r="G107" s="2010" t="s">
        <v>2112</v>
      </c>
      <c r="H107" s="2815">
        <f ca="1">IF(E107="——","——",H101-H103)</f>
        <v>36678</v>
      </c>
      <c r="I107" s="134"/>
    </row>
    <row r="108" spans="1:35" ht="18.75" customHeight="1">
      <c r="A108" s="134"/>
      <c r="B108" s="134"/>
      <c r="C108" s="134"/>
      <c r="D108" s="134"/>
      <c r="E108" s="3431"/>
      <c r="F108" s="3432"/>
      <c r="G108" s="2010" t="s">
        <v>2114</v>
      </c>
      <c r="H108" s="2775">
        <f ca="1">ROUND(H107*10000/'数据-汇总表'!E3,0)</f>
        <v>5512</v>
      </c>
      <c r="I108" s="134"/>
    </row>
    <row r="109" spans="1:35" ht="18.75" customHeight="1">
      <c r="A109" s="134"/>
      <c r="B109" s="134"/>
      <c r="C109" s="134"/>
      <c r="D109" s="134"/>
      <c r="E109" s="3431" t="str">
        <f>IF(项目基本情况!E8="已注销及未注销","4.抵押担保权已注销时的房地产抵押价值",IF(项目基本情况!E8="已注销","3.抵押担保权已注销时的房地产抵押价值","——"))</f>
        <v>——</v>
      </c>
      <c r="F109" s="3432"/>
      <c r="G109" s="2010" t="s">
        <v>2112</v>
      </c>
      <c r="H109" s="2818" t="str">
        <f>IF(E109="——","——",H101-H105-H106)</f>
        <v>——</v>
      </c>
      <c r="I109" s="134"/>
    </row>
    <row r="110" spans="1:35" ht="18.75" customHeight="1">
      <c r="A110" s="134"/>
      <c r="B110" s="134"/>
      <c r="C110" s="134"/>
      <c r="D110" s="134"/>
      <c r="E110" s="3431"/>
      <c r="F110" s="3432"/>
      <c r="G110" s="2010" t="s">
        <v>2114</v>
      </c>
      <c r="H110" s="2775" t="str">
        <f>IF(H109="——","——",ROUND(H109*10000/'数据-汇总表'!E3,0))</f>
        <v>——</v>
      </c>
      <c r="I110" s="134"/>
    </row>
    <row r="111" spans="1:35" ht="18.75" customHeight="1">
      <c r="A111" s="134"/>
      <c r="B111" s="134"/>
      <c r="C111" s="134"/>
      <c r="D111" s="134"/>
      <c r="E111" s="3467" t="str">
        <f>IF(项目基本情况!E9="抵押净值",IF(OR(项目基本情况!E8="已注销",项目基本情况!E8="房地产抵押价值"),"4.抵押净值","5.抵押净值"),"——")</f>
        <v>——</v>
      </c>
      <c r="F111" s="3433"/>
      <c r="G111" s="2010" t="s">
        <v>2112</v>
      </c>
      <c r="H111" s="2815" t="str">
        <f>IF(E111="——","——",N59)</f>
        <v>——</v>
      </c>
      <c r="I111" s="134"/>
    </row>
    <row r="112" spans="1:35" ht="18.75" customHeight="1" thickBot="1">
      <c r="A112" s="134"/>
      <c r="B112" s="134"/>
      <c r="C112" s="134"/>
      <c r="D112" s="134"/>
      <c r="E112" s="3468"/>
      <c r="F112" s="3469"/>
      <c r="G112" s="2013" t="s">
        <v>2114</v>
      </c>
      <c r="H112" s="2819" t="str">
        <f>IF(E111="——","——",N61)</f>
        <v>——</v>
      </c>
      <c r="I112" s="134"/>
    </row>
    <row r="113" spans="1:27" ht="18.75" customHeight="1">
      <c r="A113" s="134"/>
      <c r="B113" s="134"/>
      <c r="C113" s="134"/>
      <c r="D113" s="134"/>
      <c r="E113" s="3436" t="s">
        <v>2120</v>
      </c>
      <c r="F113" s="3436"/>
      <c r="G113" s="3436"/>
      <c r="H113" s="3436"/>
      <c r="I113" s="134"/>
    </row>
    <row r="114" spans="1:27" ht="3.75" customHeight="1">
      <c r="A114" s="1930"/>
      <c r="B114" s="1930"/>
      <c r="C114" s="1930"/>
      <c r="D114" s="1930"/>
      <c r="E114" s="1992"/>
      <c r="F114" s="1992"/>
      <c r="G114" s="1992"/>
      <c r="H114" s="1992"/>
      <c r="I114" s="1930"/>
    </row>
    <row r="115" spans="1:27" ht="18.75" customHeight="1">
      <c r="A115" s="3449" t="s">
        <v>2122</v>
      </c>
      <c r="B115" s="3450"/>
      <c r="C115" s="3450"/>
      <c r="D115" s="3450"/>
      <c r="E115" s="3450"/>
      <c r="F115" s="3450"/>
      <c r="G115" s="3450"/>
      <c r="H115" s="3450"/>
      <c r="I115" s="3451"/>
    </row>
    <row r="116" spans="1:27" ht="27" customHeight="1">
      <c r="A116" s="3399" t="s">
        <v>2123</v>
      </c>
      <c r="B116" s="3437" t="s">
        <v>2124</v>
      </c>
      <c r="C116" s="3437" t="s">
        <v>2125</v>
      </c>
      <c r="D116" s="3454" t="s">
        <v>2126</v>
      </c>
      <c r="E116" s="3455"/>
      <c r="F116" s="3445" t="s">
        <v>2127</v>
      </c>
      <c r="G116" s="3445"/>
      <c r="H116" s="3399" t="s">
        <v>2128</v>
      </c>
      <c r="I116" s="3399"/>
    </row>
    <row r="117" spans="1:27" ht="18.75" customHeight="1">
      <c r="A117" s="3399"/>
      <c r="B117" s="3438"/>
      <c r="C117" s="3438"/>
      <c r="D117" s="2549" t="s">
        <v>2129</v>
      </c>
      <c r="E117" s="2549" t="s">
        <v>2130</v>
      </c>
      <c r="F117" s="2549" t="s">
        <v>2129</v>
      </c>
      <c r="G117" s="2549" t="s">
        <v>2131</v>
      </c>
      <c r="H117" s="2549" t="s">
        <v>2129</v>
      </c>
      <c r="I117" s="2549" t="s">
        <v>2131</v>
      </c>
    </row>
    <row r="118" spans="1:27" ht="24.75" customHeight="1">
      <c r="A118" s="2820" t="str">
        <f>项目基本情况!S2</f>
        <v>青海省西宁市城中区麟河路31号商业服务、物业用房房地产</v>
      </c>
      <c r="B118" s="2549">
        <f>M18</f>
        <v>66539.560000000012</v>
      </c>
      <c r="C118" s="2549">
        <f>M19</f>
        <v>62220.89</v>
      </c>
      <c r="D118" s="2549">
        <f ca="1">ROUND(IF(D32="总价",C34,E118*B118/10000),0)</f>
        <v>14453</v>
      </c>
      <c r="E118" s="2549">
        <f ca="1">ROUND(IF(C33="自定义",IF(D32="楼面单价",C34,D118*10000/B118),I118-G118),0)</f>
        <v>2172</v>
      </c>
      <c r="F118" s="2549">
        <f ca="1">ROUND(IF(D32="总价",C35,G118*B118/10000),0)</f>
        <v>42225</v>
      </c>
      <c r="G118" s="2549">
        <f ca="1">ROUND(IF(D32="楼面单价",C35,F118*10000/B118),0)</f>
        <v>6346</v>
      </c>
      <c r="H118" s="2549">
        <f ca="1">ROUND(IF(D32="总价",C32,I118*B118/10000),0)</f>
        <v>56678</v>
      </c>
      <c r="I118" s="2549">
        <f ca="1">ROUND(IF(D32="楼面单价",C32,H118*10000/B118),0)</f>
        <v>8518</v>
      </c>
    </row>
    <row r="119" spans="1:27" ht="18.75" customHeight="1">
      <c r="A119" s="3399" t="s">
        <v>2132</v>
      </c>
      <c r="B119" s="3399"/>
      <c r="C119" s="3399"/>
      <c r="D119" s="3442" t="str">
        <f ca="1">NUMBERSTRING(INT(D118*10000),2)&amp;"元整"</f>
        <v>壹亿肆仟肆佰伍拾叁万元整</v>
      </c>
      <c r="E119" s="3444"/>
      <c r="F119" s="3442" t="str">
        <f ca="1">NUMBERSTRING(INT(F118*10000),2)&amp;"元整"</f>
        <v>肆亿贰仟贰佰贰拾伍万元整</v>
      </c>
      <c r="G119" s="3444"/>
      <c r="H119" s="3442" t="str">
        <f ca="1">NUMBERSTRING(INT(H118*10000),2)&amp;"元整"</f>
        <v>伍亿陆仟陆佰柒拾捌万元整</v>
      </c>
      <c r="I119" s="3444"/>
    </row>
    <row r="120" spans="1:27" ht="18.75" customHeight="1">
      <c r="A120" s="3470" t="str">
        <f>IF(项目基本情况!B9="房地产市场价值","",MID(E103,3,LEN(E103)-2))</f>
        <v>估价师知悉的法定优先受偿款</v>
      </c>
      <c r="B120" s="3471"/>
      <c r="C120" s="3472"/>
      <c r="D120" s="3470">
        <f>H103</f>
        <v>20000</v>
      </c>
      <c r="E120" s="3471"/>
      <c r="F120" s="3471"/>
      <c r="G120" s="3471"/>
      <c r="H120" s="3471"/>
      <c r="I120" s="3472"/>
      <c r="J120" s="1935"/>
      <c r="K120" s="1935" t="str">
        <f>IF(D120=0,"故，本次评估不存在"&amp;A120,"故，本次评估"&amp;A120&amp;"为人民币"&amp;D120&amp;"万元整。")</f>
        <v>故，本次评估估价师知悉的法定优先受偿款为人民币20000万元整。</v>
      </c>
      <c r="L120" s="1935"/>
      <c r="M120" s="1935"/>
      <c r="N120" s="1935"/>
      <c r="O120" s="1935"/>
      <c r="P120" s="1935"/>
      <c r="Q120" s="1935"/>
      <c r="R120" s="1935"/>
      <c r="S120" s="1935"/>
    </row>
    <row r="121" spans="1:27" ht="18.75" customHeight="1">
      <c r="A121" s="3446" t="s">
        <v>2132</v>
      </c>
      <c r="B121" s="3447"/>
      <c r="C121" s="3448"/>
      <c r="D121" s="3442" t="str">
        <f>IF(D120=0,"零元整",NUMBERSTRING(INT(D120*10000),2)&amp;"元整")</f>
        <v>贰亿元整</v>
      </c>
      <c r="E121" s="3443"/>
      <c r="F121" s="3443"/>
      <c r="G121" s="3443"/>
      <c r="H121" s="3443"/>
      <c r="I121" s="3444"/>
      <c r="AA121" s="733"/>
    </row>
    <row r="122" spans="1:27" ht="18.75" customHeight="1">
      <c r="A122" s="3433" t="str">
        <f>IF(项目基本情况!B9="房地产市场价值","",MID(E107,3,LEN(E107)-2))</f>
        <v>房地产抵押价值</v>
      </c>
      <c r="B122" s="3433"/>
      <c r="C122" s="3433"/>
      <c r="D122" s="3470">
        <f ca="1">H107</f>
        <v>36678</v>
      </c>
      <c r="E122" s="3471"/>
      <c r="F122" s="3471"/>
      <c r="G122" s="3471"/>
      <c r="H122" s="3471"/>
      <c r="I122" s="3472"/>
      <c r="AA122" s="733"/>
    </row>
    <row r="123" spans="1:27" ht="18.75" customHeight="1">
      <c r="A123" s="3399" t="s">
        <v>2132</v>
      </c>
      <c r="B123" s="3399"/>
      <c r="C123" s="3399"/>
      <c r="D123" s="3442" t="str">
        <f ca="1">NUMBERSTRING(INT(D122*10000),2)&amp;"元整"</f>
        <v>叁亿陆仟陆佰柒拾捌万元整</v>
      </c>
      <c r="E123" s="3443"/>
      <c r="F123" s="3443"/>
      <c r="G123" s="3443"/>
      <c r="H123" s="3443"/>
      <c r="I123" s="3444"/>
      <c r="AA123" s="733"/>
    </row>
    <row r="124" spans="1:27" ht="18.75" customHeight="1">
      <c r="A124" s="3433" t="str">
        <f>IF(项目基本情况!B9="房地产市场价值","",MID(E109,3,LEN(E109)-2))</f>
        <v/>
      </c>
      <c r="B124" s="3433"/>
      <c r="C124" s="3433"/>
      <c r="D124" s="3470" t="str">
        <f>H109</f>
        <v>——</v>
      </c>
      <c r="E124" s="3471"/>
      <c r="F124" s="3471"/>
      <c r="G124" s="3471"/>
      <c r="H124" s="3471"/>
      <c r="I124" s="3472"/>
      <c r="AA124" s="733"/>
    </row>
    <row r="125" spans="1:27" ht="18.75" customHeight="1">
      <c r="A125" s="3399" t="s">
        <v>2132</v>
      </c>
      <c r="B125" s="3399"/>
      <c r="C125" s="3399"/>
      <c r="D125" s="3442" t="e">
        <f>NUMBERSTRING(INT(D124*10000),2)&amp;"元整"</f>
        <v>#VALUE!</v>
      </c>
      <c r="E125" s="3443"/>
      <c r="F125" s="3443"/>
      <c r="G125" s="3443"/>
      <c r="H125" s="3443"/>
      <c r="I125" s="3444"/>
      <c r="AA125" s="733"/>
    </row>
    <row r="126" spans="1:27" ht="18.75" customHeight="1">
      <c r="A126" s="3433" t="str">
        <f>IF(项目基本情况!B9="房地产市场价值","",MID(E111,3,LEN(E111)-2))</f>
        <v/>
      </c>
      <c r="B126" s="3433"/>
      <c r="C126" s="3433"/>
      <c r="D126" s="3470" t="str">
        <f>H111</f>
        <v>——</v>
      </c>
      <c r="E126" s="3471"/>
      <c r="F126" s="3471"/>
      <c r="G126" s="3471"/>
      <c r="H126" s="3471"/>
      <c r="I126" s="3472"/>
      <c r="AA126" s="733"/>
    </row>
    <row r="127" spans="1:27" ht="18.75" customHeight="1">
      <c r="A127" s="3399" t="s">
        <v>2132</v>
      </c>
      <c r="B127" s="3399"/>
      <c r="C127" s="3399"/>
      <c r="D127" s="3442" t="e">
        <f>NUMBERSTRING(INT(D126*10000),2)&amp;"元整"</f>
        <v>#VALUE!</v>
      </c>
      <c r="E127" s="3443"/>
      <c r="F127" s="3443"/>
      <c r="G127" s="3443"/>
      <c r="H127" s="3443"/>
      <c r="I127" s="3444"/>
      <c r="AA127" s="733"/>
    </row>
    <row r="128" spans="1:27" ht="21.75" customHeight="1">
      <c r="A128" s="3453" t="s">
        <v>2133</v>
      </c>
      <c r="B128" s="3453"/>
      <c r="C128" s="3453"/>
      <c r="D128" s="3453"/>
      <c r="E128" s="3453"/>
      <c r="F128" s="3453"/>
      <c r="G128" s="3453"/>
      <c r="H128" s="3453"/>
      <c r="I128" s="3453"/>
      <c r="AA128" s="733"/>
    </row>
    <row r="129" spans="1:35" ht="21.75" customHeight="1">
      <c r="A129" s="2014" t="s">
        <v>2134</v>
      </c>
      <c r="B129" s="2015"/>
      <c r="C129" s="2016" t="s">
        <v>2135</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2136</v>
      </c>
      <c r="G135" s="2031"/>
      <c r="H135" s="2031"/>
      <c r="I135" s="2032" t="s">
        <v>2137</v>
      </c>
    </row>
    <row r="136" spans="1:35" ht="21.75" customHeight="1">
      <c r="A136" s="733"/>
      <c r="B136" s="2033" t="s">
        <v>2138</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2139</v>
      </c>
    </row>
    <row r="139" spans="1:35" ht="21.75" customHeight="1">
      <c r="A139" s="733"/>
      <c r="B139" s="2033" t="s">
        <v>2140</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2139</v>
      </c>
    </row>
    <row r="142" spans="1:35" ht="21.75" customHeight="1">
      <c r="A142" s="733"/>
      <c r="B142" s="2033"/>
      <c r="C142" s="2034"/>
      <c r="D142" s="2035"/>
      <c r="E142" s="2035"/>
      <c r="F142" s="1924"/>
      <c r="G142" s="733"/>
      <c r="H142" s="733"/>
      <c r="I142" s="733"/>
    </row>
    <row r="143" spans="1:35" s="135"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1"/>
      <c r="C1" s="204"/>
      <c r="D1" s="204"/>
      <c r="E1" s="204"/>
      <c r="F1" s="204"/>
      <c r="G1" s="1286">
        <f>MATCH(B1,'数据-取费表'!A6:A16,0)+5</f>
        <v>8</v>
      </c>
    </row>
    <row r="2" spans="1:9" s="206" customFormat="1" ht="18" customHeight="1">
      <c r="A2" s="207" t="s">
        <v>2142</v>
      </c>
      <c r="B2" s="208">
        <f ca="1">IF(D2="——",C52,C52-E2)</f>
        <v>75130</v>
      </c>
      <c r="C2" s="205" t="s">
        <v>2143</v>
      </c>
      <c r="D2" s="2036" t="s">
        <v>70</v>
      </c>
      <c r="E2" s="1329" t="e">
        <f ca="1">SUMIF(INDIRECT("'"&amp;G2&amp;"'"&amp;"!A:A"),"承租人权益价值",INDIRECT("'"&amp;G2&amp;"'"&amp;"!c:c"))</f>
        <v>#REF!</v>
      </c>
      <c r="F2" s="2037" t="s">
        <v>2143</v>
      </c>
      <c r="G2" s="2038"/>
    </row>
    <row r="3" spans="1:9" s="206" customFormat="1" ht="18" customHeight="1" thickBot="1">
      <c r="A3" s="209" t="s">
        <v>2144</v>
      </c>
      <c r="B3" s="210">
        <f ca="1">ROUND(B2*10000/(IF(B1="",'数据-汇总表'!E3,INDIRECT("'数据-取费表'!k"&amp;$G$1))),0)</f>
        <v>11291</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C6+C7+C8</f>
        <v>14302</v>
      </c>
      <c r="D5" s="217" t="s">
        <v>2149</v>
      </c>
      <c r="E5" s="218" t="s">
        <v>2150</v>
      </c>
      <c r="F5" s="218" t="s">
        <v>2151</v>
      </c>
      <c r="G5" s="219"/>
    </row>
    <row r="6" spans="1:9" s="220" customFormat="1" ht="13.5" customHeight="1">
      <c r="A6" s="885" t="s">
        <v>2152</v>
      </c>
      <c r="B6" s="221" t="s">
        <v>2153</v>
      </c>
      <c r="C6" s="222">
        <f>'土地比较法-住宅、综合'!B2</f>
        <v>13879</v>
      </c>
      <c r="D6" s="223"/>
      <c r="E6" s="224"/>
      <c r="F6" s="224"/>
      <c r="G6" s="225"/>
    </row>
    <row r="7" spans="1:9" s="220" customFormat="1" ht="13.5" customHeight="1">
      <c r="A7" s="885" t="s">
        <v>2154</v>
      </c>
      <c r="B7" s="221" t="s">
        <v>2155</v>
      </c>
      <c r="C7" s="226">
        <f>ROUND(C6*F7,0)</f>
        <v>423</v>
      </c>
      <c r="D7" s="226"/>
      <c r="E7" s="224"/>
      <c r="F7" s="227">
        <f>IF(项目基本情况!B8="出让",0,'数据-取费表'!B48+'数据-取费表'!B49)</f>
        <v>3.0499999999999999E-2</v>
      </c>
      <c r="G7" s="225"/>
    </row>
    <row r="8" spans="1:9" s="229" customFormat="1">
      <c r="A8" s="885" t="s">
        <v>2156</v>
      </c>
      <c r="B8" s="221" t="s">
        <v>2157</v>
      </c>
      <c r="C8" s="226">
        <f>IF(G8="已包含在土地购买价格中","0",IF(B1="",'数据-取费表'!B29,IF(G9="全部缴纳",C9+C10,H9)))</f>
        <v>0</v>
      </c>
      <c r="D8" s="228"/>
      <c r="E8" s="226"/>
      <c r="F8" s="227"/>
      <c r="G8" s="2039" t="s">
        <v>3327</v>
      </c>
    </row>
    <row r="9" spans="1:9" s="220" customFormat="1" ht="13.5" customHeight="1">
      <c r="A9" s="886" t="s">
        <v>800</v>
      </c>
      <c r="B9" s="230" t="s">
        <v>2158</v>
      </c>
      <c r="C9" s="231">
        <f ca="1">ROUND(D9*E9/10000,0)</f>
        <v>0</v>
      </c>
      <c r="D9" s="953">
        <f ca="1">IF(B1="",'数据-汇总表'!E5,IF(INDIRECT("'数据-取费表'!c"&amp;$G$1)="住宅",INDIRECT("'数据-取费表'!k"&amp;$G$1),0))</f>
        <v>0</v>
      </c>
      <c r="E9" s="231">
        <f>'数据-取费表'!B27</f>
        <v>60</v>
      </c>
      <c r="F9" s="227"/>
      <c r="G9" s="2040"/>
      <c r="H9" s="1297"/>
      <c r="I9" s="2041" t="s">
        <v>2159</v>
      </c>
    </row>
    <row r="10" spans="1:9" s="220" customFormat="1" ht="13.5" customHeight="1">
      <c r="A10" s="886" t="s">
        <v>801</v>
      </c>
      <c r="B10" s="230" t="s">
        <v>2160</v>
      </c>
      <c r="C10" s="231">
        <f ca="1">ROUND(D10*E10/10000,0)</f>
        <v>399</v>
      </c>
      <c r="D10" s="953">
        <f ca="1">IF(B1="",'数据-汇总表'!E6,IF(INDIRECT("'数据-取费表'!c"&amp;$G$1)="住宅",INDIRECT("'数据-取费表'!s"&amp;$G$1),INDIRECT("'数据-取费表'!k"&amp;$G$1)+INDIRECT("'数据-取费表'!s"&amp;$G$1)))</f>
        <v>66539.560000000012</v>
      </c>
      <c r="E10" s="231">
        <f>'数据-取费表'!B28</f>
        <v>60</v>
      </c>
      <c r="F10" s="227"/>
      <c r="G10" s="232"/>
    </row>
    <row r="11" spans="1:9" s="220" customFormat="1" ht="13.5" hidden="1" customHeight="1">
      <c r="A11" s="233" t="s">
        <v>7</v>
      </c>
      <c r="B11" s="221" t="s">
        <v>2161</v>
      </c>
      <c r="C11" s="217"/>
      <c r="D11" s="955"/>
      <c r="E11" s="224"/>
      <c r="F11" s="224"/>
      <c r="G11" s="225"/>
    </row>
    <row r="12" spans="1:9" s="220" customFormat="1" ht="13.5" hidden="1" customHeight="1">
      <c r="A12" s="233" t="s">
        <v>8</v>
      </c>
      <c r="B12" s="221" t="s">
        <v>2162</v>
      </c>
      <c r="C12" s="217">
        <v>0</v>
      </c>
      <c r="D12" s="955"/>
      <c r="E12" s="234"/>
      <c r="F12" s="227">
        <v>3.0499999999999999E-2</v>
      </c>
      <c r="G12" s="225"/>
    </row>
    <row r="13" spans="1:9" s="220" customFormat="1" ht="13.5" hidden="1" customHeight="1">
      <c r="A13" s="233" t="s">
        <v>9</v>
      </c>
      <c r="B13" s="221" t="s">
        <v>2163</v>
      </c>
      <c r="C13" s="217"/>
      <c r="D13" s="955"/>
      <c r="E13" s="224"/>
      <c r="F13" s="224"/>
      <c r="G13" s="225"/>
    </row>
    <row r="14" spans="1:9" s="220" customFormat="1" ht="13.5" hidden="1" customHeight="1">
      <c r="A14" s="233" t="s">
        <v>10</v>
      </c>
      <c r="B14" s="221" t="s">
        <v>2164</v>
      </c>
      <c r="C14" s="217"/>
      <c r="D14" s="955"/>
      <c r="E14" s="224"/>
      <c r="F14" s="224"/>
      <c r="G14" s="225" t="s">
        <v>2165</v>
      </c>
    </row>
    <row r="15" spans="1:9" s="220" customFormat="1" ht="13.5" hidden="1" customHeight="1">
      <c r="A15" s="233" t="s">
        <v>11</v>
      </c>
      <c r="B15" s="221" t="s">
        <v>2166</v>
      </c>
      <c r="C15" s="226"/>
      <c r="D15" s="955"/>
      <c r="E15" s="224"/>
      <c r="F15" s="224"/>
      <c r="G15" s="225" t="s">
        <v>2167</v>
      </c>
    </row>
    <row r="16" spans="1:9" s="220" customFormat="1" ht="13.5" hidden="1" customHeight="1">
      <c r="A16" s="233" t="s">
        <v>12</v>
      </c>
      <c r="B16" s="221" t="s">
        <v>2164</v>
      </c>
      <c r="C16" s="226"/>
      <c r="D16" s="955"/>
      <c r="E16" s="224"/>
      <c r="F16" s="224"/>
      <c r="G16" s="225"/>
    </row>
    <row r="17" spans="1:7" s="220" customFormat="1" ht="13.5" hidden="1" customHeight="1">
      <c r="A17" s="233" t="s">
        <v>13</v>
      </c>
      <c r="B17" s="221" t="s">
        <v>2168</v>
      </c>
      <c r="C17" s="235"/>
      <c r="D17" s="956"/>
      <c r="E17" s="235"/>
      <c r="F17" s="235"/>
      <c r="G17" s="225" t="s">
        <v>2167</v>
      </c>
    </row>
    <row r="18" spans="1:7" s="220" customFormat="1" ht="13.5" hidden="1" customHeight="1">
      <c r="A18" s="233" t="s">
        <v>14</v>
      </c>
      <c r="B18" s="221" t="s">
        <v>2169</v>
      </c>
      <c r="C18" s="226">
        <v>0</v>
      </c>
      <c r="D18" s="955"/>
      <c r="E18" s="224"/>
      <c r="F18" s="227">
        <v>3.0499999999999999E-2</v>
      </c>
      <c r="G18" s="225" t="s">
        <v>2170</v>
      </c>
    </row>
    <row r="19" spans="1:7" s="229" customFormat="1" ht="13.5" customHeight="1">
      <c r="A19" s="261" t="s">
        <v>2171</v>
      </c>
      <c r="B19" s="216" t="s">
        <v>2172</v>
      </c>
      <c r="C19" s="217" t="str">
        <f>IF(G19="已包含在土地取得成本中","0",ROUND(D19*E19/10000,0))</f>
        <v>0</v>
      </c>
      <c r="D19" s="957">
        <f ca="1">D9+D10</f>
        <v>66539.560000000012</v>
      </c>
      <c r="E19" s="217">
        <f>'数据-取费表'!B31</f>
        <v>200</v>
      </c>
      <c r="F19" s="237"/>
      <c r="G19" s="2039" t="s">
        <v>3328</v>
      </c>
    </row>
    <row r="20" spans="1:7" s="220" customFormat="1" ht="13.5" customHeight="1">
      <c r="A20" s="261" t="s">
        <v>2173</v>
      </c>
      <c r="B20" s="216" t="s">
        <v>2174</v>
      </c>
      <c r="C20" s="238">
        <f>ROUND((C5+C19)*F20,0)</f>
        <v>429</v>
      </c>
      <c r="D20" s="238"/>
      <c r="E20" s="238"/>
      <c r="F20" s="239">
        <f>'数据-取费表'!B37</f>
        <v>0.03</v>
      </c>
      <c r="G20" s="240" t="s">
        <v>2175</v>
      </c>
    </row>
    <row r="21" spans="1:7" s="220" customFormat="1" ht="13.5" customHeight="1">
      <c r="A21" s="261" t="s">
        <v>2176</v>
      </c>
      <c r="B21" s="216" t="s">
        <v>2177</v>
      </c>
      <c r="C21" s="241">
        <f>F21</f>
        <v>1.4999999999999999E-2</v>
      </c>
      <c r="D21" s="242" t="s">
        <v>2178</v>
      </c>
      <c r="E21" s="238"/>
      <c r="F21" s="239">
        <f>'数据-取费表'!B38</f>
        <v>1.4999999999999999E-2</v>
      </c>
      <c r="G21" s="240" t="s">
        <v>2179</v>
      </c>
    </row>
    <row r="22" spans="1:7" s="220" customFormat="1" ht="13.5" customHeight="1">
      <c r="A22" s="261" t="s">
        <v>2180</v>
      </c>
      <c r="B22" s="216" t="s">
        <v>2181</v>
      </c>
      <c r="C22" s="1262">
        <f ca="1">ROUND(SUM(C23:C25),0)</f>
        <v>1290</v>
      </c>
      <c r="D22" s="241">
        <f ca="1">C26</f>
        <v>6.9999999999999999E-4</v>
      </c>
      <c r="E22" s="242" t="s">
        <v>2178</v>
      </c>
      <c r="F22" s="243">
        <f ca="1">'数据-取费表'!B40</f>
        <v>4.3499999999999997E-2</v>
      </c>
      <c r="G22" s="240" t="str">
        <f>IF('数据-取费表'!B22&lt;=1,"单利计息","复利计息")</f>
        <v>复利计息</v>
      </c>
    </row>
    <row r="23" spans="1:7" s="220" customFormat="1" ht="13.5" customHeight="1">
      <c r="A23" s="887" t="s">
        <v>2182</v>
      </c>
      <c r="B23" s="221" t="s">
        <v>2183</v>
      </c>
      <c r="C23" s="1263">
        <f ca="1">ROUND(IF('数据-取费表'!B22&lt;=1,C5*F22*'数据-取费表'!B23,C5*(POWER((1+F22),'数据-取费表'!B23)-1)),0)</f>
        <v>1271</v>
      </c>
      <c r="D23" s="244"/>
      <c r="E23" s="244"/>
      <c r="F23" s="245"/>
      <c r="G23" s="246" t="s">
        <v>2184</v>
      </c>
    </row>
    <row r="24" spans="1:7" s="220" customFormat="1" ht="13.5" customHeight="1">
      <c r="A24" s="887" t="s">
        <v>2185</v>
      </c>
      <c r="B24" s="221" t="s">
        <v>2186</v>
      </c>
      <c r="C24" s="1263">
        <f ca="1">ROUND(IF('数据-取费表'!B22&lt;=1,C19*F22*('数据-取费表'!B19/2+'数据-取费表'!B21),C19*(POWER((1+F22),('数据-取费表'!B19/2+'数据-取费表'!B21))-1)),0)</f>
        <v>0</v>
      </c>
      <c r="D24" s="244"/>
      <c r="E24" s="244"/>
      <c r="F24" s="245"/>
      <c r="G24" s="246" t="s">
        <v>2187</v>
      </c>
    </row>
    <row r="25" spans="1:7" s="220" customFormat="1" ht="24">
      <c r="A25" s="887" t="s">
        <v>2188</v>
      </c>
      <c r="B25" s="221" t="s">
        <v>2189</v>
      </c>
      <c r="C25" s="1263">
        <f ca="1">ROUND(IF('数据-取费表'!B22&lt;=1,C20*F22*'数据-取费表'!B23/2,C20*(POWER((1+F22),'数据-取费表'!B23/2)-1)),0)</f>
        <v>19</v>
      </c>
      <c r="D25" s="244"/>
      <c r="E25" s="247"/>
      <c r="F25" s="245"/>
      <c r="G25" s="248" t="s">
        <v>2190</v>
      </c>
    </row>
    <row r="26" spans="1:7" s="220" customFormat="1">
      <c r="A26" s="887" t="s">
        <v>795</v>
      </c>
      <c r="B26" s="221" t="s">
        <v>2191</v>
      </c>
      <c r="C26" s="244">
        <f ca="1">ROUND(IF('数据-取费表'!B22&lt;=1,F21*F22*'数据-取费表'!B23/2,F21*(POWER((1+F22),'数据-取费表'!B23/2)-1)),4)</f>
        <v>6.9999999999999999E-4</v>
      </c>
      <c r="D26" s="244"/>
      <c r="E26" s="247"/>
      <c r="F26" s="245"/>
      <c r="G26" s="249"/>
    </row>
    <row r="27" spans="1:7" s="220" customFormat="1" ht="24.75">
      <c r="A27" s="261" t="s">
        <v>2192</v>
      </c>
      <c r="B27" s="250" t="s">
        <v>2193</v>
      </c>
      <c r="C27" s="251">
        <f ca="1">C28</f>
        <v>1768</v>
      </c>
      <c r="D27" s="241">
        <f ca="1">C29</f>
        <v>1.8E-3</v>
      </c>
      <c r="E27" s="242" t="s">
        <v>2194</v>
      </c>
      <c r="F27" s="252">
        <f ca="1">IF(B1="",'数据-取费表'!Q16,INDIRECT("'数据-取费表'!q"&amp;$G$1))</f>
        <v>0.12</v>
      </c>
      <c r="G27" s="253" t="s">
        <v>2195</v>
      </c>
    </row>
    <row r="28" spans="1:7" s="220" customFormat="1" ht="13.5" customHeight="1">
      <c r="A28" s="887" t="s">
        <v>791</v>
      </c>
      <c r="B28" s="254" t="s">
        <v>2196</v>
      </c>
      <c r="C28" s="255">
        <f ca="1">ROUND((C5+C19+C20)*F27*'数据-取费表'!B21/'数据-取费表'!B20,0)</f>
        <v>1768</v>
      </c>
      <c r="D28" s="241"/>
      <c r="E28" s="242"/>
      <c r="F28" s="252"/>
      <c r="G28" s="253"/>
    </row>
    <row r="29" spans="1:7" s="220" customFormat="1" ht="13.5" customHeight="1">
      <c r="A29" s="887" t="s">
        <v>792</v>
      </c>
      <c r="B29" s="254" t="s">
        <v>2197</v>
      </c>
      <c r="C29" s="244">
        <f ca="1">ROUND(C21*F27*'数据-取费表'!B21/'数据-取费表'!B20,4)</f>
        <v>1.8E-3</v>
      </c>
      <c r="D29" s="241"/>
      <c r="E29" s="242"/>
      <c r="F29" s="252"/>
      <c r="G29" s="253"/>
    </row>
    <row r="30" spans="1:7" s="220" customFormat="1" ht="13.5" customHeight="1">
      <c r="A30" s="261" t="s">
        <v>2198</v>
      </c>
      <c r="B30" s="216" t="s">
        <v>2199</v>
      </c>
      <c r="C30" s="241">
        <f>ROUND(F30/(1+'数据-取费表'!C42),4)</f>
        <v>5.33E-2</v>
      </c>
      <c r="D30" s="242" t="s">
        <v>2194</v>
      </c>
      <c r="E30" s="247"/>
      <c r="F30" s="243">
        <f>'数据-取费表'!B41</f>
        <v>5.6000000000000001E-2</v>
      </c>
      <c r="G30" s="240" t="s">
        <v>2200</v>
      </c>
    </row>
    <row r="31" spans="1:7" ht="16.5" customHeight="1">
      <c r="A31" s="215">
        <v>1</v>
      </c>
      <c r="B31" s="216" t="s">
        <v>2201</v>
      </c>
      <c r="C31" s="217">
        <f ca="1">ROUND((C5+C19+C20+C22+C27)/(1-C21-D22-D27-C30),0)</f>
        <v>19144</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44798</v>
      </c>
      <c r="D33" s="238"/>
      <c r="E33" s="218"/>
      <c r="F33" s="247"/>
      <c r="G33" s="240"/>
    </row>
    <row r="34" spans="1:7" s="264" customFormat="1" ht="13.5" customHeight="1">
      <c r="A34" s="887" t="s">
        <v>791</v>
      </c>
      <c r="B34" s="221" t="s">
        <v>2205</v>
      </c>
      <c r="C34" s="226">
        <f ca="1">IF(B1="",IF(F34=100%,'数据-取费表'!M16,'数据-取费表'!O16),IF(F34=100%,INDIRECT("'数据-取费表'!m"&amp;$G$1)+INDIRECT("'数据-取费表'!t"&amp;$G$1),INDIRECT("'数据-取费表'!o"&amp;$G$1)+INDIRECT("'数据-取费表'!aq"&amp;$G$1)))</f>
        <v>39877</v>
      </c>
      <c r="D34" s="223"/>
      <c r="E34" s="226"/>
      <c r="F34" s="263">
        <f ca="1">IF('数据-取费表'!B24=0,1,IF(B1="",'数据-取费表'!N16,INDIRECT("'数据-取费表'!n"&amp;$G$1)))</f>
        <v>1</v>
      </c>
      <c r="G34" s="225" t="s">
        <v>2206</v>
      </c>
    </row>
    <row r="35" spans="1:7" ht="13.5" customHeight="1">
      <c r="A35" s="887" t="s">
        <v>796</v>
      </c>
      <c r="B35" s="221" t="s">
        <v>2207</v>
      </c>
      <c r="C35" s="226">
        <f ca="1">ROUND(C34*F35,0)</f>
        <v>1994</v>
      </c>
      <c r="D35" s="226"/>
      <c r="E35" s="226"/>
      <c r="F35" s="265">
        <f>'数据-取费表'!B33</f>
        <v>0.05</v>
      </c>
      <c r="G35" s="225" t="s">
        <v>2208</v>
      </c>
    </row>
    <row r="36" spans="1:7" ht="24">
      <c r="A36" s="887"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7" t="s">
        <v>798</v>
      </c>
      <c r="B37" s="221" t="s">
        <v>2211</v>
      </c>
      <c r="C37" s="255">
        <f ca="1">ROUND(E37*D37*F34/10000,0)</f>
        <v>2329</v>
      </c>
      <c r="D37" s="223">
        <f ca="1">D19</f>
        <v>66539.560000000012</v>
      </c>
      <c r="E37" s="255">
        <f>'数据-取费表'!B35</f>
        <v>350</v>
      </c>
      <c r="F37" s="265"/>
      <c r="G37" s="267" t="s">
        <v>2212</v>
      </c>
    </row>
    <row r="38" spans="1:7" ht="13.5" customHeight="1">
      <c r="A38" s="887" t="s">
        <v>799</v>
      </c>
      <c r="B38" s="221" t="s">
        <v>2213</v>
      </c>
      <c r="C38" s="226">
        <f ca="1">ROUND(C34*F38,0)</f>
        <v>598</v>
      </c>
      <c r="D38" s="226"/>
      <c r="E38" s="226"/>
      <c r="F38" s="265">
        <f>'数据-取费表'!B36</f>
        <v>1.4999999999999999E-2</v>
      </c>
      <c r="G38" s="225" t="s">
        <v>2208</v>
      </c>
    </row>
    <row r="39" spans="1:7" s="220" customFormat="1" ht="13.5" customHeight="1">
      <c r="A39" s="261" t="s">
        <v>2214</v>
      </c>
      <c r="B39" s="216" t="s">
        <v>2215</v>
      </c>
      <c r="C39" s="238">
        <f ca="1">ROUND(C33*F20,0)</f>
        <v>1344</v>
      </c>
      <c r="D39" s="238"/>
      <c r="E39" s="238"/>
      <c r="F39" s="2532">
        <f>F20</f>
        <v>0.03</v>
      </c>
      <c r="G39" s="240" t="s">
        <v>2216</v>
      </c>
    </row>
    <row r="40" spans="1:7" s="220" customFormat="1" ht="13.5" customHeight="1">
      <c r="A40" s="261" t="s">
        <v>2217</v>
      </c>
      <c r="B40" s="216" t="s">
        <v>2218</v>
      </c>
      <c r="C40" s="1493">
        <f>F21</f>
        <v>1.4999999999999999E-2</v>
      </c>
      <c r="D40" s="242" t="s">
        <v>2219</v>
      </c>
      <c r="E40" s="238"/>
      <c r="F40" s="2532">
        <f>F21</f>
        <v>1.4999999999999999E-2</v>
      </c>
      <c r="G40" s="240" t="s">
        <v>2220</v>
      </c>
    </row>
    <row r="41" spans="1:7" s="220" customFormat="1" ht="13.5" customHeight="1">
      <c r="A41" s="261" t="s">
        <v>2221</v>
      </c>
      <c r="B41" s="216" t="s">
        <v>2222</v>
      </c>
      <c r="C41" s="238">
        <f ca="1">ROUND(SUM(C42:C43),0)</f>
        <v>2007</v>
      </c>
      <c r="D41" s="241">
        <f ca="1">C44</f>
        <v>6.9999999999999999E-4</v>
      </c>
      <c r="E41" s="242" t="s">
        <v>2219</v>
      </c>
      <c r="F41" s="2533">
        <f ca="1">F22</f>
        <v>4.3499999999999997E-2</v>
      </c>
      <c r="G41" s="240" t="str">
        <f>IF('数据-取费表'!B22&lt;=1,"单利计息","复利计息")</f>
        <v>复利计息</v>
      </c>
    </row>
    <row r="42" spans="1:7" ht="13.5" customHeight="1">
      <c r="A42" s="887" t="s">
        <v>791</v>
      </c>
      <c r="B42" s="221" t="s">
        <v>2223</v>
      </c>
      <c r="C42" s="244">
        <f ca="1">ROUND(IF('数据-取费表'!B22&lt;=1,C33*F22*'数据-取费表'!B21/2,C33*(POWER((1+F22),'数据-取费表'!B21/2)-1)),0)</f>
        <v>1949</v>
      </c>
      <c r="D42" s="244"/>
      <c r="E42" s="244"/>
      <c r="F42" s="245"/>
      <c r="G42" s="3486" t="s">
        <v>2224</v>
      </c>
    </row>
    <row r="43" spans="1:7" ht="13.5" customHeight="1">
      <c r="A43" s="887" t="s">
        <v>792</v>
      </c>
      <c r="B43" s="221" t="s">
        <v>2225</v>
      </c>
      <c r="C43" s="244">
        <f ca="1">ROUND(IF('数据-取费表'!B22&lt;=1,C39*F22*'数据-取费表'!B21/2,C39*(POWER((1+F22),'数据-取费表'!B21/2)-1)),0)</f>
        <v>58</v>
      </c>
      <c r="D43" s="244"/>
      <c r="E43" s="244"/>
      <c r="F43" s="245"/>
      <c r="G43" s="3487"/>
    </row>
    <row r="44" spans="1:7" ht="13.5" customHeight="1">
      <c r="A44" s="887" t="s">
        <v>793</v>
      </c>
      <c r="B44" s="221" t="s">
        <v>2226</v>
      </c>
      <c r="C44" s="244">
        <f ca="1">ROUND(IF('数据-取费表'!B22&lt;=1,C40*F22*'数据-取费表'!B21/2,C40*(POWER((1+F22),'数据-取费表'!B21/2)-1)),4)</f>
        <v>6.9999999999999999E-4</v>
      </c>
      <c r="D44" s="244"/>
      <c r="E44" s="244"/>
      <c r="F44" s="245"/>
      <c r="G44" s="3488"/>
    </row>
    <row r="45" spans="1:7" s="220" customFormat="1" ht="13.5" customHeight="1">
      <c r="A45" s="261" t="s">
        <v>2227</v>
      </c>
      <c r="B45" s="250" t="s">
        <v>2193</v>
      </c>
      <c r="C45" s="251">
        <f ca="1">C46</f>
        <v>5537</v>
      </c>
      <c r="D45" s="241">
        <f ca="1">C47</f>
        <v>1.8E-3</v>
      </c>
      <c r="E45" s="242" t="s">
        <v>2219</v>
      </c>
      <c r="F45" s="2534">
        <f ca="1">F27</f>
        <v>0.12</v>
      </c>
      <c r="G45" s="253" t="s">
        <v>2228</v>
      </c>
    </row>
    <row r="46" spans="1:7" s="220" customFormat="1" ht="13.5" customHeight="1">
      <c r="A46" s="887" t="s">
        <v>791</v>
      </c>
      <c r="B46" s="254" t="s">
        <v>2229</v>
      </c>
      <c r="C46" s="255">
        <f ca="1">ROUND((C33+C39)*F27,0)</f>
        <v>5537</v>
      </c>
      <c r="D46" s="269"/>
      <c r="E46" s="242"/>
      <c r="F46" s="252"/>
      <c r="G46" s="253"/>
    </row>
    <row r="47" spans="1:7" s="220" customFormat="1" ht="13.5" customHeight="1">
      <c r="A47" s="887" t="s">
        <v>792</v>
      </c>
      <c r="B47" s="254" t="s">
        <v>2230</v>
      </c>
      <c r="C47" s="244">
        <f ca="1">ROUND(C40*F27,4)</f>
        <v>1.8E-3</v>
      </c>
      <c r="D47" s="269"/>
      <c r="E47" s="242"/>
      <c r="F47" s="252"/>
      <c r="G47" s="253"/>
    </row>
    <row r="48" spans="1:7" s="220" customFormat="1" ht="13.5" customHeight="1">
      <c r="A48" s="261" t="s">
        <v>2192</v>
      </c>
      <c r="B48" s="216" t="s">
        <v>2231</v>
      </c>
      <c r="C48" s="1493">
        <f>ROUND(F30/(1+'数据-取费表'!C42),4)</f>
        <v>5.33E-2</v>
      </c>
      <c r="D48" s="242" t="s">
        <v>2219</v>
      </c>
      <c r="E48" s="238"/>
      <c r="F48" s="2533">
        <f>F30</f>
        <v>5.6000000000000001E-2</v>
      </c>
      <c r="G48" s="240" t="s">
        <v>2232</v>
      </c>
    </row>
    <row r="49" spans="1:7" ht="16.5" customHeight="1">
      <c r="A49" s="261" t="s">
        <v>2198</v>
      </c>
      <c r="B49" s="216" t="s">
        <v>2233</v>
      </c>
      <c r="C49" s="238">
        <f ca="1">ROUND((C33+C39+C41+C45)/(1-C40-D41-D45-C48),0)</f>
        <v>57777</v>
      </c>
      <c r="D49" s="238"/>
      <c r="E49" s="238"/>
      <c r="F49" s="270"/>
      <c r="G49" s="240" t="s">
        <v>2234</v>
      </c>
    </row>
    <row r="50" spans="1:7" s="264" customFormat="1" ht="24">
      <c r="A50" s="261" t="s">
        <v>2235</v>
      </c>
      <c r="B50" s="216" t="s">
        <v>2236</v>
      </c>
      <c r="C50" s="238"/>
      <c r="D50" s="238"/>
      <c r="E50" s="238"/>
      <c r="F50" s="270">
        <f>IF('数据-取费表'!B24=0,'数据-取费表'!N16,1)</f>
        <v>0.96899999999999997</v>
      </c>
      <c r="G50" s="253" t="s">
        <v>2237</v>
      </c>
    </row>
    <row r="51" spans="1:7" ht="16.5" customHeight="1">
      <c r="A51" s="261" t="s">
        <v>2238</v>
      </c>
      <c r="B51" s="216" t="s">
        <v>2239</v>
      </c>
      <c r="C51" s="238">
        <f ca="1">ROUND(C49*F50,0)</f>
        <v>55986</v>
      </c>
      <c r="D51" s="238"/>
      <c r="E51" s="238"/>
      <c r="F51" s="270"/>
      <c r="G51" s="240" t="s">
        <v>2240</v>
      </c>
    </row>
    <row r="52" spans="1:7" s="214" customFormat="1" ht="16.5" thickBot="1">
      <c r="A52" s="271" t="s">
        <v>2241</v>
      </c>
      <c r="B52" s="272"/>
      <c r="C52" s="273">
        <f ca="1">C31+C51</f>
        <v>75130</v>
      </c>
      <c r="D52" s="272"/>
      <c r="E52" s="272"/>
      <c r="F52" s="272"/>
      <c r="G52" s="274"/>
    </row>
    <row r="55" spans="1:7" ht="15">
      <c r="B55" s="276" t="s">
        <v>2242</v>
      </c>
      <c r="C55" s="277"/>
    </row>
    <row r="56" spans="1:7">
      <c r="B56" s="279" t="s">
        <v>1472</v>
      </c>
      <c r="C56" s="281">
        <f ca="1">1-C57</f>
        <v>0.255</v>
      </c>
    </row>
    <row r="57" spans="1:7">
      <c r="B57" s="279" t="s">
        <v>1473</v>
      </c>
      <c r="C57" s="280">
        <f ca="1">ROUND(C51/C52,3)</f>
        <v>0.745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93" t="str">
        <f>项目基本情况!B1</f>
        <v>青海省西宁市城中区麟河路31号商业服务、物业用房房地产抵押价值预评估</v>
      </c>
      <c r="C37" s="3293"/>
      <c r="D37" s="3293"/>
      <c r="E37" s="3293"/>
      <c r="F37" s="3293"/>
      <c r="G37" s="3293"/>
      <c r="H37" s="3293"/>
      <c r="I37" s="3293"/>
    </row>
    <row r="38" spans="1:9">
      <c r="A38" s="952"/>
      <c r="B38" s="952"/>
    </row>
    <row r="39" spans="1:9">
      <c r="A39" s="950" t="s">
        <v>818</v>
      </c>
      <c r="B39" s="950" t="s">
        <v>820</v>
      </c>
    </row>
    <row r="40" spans="1:9">
      <c r="A40" s="950"/>
      <c r="B40" s="1656" t="str">
        <f>项目基本情况!B5</f>
        <v>五矿国际信托有限公司</v>
      </c>
    </row>
    <row r="41" spans="1:9">
      <c r="A41" s="950"/>
      <c r="B41" s="950"/>
    </row>
    <row r="42" spans="1:9">
      <c r="A42" s="950" t="s">
        <v>818</v>
      </c>
      <c r="B42" s="950" t="s">
        <v>821</v>
      </c>
    </row>
    <row r="43" spans="1:9">
      <c r="A43" s="950"/>
      <c r="B43" s="1656" t="s">
        <v>822</v>
      </c>
    </row>
    <row r="44" spans="1:9">
      <c r="A44" s="950"/>
      <c r="B44" s="950"/>
    </row>
    <row r="45" spans="1:9">
      <c r="A45" s="950" t="s">
        <v>818</v>
      </c>
      <c r="B45" s="950" t="s">
        <v>823</v>
      </c>
    </row>
    <row r="46" spans="1:9" s="950" customFormat="1" ht="12.75">
      <c r="B46" s="1656" t="str">
        <f ca="1">项目基本情况!K4</f>
        <v>王鹏（注册号：0)、郑燚（注册号：1120070131)</v>
      </c>
    </row>
    <row r="47" spans="1:9">
      <c r="A47" s="950"/>
      <c r="B47" s="950" t="str">
        <f>项目基本情况!K5</f>
        <v>（注册号：0)、（注册号：0)</v>
      </c>
    </row>
    <row r="48" spans="1:9">
      <c r="A48" s="950" t="s">
        <v>818</v>
      </c>
      <c r="B48" s="950"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1"/>
      <c r="C1" s="2042" t="s">
        <v>2243</v>
      </c>
      <c r="D1" s="204"/>
      <c r="E1" s="204"/>
      <c r="F1" s="204"/>
      <c r="G1" s="1286">
        <f>MATCH(B1,'数据-取费表'!A6:A16,0)+5</f>
        <v>8</v>
      </c>
      <c r="H1" s="1191" t="str">
        <f>IF(ISERROR(FIND("住宅",B1)),"非住宅","住宅")</f>
        <v>非住宅</v>
      </c>
    </row>
    <row r="2" spans="1:8" s="206" customFormat="1" ht="18" customHeight="1">
      <c r="A2" s="207" t="s">
        <v>2142</v>
      </c>
      <c r="B2" s="208">
        <f ca="1">ROUND(IF(D2="——",C52/10000,C52/10000-E2),0)</f>
        <v>58302</v>
      </c>
      <c r="C2" s="205" t="s">
        <v>2143</v>
      </c>
      <c r="D2" s="2036" t="s">
        <v>70</v>
      </c>
      <c r="E2" s="1329" t="e">
        <f ca="1">SUMIF(INDIRECT("'"&amp;G2&amp;"'"&amp;"!A:A"),"承租人权益价值",INDIRECT("'"&amp;G2&amp;"'"&amp;"!c:c"))</f>
        <v>#REF!</v>
      </c>
      <c r="F2" s="2037" t="s">
        <v>2143</v>
      </c>
      <c r="G2" s="2038"/>
    </row>
    <row r="3" spans="1:8" s="206" customFormat="1" ht="18" customHeight="1" thickBot="1">
      <c r="A3" s="209" t="s">
        <v>2144</v>
      </c>
      <c r="B3" s="210">
        <f ca="1">ROUND(B2*10000/(IF(B1="",'数据-汇总表'!E3,INDIRECT("'数据-取费表'!k"&amp;$G$1))),0)</f>
        <v>8762</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3992374</v>
      </c>
      <c r="D5" s="217" t="s">
        <v>2149</v>
      </c>
      <c r="E5" s="218" t="s">
        <v>2150</v>
      </c>
      <c r="F5" s="218" t="s">
        <v>2151</v>
      </c>
      <c r="G5" s="219"/>
    </row>
    <row r="6" spans="1:8" s="220" customFormat="1" ht="13.5" customHeight="1">
      <c r="A6" s="885" t="s">
        <v>2152</v>
      </c>
      <c r="B6" s="221" t="s">
        <v>2153</v>
      </c>
      <c r="C6" s="222"/>
      <c r="D6" s="223"/>
      <c r="E6" s="224"/>
      <c r="F6" s="224"/>
      <c r="G6" s="225"/>
    </row>
    <row r="7" spans="1:8" s="220" customFormat="1" ht="13.5" customHeight="1">
      <c r="A7" s="885" t="s">
        <v>2154</v>
      </c>
      <c r="B7" s="221" t="s">
        <v>2155</v>
      </c>
      <c r="C7" s="226">
        <f>ROUND(C6*F7,0)</f>
        <v>0</v>
      </c>
      <c r="D7" s="226"/>
      <c r="E7" s="224"/>
      <c r="F7" s="227">
        <f>IF(项目基本情况!B8="出让",0,'数据-取费表'!B48+'数据-取费表'!B49)</f>
        <v>3.0499999999999999E-2</v>
      </c>
      <c r="G7" s="225"/>
    </row>
    <row r="8" spans="1:8" s="229" customFormat="1">
      <c r="A8" s="885" t="s">
        <v>2156</v>
      </c>
      <c r="B8" s="221" t="s">
        <v>2157</v>
      </c>
      <c r="C8" s="226">
        <f ca="1">IF(G8="已包含在土地购买价格中",0,C9+C10)</f>
        <v>3992374</v>
      </c>
      <c r="D8" s="228"/>
      <c r="E8" s="226"/>
      <c r="F8" s="227"/>
      <c r="G8" s="2039"/>
    </row>
    <row r="9" spans="1:8" s="220" customFormat="1" ht="13.5" customHeight="1">
      <c r="A9" s="886" t="s">
        <v>800</v>
      </c>
      <c r="B9" s="230" t="s">
        <v>2158</v>
      </c>
      <c r="C9" s="231">
        <f ca="1">ROUND(D9*E9,0)</f>
        <v>0</v>
      </c>
      <c r="D9" s="953">
        <f ca="1">IF(B1="",'数据-汇总表'!E5,IF(INDIRECT("'数据-取费表'!c"&amp;$G$1)="住宅",INDIRECT("'数据-取费表'!k"&amp;$G$1),0))</f>
        <v>0</v>
      </c>
      <c r="E9" s="231">
        <f>'数据-取费表'!B27</f>
        <v>60</v>
      </c>
      <c r="F9" s="227"/>
      <c r="G9" s="232"/>
    </row>
    <row r="10" spans="1:8" s="220" customFormat="1" ht="13.5" customHeight="1">
      <c r="A10" s="886" t="s">
        <v>801</v>
      </c>
      <c r="B10" s="230" t="s">
        <v>2160</v>
      </c>
      <c r="C10" s="231">
        <f ca="1">ROUND(D10*E10,0)</f>
        <v>3992374</v>
      </c>
      <c r="D10" s="953">
        <f ca="1">IF(B1="",'数据-汇总表'!E6,IF(INDIRECT("'数据-取费表'!c"&amp;$G$1)="住宅",INDIRECT("'数据-取费表'!s"&amp;$G$1),INDIRECT("'数据-取费表'!k"&amp;$G$1)+INDIRECT("'数据-取费表'!s"&amp;$G$1)))</f>
        <v>66539.560000000012</v>
      </c>
      <c r="E10" s="231">
        <f>'数据-取费表'!B28</f>
        <v>60</v>
      </c>
      <c r="F10" s="227"/>
      <c r="G10" s="232"/>
    </row>
    <row r="11" spans="1:8" s="220" customFormat="1" ht="13.5" hidden="1" customHeight="1">
      <c r="A11" s="233" t="s">
        <v>7</v>
      </c>
      <c r="B11" s="221" t="s">
        <v>2161</v>
      </c>
      <c r="C11" s="217"/>
      <c r="D11" s="955"/>
      <c r="E11" s="224"/>
      <c r="F11" s="224"/>
      <c r="G11" s="225"/>
    </row>
    <row r="12" spans="1:8" s="220" customFormat="1" ht="13.5" hidden="1" customHeight="1">
      <c r="A12" s="233" t="s">
        <v>8</v>
      </c>
      <c r="B12" s="221" t="s">
        <v>2244</v>
      </c>
      <c r="C12" s="217">
        <v>0</v>
      </c>
      <c r="D12" s="955"/>
      <c r="E12" s="234"/>
      <c r="F12" s="227">
        <v>3.0499999999999999E-2</v>
      </c>
      <c r="G12" s="225"/>
    </row>
    <row r="13" spans="1:8" s="220" customFormat="1" ht="13.5" hidden="1" customHeight="1">
      <c r="A13" s="233" t="s">
        <v>9</v>
      </c>
      <c r="B13" s="221" t="s">
        <v>2245</v>
      </c>
      <c r="C13" s="217"/>
      <c r="D13" s="955"/>
      <c r="E13" s="224"/>
      <c r="F13" s="224"/>
      <c r="G13" s="225"/>
    </row>
    <row r="14" spans="1:8" s="220" customFormat="1" ht="13.5" hidden="1" customHeight="1">
      <c r="A14" s="233" t="s">
        <v>10</v>
      </c>
      <c r="B14" s="221" t="s">
        <v>2157</v>
      </c>
      <c r="C14" s="217"/>
      <c r="D14" s="955"/>
      <c r="E14" s="224"/>
      <c r="F14" s="224"/>
      <c r="G14" s="225" t="s">
        <v>2246</v>
      </c>
    </row>
    <row r="15" spans="1:8" s="220" customFormat="1" ht="13.5" hidden="1" customHeight="1">
      <c r="A15" s="233" t="s">
        <v>11</v>
      </c>
      <c r="B15" s="221" t="s">
        <v>2247</v>
      </c>
      <c r="C15" s="226"/>
      <c r="D15" s="955"/>
      <c r="E15" s="224"/>
      <c r="F15" s="224"/>
      <c r="G15" s="225" t="s">
        <v>2248</v>
      </c>
    </row>
    <row r="16" spans="1:8" s="220" customFormat="1" ht="13.5" hidden="1" customHeight="1">
      <c r="A16" s="233" t="s">
        <v>12</v>
      </c>
      <c r="B16" s="221" t="s">
        <v>2157</v>
      </c>
      <c r="C16" s="226"/>
      <c r="D16" s="955"/>
      <c r="E16" s="224"/>
      <c r="F16" s="224"/>
      <c r="G16" s="225"/>
    </row>
    <row r="17" spans="1:7" s="220" customFormat="1" ht="13.5" hidden="1" customHeight="1">
      <c r="A17" s="233" t="s">
        <v>13</v>
      </c>
      <c r="B17" s="221" t="s">
        <v>2249</v>
      </c>
      <c r="C17" s="235"/>
      <c r="D17" s="956"/>
      <c r="E17" s="235"/>
      <c r="F17" s="235"/>
      <c r="G17" s="225" t="s">
        <v>2248</v>
      </c>
    </row>
    <row r="18" spans="1:7" s="220" customFormat="1" ht="13.5" hidden="1" customHeight="1">
      <c r="A18" s="233" t="s">
        <v>14</v>
      </c>
      <c r="B18" s="221" t="s">
        <v>2250</v>
      </c>
      <c r="C18" s="226">
        <v>0</v>
      </c>
      <c r="D18" s="955"/>
      <c r="E18" s="224"/>
      <c r="F18" s="227">
        <v>3.0499999999999999E-2</v>
      </c>
      <c r="G18" s="225" t="s">
        <v>2251</v>
      </c>
    </row>
    <row r="19" spans="1:7" s="229" customFormat="1" ht="13.5" customHeight="1">
      <c r="A19" s="261" t="s">
        <v>2252</v>
      </c>
      <c r="B19" s="216" t="s">
        <v>2253</v>
      </c>
      <c r="C19" s="217">
        <f ca="1">IF(G19="已包含在土地取得成本中","0",ROUND(D19*E19,0))</f>
        <v>13307912</v>
      </c>
      <c r="D19" s="957">
        <f ca="1">D9+D10</f>
        <v>66539.560000000012</v>
      </c>
      <c r="E19" s="217">
        <f>'数据-取费表'!B31</f>
        <v>200</v>
      </c>
      <c r="F19" s="237"/>
      <c r="G19" s="2039"/>
    </row>
    <row r="20" spans="1:7" s="220" customFormat="1" ht="13.5" customHeight="1">
      <c r="A20" s="261" t="s">
        <v>2254</v>
      </c>
      <c r="B20" s="216" t="s">
        <v>2255</v>
      </c>
      <c r="C20" s="238">
        <f ca="1">ROUND((C5+C19)*F20,0)</f>
        <v>519009</v>
      </c>
      <c r="D20" s="238"/>
      <c r="E20" s="238"/>
      <c r="F20" s="239">
        <f>'数据-取费表'!B37</f>
        <v>0.03</v>
      </c>
      <c r="G20" s="240" t="s">
        <v>2256</v>
      </c>
    </row>
    <row r="21" spans="1:7" s="220" customFormat="1" ht="13.5" customHeight="1">
      <c r="A21" s="261" t="s">
        <v>2257</v>
      </c>
      <c r="B21" s="216" t="s">
        <v>2258</v>
      </c>
      <c r="C21" s="241">
        <f>F21</f>
        <v>1.4999999999999999E-2</v>
      </c>
      <c r="D21" s="242" t="s">
        <v>2259</v>
      </c>
      <c r="E21" s="238"/>
      <c r="F21" s="239">
        <f>'数据-取费表'!B38</f>
        <v>1.4999999999999999E-2</v>
      </c>
      <c r="G21" s="240" t="s">
        <v>2260</v>
      </c>
    </row>
    <row r="22" spans="1:7" s="220" customFormat="1" ht="13.5" customHeight="1">
      <c r="A22" s="261" t="s">
        <v>2261</v>
      </c>
      <c r="B22" s="216" t="s">
        <v>2262</v>
      </c>
      <c r="C22" s="1287">
        <f ca="1">ROUND(SUM(C23:C25),0)</f>
        <v>1560438</v>
      </c>
      <c r="D22" s="241">
        <f ca="1">C26</f>
        <v>6.9999999999999999E-4</v>
      </c>
      <c r="E22" s="242" t="s">
        <v>2259</v>
      </c>
      <c r="F22" s="243">
        <f ca="1">'数据-取费表'!B40</f>
        <v>4.3499999999999997E-2</v>
      </c>
      <c r="G22" s="240" t="str">
        <f>IF('数据-取费表'!B22&lt;=1,"单利计息","复利计息")</f>
        <v>复利计息</v>
      </c>
    </row>
    <row r="23" spans="1:7" s="220" customFormat="1" ht="13.5" customHeight="1">
      <c r="A23" s="887" t="s">
        <v>2152</v>
      </c>
      <c r="B23" s="221" t="s">
        <v>2263</v>
      </c>
      <c r="C23" s="1288">
        <f ca="1">ROUND(IF('数据-取费表'!B22&lt;=1,C5*F22*'数据-取费表'!B22,C5*(POWER((1+F22),'数据-取费表'!B22)-1)),0)</f>
        <v>354891</v>
      </c>
      <c r="D23" s="244"/>
      <c r="E23" s="244"/>
      <c r="F23" s="245"/>
      <c r="G23" s="246" t="s">
        <v>2264</v>
      </c>
    </row>
    <row r="24" spans="1:7" s="220" customFormat="1" ht="13.5" customHeight="1">
      <c r="A24" s="887" t="s">
        <v>2154</v>
      </c>
      <c r="B24" s="221" t="s">
        <v>2265</v>
      </c>
      <c r="C24" s="1288">
        <f ca="1">ROUND(IF('数据-取费表'!B22&lt;=1,C19*F22*('数据-取费表'!B19/2+'数据-取费表'!B20),C19*(POWER((1+F22),('数据-取费表'!B19/2+'数据-取费表'!B20))-1)),0)</f>
        <v>1182970</v>
      </c>
      <c r="D24" s="244"/>
      <c r="E24" s="244"/>
      <c r="F24" s="245"/>
      <c r="G24" s="246" t="s">
        <v>2266</v>
      </c>
    </row>
    <row r="25" spans="1:7" s="220" customFormat="1" ht="24">
      <c r="A25" s="887" t="s">
        <v>2156</v>
      </c>
      <c r="B25" s="221" t="s">
        <v>2267</v>
      </c>
      <c r="C25" s="1288">
        <f ca="1">ROUND(IF('数据-取费表'!B22&lt;=1,C20*F22*'数据-取费表'!B22/2,C20*(POWER((1+F22),'数据-取费表'!B22/2)-1)),0)</f>
        <v>22577</v>
      </c>
      <c r="D25" s="244"/>
      <c r="E25" s="247"/>
      <c r="F25" s="245"/>
      <c r="G25" s="248" t="s">
        <v>2268</v>
      </c>
    </row>
    <row r="26" spans="1:7" s="220" customFormat="1">
      <c r="A26" s="887" t="s">
        <v>795</v>
      </c>
      <c r="B26" s="221" t="s">
        <v>2191</v>
      </c>
      <c r="C26" s="244">
        <f ca="1">ROUND(IF('数据-取费表'!B22&lt;=1,F21*F22*'数据-取费表'!B22/2,F21*(POWER((1+F22),'数据-取费表'!B22/2)-1)),4)</f>
        <v>6.9999999999999999E-4</v>
      </c>
      <c r="D26" s="244"/>
      <c r="E26" s="247"/>
      <c r="F26" s="245"/>
      <c r="G26" s="249"/>
    </row>
    <row r="27" spans="1:7" s="220" customFormat="1" ht="24.75">
      <c r="A27" s="261" t="s">
        <v>2192</v>
      </c>
      <c r="B27" s="250" t="s">
        <v>2193</v>
      </c>
      <c r="C27" s="251">
        <f ca="1">C28</f>
        <v>2138315</v>
      </c>
      <c r="D27" s="241">
        <f ca="1">C29</f>
        <v>1.8E-3</v>
      </c>
      <c r="E27" s="242" t="s">
        <v>2194</v>
      </c>
      <c r="F27" s="252">
        <f ca="1">IF(B1="",'数据-取费表'!Q16,INDIRECT("'数据-取费表'!q"&amp;$G$1))</f>
        <v>0.12</v>
      </c>
      <c r="G27" s="253" t="s">
        <v>2195</v>
      </c>
    </row>
    <row r="28" spans="1:7" s="220" customFormat="1" ht="13.5" customHeight="1">
      <c r="A28" s="887" t="s">
        <v>791</v>
      </c>
      <c r="B28" s="254" t="s">
        <v>2196</v>
      </c>
      <c r="C28" s="255">
        <f ca="1">ROUND((C5+C19+C20)*F27,0)</f>
        <v>2138315</v>
      </c>
      <c r="D28" s="241"/>
      <c r="E28" s="242"/>
      <c r="F28" s="252"/>
      <c r="G28" s="253"/>
    </row>
    <row r="29" spans="1:7" s="220" customFormat="1" ht="13.5" customHeight="1">
      <c r="A29" s="887" t="s">
        <v>792</v>
      </c>
      <c r="B29" s="254" t="s">
        <v>2197</v>
      </c>
      <c r="C29" s="244">
        <f ca="1">ROUND(C21*F27,4)</f>
        <v>1.8E-3</v>
      </c>
      <c r="D29" s="241"/>
      <c r="E29" s="242"/>
      <c r="F29" s="252"/>
      <c r="G29" s="253"/>
    </row>
    <row r="30" spans="1:7" s="220" customFormat="1" ht="13.5" customHeight="1">
      <c r="A30" s="261" t="s">
        <v>2198</v>
      </c>
      <c r="B30" s="216" t="s">
        <v>2199</v>
      </c>
      <c r="C30" s="241">
        <f>ROUND(F30/(1+'数据-取费表'!C42),4)</f>
        <v>5.33E-2</v>
      </c>
      <c r="D30" s="242" t="s">
        <v>2194</v>
      </c>
      <c r="E30" s="247"/>
      <c r="F30" s="243">
        <f>'数据-取费表'!B41</f>
        <v>5.6000000000000001E-2</v>
      </c>
      <c r="G30" s="240" t="s">
        <v>2200</v>
      </c>
    </row>
    <row r="31" spans="1:7" ht="16.5" customHeight="1">
      <c r="A31" s="215">
        <v>1</v>
      </c>
      <c r="B31" s="216" t="s">
        <v>2201</v>
      </c>
      <c r="C31" s="217">
        <f ca="1">ROUND((C5+C19+C20+C22+C27)/(1-C21-D22-D27-C30),0)</f>
        <v>23157607</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447985683</v>
      </c>
      <c r="D33" s="238"/>
      <c r="E33" s="218"/>
      <c r="F33" s="247"/>
      <c r="G33" s="240"/>
    </row>
    <row r="34" spans="1:7" s="264" customFormat="1" ht="13.5" customHeight="1">
      <c r="A34" s="887" t="s">
        <v>791</v>
      </c>
      <c r="B34" s="221" t="s">
        <v>2205</v>
      </c>
      <c r="C34" s="226">
        <f ca="1">ROUND(IF(B1="",SUMPRODUCT('数据-取费表'!K6:K14,'数据-取费表'!L6:L14),INDIRECT("'数据-取费表'!l"&amp;$G$1)*INDIRECT("'数据-取费表'!k"&amp;$G$1)+'数据-取费表'!L14*INDIRECT("'数据-取费表'!S"&amp;$G$1)),0)</f>
        <v>398776372</v>
      </c>
      <c r="D34" s="223"/>
      <c r="E34" s="226"/>
      <c r="F34" s="263"/>
      <c r="G34" s="225"/>
    </row>
    <row r="35" spans="1:7" ht="13.5" customHeight="1">
      <c r="A35" s="887" t="s">
        <v>796</v>
      </c>
      <c r="B35" s="221" t="s">
        <v>2207</v>
      </c>
      <c r="C35" s="226">
        <f ca="1">ROUND(C34*F35,0)</f>
        <v>19938819</v>
      </c>
      <c r="D35" s="226"/>
      <c r="E35" s="226"/>
      <c r="F35" s="265">
        <f>'数据-取费表'!B33</f>
        <v>0.05</v>
      </c>
      <c r="G35" s="225" t="s">
        <v>2208</v>
      </c>
    </row>
    <row r="36" spans="1:7" ht="24">
      <c r="A36" s="887"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7" t="s">
        <v>798</v>
      </c>
      <c r="B37" s="221" t="s">
        <v>2211</v>
      </c>
      <c r="C37" s="255">
        <f ca="1">ROUND(E37*D37,0)</f>
        <v>23288846</v>
      </c>
      <c r="D37" s="223">
        <f ca="1">D19</f>
        <v>66539.560000000012</v>
      </c>
      <c r="E37" s="255">
        <f>'数据-取费表'!B35</f>
        <v>350</v>
      </c>
      <c r="F37" s="265"/>
      <c r="G37" s="267"/>
    </row>
    <row r="38" spans="1:7" ht="13.5" customHeight="1">
      <c r="A38" s="887" t="s">
        <v>799</v>
      </c>
      <c r="B38" s="221" t="s">
        <v>2213</v>
      </c>
      <c r="C38" s="226">
        <f ca="1">ROUND(C34*F38,0)</f>
        <v>5981646</v>
      </c>
      <c r="D38" s="226"/>
      <c r="E38" s="226"/>
      <c r="F38" s="265">
        <f>'数据-取费表'!B36</f>
        <v>1.4999999999999999E-2</v>
      </c>
      <c r="G38" s="225" t="s">
        <v>2208</v>
      </c>
    </row>
    <row r="39" spans="1:7" s="220" customFormat="1" ht="13.5" customHeight="1">
      <c r="A39" s="261" t="s">
        <v>2214</v>
      </c>
      <c r="B39" s="216" t="s">
        <v>2215</v>
      </c>
      <c r="C39" s="238">
        <f ca="1">ROUND(C33*F20,0)</f>
        <v>13439570</v>
      </c>
      <c r="D39" s="238"/>
      <c r="E39" s="238"/>
      <c r="F39" s="2532">
        <f>F20</f>
        <v>0.03</v>
      </c>
      <c r="G39" s="240" t="s">
        <v>2216</v>
      </c>
    </row>
    <row r="40" spans="1:7" s="220" customFormat="1" ht="13.5" customHeight="1">
      <c r="A40" s="261" t="s">
        <v>2217</v>
      </c>
      <c r="B40" s="216" t="s">
        <v>2218</v>
      </c>
      <c r="C40" s="1493">
        <f>F21</f>
        <v>1.4999999999999999E-2</v>
      </c>
      <c r="D40" s="242" t="s">
        <v>2219</v>
      </c>
      <c r="E40" s="238"/>
      <c r="F40" s="2532">
        <f>F21</f>
        <v>1.4999999999999999E-2</v>
      </c>
      <c r="G40" s="240" t="s">
        <v>2220</v>
      </c>
    </row>
    <row r="41" spans="1:7" s="220" customFormat="1" ht="13.5" customHeight="1">
      <c r="A41" s="261" t="s">
        <v>2221</v>
      </c>
      <c r="B41" s="216" t="s">
        <v>2222</v>
      </c>
      <c r="C41" s="238">
        <f ca="1">ROUND(SUM(C42:C43),0)</f>
        <v>20071998</v>
      </c>
      <c r="D41" s="241">
        <f ca="1">C44</f>
        <v>6.9999999999999999E-4</v>
      </c>
      <c r="E41" s="242" t="s">
        <v>2219</v>
      </c>
      <c r="F41" s="2533">
        <f ca="1">F22</f>
        <v>4.3499999999999997E-2</v>
      </c>
      <c r="G41" s="240" t="str">
        <f>IF('数据-取费表'!B22&lt;=1,"单利计息","复利计息")</f>
        <v>复利计息</v>
      </c>
    </row>
    <row r="42" spans="1:7" ht="13.5" customHeight="1">
      <c r="A42" s="887" t="s">
        <v>791</v>
      </c>
      <c r="B42" s="221" t="s">
        <v>2223</v>
      </c>
      <c r="C42" s="244">
        <f ca="1">ROUND(IF('数据-取费表'!B22&lt;=1,C33*F22*'数据-取费表'!B20/2,C33*(POWER((1+F22),'数据-取费表'!B20/2)-1)),0)</f>
        <v>19487377</v>
      </c>
      <c r="D42" s="244"/>
      <c r="E42" s="244"/>
      <c r="F42" s="245"/>
      <c r="G42" s="3486" t="s">
        <v>2271</v>
      </c>
    </row>
    <row r="43" spans="1:7" ht="13.5" customHeight="1">
      <c r="A43" s="887" t="s">
        <v>792</v>
      </c>
      <c r="B43" s="221" t="s">
        <v>2225</v>
      </c>
      <c r="C43" s="244">
        <f ca="1">ROUND(IF('数据-取费表'!B22&lt;=1,C39*F22*'数据-取费表'!B20/2,C39*(POWER((1+F22),'数据-取费表'!B20/2)-1)),0)</f>
        <v>584621</v>
      </c>
      <c r="D43" s="244"/>
      <c r="E43" s="244"/>
      <c r="F43" s="245"/>
      <c r="G43" s="3487"/>
    </row>
    <row r="44" spans="1:7" ht="13.5" customHeight="1">
      <c r="A44" s="887" t="s">
        <v>793</v>
      </c>
      <c r="B44" s="221" t="s">
        <v>2226</v>
      </c>
      <c r="C44" s="244">
        <f ca="1">ROUND(IF('数据-取费表'!B22&lt;=1,C40*F22*'数据-取费表'!B20/2,C40*(POWER((1+F22),'数据-取费表'!B20/2)-1)),4)</f>
        <v>6.9999999999999999E-4</v>
      </c>
      <c r="D44" s="244"/>
      <c r="E44" s="244"/>
      <c r="F44" s="245"/>
      <c r="G44" s="3488"/>
    </row>
    <row r="45" spans="1:7" s="220" customFormat="1" ht="13.5" customHeight="1">
      <c r="A45" s="261" t="s">
        <v>2227</v>
      </c>
      <c r="B45" s="250" t="s">
        <v>2193</v>
      </c>
      <c r="C45" s="251">
        <f ca="1">C46</f>
        <v>55371030</v>
      </c>
      <c r="D45" s="241">
        <f ca="1">C47</f>
        <v>1.8E-3</v>
      </c>
      <c r="E45" s="242" t="s">
        <v>2219</v>
      </c>
      <c r="F45" s="2534">
        <f ca="1">F27</f>
        <v>0.12</v>
      </c>
      <c r="G45" s="253" t="s">
        <v>2228</v>
      </c>
    </row>
    <row r="46" spans="1:7" s="220" customFormat="1" ht="13.5" customHeight="1">
      <c r="A46" s="887" t="s">
        <v>791</v>
      </c>
      <c r="B46" s="254" t="s">
        <v>2229</v>
      </c>
      <c r="C46" s="255">
        <f ca="1">ROUND((C33+C39)*F27,0)</f>
        <v>55371030</v>
      </c>
      <c r="D46" s="269"/>
      <c r="E46" s="242"/>
      <c r="F46" s="252"/>
      <c r="G46" s="253"/>
    </row>
    <row r="47" spans="1:7" s="220" customFormat="1" ht="13.5" customHeight="1">
      <c r="A47" s="887" t="s">
        <v>792</v>
      </c>
      <c r="B47" s="254" t="s">
        <v>2230</v>
      </c>
      <c r="C47" s="244">
        <f ca="1">ROUND(C40*F27,4)</f>
        <v>1.8E-3</v>
      </c>
      <c r="D47" s="269"/>
      <c r="E47" s="242"/>
      <c r="F47" s="252"/>
      <c r="G47" s="253"/>
    </row>
    <row r="48" spans="1:7" s="220" customFormat="1" ht="13.5" customHeight="1">
      <c r="A48" s="261" t="s">
        <v>2192</v>
      </c>
      <c r="B48" s="216" t="s">
        <v>2231</v>
      </c>
      <c r="C48" s="268">
        <f>ROUND(F30/(1+'数据-取费表'!C42),4)</f>
        <v>5.33E-2</v>
      </c>
      <c r="D48" s="242" t="s">
        <v>2219</v>
      </c>
      <c r="E48" s="238"/>
      <c r="F48" s="2533">
        <f>F30</f>
        <v>5.6000000000000001E-2</v>
      </c>
      <c r="G48" s="240" t="s">
        <v>2232</v>
      </c>
    </row>
    <row r="49" spans="1:7" ht="16.5" customHeight="1">
      <c r="A49" s="261" t="s">
        <v>2198</v>
      </c>
      <c r="B49" s="216" t="s">
        <v>2272</v>
      </c>
      <c r="C49" s="238">
        <f ca="1">ROUND((C33+C39+C41+C45)/(1-C40-D41-D45-C48),0)</f>
        <v>577774732</v>
      </c>
      <c r="D49" s="238"/>
      <c r="E49" s="238"/>
      <c r="F49" s="270"/>
      <c r="G49" s="240" t="s">
        <v>2234</v>
      </c>
    </row>
    <row r="50" spans="1:7" s="264" customFormat="1">
      <c r="A50" s="261" t="s">
        <v>2235</v>
      </c>
      <c r="B50" s="216" t="s">
        <v>2236</v>
      </c>
      <c r="C50" s="238"/>
      <c r="D50" s="238"/>
      <c r="E50" s="238"/>
      <c r="F50" s="270">
        <f>IF('数据-取费表'!B24=0,'数据-取费表'!N16,1)</f>
        <v>0.96899999999999997</v>
      </c>
      <c r="G50" s="253"/>
    </row>
    <row r="51" spans="1:7" ht="16.5" customHeight="1">
      <c r="A51" s="261" t="s">
        <v>2238</v>
      </c>
      <c r="B51" s="216" t="s">
        <v>2273</v>
      </c>
      <c r="C51" s="238">
        <f ca="1">ROUND(C49*F50,0)</f>
        <v>559863715</v>
      </c>
      <c r="D51" s="238"/>
      <c r="E51" s="238"/>
      <c r="F51" s="270"/>
      <c r="G51" s="240" t="s">
        <v>2240</v>
      </c>
    </row>
    <row r="52" spans="1:7" s="214" customFormat="1" ht="16.5" thickBot="1">
      <c r="A52" s="271" t="s">
        <v>2241</v>
      </c>
      <c r="B52" s="272"/>
      <c r="C52" s="273">
        <f ca="1">C31+C51</f>
        <v>583021322</v>
      </c>
      <c r="D52" s="272"/>
      <c r="E52" s="272"/>
      <c r="F52" s="272"/>
      <c r="G52" s="274"/>
    </row>
    <row r="55" spans="1:7" ht="15">
      <c r="B55" s="276" t="s">
        <v>2242</v>
      </c>
      <c r="C55" s="277"/>
    </row>
    <row r="56" spans="1:7">
      <c r="B56" s="279" t="s">
        <v>1472</v>
      </c>
      <c r="C56" s="281">
        <f ca="1">1-C57</f>
        <v>4.0000000000000036E-2</v>
      </c>
    </row>
    <row r="57" spans="1:7">
      <c r="B57" s="279" t="s">
        <v>1473</v>
      </c>
      <c r="C57" s="280">
        <f ca="1">ROUND(C51/C52,3)</f>
        <v>0.96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2274</v>
      </c>
      <c r="B1" s="1351"/>
      <c r="C1" s="1352"/>
      <c r="D1" s="1350"/>
      <c r="E1" s="3031"/>
      <c r="F1" s="3031"/>
      <c r="G1" s="2894"/>
      <c r="H1" s="3031"/>
      <c r="I1" s="3031"/>
      <c r="J1" s="3031"/>
      <c r="K1" s="3032">
        <f>MATCH(C1,'数据-取费表'!A6:A16,0)+5</f>
        <v>8</v>
      </c>
    </row>
    <row r="2" spans="1:33" ht="18" customHeight="1">
      <c r="A2" s="207" t="s">
        <v>2142</v>
      </c>
      <c r="B2" s="210">
        <f ca="1">C32</f>
        <v>-447</v>
      </c>
      <c r="C2" s="282" t="s">
        <v>2275</v>
      </c>
      <c r="D2" s="282"/>
      <c r="E2" s="3031"/>
      <c r="F2" s="3031"/>
      <c r="G2" s="3031"/>
      <c r="H2" s="3031"/>
      <c r="I2" s="3031"/>
      <c r="J2" s="3031"/>
      <c r="K2" s="3031"/>
    </row>
    <row r="3" spans="1:33" ht="18" customHeight="1" thickBot="1">
      <c r="A3" s="209" t="s">
        <v>2144</v>
      </c>
      <c r="B3" s="210">
        <f ca="1">ROUND(B2*10000/IF(C1="",'数据-汇总表'!E3,INDIRECT("'数据-取费表'!K"&amp;$K$1)),0)</f>
        <v>-67</v>
      </c>
      <c r="C3" s="282" t="s">
        <v>2276</v>
      </c>
      <c r="D3" s="282"/>
      <c r="E3" s="3031"/>
      <c r="F3" s="3031"/>
      <c r="G3" s="3031"/>
      <c r="H3" s="3031"/>
      <c r="I3" s="3031"/>
      <c r="J3" s="3031"/>
      <c r="K3" s="3031"/>
    </row>
    <row r="4" spans="1:33" s="892" customFormat="1" ht="16.5" customHeight="1">
      <c r="A4" s="889" t="s">
        <v>2277</v>
      </c>
      <c r="B4" s="890"/>
      <c r="C4" s="932">
        <f>SUM(C8:K8)</f>
        <v>0</v>
      </c>
      <c r="D4" s="890"/>
      <c r="E4" s="890"/>
      <c r="F4" s="890"/>
      <c r="G4" s="890"/>
      <c r="H4" s="890"/>
      <c r="I4" s="890"/>
      <c r="J4" s="890"/>
      <c r="K4" s="891"/>
    </row>
    <row r="5" spans="1:33" s="896" customFormat="1" ht="24.75">
      <c r="A5" s="893" t="s">
        <v>2278</v>
      </c>
      <c r="B5" s="894" t="s">
        <v>2279</v>
      </c>
      <c r="C5" s="2043" t="s">
        <v>2280</v>
      </c>
      <c r="D5" s="2043" t="s">
        <v>2281</v>
      </c>
      <c r="E5" s="2043" t="s">
        <v>2282</v>
      </c>
      <c r="F5" s="2043"/>
      <c r="G5" s="2043"/>
      <c r="H5" s="2043"/>
      <c r="I5" s="2043"/>
      <c r="J5" s="2043"/>
      <c r="K5" s="2043"/>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2283</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4" t="s">
        <v>2286</v>
      </c>
      <c r="B8" s="169" t="s">
        <v>2287</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2288</v>
      </c>
      <c r="B9" s="890"/>
      <c r="C9" s="890"/>
      <c r="D9" s="890"/>
      <c r="E9" s="890"/>
      <c r="F9" s="890"/>
      <c r="G9" s="890"/>
      <c r="H9" s="890"/>
      <c r="I9" s="890"/>
      <c r="J9" s="890"/>
      <c r="K9" s="891"/>
    </row>
    <row r="10" spans="1:33" s="906" customFormat="1" ht="13.5" customHeight="1">
      <c r="A10" s="893" t="s">
        <v>2289</v>
      </c>
      <c r="B10" s="8" t="s">
        <v>2290</v>
      </c>
      <c r="C10" s="902" t="s">
        <v>2291</v>
      </c>
      <c r="D10" s="903" t="s">
        <v>2292</v>
      </c>
      <c r="E10" s="903" t="s">
        <v>2293</v>
      </c>
      <c r="F10" s="903" t="s">
        <v>2294</v>
      </c>
      <c r="G10" s="8"/>
      <c r="H10" s="904"/>
      <c r="I10" s="904"/>
      <c r="J10" s="904"/>
      <c r="K10" s="905"/>
    </row>
    <row r="11" spans="1:33" s="911" customFormat="1" ht="13.5" customHeight="1">
      <c r="A11" s="907" t="s">
        <v>1294</v>
      </c>
      <c r="B11" s="908" t="s">
        <v>2295</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1295</v>
      </c>
      <c r="B12" s="908" t="s">
        <v>2296</v>
      </c>
      <c r="C12" s="24">
        <f ca="1">ROUND(C11*F12,0)</f>
        <v>0</v>
      </c>
      <c r="D12" s="909"/>
      <c r="E12" s="335"/>
      <c r="F12" s="912">
        <f>'数据-取费表'!B33</f>
        <v>0.05</v>
      </c>
      <c r="G12" s="8" t="s">
        <v>2297</v>
      </c>
      <c r="H12" s="904"/>
      <c r="I12" s="904"/>
      <c r="J12" s="904"/>
      <c r="K12" s="905"/>
    </row>
    <row r="13" spans="1:33" s="911" customFormat="1" ht="13.5" customHeight="1">
      <c r="A13" s="907" t="s">
        <v>1296</v>
      </c>
      <c r="B13" s="908" t="s">
        <v>2298</v>
      </c>
      <c r="C13" s="24">
        <f ca="1">ROUND(IF(C1="",SUMIF('数据-取费表'!C:C,"住宅",'数据-取费表'!P:P)*F13,IF(INDIRECT("'数据-取费表'!c"&amp;$K$1)="住宅",INDIRECT("'数据-取费表'!P"&amp;$K$1)*F13,0)),0)</f>
        <v>0</v>
      </c>
      <c r="D13" s="954"/>
      <c r="E13" s="335"/>
      <c r="F13" s="912">
        <f>'数据-取费表'!B34</f>
        <v>0</v>
      </c>
      <c r="G13" s="8" t="s">
        <v>2299</v>
      </c>
      <c r="H13" s="904"/>
      <c r="I13" s="904"/>
      <c r="J13" s="904"/>
      <c r="K13" s="905"/>
    </row>
    <row r="14" spans="1:33" s="913" customFormat="1" ht="13.5" customHeight="1">
      <c r="A14" s="907" t="s">
        <v>1297</v>
      </c>
      <c r="B14" s="908" t="s">
        <v>2300</v>
      </c>
      <c r="C14" s="24">
        <f ca="1">ROUND(D14*E14*F11/10000,0)</f>
        <v>0</v>
      </c>
      <c r="D14" s="954">
        <f ca="1">IF(C1="",'数据-汇总表'!E3,INDIRECT("'数据-取费表'!K"&amp;$K$1)+INDIRECT("'数据-取费表'!S"&amp;$K$1))</f>
        <v>66539.560000000012</v>
      </c>
      <c r="E14" s="24">
        <f>'数据-取费表'!B35</f>
        <v>350</v>
      </c>
      <c r="F14" s="912"/>
      <c r="G14" s="8" t="s">
        <v>2301</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1298</v>
      </c>
      <c r="B15" s="908" t="s">
        <v>2302</v>
      </c>
      <c r="C15" s="919">
        <f ca="1">ROUND(C11*F15,0)</f>
        <v>0</v>
      </c>
      <c r="D15" s="914"/>
      <c r="E15" s="919"/>
      <c r="F15" s="920">
        <f>'数据-取费表'!B36</f>
        <v>1.4999999999999999E-2</v>
      </c>
      <c r="G15" s="136" t="s">
        <v>2303</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2304</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2305</v>
      </c>
      <c r="C17" s="24">
        <f ca="1">ROUND(D17*E17/10000,0)</f>
        <v>0</v>
      </c>
      <c r="D17" s="954">
        <f ca="1">D14</f>
        <v>66539.560000000012</v>
      </c>
      <c r="E17" s="24">
        <f>'数据-取费表'!B32</f>
        <v>0</v>
      </c>
      <c r="F17" s="914"/>
      <c r="G17" s="136" t="s">
        <v>2306</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1299</v>
      </c>
      <c r="B18" s="908" t="s">
        <v>2307</v>
      </c>
      <c r="C18" s="24">
        <f ca="1">C19+C20-IF(C1="",'数据-取费表'!B29,IF(G18="已全部缴纳",C19+C20,H18))</f>
        <v>399</v>
      </c>
      <c r="D18" s="954"/>
      <c r="E18" s="24"/>
      <c r="F18" s="912"/>
      <c r="G18" s="2045"/>
      <c r="H18" s="1347"/>
      <c r="I18" s="2046" t="s">
        <v>2308</v>
      </c>
      <c r="J18" s="915"/>
      <c r="K18" s="916"/>
    </row>
    <row r="19" spans="1:33" s="911" customFormat="1" ht="13.5" customHeight="1">
      <c r="A19" s="907" t="s">
        <v>805</v>
      </c>
      <c r="B19" s="908" t="s">
        <v>2309</v>
      </c>
      <c r="C19" s="24">
        <f ca="1">ROUND(D19*E19/10000,0)</f>
        <v>0</v>
      </c>
      <c r="D19" s="954">
        <f ca="1">IF(C1="",'数据-汇总表'!E5,IF(INDIRECT("'数据-取费表'!c"&amp;$K$1)="住宅",INDIRECT("'数据-取费表'!k"&amp;$K$1),0))</f>
        <v>0</v>
      </c>
      <c r="E19" s="24">
        <f>'数据-取费表'!B27</f>
        <v>60</v>
      </c>
      <c r="F19" s="912"/>
      <c r="G19" s="15"/>
      <c r="H19" s="1349"/>
      <c r="I19" s="917"/>
      <c r="J19" s="917"/>
      <c r="K19" s="918"/>
    </row>
    <row r="20" spans="1:33" s="911" customFormat="1" ht="13.5" customHeight="1">
      <c r="A20" s="907" t="s">
        <v>806</v>
      </c>
      <c r="B20" s="908" t="s">
        <v>2310</v>
      </c>
      <c r="C20" s="24">
        <f ca="1">ROUND(D20*E20/10000,0)</f>
        <v>399</v>
      </c>
      <c r="D20" s="954">
        <f ca="1">IF(C1="",'数据-汇总表'!E6,IF(INDIRECT("'数据-取费表'!c"&amp;$K$1)="住宅",INDIRECT("'数据-取费表'!s"&amp;$K$1),INDIRECT("'数据-取费表'!k"&amp;$K$1)+INDIRECT("'数据-取费表'!s"&amp;$K$1)))</f>
        <v>66539.560000000012</v>
      </c>
      <c r="E20" s="24">
        <f>'数据-取费表'!B28</f>
        <v>60</v>
      </c>
      <c r="F20" s="912"/>
      <c r="G20" s="15"/>
      <c r="H20" s="917"/>
      <c r="I20" s="917"/>
      <c r="J20" s="917"/>
      <c r="K20" s="918"/>
    </row>
    <row r="21" spans="1:33" s="911" customFormat="1" ht="13.5" customHeight="1">
      <c r="A21" s="897" t="s">
        <v>802</v>
      </c>
      <c r="B21" s="921" t="s">
        <v>2311</v>
      </c>
      <c r="C21" s="922">
        <f ca="1">C16+C17+C18</f>
        <v>399</v>
      </c>
      <c r="D21" s="923"/>
      <c r="E21" s="287"/>
      <c r="F21" s="287"/>
      <c r="G21" s="136" t="s">
        <v>2312</v>
      </c>
      <c r="H21" s="915"/>
      <c r="I21" s="915"/>
      <c r="J21" s="915"/>
      <c r="K21" s="916"/>
    </row>
    <row r="22" spans="1:33" s="911" customFormat="1" ht="13.5" customHeight="1">
      <c r="A22" s="897" t="s">
        <v>2284</v>
      </c>
      <c r="B22" s="921" t="s">
        <v>2313</v>
      </c>
      <c r="C22" s="922">
        <f ca="1">ROUND(C21*F22,0)</f>
        <v>12</v>
      </c>
      <c r="D22" s="287"/>
      <c r="E22" s="287"/>
      <c r="F22" s="924">
        <f>'数据-取费表'!B37</f>
        <v>0.03</v>
      </c>
      <c r="G22" s="8" t="s">
        <v>2314</v>
      </c>
      <c r="H22" s="904"/>
      <c r="I22" s="904"/>
      <c r="J22" s="904"/>
      <c r="K22" s="905"/>
    </row>
    <row r="23" spans="1:33" s="911" customFormat="1" ht="13.5" customHeight="1">
      <c r="A23" s="897" t="s">
        <v>2286</v>
      </c>
      <c r="B23" s="921" t="s">
        <v>2315</v>
      </c>
      <c r="C23" s="922">
        <f ca="1">ROUND(C4*F23*F11,0)</f>
        <v>0</v>
      </c>
      <c r="D23" s="287"/>
      <c r="E23" s="287"/>
      <c r="F23" s="924">
        <f>'数据-取费表'!B38</f>
        <v>1.4999999999999999E-2</v>
      </c>
      <c r="G23" s="8" t="s">
        <v>2316</v>
      </c>
      <c r="H23" s="904"/>
      <c r="I23" s="904"/>
      <c r="J23" s="904"/>
      <c r="K23" s="905"/>
    </row>
    <row r="24" spans="1:33" s="911" customFormat="1" ht="13.5" customHeight="1">
      <c r="A24" s="897" t="s">
        <v>2317</v>
      </c>
      <c r="B24" s="921" t="s">
        <v>2318</v>
      </c>
      <c r="C24" s="286">
        <f>ROUND(F24/(1+'数据-取费表'!C42),4)</f>
        <v>2.9000000000000001E-2</v>
      </c>
      <c r="D24" s="287" t="s">
        <v>15</v>
      </c>
      <c r="E24" s="287"/>
      <c r="F24" s="924">
        <f>IF(项目基本情况!B8="出让",0,'数据-取费表'!B48+'数据-取费表'!B49)</f>
        <v>3.0499999999999999E-2</v>
      </c>
      <c r="G24" s="8" t="s">
        <v>2319</v>
      </c>
      <c r="H24" s="926"/>
      <c r="I24" s="926"/>
      <c r="J24" s="926"/>
      <c r="K24" s="927"/>
    </row>
    <row r="25" spans="1:33" s="911" customFormat="1" ht="13.5" customHeight="1">
      <c r="A25" s="897" t="s">
        <v>2320</v>
      </c>
      <c r="B25" s="923" t="s">
        <v>2321</v>
      </c>
      <c r="C25" s="1264">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2322</v>
      </c>
      <c r="C26" s="1265">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2323</v>
      </c>
      <c r="C27" s="1266">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5"/>
      <c r="I27" s="915"/>
      <c r="J27" s="915"/>
      <c r="K27" s="916"/>
    </row>
    <row r="28" spans="1:33" s="295" customFormat="1" ht="13.5" customHeight="1">
      <c r="A28" s="897" t="s">
        <v>2324</v>
      </c>
      <c r="B28" s="2048" t="s">
        <v>2325</v>
      </c>
      <c r="C28" s="293">
        <f ca="1">C30</f>
        <v>49</v>
      </c>
      <c r="D28" s="286">
        <f ca="1">C29</f>
        <v>0</v>
      </c>
      <c r="E28" s="288" t="s">
        <v>15</v>
      </c>
      <c r="F28" s="294">
        <f ca="1">IF(C1="",'数据-取费表'!Q16,INDIRECT("'数据-取费表'!q"&amp;$K$1))</f>
        <v>0.12</v>
      </c>
      <c r="G28" s="925"/>
      <c r="H28" s="926"/>
      <c r="I28" s="926"/>
      <c r="J28" s="926"/>
      <c r="K28" s="927"/>
    </row>
    <row r="29" spans="1:33" s="297" customFormat="1" ht="13.5" customHeight="1">
      <c r="A29" s="907" t="s">
        <v>803</v>
      </c>
      <c r="B29" s="930" t="s">
        <v>2326</v>
      </c>
      <c r="C29" s="290">
        <f ca="1">ROUND((1+C24)*F28*'数据-取费表'!B24/'数据-取费表'!B20,4)</f>
        <v>0</v>
      </c>
      <c r="D29" s="290"/>
      <c r="E29" s="291"/>
      <c r="F29" s="296"/>
      <c r="G29" s="136" t="s">
        <v>2327</v>
      </c>
      <c r="H29" s="915"/>
      <c r="I29" s="915"/>
      <c r="J29" s="915"/>
      <c r="K29" s="916"/>
    </row>
    <row r="30" spans="1:33" s="297" customFormat="1" ht="13.5" customHeight="1">
      <c r="A30" s="907" t="s">
        <v>804</v>
      </c>
      <c r="B30" s="930" t="s">
        <v>2328</v>
      </c>
      <c r="C30" s="298">
        <f ca="1">ROUND((C21+C22+C23)*F28,0)</f>
        <v>49</v>
      </c>
      <c r="D30" s="290"/>
      <c r="E30" s="291"/>
      <c r="F30" s="296"/>
      <c r="G30" s="136"/>
      <c r="H30" s="915"/>
      <c r="I30" s="915"/>
      <c r="J30" s="915"/>
      <c r="K30" s="916"/>
    </row>
    <row r="31" spans="1:33" s="911" customFormat="1" ht="13.5" customHeight="1" thickBot="1">
      <c r="A31" s="2049" t="s">
        <v>2329</v>
      </c>
      <c r="B31" s="941" t="s">
        <v>2330</v>
      </c>
      <c r="C31" s="942">
        <f>ROUND(C4*F31/(1+'数据-取费表'!C42),0)</f>
        <v>0</v>
      </c>
      <c r="D31" s="943"/>
      <c r="E31" s="944"/>
      <c r="F31" s="945">
        <f>'数据-取费表'!B41</f>
        <v>5.6000000000000001E-2</v>
      </c>
      <c r="G31" s="946" t="s">
        <v>2331</v>
      </c>
      <c r="H31" s="947"/>
      <c r="I31" s="947"/>
      <c r="J31" s="947"/>
      <c r="K31" s="948"/>
    </row>
    <row r="32" spans="1:33" s="906" customFormat="1" ht="13.5" customHeight="1" thickBot="1">
      <c r="A32" s="936" t="s">
        <v>2332</v>
      </c>
      <c r="B32" s="937"/>
      <c r="C32" s="938">
        <f ca="1">ROUND((C4-C21-C22-C23-C25-C28-C31)/(1+C24+D25+D28),0)</f>
        <v>-447</v>
      </c>
      <c r="D32" s="937"/>
      <c r="E32" s="937"/>
      <c r="F32" s="937"/>
      <c r="G32" s="939" t="s">
        <v>2333</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0" zoomScale="80" zoomScaleNormal="60" zoomScaleSheetLayoutView="80" workbookViewId="0">
      <selection activeCell="E56" sqref="E56"/>
    </sheetView>
  </sheetViews>
  <sheetFormatPr defaultColWidth="9" defaultRowHeight="14.25"/>
  <cols>
    <col min="1" max="1" width="14.375" style="363" customWidth="1"/>
    <col min="2" max="2" width="15.75" style="363" customWidth="1"/>
    <col min="3" max="3" width="1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4"/>
      <c r="E1" s="694"/>
      <c r="F1" s="693" t="s">
        <v>2458</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2142</v>
      </c>
      <c r="B2" s="627">
        <f>F66</f>
        <v>13879</v>
      </c>
      <c r="C2" s="1037"/>
      <c r="D2" s="1037"/>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c r="AD2" s="357"/>
    </row>
    <row r="3" spans="1:30" s="358" customFormat="1" ht="28.5" customHeight="1" thickBot="1">
      <c r="A3" s="209" t="s">
        <v>2144</v>
      </c>
      <c r="B3" s="566">
        <f>ROUND(IF(D3="",B2*10000/'数据-汇总表'!E3,B2*10000/D3),0)</f>
        <v>2086</v>
      </c>
      <c r="C3" s="209" t="s">
        <v>2561</v>
      </c>
      <c r="D3" s="1353"/>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30" ht="15">
      <c r="A4" s="361" t="s">
        <v>2460</v>
      </c>
      <c r="B4" s="362"/>
      <c r="C4" s="3493" t="s">
        <v>2461</v>
      </c>
      <c r="D4" s="3506"/>
      <c r="E4" s="3507" t="s">
        <v>2462</v>
      </c>
      <c r="F4" s="3508"/>
      <c r="G4" s="3493" t="s">
        <v>2463</v>
      </c>
      <c r="H4" s="3506"/>
      <c r="I4" s="3493" t="s">
        <v>2464</v>
      </c>
      <c r="J4" s="3506"/>
      <c r="K4" s="567" t="s">
        <v>2465</v>
      </c>
      <c r="L4" s="2938"/>
      <c r="M4" s="2939"/>
      <c r="N4" s="2939"/>
      <c r="O4" s="2939"/>
      <c r="P4" s="3509" t="s">
        <v>2466</v>
      </c>
      <c r="Q4" s="3510"/>
      <c r="R4" s="3515" t="s">
        <v>2462</v>
      </c>
      <c r="S4" s="3516"/>
      <c r="T4" s="3515" t="s">
        <v>2463</v>
      </c>
      <c r="U4" s="3516"/>
      <c r="V4" s="3502" t="s">
        <v>2464</v>
      </c>
      <c r="W4" s="3502"/>
      <c r="X4" s="1536"/>
      <c r="Y4" s="3515" t="s">
        <v>2466</v>
      </c>
      <c r="Z4" s="3516"/>
      <c r="AA4" s="3503" t="s">
        <v>2462</v>
      </c>
      <c r="AB4" s="3504" t="s">
        <v>2463</v>
      </c>
      <c r="AC4" s="3503" t="s">
        <v>2464</v>
      </c>
    </row>
    <row r="5" spans="1:30" ht="32.25" customHeight="1">
      <c r="A5" s="364"/>
      <c r="B5" s="365"/>
      <c r="C5" s="3523" t="s">
        <v>2357</v>
      </c>
      <c r="D5" s="3524"/>
      <c r="E5" s="3532" t="str">
        <f>土地案例!A7</f>
        <v>东川工业园区八一路北侧</v>
      </c>
      <c r="F5" s="3533"/>
      <c r="G5" s="3523" t="str">
        <f>土地案例!A8</f>
        <v>鲁沙尔镇庄隆路</v>
      </c>
      <c r="H5" s="3524"/>
      <c r="I5" s="3528" t="str">
        <f>土地案例!A9</f>
        <v>鲁沙尔镇庄隆路</v>
      </c>
      <c r="J5" s="3529"/>
      <c r="K5" s="567"/>
      <c r="L5" s="2938"/>
      <c r="M5" s="2939"/>
      <c r="N5" s="2939"/>
      <c r="O5" s="2939"/>
      <c r="P5" s="3511"/>
      <c r="Q5" s="3512"/>
      <c r="R5" s="3517"/>
      <c r="S5" s="3518"/>
      <c r="T5" s="3517"/>
      <c r="U5" s="3518"/>
      <c r="V5" s="3502"/>
      <c r="W5" s="3502"/>
      <c r="X5" s="1536"/>
      <c r="Y5" s="3517"/>
      <c r="Z5" s="3518"/>
      <c r="AA5" s="3504"/>
      <c r="AB5" s="3504"/>
      <c r="AC5" s="3504"/>
    </row>
    <row r="6" spans="1:30" ht="23.25" customHeight="1" thickBot="1">
      <c r="A6" s="366"/>
      <c r="B6" s="367"/>
      <c r="C6" s="3521" t="s">
        <v>2361</v>
      </c>
      <c r="D6" s="3522"/>
      <c r="E6" s="3530" t="str">
        <f>土地案例!D7</f>
        <v>2020JC-15</v>
      </c>
      <c r="F6" s="3531"/>
      <c r="G6" s="3521" t="str">
        <f>土地案例!D8</f>
        <v>2020-G10</v>
      </c>
      <c r="H6" s="3522"/>
      <c r="I6" s="3521" t="str">
        <f>土地案例!D9</f>
        <v>2020-G11</v>
      </c>
      <c r="J6" s="3522"/>
      <c r="K6" s="567" t="s">
        <v>2362</v>
      </c>
      <c r="L6" s="2938"/>
      <c r="M6" s="2939"/>
      <c r="N6" s="2939"/>
      <c r="O6" s="2939"/>
      <c r="P6" s="3513"/>
      <c r="Q6" s="3514"/>
      <c r="R6" s="3517"/>
      <c r="S6" s="3518"/>
      <c r="T6" s="3519"/>
      <c r="U6" s="3520"/>
      <c r="V6" s="3502"/>
      <c r="W6" s="3502"/>
      <c r="X6" s="1536"/>
      <c r="Y6" s="3519"/>
      <c r="Z6" s="3520"/>
      <c r="AA6" s="3505"/>
      <c r="AB6" s="3505"/>
      <c r="AC6" s="3505"/>
    </row>
    <row r="7" spans="1:30" s="113" customFormat="1" ht="15.75" thickBot="1">
      <c r="A7" s="368" t="s">
        <v>2363</v>
      </c>
      <c r="B7" s="369"/>
      <c r="C7" s="370">
        <f>'数据-取费表'!B2</f>
        <v>44541</v>
      </c>
      <c r="D7" s="371">
        <v>100</v>
      </c>
      <c r="E7" s="372" t="str">
        <f>土地案例!N7</f>
        <v>2020-12-02</v>
      </c>
      <c r="F7" s="373">
        <f>SUMIF(70:70,YEAR(E7)&amp;"-"&amp;INT((MONTH(E7)+2)/3),71:71)</f>
        <v>98</v>
      </c>
      <c r="G7" s="2157" t="str">
        <f>土地案例!N8</f>
        <v>2020-10-17</v>
      </c>
      <c r="H7" s="371">
        <f>SUMIF(70:70,YEAR(G7)&amp;"-"&amp;INT((MONTH(G7)+2)/3),71:71)</f>
        <v>98</v>
      </c>
      <c r="I7" s="2157" t="str">
        <f>土地案例!N9</f>
        <v>2020-10-17</v>
      </c>
      <c r="J7" s="371">
        <f>SUMIF(70:70,YEAR(I7)&amp;"-"&amp;INT((MONTH(I7)+2)/3),71:71)</f>
        <v>98</v>
      </c>
      <c r="K7" s="568"/>
      <c r="L7" s="2940"/>
      <c r="M7" s="2941"/>
      <c r="N7" s="2941"/>
      <c r="O7" s="2941"/>
      <c r="P7" s="3525" t="s">
        <v>2364</v>
      </c>
      <c r="Q7" s="3527"/>
      <c r="R7" s="709" t="s">
        <v>17</v>
      </c>
      <c r="S7" s="710">
        <f t="shared" ref="S7:S15" si="0">F7</f>
        <v>98</v>
      </c>
      <c r="T7" s="709" t="s">
        <v>17</v>
      </c>
      <c r="U7" s="710">
        <f t="shared" ref="U7:U15" si="1">H7</f>
        <v>98</v>
      </c>
      <c r="V7" s="709" t="s">
        <v>17</v>
      </c>
      <c r="W7" s="710">
        <f t="shared" ref="W7:W15" si="2">J7</f>
        <v>98</v>
      </c>
      <c r="X7" s="711"/>
      <c r="Y7" s="3525" t="s">
        <v>2364</v>
      </c>
      <c r="Z7" s="3526"/>
      <c r="AA7" s="712">
        <f>D7/F7</f>
        <v>1.0204081632653061</v>
      </c>
      <c r="AB7" s="712">
        <f>D7/H7</f>
        <v>1.0204081632653061</v>
      </c>
      <c r="AC7" s="712">
        <f>D7/J7</f>
        <v>1.0204081632653061</v>
      </c>
    </row>
    <row r="8" spans="1:30" s="113" customFormat="1" ht="15.75" thickBot="1">
      <c r="A8" s="368" t="s">
        <v>2365</v>
      </c>
      <c r="B8" s="369"/>
      <c r="C8" s="374" t="s">
        <v>2366</v>
      </c>
      <c r="D8" s="371">
        <v>100</v>
      </c>
      <c r="E8" s="374" t="s">
        <v>2366</v>
      </c>
      <c r="F8" s="373">
        <f>SUMIF(73:73,E8,74:74)-SUMIF(73:73,C8,74:74)+100</f>
        <v>100</v>
      </c>
      <c r="G8" s="374" t="s">
        <v>2366</v>
      </c>
      <c r="H8" s="371">
        <f>SUMIF(73:73,G8,74:74)-SUMIF(73:73,C8,74:74)+100</f>
        <v>100</v>
      </c>
      <c r="I8" s="374" t="s">
        <v>2366</v>
      </c>
      <c r="J8" s="371">
        <f>SUMIF(73:73,I8,74:74)-SUMIF(73:73,C8,74:74)+100</f>
        <v>100</v>
      </c>
      <c r="K8" s="568"/>
      <c r="L8" s="2940"/>
      <c r="M8" s="2941"/>
      <c r="N8" s="2941"/>
      <c r="O8" s="2941"/>
      <c r="P8" s="3525" t="s">
        <v>2367</v>
      </c>
      <c r="Q8" s="3526"/>
      <c r="R8" s="709" t="s">
        <v>17</v>
      </c>
      <c r="S8" s="710">
        <f t="shared" si="0"/>
        <v>100</v>
      </c>
      <c r="T8" s="709" t="s">
        <v>17</v>
      </c>
      <c r="U8" s="710">
        <f t="shared" si="1"/>
        <v>100</v>
      </c>
      <c r="V8" s="709" t="s">
        <v>17</v>
      </c>
      <c r="W8" s="710">
        <f t="shared" si="2"/>
        <v>100</v>
      </c>
      <c r="X8" s="711"/>
      <c r="Y8" s="3525" t="s">
        <v>2367</v>
      </c>
      <c r="Z8" s="3526"/>
      <c r="AA8" s="712">
        <f t="shared" ref="AA8:AA45" si="3">D8/F8</f>
        <v>1</v>
      </c>
      <c r="AB8" s="712">
        <f t="shared" ref="AB8:AB45" si="4">D8/H8</f>
        <v>1</v>
      </c>
      <c r="AC8" s="712">
        <f t="shared" ref="AC8:AC45" si="5">D8/J8</f>
        <v>1</v>
      </c>
    </row>
    <row r="9" spans="1:30" s="113" customFormat="1">
      <c r="A9" s="375" t="s">
        <v>2368</v>
      </c>
      <c r="B9" s="67" t="s">
        <v>2369</v>
      </c>
      <c r="C9" s="2160" t="s">
        <v>1337</v>
      </c>
      <c r="D9" s="131">
        <v>100</v>
      </c>
      <c r="E9" s="2160" t="s">
        <v>1337</v>
      </c>
      <c r="F9" s="131">
        <f>SUMIF(75:75,E9,76:76)-SUMIF(75:75,C9,76:76)+100</f>
        <v>100</v>
      </c>
      <c r="G9" s="2160" t="s">
        <v>1337</v>
      </c>
      <c r="H9" s="131">
        <f>SUMIF(75:75,G9,76:76)-SUMIF(75:75,C9,76:76)+100</f>
        <v>100</v>
      </c>
      <c r="I9" s="2160" t="s">
        <v>1337</v>
      </c>
      <c r="J9" s="131">
        <f>SUMIF(75:75,I9,76:76)-SUMIF(75:75,C9,76:76)+100</f>
        <v>100</v>
      </c>
      <c r="K9" s="568"/>
      <c r="L9" s="2940"/>
      <c r="M9" s="2941"/>
      <c r="N9" s="2941"/>
      <c r="O9" s="2995"/>
      <c r="P9" s="3496" t="s">
        <v>2370</v>
      </c>
      <c r="Q9" s="1524" t="str">
        <f t="shared" ref="Q9:Q15" si="6">B9</f>
        <v>用途</v>
      </c>
      <c r="R9" s="709" t="s">
        <v>17</v>
      </c>
      <c r="S9" s="710">
        <f t="shared" si="0"/>
        <v>100</v>
      </c>
      <c r="T9" s="709" t="s">
        <v>17</v>
      </c>
      <c r="U9" s="710">
        <f t="shared" si="1"/>
        <v>100</v>
      </c>
      <c r="V9" s="709" t="s">
        <v>17</v>
      </c>
      <c r="W9" s="710">
        <f t="shared" si="2"/>
        <v>100</v>
      </c>
      <c r="X9" s="711"/>
      <c r="Y9" s="3386" t="s">
        <v>2371</v>
      </c>
      <c r="Z9" s="55" t="str">
        <f t="shared" ref="Z9:Z15" si="7">Q9</f>
        <v>用途</v>
      </c>
      <c r="AA9" s="712">
        <f t="shared" si="3"/>
        <v>1</v>
      </c>
      <c r="AB9" s="712">
        <f t="shared" si="4"/>
        <v>1</v>
      </c>
      <c r="AC9" s="712">
        <f t="shared" si="5"/>
        <v>1</v>
      </c>
    </row>
    <row r="10" spans="1:30" s="386" customFormat="1" ht="27">
      <c r="A10" s="380"/>
      <c r="B10" s="381" t="s">
        <v>2372</v>
      </c>
      <c r="C10" s="391"/>
      <c r="D10" s="132">
        <v>100</v>
      </c>
      <c r="E10" s="424"/>
      <c r="F10" s="132">
        <f>ROUND(100/'数据-取费表'!G16,0)</f>
        <v>107</v>
      </c>
      <c r="G10" s="422"/>
      <c r="H10" s="132">
        <f>ROUND(100/'数据-取费表'!G16,0)</f>
        <v>107</v>
      </c>
      <c r="I10" s="422"/>
      <c r="J10" s="132">
        <f>ROUND(100/'数据-取费表'!G16,0)</f>
        <v>107</v>
      </c>
      <c r="K10" s="628"/>
      <c r="L10" s="2942"/>
      <c r="M10" s="2943"/>
      <c r="N10" s="2943"/>
      <c r="O10" s="2996"/>
      <c r="P10" s="3496"/>
      <c r="Q10" s="1524" t="str">
        <f t="shared" si="6"/>
        <v>土地使用年限（年）</v>
      </c>
      <c r="R10" s="709" t="s">
        <v>17</v>
      </c>
      <c r="S10" s="710">
        <f t="shared" si="0"/>
        <v>107</v>
      </c>
      <c r="T10" s="709" t="s">
        <v>17</v>
      </c>
      <c r="U10" s="710">
        <f t="shared" si="1"/>
        <v>107</v>
      </c>
      <c r="V10" s="709" t="s">
        <v>17</v>
      </c>
      <c r="W10" s="710">
        <f t="shared" si="2"/>
        <v>107</v>
      </c>
      <c r="X10" s="711"/>
      <c r="Y10" s="3386"/>
      <c r="Z10" s="55" t="str">
        <f t="shared" si="7"/>
        <v>土地使用年限（年）</v>
      </c>
      <c r="AA10" s="712">
        <f t="shared" si="3"/>
        <v>0.93457943925233644</v>
      </c>
      <c r="AB10" s="712">
        <f t="shared" si="4"/>
        <v>0.93457943925233644</v>
      </c>
      <c r="AC10" s="712">
        <f t="shared" si="5"/>
        <v>0.93457943925233644</v>
      </c>
    </row>
    <row r="11" spans="1:30" ht="15">
      <c r="A11" s="387"/>
      <c r="B11" s="381" t="s">
        <v>2373</v>
      </c>
      <c r="C11" s="388">
        <f>'数据-汇总表'!I4</f>
        <v>1.07</v>
      </c>
      <c r="D11" s="132">
        <v>100</v>
      </c>
      <c r="E11" s="388">
        <v>3</v>
      </c>
      <c r="F11" s="132">
        <f>LOOKUP(E11,80:80,81:81)-LOOKUP(C11,80:80,81:81)+100</f>
        <v>90</v>
      </c>
      <c r="G11" s="389">
        <v>2</v>
      </c>
      <c r="H11" s="132">
        <f>LOOKUP(G11,80:80,81:81)-LOOKUP(C11,80:80,81:81)+100</f>
        <v>95</v>
      </c>
      <c r="I11" s="388">
        <v>2</v>
      </c>
      <c r="J11" s="132">
        <f>LOOKUP(I11,80:80,81:81)-LOOKUP(C11,80:80,81:81)+100</f>
        <v>95</v>
      </c>
      <c r="K11" s="629">
        <v>5</v>
      </c>
      <c r="L11" s="2944"/>
      <c r="M11" s="2939"/>
      <c r="N11" s="2939"/>
      <c r="O11" s="2997"/>
      <c r="P11" s="3496"/>
      <c r="Q11" s="1524" t="str">
        <f t="shared" si="6"/>
        <v>容积率</v>
      </c>
      <c r="R11" s="709" t="s">
        <v>17</v>
      </c>
      <c r="S11" s="710">
        <f t="shared" si="0"/>
        <v>90</v>
      </c>
      <c r="T11" s="709" t="s">
        <v>17</v>
      </c>
      <c r="U11" s="710">
        <f t="shared" si="1"/>
        <v>95</v>
      </c>
      <c r="V11" s="709" t="s">
        <v>17</v>
      </c>
      <c r="W11" s="710">
        <f t="shared" si="2"/>
        <v>95</v>
      </c>
      <c r="X11" s="711"/>
      <c r="Y11" s="3386"/>
      <c r="Z11" s="55" t="str">
        <f t="shared" si="7"/>
        <v>容积率</v>
      </c>
      <c r="AA11" s="712">
        <f t="shared" si="3"/>
        <v>1.1111111111111112</v>
      </c>
      <c r="AB11" s="712">
        <f t="shared" si="4"/>
        <v>1.0526315789473684</v>
      </c>
      <c r="AC11" s="712">
        <f t="shared" si="5"/>
        <v>1.0526315789473684</v>
      </c>
    </row>
    <row r="12" spans="1:30" s="113" customFormat="1" ht="15" hidden="1">
      <c r="A12" s="390"/>
      <c r="B12" s="2076" t="s">
        <v>2562</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496"/>
      <c r="Q12" s="1524" t="str">
        <f t="shared" si="6"/>
        <v>配建</v>
      </c>
      <c r="R12" s="709" t="s">
        <v>17</v>
      </c>
      <c r="S12" s="710">
        <f t="shared" si="0"/>
        <v>100</v>
      </c>
      <c r="T12" s="709" t="s">
        <v>17</v>
      </c>
      <c r="U12" s="710">
        <f t="shared" si="1"/>
        <v>100</v>
      </c>
      <c r="V12" s="709" t="s">
        <v>17</v>
      </c>
      <c r="W12" s="710">
        <f t="shared" si="2"/>
        <v>100</v>
      </c>
      <c r="X12" s="711"/>
      <c r="Y12" s="3386"/>
      <c r="Z12" s="55" t="str">
        <f t="shared" si="7"/>
        <v>配建</v>
      </c>
      <c r="AA12" s="712">
        <f>D12/F12</f>
        <v>1</v>
      </c>
      <c r="AB12" s="712">
        <f>D12/H12</f>
        <v>1</v>
      </c>
      <c r="AC12" s="712">
        <f>D12/J12</f>
        <v>1</v>
      </c>
    </row>
    <row r="13" spans="1:30" ht="15" hidden="1">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496"/>
      <c r="Q13" s="1524">
        <f t="shared" si="6"/>
        <v>111</v>
      </c>
      <c r="R13" s="709" t="s">
        <v>17</v>
      </c>
      <c r="S13" s="710">
        <f t="shared" si="0"/>
        <v>100</v>
      </c>
      <c r="T13" s="709" t="s">
        <v>17</v>
      </c>
      <c r="U13" s="710">
        <f t="shared" si="1"/>
        <v>100</v>
      </c>
      <c r="V13" s="709" t="s">
        <v>17</v>
      </c>
      <c r="W13" s="710">
        <f t="shared" si="2"/>
        <v>100</v>
      </c>
      <c r="X13" s="711"/>
      <c r="Y13" s="3386"/>
      <c r="Z13" s="55">
        <f t="shared" si="7"/>
        <v>111</v>
      </c>
      <c r="AA13" s="712">
        <f>D13/F13</f>
        <v>1</v>
      </c>
      <c r="AB13" s="712">
        <f>D13/H13</f>
        <v>1</v>
      </c>
      <c r="AC13" s="712">
        <f>D13/J13</f>
        <v>1</v>
      </c>
    </row>
    <row r="14" spans="1:30" ht="15.75" hidden="1"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496"/>
      <c r="Q14" s="1524">
        <f t="shared" si="6"/>
        <v>111</v>
      </c>
      <c r="R14" s="709" t="s">
        <v>17</v>
      </c>
      <c r="S14" s="710">
        <f t="shared" si="0"/>
        <v>100</v>
      </c>
      <c r="T14" s="709" t="s">
        <v>17</v>
      </c>
      <c r="U14" s="710">
        <f t="shared" si="1"/>
        <v>100</v>
      </c>
      <c r="V14" s="709" t="s">
        <v>17</v>
      </c>
      <c r="W14" s="710">
        <f t="shared" si="2"/>
        <v>100</v>
      </c>
      <c r="X14" s="711"/>
      <c r="Y14" s="3386"/>
      <c r="Z14" s="55">
        <f t="shared" si="7"/>
        <v>111</v>
      </c>
      <c r="AA14" s="712">
        <f>D14/F14</f>
        <v>1</v>
      </c>
      <c r="AB14" s="712">
        <f>D14/H14</f>
        <v>1</v>
      </c>
      <c r="AC14" s="712">
        <f>D14/J14</f>
        <v>1</v>
      </c>
    </row>
    <row r="15" spans="1:30" ht="71.25" hidden="1">
      <c r="A15" s="399" t="s">
        <v>2374</v>
      </c>
      <c r="B15" s="65" t="s">
        <v>1937</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498" t="s">
        <v>2375</v>
      </c>
      <c r="Q15" s="1533" t="str">
        <f t="shared" si="6"/>
        <v>居住社区成熟度</v>
      </c>
      <c r="R15" s="713" t="s">
        <v>17</v>
      </c>
      <c r="S15" s="714">
        <f t="shared" si="0"/>
        <v>100</v>
      </c>
      <c r="T15" s="713" t="s">
        <v>17</v>
      </c>
      <c r="U15" s="714">
        <f t="shared" si="1"/>
        <v>100</v>
      </c>
      <c r="V15" s="713" t="s">
        <v>17</v>
      </c>
      <c r="W15" s="714">
        <f t="shared" si="2"/>
        <v>100</v>
      </c>
      <c r="X15" s="1536"/>
      <c r="Y15" s="3498" t="s">
        <v>2375</v>
      </c>
      <c r="Z15" s="1537" t="str">
        <f t="shared" si="7"/>
        <v>居住社区成熟度</v>
      </c>
      <c r="AA15" s="1534">
        <f t="shared" si="3"/>
        <v>1</v>
      </c>
      <c r="AB15" s="1534">
        <f t="shared" si="4"/>
        <v>1</v>
      </c>
      <c r="AC15" s="1534">
        <f t="shared" si="5"/>
        <v>1</v>
      </c>
    </row>
    <row r="16" spans="1:30" ht="15" hidden="1">
      <c r="A16" s="387"/>
      <c r="B16" s="405"/>
      <c r="C16" s="406"/>
      <c r="D16" s="407"/>
      <c r="E16" s="2081"/>
      <c r="F16" s="407"/>
      <c r="G16" s="2081"/>
      <c r="H16" s="409"/>
      <c r="I16" s="2080"/>
      <c r="J16" s="407"/>
      <c r="K16" s="628"/>
      <c r="L16" s="2945"/>
      <c r="M16" s="2939"/>
      <c r="N16" s="2939"/>
      <c r="O16" s="2997"/>
      <c r="P16" s="3499"/>
      <c r="Q16" s="1533"/>
      <c r="R16" s="713"/>
      <c r="S16" s="714"/>
      <c r="T16" s="713"/>
      <c r="U16" s="714"/>
      <c r="V16" s="713"/>
      <c r="W16" s="714"/>
      <c r="X16" s="1536"/>
      <c r="Y16" s="3499"/>
      <c r="Z16" s="1537"/>
      <c r="AA16" s="1534">
        <v>1</v>
      </c>
      <c r="AB16" s="1534">
        <v>1</v>
      </c>
      <c r="AC16" s="1534">
        <v>1</v>
      </c>
    </row>
    <row r="17" spans="1:29" ht="57">
      <c r="A17" s="387"/>
      <c r="B17" s="410" t="s">
        <v>2468</v>
      </c>
      <c r="C17" s="2138" t="str">
        <f>估价对象房地状况!C16</f>
        <v>估价对象位于XX商圈，周边商业氛围成熟，人流量大，商业繁华度好</v>
      </c>
      <c r="D17" s="409">
        <v>100</v>
      </c>
      <c r="E17" s="411"/>
      <c r="F17" s="409">
        <f>SUMIF(90:90,E18,91:91)-SUMIF(90:90,C18,91:91)+100</f>
        <v>102</v>
      </c>
      <c r="G17" s="411"/>
      <c r="H17" s="414">
        <f>SUMIF(90:90,G18,91:91)-SUMIF(90:90,C18,91:91)+100</f>
        <v>100</v>
      </c>
      <c r="I17" s="413"/>
      <c r="J17" s="414">
        <f>SUMIF(90:90,I18,91:91)-SUMIF(90:90,C18,91:91)+100</f>
        <v>100</v>
      </c>
      <c r="K17" s="629">
        <v>2</v>
      </c>
      <c r="L17" s="2945"/>
      <c r="M17" s="2939"/>
      <c r="N17" s="2939"/>
      <c r="O17" s="2997"/>
      <c r="P17" s="3499"/>
      <c r="Q17" s="1533" t="str">
        <f>B17</f>
        <v>商业繁华度</v>
      </c>
      <c r="R17" s="713" t="s">
        <v>17</v>
      </c>
      <c r="S17" s="714">
        <f>F17</f>
        <v>102</v>
      </c>
      <c r="T17" s="713" t="s">
        <v>17</v>
      </c>
      <c r="U17" s="714">
        <f>H17</f>
        <v>100</v>
      </c>
      <c r="V17" s="713" t="s">
        <v>17</v>
      </c>
      <c r="W17" s="714">
        <f>J17</f>
        <v>100</v>
      </c>
      <c r="X17" s="1536"/>
      <c r="Y17" s="3499"/>
      <c r="Z17" s="1537" t="str">
        <f>Q17</f>
        <v>商业繁华度</v>
      </c>
      <c r="AA17" s="1534">
        <f t="shared" si="3"/>
        <v>0.98039215686274506</v>
      </c>
      <c r="AB17" s="1534">
        <f t="shared" si="4"/>
        <v>1</v>
      </c>
      <c r="AC17" s="1534">
        <f t="shared" si="5"/>
        <v>1</v>
      </c>
    </row>
    <row r="18" spans="1:29" ht="15">
      <c r="A18" s="387"/>
      <c r="B18" s="415"/>
      <c r="C18" s="2084" t="s">
        <v>3323</v>
      </c>
      <c r="D18" s="409"/>
      <c r="E18" s="2084" t="s">
        <v>3324</v>
      </c>
      <c r="F18" s="409"/>
      <c r="G18" s="2084" t="s">
        <v>3323</v>
      </c>
      <c r="H18" s="407"/>
      <c r="I18" s="2084" t="s">
        <v>3323</v>
      </c>
      <c r="J18" s="407"/>
      <c r="K18" s="628"/>
      <c r="L18" s="2945"/>
      <c r="M18" s="2939"/>
      <c r="N18" s="2939"/>
      <c r="O18" s="2997"/>
      <c r="P18" s="3499"/>
      <c r="Q18" s="1533"/>
      <c r="R18" s="713"/>
      <c r="S18" s="714"/>
      <c r="T18" s="713"/>
      <c r="U18" s="714"/>
      <c r="V18" s="713"/>
      <c r="W18" s="714"/>
      <c r="X18" s="1536"/>
      <c r="Y18" s="3499"/>
      <c r="Z18" s="1537"/>
      <c r="AA18" s="1534">
        <v>1</v>
      </c>
      <c r="AB18" s="1534">
        <v>1</v>
      </c>
      <c r="AC18" s="1534">
        <v>1</v>
      </c>
    </row>
    <row r="19" spans="1:29" ht="57" hidden="1">
      <c r="A19" s="387"/>
      <c r="B19" s="410" t="s">
        <v>2502</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499"/>
      <c r="Q19" s="1533" t="str">
        <f>B19</f>
        <v>办公集聚程度</v>
      </c>
      <c r="R19" s="713" t="s">
        <v>17</v>
      </c>
      <c r="S19" s="714">
        <f>F19</f>
        <v>100</v>
      </c>
      <c r="T19" s="713" t="s">
        <v>17</v>
      </c>
      <c r="U19" s="714">
        <f>H19</f>
        <v>100</v>
      </c>
      <c r="V19" s="713" t="s">
        <v>17</v>
      </c>
      <c r="W19" s="714">
        <f>J19</f>
        <v>100</v>
      </c>
      <c r="X19" s="1536"/>
      <c r="Y19" s="3499"/>
      <c r="Z19" s="1537" t="str">
        <f>Q19</f>
        <v>办公集聚程度</v>
      </c>
      <c r="AA19" s="1534">
        <f t="shared" si="3"/>
        <v>1</v>
      </c>
      <c r="AB19" s="1534">
        <f t="shared" si="4"/>
        <v>1</v>
      </c>
      <c r="AC19" s="1534">
        <f t="shared" si="5"/>
        <v>1</v>
      </c>
    </row>
    <row r="20" spans="1:29" ht="15" hidden="1">
      <c r="A20" s="387"/>
      <c r="B20" s="415"/>
      <c r="C20" s="406"/>
      <c r="D20" s="407"/>
      <c r="E20" s="2081"/>
      <c r="F20" s="407"/>
      <c r="G20" s="2081"/>
      <c r="H20" s="407"/>
      <c r="I20" s="2080"/>
      <c r="J20" s="407"/>
      <c r="K20" s="628"/>
      <c r="L20" s="2945"/>
      <c r="M20" s="2939"/>
      <c r="N20" s="2939"/>
      <c r="O20" s="2997"/>
      <c r="P20" s="3499"/>
      <c r="Q20" s="1533"/>
      <c r="R20" s="713"/>
      <c r="S20" s="714"/>
      <c r="T20" s="713"/>
      <c r="U20" s="714"/>
      <c r="V20" s="713"/>
      <c r="W20" s="714"/>
      <c r="X20" s="1536"/>
      <c r="Y20" s="3499"/>
      <c r="Z20" s="1537"/>
      <c r="AA20" s="1534">
        <v>1</v>
      </c>
      <c r="AB20" s="1534">
        <v>1</v>
      </c>
      <c r="AC20" s="1534">
        <v>1</v>
      </c>
    </row>
    <row r="21" spans="1:29" ht="71.25">
      <c r="A21" s="387"/>
      <c r="B21" s="410" t="s">
        <v>2524</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45"/>
      <c r="M21" s="2939"/>
      <c r="N21" s="2939"/>
      <c r="O21" s="2997"/>
      <c r="P21" s="3499"/>
      <c r="Q21" s="1533" t="str">
        <f>B21</f>
        <v>交通便捷度</v>
      </c>
      <c r="R21" s="713" t="s">
        <v>17</v>
      </c>
      <c r="S21" s="714">
        <f>F21</f>
        <v>100</v>
      </c>
      <c r="T21" s="713" t="s">
        <v>17</v>
      </c>
      <c r="U21" s="714">
        <f>H21</f>
        <v>98</v>
      </c>
      <c r="V21" s="713" t="s">
        <v>17</v>
      </c>
      <c r="W21" s="714">
        <f>J21</f>
        <v>98</v>
      </c>
      <c r="X21" s="1536"/>
      <c r="Y21" s="3499"/>
      <c r="Z21" s="1537" t="str">
        <f>Q21</f>
        <v>交通便捷度</v>
      </c>
      <c r="AA21" s="1534">
        <f t="shared" si="3"/>
        <v>1</v>
      </c>
      <c r="AB21" s="1534">
        <f t="shared" si="4"/>
        <v>1.0204081632653061</v>
      </c>
      <c r="AC21" s="1534">
        <f t="shared" si="5"/>
        <v>1.0204081632653061</v>
      </c>
    </row>
    <row r="22" spans="1:29" ht="15">
      <c r="A22" s="387"/>
      <c r="B22" s="1291"/>
      <c r="C22" s="406" t="s">
        <v>3324</v>
      </c>
      <c r="D22" s="409"/>
      <c r="E22" s="406" t="s">
        <v>3324</v>
      </c>
      <c r="F22" s="407"/>
      <c r="G22" s="406" t="s">
        <v>3323</v>
      </c>
      <c r="H22" s="407"/>
      <c r="I22" s="406" t="s">
        <v>3323</v>
      </c>
      <c r="J22" s="407"/>
      <c r="K22" s="628"/>
      <c r="L22" s="2945"/>
      <c r="M22" s="2939"/>
      <c r="N22" s="2939"/>
      <c r="O22" s="2997"/>
      <c r="P22" s="3499"/>
      <c r="Q22" s="1533"/>
      <c r="R22" s="713"/>
      <c r="S22" s="714"/>
      <c r="T22" s="713"/>
      <c r="U22" s="714"/>
      <c r="V22" s="713"/>
      <c r="W22" s="714"/>
      <c r="X22" s="1536"/>
      <c r="Y22" s="3499"/>
      <c r="Z22" s="1537"/>
      <c r="AA22" s="1534">
        <v>1</v>
      </c>
      <c r="AB22" s="1534">
        <v>1</v>
      </c>
      <c r="AC22" s="1534">
        <v>1</v>
      </c>
    </row>
    <row r="23" spans="1:29" ht="15">
      <c r="A23" s="364"/>
      <c r="B23" s="410" t="s">
        <v>2563</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5"/>
      <c r="M23" s="2939"/>
      <c r="N23" s="2939"/>
      <c r="O23" s="2997"/>
      <c r="P23" s="3499"/>
      <c r="Q23" s="1533" t="str">
        <f t="shared" ref="Q23:Q37" si="8">B23</f>
        <v>区域土地利用方向</v>
      </c>
      <c r="R23" s="713" t="s">
        <v>17</v>
      </c>
      <c r="S23" s="714">
        <f>F23</f>
        <v>100</v>
      </c>
      <c r="T23" s="713" t="s">
        <v>17</v>
      </c>
      <c r="U23" s="714">
        <f>H23</f>
        <v>100</v>
      </c>
      <c r="V23" s="713" t="s">
        <v>17</v>
      </c>
      <c r="W23" s="714">
        <f>J23</f>
        <v>100</v>
      </c>
      <c r="X23" s="1536"/>
      <c r="Y23" s="3499"/>
      <c r="Z23" s="1537" t="str">
        <f>Q23</f>
        <v>区域土地利用方向</v>
      </c>
      <c r="AA23" s="1534">
        <f t="shared" si="3"/>
        <v>1</v>
      </c>
      <c r="AB23" s="1534">
        <f t="shared" si="4"/>
        <v>1</v>
      </c>
      <c r="AC23" s="1534">
        <f t="shared" si="5"/>
        <v>1</v>
      </c>
    </row>
    <row r="24" spans="1:29" ht="15">
      <c r="A24" s="364"/>
      <c r="B24" s="415"/>
      <c r="C24" s="573" t="s">
        <v>3101</v>
      </c>
      <c r="D24" s="407"/>
      <c r="E24" s="573" t="s">
        <v>3101</v>
      </c>
      <c r="F24" s="407"/>
      <c r="G24" s="573" t="s">
        <v>3101</v>
      </c>
      <c r="H24" s="407"/>
      <c r="I24" s="573" t="s">
        <v>3101</v>
      </c>
      <c r="J24" s="407"/>
      <c r="K24" s="750"/>
      <c r="L24" s="2945"/>
      <c r="M24" s="2939"/>
      <c r="N24" s="2939"/>
      <c r="O24" s="2997"/>
      <c r="P24" s="3499"/>
      <c r="Q24" s="1533"/>
      <c r="R24" s="713"/>
      <c r="S24" s="714"/>
      <c r="T24" s="713"/>
      <c r="U24" s="714"/>
      <c r="V24" s="713"/>
      <c r="W24" s="714"/>
      <c r="X24" s="1536"/>
      <c r="Y24" s="3499"/>
      <c r="Z24" s="1537"/>
      <c r="AA24" s="1534"/>
      <c r="AB24" s="1534"/>
      <c r="AC24" s="1534"/>
    </row>
    <row r="25" spans="1:29" ht="42.75">
      <c r="A25" s="364"/>
      <c r="B25" s="1291" t="s">
        <v>2564</v>
      </c>
      <c r="C25" s="2138" t="str">
        <f>估价对象房地状况!C20</f>
        <v>区域自然环境：；人文环境；综合评价环境状况一般</v>
      </c>
      <c r="D25" s="409">
        <v>100</v>
      </c>
      <c r="E25" s="411"/>
      <c r="F25" s="409">
        <f>SUMIF(98:98,E26,99:99)-SUMIF(98:98,C26,99:99)+100</f>
        <v>105</v>
      </c>
      <c r="G25" s="411"/>
      <c r="H25" s="409">
        <f>SUMIF(98:98,G26,99:99)-SUMIF(98:98,C26,99:99)+100</f>
        <v>100</v>
      </c>
      <c r="I25" s="413"/>
      <c r="J25" s="409">
        <f>SUMIF(98:98,I26,99:99)-SUMIF(98:98,C26,99:99)+100</f>
        <v>100</v>
      </c>
      <c r="K25" s="629">
        <v>5</v>
      </c>
      <c r="L25" s="2945"/>
      <c r="M25" s="2939"/>
      <c r="N25" s="2939"/>
      <c r="O25" s="2997"/>
      <c r="P25" s="3499"/>
      <c r="Q25" s="1533" t="str">
        <f t="shared" si="8"/>
        <v>自然及人文环境状况</v>
      </c>
      <c r="R25" s="713" t="s">
        <v>17</v>
      </c>
      <c r="S25" s="714">
        <f>F25</f>
        <v>105</v>
      </c>
      <c r="T25" s="713" t="s">
        <v>17</v>
      </c>
      <c r="U25" s="714">
        <f>H25</f>
        <v>100</v>
      </c>
      <c r="V25" s="713" t="s">
        <v>17</v>
      </c>
      <c r="W25" s="714">
        <f>J25</f>
        <v>100</v>
      </c>
      <c r="X25" s="1536"/>
      <c r="Y25" s="3499"/>
      <c r="Z25" s="1537" t="str">
        <f>Q25</f>
        <v>自然及人文环境状况</v>
      </c>
      <c r="AA25" s="1534">
        <f t="shared" si="3"/>
        <v>0.95238095238095233</v>
      </c>
      <c r="AB25" s="1534">
        <f t="shared" si="4"/>
        <v>1</v>
      </c>
      <c r="AC25" s="1534">
        <f t="shared" si="5"/>
        <v>1</v>
      </c>
    </row>
    <row r="26" spans="1:29" ht="15">
      <c r="A26" s="364"/>
      <c r="B26" s="415"/>
      <c r="C26" s="406" t="s">
        <v>3323</v>
      </c>
      <c r="D26" s="407"/>
      <c r="E26" s="406" t="s">
        <v>3324</v>
      </c>
      <c r="F26" s="407"/>
      <c r="G26" s="406" t="s">
        <v>3323</v>
      </c>
      <c r="H26" s="407"/>
      <c r="I26" s="406" t="s">
        <v>3323</v>
      </c>
      <c r="J26" s="407"/>
      <c r="K26" s="628"/>
      <c r="L26" s="2945"/>
      <c r="M26" s="2939"/>
      <c r="N26" s="2939"/>
      <c r="O26" s="2997"/>
      <c r="P26" s="3499"/>
      <c r="Q26" s="1533"/>
      <c r="R26" s="713"/>
      <c r="S26" s="714"/>
      <c r="T26" s="713"/>
      <c r="U26" s="714"/>
      <c r="V26" s="713"/>
      <c r="W26" s="714"/>
      <c r="X26" s="1536"/>
      <c r="Y26" s="3499"/>
      <c r="Z26" s="1537"/>
      <c r="AA26" s="1534">
        <v>1</v>
      </c>
      <c r="AB26" s="1534">
        <v>1</v>
      </c>
      <c r="AC26" s="1534">
        <v>1</v>
      </c>
    </row>
    <row r="27" spans="1:29" s="113" customFormat="1" ht="28.5">
      <c r="A27" s="605"/>
      <c r="B27" s="1291" t="s">
        <v>2469</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3</v>
      </c>
      <c r="L27" s="2940"/>
      <c r="M27" s="2941"/>
      <c r="N27" s="2941"/>
      <c r="O27" s="2995"/>
      <c r="P27" s="3499"/>
      <c r="Q27" s="1524" t="str">
        <f t="shared" si="8"/>
        <v>公共配套设施</v>
      </c>
      <c r="R27" s="709" t="s">
        <v>17</v>
      </c>
      <c r="S27" s="710">
        <f>F27</f>
        <v>100</v>
      </c>
      <c r="T27" s="709" t="s">
        <v>17</v>
      </c>
      <c r="U27" s="710">
        <f>H27</f>
        <v>100</v>
      </c>
      <c r="V27" s="709" t="s">
        <v>17</v>
      </c>
      <c r="W27" s="710">
        <f>J27</f>
        <v>100</v>
      </c>
      <c r="X27" s="711"/>
      <c r="Y27" s="3499"/>
      <c r="Z27" s="55" t="str">
        <f>Q27</f>
        <v>公共配套设施</v>
      </c>
      <c r="AA27" s="1534">
        <f>D27/F27</f>
        <v>1</v>
      </c>
      <c r="AB27" s="1534">
        <f>D27/H27</f>
        <v>1</v>
      </c>
      <c r="AC27" s="1534">
        <f>D27/J27</f>
        <v>1</v>
      </c>
    </row>
    <row r="28" spans="1:29" s="113" customFormat="1" ht="15">
      <c r="A28" s="605"/>
      <c r="B28" s="415"/>
      <c r="C28" s="2161" t="s">
        <v>3324</v>
      </c>
      <c r="D28" s="407"/>
      <c r="E28" s="2161" t="s">
        <v>3324</v>
      </c>
      <c r="F28" s="407"/>
      <c r="G28" s="2161" t="s">
        <v>3324</v>
      </c>
      <c r="H28" s="407"/>
      <c r="I28" s="2161" t="s">
        <v>3324</v>
      </c>
      <c r="J28" s="407"/>
      <c r="K28" s="628"/>
      <c r="L28" s="2940"/>
      <c r="M28" s="2941"/>
      <c r="N28" s="2941"/>
      <c r="O28" s="2995"/>
      <c r="P28" s="3499"/>
      <c r="Q28" s="1524"/>
      <c r="R28" s="709"/>
      <c r="S28" s="710"/>
      <c r="T28" s="709"/>
      <c r="U28" s="710"/>
      <c r="V28" s="709"/>
      <c r="W28" s="710"/>
      <c r="X28" s="711"/>
      <c r="Y28" s="3499"/>
      <c r="Z28" s="55"/>
      <c r="AA28" s="1534">
        <v>1</v>
      </c>
      <c r="AB28" s="1534">
        <v>1</v>
      </c>
      <c r="AC28" s="1534">
        <v>1</v>
      </c>
    </row>
    <row r="29" spans="1:29" s="113" customFormat="1" ht="28.5">
      <c r="A29" s="605"/>
      <c r="B29" s="1291" t="s">
        <v>2470</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0"/>
      <c r="M29" s="2941"/>
      <c r="N29" s="2941"/>
      <c r="O29" s="2995"/>
      <c r="P29" s="3499"/>
      <c r="Q29" s="1524" t="str">
        <f>B29</f>
        <v>基础设施水平</v>
      </c>
      <c r="R29" s="709" t="s">
        <v>17</v>
      </c>
      <c r="S29" s="710">
        <f>F29</f>
        <v>100</v>
      </c>
      <c r="T29" s="709" t="s">
        <v>17</v>
      </c>
      <c r="U29" s="710">
        <f>H29</f>
        <v>100</v>
      </c>
      <c r="V29" s="709" t="s">
        <v>17</v>
      </c>
      <c r="W29" s="710">
        <f>J29</f>
        <v>100</v>
      </c>
      <c r="X29" s="711"/>
      <c r="Y29" s="3499"/>
      <c r="Z29" s="55" t="str">
        <f>Q29</f>
        <v>基础设施水平</v>
      </c>
      <c r="AA29" s="1534">
        <f>D29/F29</f>
        <v>1</v>
      </c>
      <c r="AB29" s="1534">
        <f>D29/H29</f>
        <v>1</v>
      </c>
      <c r="AC29" s="1534">
        <f>D29/J29</f>
        <v>1</v>
      </c>
    </row>
    <row r="30" spans="1:29" s="113" customFormat="1" ht="15.75" thickBot="1">
      <c r="A30" s="605"/>
      <c r="B30" s="415"/>
      <c r="C30" s="2161" t="s">
        <v>3325</v>
      </c>
      <c r="D30" s="407"/>
      <c r="E30" s="2161" t="s">
        <v>3325</v>
      </c>
      <c r="F30" s="407"/>
      <c r="G30" s="2161" t="s">
        <v>3325</v>
      </c>
      <c r="H30" s="407"/>
      <c r="I30" s="2161" t="s">
        <v>3325</v>
      </c>
      <c r="J30" s="407"/>
      <c r="K30" s="628"/>
      <c r="L30" s="2940"/>
      <c r="M30" s="2941"/>
      <c r="N30" s="2941"/>
      <c r="O30" s="2995"/>
      <c r="P30" s="3499"/>
      <c r="Q30" s="1524"/>
      <c r="R30" s="709"/>
      <c r="S30" s="710"/>
      <c r="T30" s="709"/>
      <c r="U30" s="710"/>
      <c r="V30" s="709"/>
      <c r="W30" s="710"/>
      <c r="X30" s="711"/>
      <c r="Y30" s="3499"/>
      <c r="Z30" s="55"/>
      <c r="AA30" s="1534">
        <v>1</v>
      </c>
      <c r="AB30" s="1534">
        <v>1</v>
      </c>
      <c r="AC30" s="1534">
        <v>1</v>
      </c>
    </row>
    <row r="31" spans="1:29" ht="15" hidden="1">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499"/>
      <c r="Q31" s="1533" t="str">
        <f t="shared" si="8"/>
        <v>临街状况</v>
      </c>
      <c r="R31" s="713" t="s">
        <v>17</v>
      </c>
      <c r="S31" s="714">
        <f t="shared" ref="S31:S45" si="9">F31</f>
        <v>100</v>
      </c>
      <c r="T31" s="713" t="s">
        <v>17</v>
      </c>
      <c r="U31" s="714">
        <f t="shared" ref="U31:U45" si="10">H31</f>
        <v>100</v>
      </c>
      <c r="V31" s="713" t="s">
        <v>17</v>
      </c>
      <c r="W31" s="714">
        <f t="shared" ref="W31:W45" si="11">J31</f>
        <v>100</v>
      </c>
      <c r="X31" s="1536"/>
      <c r="Y31" s="3499"/>
      <c r="Z31" s="1537" t="str">
        <f t="shared" ref="Z31:Z45" si="12">Q31</f>
        <v>临街状况</v>
      </c>
      <c r="AA31" s="1534">
        <f t="shared" si="3"/>
        <v>1</v>
      </c>
      <c r="AB31" s="1534">
        <f t="shared" si="4"/>
        <v>1</v>
      </c>
      <c r="AC31" s="1534">
        <f t="shared" si="5"/>
        <v>1</v>
      </c>
    </row>
    <row r="32" spans="1:29" ht="27" hidden="1">
      <c r="A32" s="387"/>
      <c r="B32" s="1291"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499"/>
      <c r="Q32" s="1533" t="str">
        <f t="shared" si="8"/>
        <v>毗邻道路的类型与等级</v>
      </c>
      <c r="R32" s="713" t="s">
        <v>17</v>
      </c>
      <c r="S32" s="714">
        <f t="shared" si="9"/>
        <v>100</v>
      </c>
      <c r="T32" s="713" t="s">
        <v>17</v>
      </c>
      <c r="U32" s="714">
        <f t="shared" si="10"/>
        <v>100</v>
      </c>
      <c r="V32" s="713" t="s">
        <v>17</v>
      </c>
      <c r="W32" s="714">
        <f t="shared" si="11"/>
        <v>100</v>
      </c>
      <c r="X32" s="1536"/>
      <c r="Y32" s="3499"/>
      <c r="Z32" s="1537" t="str">
        <f t="shared" si="12"/>
        <v>毗邻道路的类型与等级</v>
      </c>
      <c r="AA32" s="1534">
        <f t="shared" si="3"/>
        <v>1</v>
      </c>
      <c r="AB32" s="1534">
        <f t="shared" si="4"/>
        <v>1</v>
      </c>
      <c r="AC32" s="1534">
        <f t="shared" si="5"/>
        <v>1</v>
      </c>
    </row>
    <row r="33" spans="1:29" ht="15" hidden="1">
      <c r="A33" s="387"/>
      <c r="B33" s="415"/>
      <c r="C33" s="406"/>
      <c r="D33" s="407"/>
      <c r="E33" s="2087"/>
      <c r="F33" s="407"/>
      <c r="G33" s="2087"/>
      <c r="H33" s="407"/>
      <c r="I33" s="406"/>
      <c r="J33" s="407"/>
      <c r="K33" s="570"/>
      <c r="L33" s="2945"/>
      <c r="M33" s="2939"/>
      <c r="N33" s="2939"/>
      <c r="O33" s="2997"/>
      <c r="P33" s="3499"/>
      <c r="Q33" s="1533"/>
      <c r="R33" s="713"/>
      <c r="S33" s="714"/>
      <c r="T33" s="713"/>
      <c r="U33" s="714"/>
      <c r="V33" s="713"/>
      <c r="W33" s="714"/>
      <c r="X33" s="1536"/>
      <c r="Y33" s="3499"/>
      <c r="Z33" s="1537"/>
      <c r="AA33" s="1534">
        <v>1</v>
      </c>
      <c r="AB33" s="1534">
        <v>1</v>
      </c>
      <c r="AC33" s="1534">
        <v>1</v>
      </c>
    </row>
    <row r="34" spans="1:29" ht="15" hidden="1">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499"/>
      <c r="Q34" s="1533" t="str">
        <f t="shared" si="8"/>
        <v>土地级别</v>
      </c>
      <c r="R34" s="713" t="s">
        <v>17</v>
      </c>
      <c r="S34" s="714">
        <f t="shared" si="9"/>
        <v>100</v>
      </c>
      <c r="T34" s="713" t="s">
        <v>17</v>
      </c>
      <c r="U34" s="714">
        <f t="shared" si="10"/>
        <v>100</v>
      </c>
      <c r="V34" s="713" t="s">
        <v>17</v>
      </c>
      <c r="W34" s="714">
        <f t="shared" si="11"/>
        <v>100</v>
      </c>
      <c r="X34" s="1536"/>
      <c r="Y34" s="3499"/>
      <c r="Z34" s="1537" t="str">
        <f t="shared" si="12"/>
        <v>土地级别</v>
      </c>
      <c r="AA34" s="1534">
        <f t="shared" si="3"/>
        <v>1</v>
      </c>
      <c r="AB34" s="1534">
        <f t="shared" si="4"/>
        <v>1</v>
      </c>
      <c r="AC34" s="1534">
        <f t="shared" si="5"/>
        <v>1</v>
      </c>
    </row>
    <row r="35" spans="1:29" ht="15" hidden="1">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499"/>
      <c r="Q35" s="1533">
        <f t="shared" si="8"/>
        <v>111</v>
      </c>
      <c r="R35" s="713" t="s">
        <v>17</v>
      </c>
      <c r="S35" s="714">
        <f t="shared" si="9"/>
        <v>100</v>
      </c>
      <c r="T35" s="713" t="s">
        <v>17</v>
      </c>
      <c r="U35" s="714">
        <f t="shared" si="10"/>
        <v>100</v>
      </c>
      <c r="V35" s="713" t="s">
        <v>17</v>
      </c>
      <c r="W35" s="714">
        <f t="shared" si="11"/>
        <v>100</v>
      </c>
      <c r="X35" s="1536"/>
      <c r="Y35" s="3499"/>
      <c r="Z35" s="1537">
        <f t="shared" si="12"/>
        <v>111</v>
      </c>
      <c r="AA35" s="1534">
        <f t="shared" si="3"/>
        <v>1</v>
      </c>
      <c r="AB35" s="1534">
        <f t="shared" si="4"/>
        <v>1</v>
      </c>
      <c r="AC35" s="1534">
        <f t="shared" si="5"/>
        <v>1</v>
      </c>
    </row>
    <row r="36" spans="1:29" ht="15" hidden="1">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500" t="s">
        <v>2380</v>
      </c>
      <c r="Q36" s="1533">
        <f t="shared" si="8"/>
        <v>111</v>
      </c>
      <c r="R36" s="713" t="s">
        <v>17</v>
      </c>
      <c r="S36" s="714">
        <f t="shared" si="9"/>
        <v>100</v>
      </c>
      <c r="T36" s="713" t="s">
        <v>17</v>
      </c>
      <c r="U36" s="714">
        <f t="shared" si="10"/>
        <v>100</v>
      </c>
      <c r="V36" s="713" t="s">
        <v>17</v>
      </c>
      <c r="W36" s="714">
        <f t="shared" si="11"/>
        <v>100</v>
      </c>
      <c r="X36" s="1536"/>
      <c r="Y36" s="3501" t="s">
        <v>2380</v>
      </c>
      <c r="Z36" s="1537">
        <f t="shared" si="12"/>
        <v>111</v>
      </c>
      <c r="AA36" s="1534">
        <f t="shared" si="3"/>
        <v>1</v>
      </c>
      <c r="AB36" s="1534">
        <f t="shared" si="4"/>
        <v>1</v>
      </c>
      <c r="AC36" s="1534">
        <f t="shared" si="5"/>
        <v>1</v>
      </c>
    </row>
    <row r="37" spans="1:29" s="430" customFormat="1" ht="15.75" hidden="1"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501"/>
      <c r="Q37" s="1533">
        <f t="shared" si="8"/>
        <v>111</v>
      </c>
      <c r="R37" s="716" t="s">
        <v>17</v>
      </c>
      <c r="S37" s="717">
        <f t="shared" si="9"/>
        <v>100</v>
      </c>
      <c r="T37" s="716" t="s">
        <v>17</v>
      </c>
      <c r="U37" s="717">
        <f t="shared" si="10"/>
        <v>100</v>
      </c>
      <c r="V37" s="716" t="s">
        <v>17</v>
      </c>
      <c r="W37" s="717">
        <f t="shared" si="11"/>
        <v>100</v>
      </c>
      <c r="X37" s="718"/>
      <c r="Y37" s="3501"/>
      <c r="Z37" s="719">
        <f t="shared" si="12"/>
        <v>111</v>
      </c>
      <c r="AA37" s="1534">
        <f t="shared" si="3"/>
        <v>1</v>
      </c>
      <c r="AB37" s="1534">
        <f t="shared" si="4"/>
        <v>1</v>
      </c>
      <c r="AC37" s="1534">
        <f t="shared" si="5"/>
        <v>1</v>
      </c>
    </row>
    <row r="38" spans="1:29" ht="15">
      <c r="A38" s="431" t="s">
        <v>2378</v>
      </c>
      <c r="B38" s="415" t="s">
        <v>2566</v>
      </c>
      <c r="C38" s="635">
        <f>'数据-基础表'!A15</f>
        <v>100055.3</v>
      </c>
      <c r="D38" s="426">
        <v>100</v>
      </c>
      <c r="E38" s="635">
        <f>土地案例!E7</f>
        <v>4282.6499999999996</v>
      </c>
      <c r="F38" s="426">
        <f>LOOKUP(E38,117:117,118:118)-LOOKUP(C38,117:117,118:118)+100</f>
        <v>98</v>
      </c>
      <c r="G38" s="635">
        <f>土地案例!E8</f>
        <v>4914</v>
      </c>
      <c r="H38" s="426">
        <f>LOOKUP(G38,117:117,118:118)-LOOKUP(C38,117:117,118:118)+100</f>
        <v>98</v>
      </c>
      <c r="I38" s="487">
        <f>土地案例!E9</f>
        <v>2572</v>
      </c>
      <c r="J38" s="426">
        <f>LOOKUP(I38,117:117,118:118)-LOOKUP(C38,117:117,118:118)+100</f>
        <v>98</v>
      </c>
      <c r="K38" s="570"/>
      <c r="L38" s="2945"/>
      <c r="M38" s="2939"/>
      <c r="N38" s="2939"/>
      <c r="O38" s="2997"/>
      <c r="P38" s="3501"/>
      <c r="Q38" s="1533" t="str">
        <f>B38</f>
        <v>宗地面积</v>
      </c>
      <c r="R38" s="713" t="s">
        <v>17</v>
      </c>
      <c r="S38" s="714">
        <f t="shared" si="9"/>
        <v>98</v>
      </c>
      <c r="T38" s="713" t="s">
        <v>17</v>
      </c>
      <c r="U38" s="714">
        <f t="shared" si="10"/>
        <v>98</v>
      </c>
      <c r="V38" s="713" t="s">
        <v>17</v>
      </c>
      <c r="W38" s="714">
        <f t="shared" si="11"/>
        <v>98</v>
      </c>
      <c r="X38" s="1536"/>
      <c r="Y38" s="3501"/>
      <c r="Z38" s="1537" t="str">
        <f t="shared" si="12"/>
        <v>宗地面积</v>
      </c>
      <c r="AA38" s="1534">
        <f t="shared" si="3"/>
        <v>1.0204081632653061</v>
      </c>
      <c r="AB38" s="1534">
        <f t="shared" si="4"/>
        <v>1.0204081632653061</v>
      </c>
      <c r="AC38" s="1534">
        <f t="shared" si="5"/>
        <v>1.0204081632653061</v>
      </c>
    </row>
    <row r="39" spans="1:29" ht="15">
      <c r="A39" s="431"/>
      <c r="B39" s="381" t="s">
        <v>2567</v>
      </c>
      <c r="C39" s="2089" t="s">
        <v>3092</v>
      </c>
      <c r="D39" s="394">
        <v>100</v>
      </c>
      <c r="E39" s="2089" t="s">
        <v>3092</v>
      </c>
      <c r="F39" s="394">
        <f>SUMIF(119:119,E39,120:120)-SUMIF(119:119,C39,120:120)+100</f>
        <v>100</v>
      </c>
      <c r="G39" s="2089" t="s">
        <v>3092</v>
      </c>
      <c r="H39" s="394">
        <f>SUMIF(119:119,G39,120:120)-SUMIF(119:119,C39,120:120)+100</f>
        <v>100</v>
      </c>
      <c r="I39" s="2089" t="s">
        <v>3092</v>
      </c>
      <c r="J39" s="394">
        <f>SUMIF(119:119,I39,120:120)-SUMIF(119:119,C39,120:120)+100</f>
        <v>100</v>
      </c>
      <c r="K39" s="569">
        <v>1</v>
      </c>
      <c r="L39" s="2945"/>
      <c r="M39" s="2939"/>
      <c r="N39" s="2939"/>
      <c r="O39" s="2997"/>
      <c r="P39" s="3501"/>
      <c r="Q39" s="1533" t="str">
        <f t="shared" ref="Q39:Q45" si="13">B39</f>
        <v>宗地形状</v>
      </c>
      <c r="R39" s="713" t="s">
        <v>17</v>
      </c>
      <c r="S39" s="714">
        <f t="shared" si="9"/>
        <v>100</v>
      </c>
      <c r="T39" s="713" t="s">
        <v>17</v>
      </c>
      <c r="U39" s="714">
        <f t="shared" si="10"/>
        <v>100</v>
      </c>
      <c r="V39" s="713" t="s">
        <v>17</v>
      </c>
      <c r="W39" s="714">
        <f t="shared" si="11"/>
        <v>100</v>
      </c>
      <c r="X39" s="1536"/>
      <c r="Y39" s="3501"/>
      <c r="Z39" s="1537" t="str">
        <f t="shared" si="12"/>
        <v>宗地形状</v>
      </c>
      <c r="AA39" s="1534">
        <f t="shared" si="3"/>
        <v>1</v>
      </c>
      <c r="AB39" s="1534">
        <f t="shared" si="4"/>
        <v>1</v>
      </c>
      <c r="AC39" s="1534">
        <f t="shared" si="5"/>
        <v>1</v>
      </c>
    </row>
    <row r="40" spans="1:29" ht="15">
      <c r="A40" s="431"/>
      <c r="B40" s="381" t="s">
        <v>2568</v>
      </c>
      <c r="C40" s="2089" t="s">
        <v>3094</v>
      </c>
      <c r="D40" s="394">
        <v>100</v>
      </c>
      <c r="E40" s="2089" t="s">
        <v>3094</v>
      </c>
      <c r="F40" s="394">
        <f>SUMIF(121:121,E40,122:122)-SUMIF(121:121,C40,122:122)+100</f>
        <v>100</v>
      </c>
      <c r="G40" s="2089" t="s">
        <v>3094</v>
      </c>
      <c r="H40" s="394">
        <f>SUMIF(121:121,G40,122:122)-SUMIF(121:121,C40,122:122)+100</f>
        <v>100</v>
      </c>
      <c r="I40" s="2089" t="s">
        <v>3094</v>
      </c>
      <c r="J40" s="394">
        <f>SUMIF(121:121,I40,122:122)-SUMIF(121:121,C40,122:122)+100</f>
        <v>100</v>
      </c>
      <c r="K40" s="569">
        <v>1</v>
      </c>
      <c r="L40" s="2945"/>
      <c r="M40" s="2939"/>
      <c r="N40" s="2939"/>
      <c r="O40" s="2997"/>
      <c r="P40" s="3501"/>
      <c r="Q40" s="1533" t="str">
        <f t="shared" si="13"/>
        <v>临街宽度及深度</v>
      </c>
      <c r="R40" s="713" t="s">
        <v>17</v>
      </c>
      <c r="S40" s="714">
        <f t="shared" si="9"/>
        <v>100</v>
      </c>
      <c r="T40" s="713" t="s">
        <v>17</v>
      </c>
      <c r="U40" s="714">
        <f t="shared" si="10"/>
        <v>100</v>
      </c>
      <c r="V40" s="713" t="s">
        <v>17</v>
      </c>
      <c r="W40" s="714">
        <f t="shared" si="11"/>
        <v>100</v>
      </c>
      <c r="X40" s="1536"/>
      <c r="Y40" s="3501"/>
      <c r="Z40" s="1537" t="str">
        <f t="shared" si="12"/>
        <v>临街宽度及深度</v>
      </c>
      <c r="AA40" s="1534">
        <f t="shared" si="3"/>
        <v>1</v>
      </c>
      <c r="AB40" s="1534">
        <f t="shared" si="4"/>
        <v>1</v>
      </c>
      <c r="AC40" s="1534">
        <f t="shared" si="5"/>
        <v>1</v>
      </c>
    </row>
    <row r="41" spans="1:29" s="113" customFormat="1" ht="15">
      <c r="A41" s="432"/>
      <c r="B41" s="381" t="s">
        <v>2569</v>
      </c>
      <c r="C41" s="2163" t="s">
        <v>3325</v>
      </c>
      <c r="D41" s="132">
        <v>100</v>
      </c>
      <c r="E41" s="2163" t="s">
        <v>3325</v>
      </c>
      <c r="F41" s="394">
        <f>SUMIF(123:123,E41,124:124)-SUMIF(123:123,C41,124:124)+100</f>
        <v>100</v>
      </c>
      <c r="G41" s="2163" t="s">
        <v>3325</v>
      </c>
      <c r="H41" s="394">
        <f>SUMIF(123:123,G41,124:124)-SUMIF(123:123,C41,124:124)+100</f>
        <v>100</v>
      </c>
      <c r="I41" s="2163" t="s">
        <v>3325</v>
      </c>
      <c r="J41" s="394">
        <f>SUMIF(123:123,I41,124:124)-SUMIF(123:123,C41,124:124)+100</f>
        <v>100</v>
      </c>
      <c r="K41" s="569">
        <v>1</v>
      </c>
      <c r="L41" s="2940"/>
      <c r="M41" s="2941"/>
      <c r="N41" s="2941"/>
      <c r="O41" s="2995"/>
      <c r="P41" s="3501"/>
      <c r="Q41" s="1533" t="str">
        <f t="shared" si="13"/>
        <v>宗地开发程度</v>
      </c>
      <c r="R41" s="709" t="s">
        <v>17</v>
      </c>
      <c r="S41" s="710">
        <f t="shared" si="9"/>
        <v>100</v>
      </c>
      <c r="T41" s="709" t="s">
        <v>17</v>
      </c>
      <c r="U41" s="710">
        <f t="shared" si="10"/>
        <v>100</v>
      </c>
      <c r="V41" s="709" t="s">
        <v>17</v>
      </c>
      <c r="W41" s="710">
        <f t="shared" si="11"/>
        <v>100</v>
      </c>
      <c r="X41" s="711"/>
      <c r="Y41" s="3501"/>
      <c r="Z41" s="55" t="str">
        <f t="shared" si="12"/>
        <v>宗地开发程度</v>
      </c>
      <c r="AA41" s="712">
        <f t="shared" si="3"/>
        <v>1</v>
      </c>
      <c r="AB41" s="712">
        <f t="shared" si="4"/>
        <v>1</v>
      </c>
      <c r="AC41" s="712">
        <f t="shared" si="5"/>
        <v>1</v>
      </c>
    </row>
    <row r="42" spans="1:29" ht="15.75" thickBot="1">
      <c r="A42" s="431"/>
      <c r="B42" s="381" t="s">
        <v>2570</v>
      </c>
      <c r="C42" s="2089" t="s">
        <v>3101</v>
      </c>
      <c r="D42" s="394">
        <v>100</v>
      </c>
      <c r="E42" s="2089" t="s">
        <v>3101</v>
      </c>
      <c r="F42" s="394">
        <f>SUMIF(125:125,E42,126:126)-SUMIF(125:125,C42,126:126)+100</f>
        <v>100</v>
      </c>
      <c r="G42" s="2089" t="s">
        <v>3101</v>
      </c>
      <c r="H42" s="394">
        <f>SUMIF(125:125,G42,126:126)-SUMIF(125:125,C42,126:126)+100</f>
        <v>100</v>
      </c>
      <c r="I42" s="2089" t="s">
        <v>3101</v>
      </c>
      <c r="J42" s="394">
        <f>SUMIF(125:125,I42,126:126)-SUMIF(125:125,C42,126:126)+100</f>
        <v>100</v>
      </c>
      <c r="K42" s="569">
        <v>1</v>
      </c>
      <c r="L42" s="2945"/>
      <c r="M42" s="2939"/>
      <c r="N42" s="2939"/>
      <c r="O42" s="2997"/>
      <c r="P42" s="3501" t="s">
        <v>2380</v>
      </c>
      <c r="Q42" s="1533" t="str">
        <f t="shared" si="13"/>
        <v>工程地质条件</v>
      </c>
      <c r="R42" s="713" t="s">
        <v>17</v>
      </c>
      <c r="S42" s="714">
        <f t="shared" si="9"/>
        <v>100</v>
      </c>
      <c r="T42" s="713" t="s">
        <v>17</v>
      </c>
      <c r="U42" s="714">
        <f t="shared" si="10"/>
        <v>100</v>
      </c>
      <c r="V42" s="713" t="s">
        <v>17</v>
      </c>
      <c r="W42" s="714">
        <f t="shared" si="11"/>
        <v>100</v>
      </c>
      <c r="X42" s="1536"/>
      <c r="Y42" s="3501" t="s">
        <v>2380</v>
      </c>
      <c r="Z42" s="1537" t="str">
        <f t="shared" si="12"/>
        <v>工程地质条件</v>
      </c>
      <c r="AA42" s="1534">
        <f t="shared" si="3"/>
        <v>1</v>
      </c>
      <c r="AB42" s="1534">
        <f t="shared" si="4"/>
        <v>1</v>
      </c>
      <c r="AC42" s="1534">
        <f t="shared" si="5"/>
        <v>1</v>
      </c>
    </row>
    <row r="43" spans="1:29" ht="15" hidden="1">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501"/>
      <c r="Q43" s="1533">
        <f t="shared" si="13"/>
        <v>111</v>
      </c>
      <c r="R43" s="713" t="s">
        <v>17</v>
      </c>
      <c r="S43" s="714">
        <f t="shared" si="9"/>
        <v>100</v>
      </c>
      <c r="T43" s="713" t="s">
        <v>17</v>
      </c>
      <c r="U43" s="714">
        <f t="shared" si="10"/>
        <v>100</v>
      </c>
      <c r="V43" s="713" t="s">
        <v>17</v>
      </c>
      <c r="W43" s="714">
        <f t="shared" si="11"/>
        <v>100</v>
      </c>
      <c r="X43" s="1536"/>
      <c r="Y43" s="3501"/>
      <c r="Z43" s="1537">
        <f t="shared" si="12"/>
        <v>111</v>
      </c>
      <c r="AA43" s="1534">
        <f t="shared" si="3"/>
        <v>1</v>
      </c>
      <c r="AB43" s="1534">
        <f t="shared" si="4"/>
        <v>1</v>
      </c>
      <c r="AC43" s="1534">
        <f t="shared" si="5"/>
        <v>1</v>
      </c>
    </row>
    <row r="44" spans="1:29" ht="15" hidden="1">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501"/>
      <c r="Q44" s="1533">
        <f t="shared" si="13"/>
        <v>111</v>
      </c>
      <c r="R44" s="713" t="s">
        <v>17</v>
      </c>
      <c r="S44" s="714">
        <f t="shared" si="9"/>
        <v>100</v>
      </c>
      <c r="T44" s="713" t="s">
        <v>17</v>
      </c>
      <c r="U44" s="714">
        <f t="shared" si="10"/>
        <v>100</v>
      </c>
      <c r="V44" s="713" t="s">
        <v>17</v>
      </c>
      <c r="W44" s="714">
        <f t="shared" si="11"/>
        <v>100</v>
      </c>
      <c r="X44" s="1536"/>
      <c r="Y44" s="3501"/>
      <c r="Z44" s="1537">
        <f t="shared" si="12"/>
        <v>111</v>
      </c>
      <c r="AA44" s="1534">
        <f t="shared" si="3"/>
        <v>1</v>
      </c>
      <c r="AB44" s="1534">
        <f t="shared" si="4"/>
        <v>1</v>
      </c>
      <c r="AC44" s="1534">
        <f t="shared" si="5"/>
        <v>1</v>
      </c>
    </row>
    <row r="45" spans="1:29" s="430" customFormat="1" ht="15.75" hidden="1" thickBot="1">
      <c r="A45" s="427"/>
      <c r="B45" s="1294">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501"/>
      <c r="Q45" s="1533">
        <f t="shared" si="13"/>
        <v>111</v>
      </c>
      <c r="R45" s="716" t="s">
        <v>17</v>
      </c>
      <c r="S45" s="717">
        <f t="shared" si="9"/>
        <v>100</v>
      </c>
      <c r="T45" s="716" t="s">
        <v>17</v>
      </c>
      <c r="U45" s="717">
        <f t="shared" si="10"/>
        <v>100</v>
      </c>
      <c r="V45" s="716" t="s">
        <v>17</v>
      </c>
      <c r="W45" s="717">
        <f t="shared" si="11"/>
        <v>100</v>
      </c>
      <c r="X45" s="718"/>
      <c r="Y45" s="3501"/>
      <c r="Z45" s="719">
        <f t="shared" si="12"/>
        <v>111</v>
      </c>
      <c r="AA45" s="1534">
        <f t="shared" si="3"/>
        <v>1</v>
      </c>
      <c r="AB45" s="1534">
        <f t="shared" si="4"/>
        <v>1</v>
      </c>
      <c r="AC45" s="1534">
        <f t="shared" si="5"/>
        <v>1</v>
      </c>
    </row>
    <row r="46" spans="1:29" ht="15">
      <c r="A46" s="438" t="s">
        <v>2535</v>
      </c>
      <c r="B46" s="2165" t="s">
        <v>3326</v>
      </c>
      <c r="C46" s="638" t="s">
        <v>1</v>
      </c>
      <c r="D46" s="440"/>
      <c r="E46" s="441">
        <f>ROUND(土地案例!R7,0)</f>
        <v>2498</v>
      </c>
      <c r="F46" s="442"/>
      <c r="G46" s="443">
        <f>ROUND(土地案例!R8,0)</f>
        <v>1802</v>
      </c>
      <c r="H46" s="444"/>
      <c r="I46" s="441">
        <f>ROUND(土地案例!R9,0)</f>
        <v>1802</v>
      </c>
      <c r="J46" s="444"/>
      <c r="K46" s="722"/>
      <c r="L46" s="2947"/>
      <c r="M46" s="2948"/>
      <c r="N46" s="2939"/>
      <c r="O46" s="2948"/>
      <c r="P46" s="3496" t="str">
        <f>A46</f>
        <v>成交单价</v>
      </c>
      <c r="Q46" s="3496"/>
      <c r="R46" s="3502">
        <f>E46</f>
        <v>2498</v>
      </c>
      <c r="S46" s="3502"/>
      <c r="T46" s="3502">
        <f>G46</f>
        <v>1802</v>
      </c>
      <c r="U46" s="3502"/>
      <c r="V46" s="3502">
        <f>I46</f>
        <v>1802</v>
      </c>
      <c r="W46" s="3502"/>
      <c r="X46" s="698"/>
      <c r="Y46" s="720"/>
      <c r="Z46" s="698"/>
      <c r="AA46" s="698"/>
      <c r="AB46" s="698"/>
      <c r="AC46" s="698"/>
    </row>
    <row r="47" spans="1:29" ht="15.75" thickBot="1">
      <c r="A47" s="445" t="s">
        <v>2484</v>
      </c>
      <c r="B47" s="639"/>
      <c r="C47" s="448">
        <f>R48</f>
        <v>2097</v>
      </c>
      <c r="D47" s="2535" t="s">
        <v>2873</v>
      </c>
      <c r="E47" s="448">
        <f>R47</f>
        <v>2522</v>
      </c>
      <c r="F47" s="2536"/>
      <c r="G47" s="447">
        <f>T47</f>
        <v>1884</v>
      </c>
      <c r="H47" s="2536"/>
      <c r="I47" s="448">
        <f>V47</f>
        <v>1884</v>
      </c>
      <c r="J47" s="2536"/>
      <c r="K47" s="2538">
        <f>F47+H47+J47</f>
        <v>0</v>
      </c>
      <c r="L47" s="2947"/>
      <c r="M47" s="2948"/>
      <c r="N47" s="2948"/>
      <c r="O47" s="2948"/>
      <c r="P47" s="3496" t="str">
        <f>A47</f>
        <v>比较价值（元/平方米）</v>
      </c>
      <c r="Q47" s="3496"/>
      <c r="R47" s="3489">
        <f>ROUND(PRODUCT(R46,AA7:AA45),0)</f>
        <v>2522</v>
      </c>
      <c r="S47" s="3489"/>
      <c r="T47" s="3489">
        <f>ROUND(PRODUCT(T46,AB7:AB45),0)</f>
        <v>1884</v>
      </c>
      <c r="U47" s="3489"/>
      <c r="V47" s="3489">
        <f>ROUND(PRODUCT(V46,AC7:AC45),0)</f>
        <v>1884</v>
      </c>
      <c r="W47" s="3489"/>
      <c r="X47" s="698"/>
      <c r="Y47" s="698"/>
      <c r="Z47" s="698"/>
      <c r="AA47" s="698"/>
      <c r="AB47" s="698"/>
      <c r="AC47" s="698"/>
    </row>
    <row r="48" spans="1:29" ht="15.75" thickBot="1">
      <c r="A48" s="449" t="s">
        <v>2571</v>
      </c>
      <c r="B48" s="450"/>
      <c r="C48" s="451">
        <f>R48</f>
        <v>2097</v>
      </c>
      <c r="D48" s="451"/>
      <c r="E48" s="451"/>
      <c r="F48" s="451"/>
      <c r="G48" s="451"/>
      <c r="H48" s="451"/>
      <c r="I48" s="451"/>
      <c r="J48" s="451"/>
      <c r="K48" s="723"/>
      <c r="L48" s="2947"/>
      <c r="M48" s="2948"/>
      <c r="N48" s="2948"/>
      <c r="O48" s="2948"/>
      <c r="P48" s="3490" t="str">
        <f>A48</f>
        <v>估价对象XX用房的比较价值（楼面单价，元/平方米）</v>
      </c>
      <c r="Q48" s="3491"/>
      <c r="R48" s="3492">
        <f>ROUND(IF(D47="简单平均",AVERAGE(R47:W47),R47*F47+T47*H47+V47*J47),0)</f>
        <v>2097</v>
      </c>
      <c r="S48" s="3492"/>
      <c r="T48" s="3492"/>
      <c r="U48" s="3492"/>
      <c r="V48" s="3492"/>
      <c r="W48" s="3492"/>
      <c r="X48" s="698"/>
      <c r="Y48" s="698"/>
      <c r="Z48" s="698"/>
      <c r="AA48" s="698"/>
      <c r="AB48" s="698"/>
      <c r="AC48" s="698"/>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2486</v>
      </c>
      <c r="D51" s="455"/>
      <c r="E51" s="456">
        <f>IF(E46&lt;E47,E47/E46-1,E46/E47-1)</f>
        <v>9.607686148919159E-3</v>
      </c>
      <c r="F51" s="457" t="str">
        <f>IF(OR(E51&gt;=0.3,E51&lt;=-0.3),"超过30%","")</f>
        <v/>
      </c>
      <c r="G51" s="456">
        <f>IF(G46&lt;G47,G47/G46-1,G46/G47-1)</f>
        <v>4.5504994450610514E-2</v>
      </c>
      <c r="H51" s="457" t="str">
        <f>IF(OR(G51&gt;=0.3,G51&lt;=-0.3),"超过30%","")</f>
        <v/>
      </c>
      <c r="I51" s="456">
        <f>IF(I46&lt;I47,I47/I46-1,I46/I47-1)</f>
        <v>4.5504994450610514E-2</v>
      </c>
      <c r="J51" s="457"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2487</v>
      </c>
      <c r="D52" s="458"/>
      <c r="E52" s="456">
        <f>IF(E47&lt;G47,G47/E47-1,E47/G47-1)</f>
        <v>0.33864118895966033</v>
      </c>
      <c r="F52" s="457" t="str">
        <f>IF(OR(E52&gt;=0.2,E52&lt;=-0.2),"超过20%","")</f>
        <v>超过20%</v>
      </c>
      <c r="G52" s="456">
        <f>IF(G47&lt;I47,I47/G47-1,G47/I47-1)</f>
        <v>0</v>
      </c>
      <c r="H52" s="457" t="str">
        <f>IF(OR(G52&gt;=0.2,G52&lt;=-0.2),"超过20%","")</f>
        <v/>
      </c>
      <c r="I52" s="456">
        <f>IF(I47&lt;E47,E47/I47-1,I47/E47-1)</f>
        <v>0.33864118895966033</v>
      </c>
      <c r="J52" s="457" t="str">
        <f>IF(OR(I52&gt;=0.2,I52&lt;=-0.2),"超过20%","")</f>
        <v>超过20%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2488</v>
      </c>
      <c r="D53" s="458"/>
      <c r="E53" s="456">
        <f>IF(E46&lt;G46,G46/E46-1,E46/G46-1)</f>
        <v>0.38623751387347394</v>
      </c>
      <c r="F53" s="457" t="str">
        <f>IF(OR(E53&gt;=0.3,E53&lt;=-0.3),"超过30%","")</f>
        <v>超过30%</v>
      </c>
      <c r="G53" s="456">
        <f>IF(G46&lt;I46,I46/G46-1,G46/I46-1)</f>
        <v>0</v>
      </c>
      <c r="H53" s="457" t="str">
        <f>IF(OR(G53&gt;=0.3,G53&lt;=-0.3),"超过30%","")</f>
        <v/>
      </c>
      <c r="I53" s="456">
        <f>IF(I46&lt;E46,E46/I46-1,I46/E46-1)</f>
        <v>0.38623751387347394</v>
      </c>
      <c r="J53" s="457" t="str">
        <f>IF(OR(I53&gt;=0.3,I53&lt;=-0.3),"超过30%","")</f>
        <v>超过30%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1"/>
      <c r="D54" s="699"/>
      <c r="E54" s="699"/>
      <c r="F54" s="699"/>
      <c r="G54" s="699"/>
      <c r="H54" s="699"/>
      <c r="I54" s="699"/>
      <c r="J54" s="699"/>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2572</v>
      </c>
      <c r="B55" s="641" t="s">
        <v>2573</v>
      </c>
      <c r="C55" s="2166" t="s">
        <v>2574</v>
      </c>
      <c r="D55" s="2167" t="s">
        <v>2575</v>
      </c>
      <c r="E55" s="642" t="s">
        <v>2576</v>
      </c>
      <c r="F55" s="1020" t="s">
        <v>2577</v>
      </c>
      <c r="G55" s="3493" t="s">
        <v>2578</v>
      </c>
      <c r="H55" s="3494"/>
      <c r="I55" s="140" t="s">
        <v>2579</v>
      </c>
      <c r="J55" s="2168" t="str">
        <f>项目基本情况!F35</f>
        <v>青海省西宁市</v>
      </c>
      <c r="K55" s="2169" t="s">
        <v>2580</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2581</v>
      </c>
      <c r="B56" s="645">
        <f>C48</f>
        <v>2097</v>
      </c>
      <c r="C56" s="646">
        <v>1</v>
      </c>
      <c r="D56" s="1074">
        <v>1</v>
      </c>
      <c r="E56" s="646">
        <f>'数据-汇总表'!E8+'数据-汇总表'!E9</f>
        <v>66183.320000000007</v>
      </c>
      <c r="F56" s="1016">
        <f t="shared" ref="F56:F65" si="14">ROUND(B56*E56/10000,0)</f>
        <v>13879</v>
      </c>
      <c r="G56" s="3495"/>
      <c r="H56" s="3496"/>
      <c r="I56" s="1021">
        <v>1</v>
      </c>
      <c r="J56" s="1024">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2582</v>
      </c>
      <c r="B57" s="224">
        <f>ROUND($C$48*C57*D57,0)</f>
        <v>0</v>
      </c>
      <c r="C57" s="176">
        <f t="shared" ref="C57:C65" si="15">IF($C$55="北京市系数",I57,J57)</f>
        <v>0</v>
      </c>
      <c r="D57" s="1075">
        <v>0.25</v>
      </c>
      <c r="E57" s="650"/>
      <c r="F57" s="1016">
        <f t="shared" si="14"/>
        <v>0</v>
      </c>
      <c r="G57" s="3497" t="s">
        <v>2583</v>
      </c>
      <c r="H57" s="1017">
        <f>项目基本情况!B37</f>
        <v>0</v>
      </c>
      <c r="I57" s="1021">
        <f>SUMIF(修正!A45:A56,H57,修正!B45:B56)</f>
        <v>0</v>
      </c>
      <c r="J57" s="1025"/>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2584</v>
      </c>
      <c r="B58" s="224">
        <f t="shared" ref="B58:B65" si="16">ROUND($C$48*C58*D58,0)</f>
        <v>0</v>
      </c>
      <c r="C58" s="176">
        <f t="shared" si="15"/>
        <v>0</v>
      </c>
      <c r="D58" s="1075">
        <v>0.25</v>
      </c>
      <c r="E58" s="650"/>
      <c r="F58" s="1016">
        <f t="shared" si="14"/>
        <v>0</v>
      </c>
      <c r="G58" s="3497"/>
      <c r="H58" s="1017">
        <f>项目基本情况!B37</f>
        <v>0</v>
      </c>
      <c r="I58" s="1021">
        <f>SUMIF(修正!A45:A56,H58,修正!C45:C56)</f>
        <v>0</v>
      </c>
      <c r="J58" s="1025"/>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2585</v>
      </c>
      <c r="B59" s="224">
        <f t="shared" si="16"/>
        <v>0</v>
      </c>
      <c r="C59" s="176">
        <f t="shared" si="15"/>
        <v>0</v>
      </c>
      <c r="D59" s="1075">
        <v>0.25</v>
      </c>
      <c r="E59" s="650"/>
      <c r="F59" s="1016">
        <f t="shared" si="14"/>
        <v>0</v>
      </c>
      <c r="G59" s="3497"/>
      <c r="H59" s="1017">
        <f>项目基本情况!B37</f>
        <v>0</v>
      </c>
      <c r="I59" s="1021">
        <f>SUMIF(修正!A45:A56,H59,修正!D45:D56)</f>
        <v>0</v>
      </c>
      <c r="J59" s="1025"/>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2586</v>
      </c>
      <c r="B60" s="224">
        <f t="shared" si="16"/>
        <v>0</v>
      </c>
      <c r="C60" s="176">
        <f t="shared" si="15"/>
        <v>0</v>
      </c>
      <c r="D60" s="1075">
        <v>0.25</v>
      </c>
      <c r="E60" s="650"/>
      <c r="F60" s="1016">
        <f t="shared" si="14"/>
        <v>0</v>
      </c>
      <c r="G60" s="3497"/>
      <c r="H60" s="1017">
        <f>项目基本情况!B37</f>
        <v>0</v>
      </c>
      <c r="I60" s="1021">
        <f>SUMIF(修正!A45:A56,H60,修正!E45:E56)</f>
        <v>0</v>
      </c>
      <c r="J60" s="1025"/>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2587</v>
      </c>
      <c r="B61" s="224">
        <f t="shared" si="16"/>
        <v>0</v>
      </c>
      <c r="C61" s="176">
        <f t="shared" si="15"/>
        <v>0</v>
      </c>
      <c r="D61" s="1075">
        <v>0.25</v>
      </c>
      <c r="E61" s="223">
        <f>'数据-汇总表'!E11</f>
        <v>0</v>
      </c>
      <c r="F61" s="1016">
        <f t="shared" si="14"/>
        <v>0</v>
      </c>
      <c r="G61" s="2170" t="s">
        <v>2588</v>
      </c>
      <c r="H61" s="1017">
        <f>项目基本情况!C37</f>
        <v>0</v>
      </c>
      <c r="I61" s="1021">
        <f>SUMIF(修正!A45:A56,H61,修正!F45:F56)</f>
        <v>0</v>
      </c>
      <c r="J61" s="1025"/>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2589</v>
      </c>
      <c r="B62" s="224">
        <f t="shared" si="16"/>
        <v>0</v>
      </c>
      <c r="C62" s="176">
        <f t="shared" si="15"/>
        <v>0</v>
      </c>
      <c r="D62" s="1075">
        <v>0.25</v>
      </c>
      <c r="E62" s="223">
        <f>'数据-汇总表'!E12</f>
        <v>0</v>
      </c>
      <c r="F62" s="1016">
        <f t="shared" si="14"/>
        <v>0</v>
      </c>
      <c r="G62" s="1022" t="s">
        <v>2590</v>
      </c>
      <c r="H62" s="1017">
        <f>IF(G62="商业",项目基本情况!B37,IF(G62="办公",项目基本情况!C37,IF(G62="住宅",项目基本情况!D37,项目基本情况!E37)))</f>
        <v>0</v>
      </c>
      <c r="I62" s="1021">
        <f>SUMIF(修正!A45:A56,H62,修正!G45:G56)</f>
        <v>0</v>
      </c>
      <c r="J62" s="1025"/>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2591</v>
      </c>
      <c r="B63" s="224">
        <f t="shared" si="16"/>
        <v>0</v>
      </c>
      <c r="C63" s="176">
        <f t="shared" si="15"/>
        <v>0</v>
      </c>
      <c r="D63" s="1075">
        <v>0.25</v>
      </c>
      <c r="E63" s="223">
        <f>'数据-汇总表'!E13</f>
        <v>0</v>
      </c>
      <c r="F63" s="1016">
        <f t="shared" si="14"/>
        <v>0</v>
      </c>
      <c r="G63" s="1022" t="s">
        <v>2592</v>
      </c>
      <c r="H63" s="1017">
        <f>IF(G63="商业",项目基本情况!B37,IF(G63="办公",项目基本情况!C37,IF(G63="住宅",项目基本情况!D37,项目基本情况!E37)))</f>
        <v>0</v>
      </c>
      <c r="I63" s="1021">
        <f>SUMIF(修正!A45:A56,H63,修正!H45:H56)</f>
        <v>0</v>
      </c>
      <c r="J63" s="1025"/>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2593</v>
      </c>
      <c r="B64" s="224">
        <f t="shared" si="16"/>
        <v>0</v>
      </c>
      <c r="C64" s="176">
        <f t="shared" si="15"/>
        <v>0</v>
      </c>
      <c r="D64" s="1075">
        <v>0.25</v>
      </c>
      <c r="E64" s="223">
        <f>'数据-汇总表'!E14</f>
        <v>0</v>
      </c>
      <c r="F64" s="1016">
        <f t="shared" si="14"/>
        <v>0</v>
      </c>
      <c r="G64" s="2170" t="s">
        <v>2583</v>
      </c>
      <c r="H64" s="1017">
        <f>项目基本情况!B37</f>
        <v>0</v>
      </c>
      <c r="I64" s="1021">
        <f>SUMIF(修正!A45:A56,H64,修正!H45:H56)</f>
        <v>0</v>
      </c>
      <c r="J64" s="1025"/>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2594</v>
      </c>
      <c r="B65" s="224">
        <f t="shared" si="16"/>
        <v>0</v>
      </c>
      <c r="C65" s="176">
        <f t="shared" si="15"/>
        <v>0</v>
      </c>
      <c r="D65" s="1075">
        <v>0.25</v>
      </c>
      <c r="E65" s="223">
        <f>'数据-汇总表'!E15</f>
        <v>0</v>
      </c>
      <c r="F65" s="1016">
        <f t="shared" si="14"/>
        <v>0</v>
      </c>
      <c r="G65" s="2171" t="s">
        <v>2588</v>
      </c>
      <c r="H65" s="1027">
        <f>项目基本情况!C37</f>
        <v>0</v>
      </c>
      <c r="I65" s="1023">
        <f>SUMIF(修正!A45:A56,H65,修正!H45:H56)</f>
        <v>0</v>
      </c>
      <c r="J65" s="1026"/>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2595</v>
      </c>
      <c r="B66" s="652" t="s">
        <v>28</v>
      </c>
      <c r="C66" s="652" t="s">
        <v>29</v>
      </c>
      <c r="D66" s="652" t="s">
        <v>997</v>
      </c>
      <c r="E66" s="652">
        <f>IF(B46="楼面地价",SUM(E56:E65),'数据-汇总表'!D3)</f>
        <v>66183.320000000007</v>
      </c>
      <c r="F66" s="653">
        <f>IF(B46="楼面地价",SUM(F56:F65),ROUND(C48*E66/10000,0))</f>
        <v>13879</v>
      </c>
      <c r="G66" s="725"/>
      <c r="H66" s="725"/>
      <c r="I66" s="725"/>
      <c r="J66" s="725"/>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8"/>
      <c r="B67" s="700"/>
      <c r="C67" s="701"/>
      <c r="D67" s="698"/>
      <c r="E67" s="698"/>
      <c r="F67" s="698"/>
      <c r="G67" s="698"/>
      <c r="H67" s="698"/>
      <c r="I67" s="698"/>
      <c r="J67" s="1057"/>
      <c r="K67" s="1018"/>
      <c r="L67" s="1019"/>
      <c r="M67" s="1057"/>
      <c r="N67" s="1057"/>
      <c r="O67" s="1057"/>
      <c r="P67" s="2948"/>
      <c r="Q67" s="2948"/>
      <c r="R67" s="2948"/>
      <c r="S67" s="2948"/>
      <c r="T67" s="2948"/>
      <c r="U67" s="2948"/>
      <c r="V67" s="2948"/>
      <c r="W67" s="2948"/>
      <c r="X67" s="2948"/>
      <c r="Y67" s="2948"/>
      <c r="Z67" s="2948"/>
      <c r="AA67" s="2948"/>
      <c r="AB67" s="2948"/>
      <c r="AC67" s="2948"/>
    </row>
    <row r="68" spans="1:29">
      <c r="A68" s="698"/>
      <c r="B68" s="700"/>
      <c r="C68" s="700" t="str">
        <f>YEAR(C7)&amp;"-"&amp;MONTH(C7)&amp;"-1"</f>
        <v>2021-12-1</v>
      </c>
      <c r="D68" s="700">
        <f>EDATE(C68,-3)</f>
        <v>44440</v>
      </c>
      <c r="E68" s="700">
        <f>EDATE(D68,-3)</f>
        <v>44348</v>
      </c>
      <c r="F68" s="700">
        <f t="shared" ref="F68:O68" si="17">EDATE(E68,-3)</f>
        <v>44256</v>
      </c>
      <c r="G68" s="700">
        <f t="shared" si="17"/>
        <v>44166</v>
      </c>
      <c r="H68" s="700">
        <f t="shared" si="17"/>
        <v>44075</v>
      </c>
      <c r="I68" s="700">
        <f t="shared" si="17"/>
        <v>43983</v>
      </c>
      <c r="J68" s="700">
        <f t="shared" si="17"/>
        <v>43891</v>
      </c>
      <c r="K68" s="700">
        <f t="shared" si="17"/>
        <v>43800</v>
      </c>
      <c r="L68" s="700">
        <f t="shared" si="17"/>
        <v>43709</v>
      </c>
      <c r="M68" s="700">
        <f t="shared" si="17"/>
        <v>43617</v>
      </c>
      <c r="N68" s="700">
        <f t="shared" si="17"/>
        <v>43525</v>
      </c>
      <c r="O68" s="700">
        <f t="shared" si="17"/>
        <v>43435</v>
      </c>
      <c r="P68" s="2948"/>
      <c r="Q68" s="2948"/>
      <c r="R68" s="2948"/>
      <c r="S68" s="2948"/>
      <c r="T68" s="2948"/>
      <c r="U68" s="2948"/>
      <c r="V68" s="2948"/>
      <c r="W68" s="2948"/>
      <c r="X68" s="2948"/>
      <c r="Y68" s="2948"/>
      <c r="Z68" s="2948"/>
      <c r="AA68" s="2948"/>
      <c r="AB68" s="2948"/>
      <c r="AC68" s="2948"/>
    </row>
    <row r="69" spans="1:29" ht="21.75" thickBot="1">
      <c r="A69" s="702" t="s">
        <v>2489</v>
      </c>
      <c r="B69" s="698"/>
      <c r="C69" s="703"/>
      <c r="D69" s="703"/>
      <c r="E69" s="703"/>
      <c r="F69" s="704"/>
      <c r="G69" s="704"/>
      <c r="H69" s="703"/>
      <c r="I69" s="703"/>
      <c r="J69" s="1070"/>
      <c r="K69" s="1071"/>
      <c r="L69" s="1072"/>
      <c r="M69" s="1070"/>
      <c r="N69" s="2992"/>
      <c r="O69" s="2992"/>
      <c r="P69" s="2992"/>
      <c r="Q69" s="2962"/>
      <c r="R69" s="2948"/>
      <c r="S69" s="2948"/>
      <c r="T69" s="2948"/>
      <c r="U69" s="2948"/>
      <c r="V69" s="2948"/>
      <c r="W69" s="2948"/>
      <c r="X69" s="2948"/>
      <c r="Y69" s="2948"/>
      <c r="Z69" s="2948"/>
      <c r="AA69" s="2948"/>
      <c r="AB69" s="2948"/>
      <c r="AC69" s="2948"/>
    </row>
    <row r="70" spans="1:29" s="465" customFormat="1" ht="15">
      <c r="A70" s="2172" t="s">
        <v>2596</v>
      </c>
      <c r="B70" s="1267"/>
      <c r="C70" s="1342" t="str">
        <f>YEAR(C68)&amp;"-"&amp;ROUNDUP(MONTH(C68)/3,0)</f>
        <v>2021-4</v>
      </c>
      <c r="D70" s="1342" t="str">
        <f>YEAR(D68)&amp;"-"&amp;ROUNDUP(MONTH(D68)/3,0)</f>
        <v>2021-3</v>
      </c>
      <c r="E70" s="1342" t="str">
        <f t="shared" ref="E70:O70" si="18">YEAR(E68)&amp;"-"&amp;ROUNDUP(MONTH(E68)/3,0)</f>
        <v>2021-2</v>
      </c>
      <c r="F70" s="1342" t="str">
        <f t="shared" si="18"/>
        <v>2021-1</v>
      </c>
      <c r="G70" s="1342" t="str">
        <f t="shared" si="18"/>
        <v>2020-4</v>
      </c>
      <c r="H70" s="1342" t="str">
        <f t="shared" si="18"/>
        <v>2020-3</v>
      </c>
      <c r="I70" s="1342" t="str">
        <f t="shared" si="18"/>
        <v>2020-2</v>
      </c>
      <c r="J70" s="1342" t="str">
        <f t="shared" si="18"/>
        <v>2020-1</v>
      </c>
      <c r="K70" s="1342" t="str">
        <f t="shared" si="18"/>
        <v>2019-4</v>
      </c>
      <c r="L70" s="1342" t="str">
        <f t="shared" si="18"/>
        <v>2019-3</v>
      </c>
      <c r="M70" s="1342" t="str">
        <f t="shared" si="18"/>
        <v>2019-2</v>
      </c>
      <c r="N70" s="1342" t="str">
        <f t="shared" si="18"/>
        <v>2019-1</v>
      </c>
      <c r="O70" s="1342" t="str">
        <f t="shared" si="18"/>
        <v>2018-4</v>
      </c>
      <c r="P70" s="2999"/>
      <c r="Q70" s="2964"/>
      <c r="R70" s="2964"/>
      <c r="S70" s="2964"/>
      <c r="T70" s="2964"/>
      <c r="U70" s="2964"/>
      <c r="V70" s="2964"/>
      <c r="W70" s="2964"/>
      <c r="X70" s="2964"/>
      <c r="Y70" s="2964"/>
      <c r="Z70" s="2964"/>
      <c r="AA70" s="2964"/>
      <c r="AB70" s="2964"/>
      <c r="AC70" s="2964"/>
    </row>
    <row r="71" spans="1:29" s="113" customFormat="1" ht="30" customHeight="1">
      <c r="A71" s="2173" t="s">
        <v>1337</v>
      </c>
      <c r="B71" s="294" t="str">
        <f>"北京市平均增长率"&amp;TEXT(SUMIF(基准地价修正!N21:N25,A71,基准地价修正!P21:P25),"0.00%")</f>
        <v>北京市平均增长率1.05%</v>
      </c>
      <c r="C71" s="560">
        <v>100</v>
      </c>
      <c r="D71" s="552">
        <f>C71-$C$72</f>
        <v>99.5</v>
      </c>
      <c r="E71" s="552">
        <f t="shared" ref="E71:M71" si="19">D71-$C$72</f>
        <v>99</v>
      </c>
      <c r="F71" s="552">
        <f t="shared" si="19"/>
        <v>98.5</v>
      </c>
      <c r="G71" s="552">
        <f t="shared" si="19"/>
        <v>98</v>
      </c>
      <c r="H71" s="552">
        <f t="shared" si="19"/>
        <v>97.5</v>
      </c>
      <c r="I71" s="552">
        <f t="shared" si="19"/>
        <v>97</v>
      </c>
      <c r="J71" s="552">
        <f t="shared" si="19"/>
        <v>96.5</v>
      </c>
      <c r="K71" s="552">
        <f t="shared" si="19"/>
        <v>96</v>
      </c>
      <c r="L71" s="552">
        <f t="shared" si="19"/>
        <v>95.5</v>
      </c>
      <c r="M71" s="552">
        <f t="shared" si="19"/>
        <v>95</v>
      </c>
      <c r="N71" s="552"/>
      <c r="O71" s="1339"/>
      <c r="P71" s="2962"/>
      <c r="Q71" s="2882"/>
      <c r="R71" s="2882"/>
      <c r="S71" s="2882"/>
      <c r="T71" s="2882"/>
      <c r="U71" s="2882"/>
      <c r="V71" s="2882"/>
      <c r="W71" s="2882"/>
      <c r="X71" s="2882"/>
      <c r="Y71" s="2882"/>
      <c r="Z71" s="2882"/>
      <c r="AA71" s="2882"/>
      <c r="AB71" s="2882"/>
      <c r="AC71" s="2882"/>
    </row>
    <row r="72" spans="1:29" s="113" customFormat="1" ht="15.75" thickBot="1">
      <c r="A72" s="472" t="s">
        <v>2400</v>
      </c>
      <c r="B72" s="473"/>
      <c r="C72" s="474">
        <v>0.5</v>
      </c>
      <c r="D72" s="475"/>
      <c r="E72" s="475"/>
      <c r="F72" s="475"/>
      <c r="G72" s="475"/>
      <c r="H72" s="475"/>
      <c r="I72" s="475"/>
      <c r="J72" s="475"/>
      <c r="K72" s="475"/>
      <c r="L72" s="475"/>
      <c r="M72" s="476"/>
      <c r="N72" s="475"/>
      <c r="O72" s="1073"/>
      <c r="P72" s="2962"/>
      <c r="Q72" s="2962"/>
      <c r="R72" s="2882"/>
      <c r="S72" s="2882"/>
      <c r="T72" s="2882"/>
      <c r="U72" s="2882"/>
      <c r="V72" s="2882"/>
      <c r="W72" s="2882"/>
      <c r="X72" s="2882"/>
      <c r="Y72" s="2882"/>
      <c r="Z72" s="2882"/>
      <c r="AA72" s="2882"/>
      <c r="AB72" s="2882"/>
      <c r="AC72" s="2882"/>
    </row>
    <row r="73" spans="1:29" s="113" customFormat="1" ht="15">
      <c r="A73" s="478" t="s">
        <v>2365</v>
      </c>
      <c r="B73" s="467"/>
      <c r="C73" s="479" t="s">
        <v>2467</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2403</v>
      </c>
      <c r="B75" s="485" t="s">
        <v>2369</v>
      </c>
      <c r="C75" s="3073" t="s">
        <v>3091</v>
      </c>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v>100</v>
      </c>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2372</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2373</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v>0</v>
      </c>
      <c r="D80" s="506">
        <v>1</v>
      </c>
      <c r="E80" s="506">
        <v>2</v>
      </c>
      <c r="F80" s="506">
        <v>3</v>
      </c>
      <c r="G80" s="506">
        <v>4</v>
      </c>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95</v>
      </c>
      <c r="E81" s="501">
        <f t="shared" si="21"/>
        <v>90</v>
      </c>
      <c r="F81" s="501">
        <f t="shared" si="21"/>
        <v>85</v>
      </c>
      <c r="G81" s="501">
        <f t="shared" si="21"/>
        <v>80</v>
      </c>
      <c r="H81" s="501">
        <f t="shared" si="21"/>
        <v>75</v>
      </c>
      <c r="I81" s="501">
        <f t="shared" si="21"/>
        <v>70</v>
      </c>
      <c r="J81" s="501">
        <f t="shared" si="21"/>
        <v>65</v>
      </c>
      <c r="K81" s="501">
        <f t="shared" si="21"/>
        <v>60</v>
      </c>
      <c r="L81" s="501">
        <f t="shared" si="21"/>
        <v>55</v>
      </c>
      <c r="M81" s="501">
        <f t="shared" si="21"/>
        <v>50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2374</v>
      </c>
      <c r="B88" s="485" t="s">
        <v>2411</v>
      </c>
      <c r="C88" s="530" t="s">
        <v>2412</v>
      </c>
      <c r="D88" s="530" t="s">
        <v>2413</v>
      </c>
      <c r="E88" s="530" t="s">
        <v>2414</v>
      </c>
      <c r="F88" s="530" t="s">
        <v>2415</v>
      </c>
      <c r="G88" s="530" t="s">
        <v>2416</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2597</v>
      </c>
      <c r="C90" s="535" t="s">
        <v>2412</v>
      </c>
      <c r="D90" s="535" t="s">
        <v>2413</v>
      </c>
      <c r="E90" s="535" t="s">
        <v>2414</v>
      </c>
      <c r="F90" s="535" t="s">
        <v>2415</v>
      </c>
      <c r="G90" s="535" t="s">
        <v>2416</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98</v>
      </c>
      <c r="E91" s="501">
        <f>D91-$K17</f>
        <v>96</v>
      </c>
      <c r="F91" s="501">
        <f>E91-$K17</f>
        <v>94</v>
      </c>
      <c r="G91" s="501">
        <f>F91-$K17</f>
        <v>92</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2512</v>
      </c>
      <c r="C92" s="535" t="s">
        <v>2412</v>
      </c>
      <c r="D92" s="535" t="s">
        <v>2413</v>
      </c>
      <c r="E92" s="535" t="s">
        <v>2414</v>
      </c>
      <c r="F92" s="535" t="s">
        <v>2415</v>
      </c>
      <c r="G92" s="535" t="s">
        <v>2416</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2417</v>
      </c>
      <c r="C94" s="535" t="s">
        <v>2412</v>
      </c>
      <c r="D94" s="535" t="s">
        <v>2413</v>
      </c>
      <c r="E94" s="535" t="s">
        <v>2414</v>
      </c>
      <c r="F94" s="535" t="s">
        <v>2415</v>
      </c>
      <c r="G94" s="535" t="s">
        <v>2416</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98</v>
      </c>
      <c r="E95" s="501">
        <f>D95-$K21</f>
        <v>96</v>
      </c>
      <c r="F95" s="501">
        <f>E95-$K21</f>
        <v>94</v>
      </c>
      <c r="G95" s="501">
        <f>F95-$K21</f>
        <v>92</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2598</v>
      </c>
      <c r="C96" s="535" t="s">
        <v>2412</v>
      </c>
      <c r="D96" s="535" t="s">
        <v>2413</v>
      </c>
      <c r="E96" s="535" t="s">
        <v>2414</v>
      </c>
      <c r="F96" s="535" t="s">
        <v>2415</v>
      </c>
      <c r="G96" s="535" t="s">
        <v>2416</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2599</v>
      </c>
      <c r="C98" s="530" t="s">
        <v>2412</v>
      </c>
      <c r="D98" s="530" t="s">
        <v>2413</v>
      </c>
      <c r="E98" s="530" t="s">
        <v>2414</v>
      </c>
      <c r="F98" s="530" t="s">
        <v>2415</v>
      </c>
      <c r="G98" s="530" t="s">
        <v>2416</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95</v>
      </c>
      <c r="E99" s="501">
        <f>D99-$K25</f>
        <v>90</v>
      </c>
      <c r="F99" s="501">
        <f>E99-$K25</f>
        <v>85</v>
      </c>
      <c r="G99" s="501">
        <f>F99-$K25</f>
        <v>80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2"/>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2"/>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2600</v>
      </c>
      <c r="D104" s="496" t="s">
        <v>2601</v>
      </c>
      <c r="E104" s="496" t="s">
        <v>2602</v>
      </c>
      <c r="F104" s="496" t="s">
        <v>2603</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2506</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2565</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ht="28.5">
      <c r="A116" s="484" t="s">
        <v>2378</v>
      </c>
      <c r="B116" s="485" t="s">
        <v>2604</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v>0</v>
      </c>
      <c r="D117" s="552">
        <v>50000</v>
      </c>
      <c r="E117" s="552">
        <v>100000</v>
      </c>
      <c r="F117" s="552">
        <v>150000</v>
      </c>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v>100</v>
      </c>
      <c r="D118" s="548">
        <v>101</v>
      </c>
      <c r="E118" s="548">
        <v>102</v>
      </c>
      <c r="F118" s="548">
        <v>99</v>
      </c>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2605</v>
      </c>
      <c r="C119" s="3074" t="s">
        <v>3093</v>
      </c>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99</v>
      </c>
      <c r="E120" s="501">
        <f t="shared" si="26"/>
        <v>98</v>
      </c>
      <c r="F120" s="501">
        <f t="shared" si="26"/>
        <v>97</v>
      </c>
      <c r="G120" s="501">
        <f t="shared" si="26"/>
        <v>96</v>
      </c>
      <c r="H120" s="501">
        <f t="shared" si="26"/>
        <v>95</v>
      </c>
      <c r="I120" s="501">
        <f t="shared" si="26"/>
        <v>94</v>
      </c>
      <c r="J120" s="501">
        <f t="shared" si="26"/>
        <v>93</v>
      </c>
      <c r="K120" s="501">
        <f t="shared" si="26"/>
        <v>92</v>
      </c>
      <c r="L120" s="501">
        <f t="shared" si="26"/>
        <v>91</v>
      </c>
      <c r="M120" s="502">
        <f t="shared" si="26"/>
        <v>90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2606</v>
      </c>
      <c r="C121" s="3075" t="s">
        <v>3095</v>
      </c>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99</v>
      </c>
      <c r="E122" s="501">
        <f t="shared" si="27"/>
        <v>98</v>
      </c>
      <c r="F122" s="501">
        <f t="shared" si="27"/>
        <v>97</v>
      </c>
      <c r="G122" s="501">
        <f t="shared" si="27"/>
        <v>96</v>
      </c>
      <c r="H122" s="501">
        <f t="shared" si="27"/>
        <v>95</v>
      </c>
      <c r="I122" s="501">
        <f t="shared" si="27"/>
        <v>94</v>
      </c>
      <c r="J122" s="501">
        <f t="shared" si="27"/>
        <v>93</v>
      </c>
      <c r="K122" s="501">
        <f t="shared" si="27"/>
        <v>92</v>
      </c>
      <c r="L122" s="501">
        <f t="shared" si="27"/>
        <v>91</v>
      </c>
      <c r="M122" s="502">
        <f t="shared" si="27"/>
        <v>90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2607</v>
      </c>
      <c r="C123" s="3076" t="s">
        <v>3096</v>
      </c>
      <c r="D123" s="3076" t="s">
        <v>3097</v>
      </c>
      <c r="E123" s="3076" t="s">
        <v>3098</v>
      </c>
      <c r="F123" s="3076" t="s">
        <v>3099</v>
      </c>
      <c r="G123" s="3076" t="s">
        <v>3100</v>
      </c>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99</v>
      </c>
      <c r="E124" s="501">
        <f t="shared" ref="E124:M124" si="28">D124-$K41</f>
        <v>98</v>
      </c>
      <c r="F124" s="501">
        <f t="shared" si="28"/>
        <v>97</v>
      </c>
      <c r="G124" s="501">
        <f t="shared" si="28"/>
        <v>96</v>
      </c>
      <c r="H124" s="501">
        <f t="shared" si="28"/>
        <v>95</v>
      </c>
      <c r="I124" s="501">
        <f t="shared" si="28"/>
        <v>94</v>
      </c>
      <c r="J124" s="501">
        <f t="shared" si="28"/>
        <v>93</v>
      </c>
      <c r="K124" s="501">
        <f t="shared" si="28"/>
        <v>92</v>
      </c>
      <c r="L124" s="501">
        <f t="shared" si="28"/>
        <v>91</v>
      </c>
      <c r="M124" s="502">
        <f t="shared" si="28"/>
        <v>90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2608</v>
      </c>
      <c r="C125" s="3075" t="s">
        <v>3102</v>
      </c>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99</v>
      </c>
      <c r="E126" s="501">
        <f t="shared" si="29"/>
        <v>98</v>
      </c>
      <c r="F126" s="501">
        <f t="shared" si="29"/>
        <v>97</v>
      </c>
      <c r="G126" s="501">
        <f t="shared" si="29"/>
        <v>96</v>
      </c>
      <c r="H126" s="501">
        <f t="shared" si="29"/>
        <v>95</v>
      </c>
      <c r="I126" s="501">
        <f t="shared" si="29"/>
        <v>94</v>
      </c>
      <c r="J126" s="501">
        <f t="shared" si="29"/>
        <v>93</v>
      </c>
      <c r="K126" s="501">
        <f t="shared" si="29"/>
        <v>92</v>
      </c>
      <c r="L126" s="501">
        <f t="shared" si="29"/>
        <v>91</v>
      </c>
      <c r="M126" s="502">
        <f t="shared" si="29"/>
        <v>90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V49"/>
  <sheetViews>
    <sheetView workbookViewId="0">
      <pane ySplit="1" topLeftCell="A2" activePane="bottomLeft" state="frozen"/>
      <selection pane="bottomLeft" activeCell="D49" sqref="D49"/>
    </sheetView>
  </sheetViews>
  <sheetFormatPr defaultRowHeight="12.75"/>
  <cols>
    <col min="1" max="1" width="31" style="3078" customWidth="1"/>
    <col min="2" max="2" width="6.25" style="3078" customWidth="1"/>
    <col min="3" max="3" width="8.25" style="3078" customWidth="1"/>
    <col min="4" max="4" width="10.5" style="3078" customWidth="1"/>
    <col min="5" max="5" width="13.875" style="3078" customWidth="1"/>
    <col min="6" max="6" width="9.5" style="3078" customWidth="1"/>
    <col min="7" max="7" width="24" style="3078" customWidth="1"/>
    <col min="8" max="8" width="7.875" style="3078" hidden="1" customWidth="1"/>
    <col min="9" max="9" width="15.375" style="3078" hidden="1" customWidth="1"/>
    <col min="10" max="11" width="7.875" style="3078" hidden="1" customWidth="1"/>
    <col min="12" max="12" width="11.25" style="3078" hidden="1" customWidth="1"/>
    <col min="13" max="13" width="7.875" style="3078" hidden="1" customWidth="1"/>
    <col min="14" max="14" width="9" style="3078" customWidth="1"/>
    <col min="15" max="15" width="15.25" style="3078" customWidth="1"/>
    <col min="16" max="16" width="8.625" style="3078" customWidth="1"/>
    <col min="17" max="17" width="8" style="3078" customWidth="1"/>
    <col min="18" max="18" width="14.375" style="3078" customWidth="1"/>
    <col min="19" max="19" width="6.25" style="3078" customWidth="1"/>
    <col min="20" max="20" width="21.25" style="3078" customWidth="1"/>
    <col min="21" max="21" width="20.125" style="3078" customWidth="1"/>
    <col min="22" max="22" width="7.875" style="3078" customWidth="1"/>
    <col min="23" max="256" width="9" style="3078"/>
    <col min="257" max="257" width="31" style="3078" customWidth="1"/>
    <col min="258" max="258" width="6.25" style="3078" customWidth="1"/>
    <col min="259" max="259" width="11.75" style="3078" customWidth="1"/>
    <col min="260" max="260" width="10.5" style="3078" customWidth="1"/>
    <col min="261" max="262" width="13.875" style="3078" customWidth="1"/>
    <col min="263" max="263" width="24" style="3078" customWidth="1"/>
    <col min="264" max="264" width="7.875" style="3078" customWidth="1"/>
    <col min="265" max="265" width="15.375" style="3078" customWidth="1"/>
    <col min="266" max="267" width="7.875" style="3078" customWidth="1"/>
    <col min="268" max="268" width="11.25" style="3078" customWidth="1"/>
    <col min="269" max="269" width="7.875" style="3078" customWidth="1"/>
    <col min="270" max="270" width="9" style="3078" customWidth="1"/>
    <col min="271" max="271" width="39.25" style="3078" customWidth="1"/>
    <col min="272" max="272" width="10.625" style="3078" customWidth="1"/>
    <col min="273" max="273" width="16" style="3078" customWidth="1"/>
    <col min="274" max="274" width="14.375" style="3078" customWidth="1"/>
    <col min="275" max="275" width="6.25" style="3078" customWidth="1"/>
    <col min="276" max="276" width="21.25" style="3078" customWidth="1"/>
    <col min="277" max="277" width="20.125" style="3078" customWidth="1"/>
    <col min="278" max="278" width="7.875" style="3078" customWidth="1"/>
    <col min="279" max="512" width="9" style="3078"/>
    <col min="513" max="513" width="31" style="3078" customWidth="1"/>
    <col min="514" max="514" width="6.25" style="3078" customWidth="1"/>
    <col min="515" max="515" width="11.75" style="3078" customWidth="1"/>
    <col min="516" max="516" width="10.5" style="3078" customWidth="1"/>
    <col min="517" max="518" width="13.875" style="3078" customWidth="1"/>
    <col min="519" max="519" width="24" style="3078" customWidth="1"/>
    <col min="520" max="520" width="7.875" style="3078" customWidth="1"/>
    <col min="521" max="521" width="15.375" style="3078" customWidth="1"/>
    <col min="522" max="523" width="7.875" style="3078" customWidth="1"/>
    <col min="524" max="524" width="11.25" style="3078" customWidth="1"/>
    <col min="525" max="525" width="7.875" style="3078" customWidth="1"/>
    <col min="526" max="526" width="9" style="3078" customWidth="1"/>
    <col min="527" max="527" width="39.25" style="3078" customWidth="1"/>
    <col min="528" max="528" width="10.625" style="3078" customWidth="1"/>
    <col min="529" max="529" width="16" style="3078" customWidth="1"/>
    <col min="530" max="530" width="14.375" style="3078" customWidth="1"/>
    <col min="531" max="531" width="6.25" style="3078" customWidth="1"/>
    <col min="532" max="532" width="21.25" style="3078" customWidth="1"/>
    <col min="533" max="533" width="20.125" style="3078" customWidth="1"/>
    <col min="534" max="534" width="7.875" style="3078" customWidth="1"/>
    <col min="535" max="768" width="9" style="3078"/>
    <col min="769" max="769" width="31" style="3078" customWidth="1"/>
    <col min="770" max="770" width="6.25" style="3078" customWidth="1"/>
    <col min="771" max="771" width="11.75" style="3078" customWidth="1"/>
    <col min="772" max="772" width="10.5" style="3078" customWidth="1"/>
    <col min="773" max="774" width="13.875" style="3078" customWidth="1"/>
    <col min="775" max="775" width="24" style="3078" customWidth="1"/>
    <col min="776" max="776" width="7.875" style="3078" customWidth="1"/>
    <col min="777" max="777" width="15.375" style="3078" customWidth="1"/>
    <col min="778" max="779" width="7.875" style="3078" customWidth="1"/>
    <col min="780" max="780" width="11.25" style="3078" customWidth="1"/>
    <col min="781" max="781" width="7.875" style="3078" customWidth="1"/>
    <col min="782" max="782" width="9" style="3078" customWidth="1"/>
    <col min="783" max="783" width="39.25" style="3078" customWidth="1"/>
    <col min="784" max="784" width="10.625" style="3078" customWidth="1"/>
    <col min="785" max="785" width="16" style="3078" customWidth="1"/>
    <col min="786" max="786" width="14.375" style="3078" customWidth="1"/>
    <col min="787" max="787" width="6.25" style="3078" customWidth="1"/>
    <col min="788" max="788" width="21.25" style="3078" customWidth="1"/>
    <col min="789" max="789" width="20.125" style="3078" customWidth="1"/>
    <col min="790" max="790" width="7.875" style="3078" customWidth="1"/>
    <col min="791" max="1024" width="9" style="3078"/>
    <col min="1025" max="1025" width="31" style="3078" customWidth="1"/>
    <col min="1026" max="1026" width="6.25" style="3078" customWidth="1"/>
    <col min="1027" max="1027" width="11.75" style="3078" customWidth="1"/>
    <col min="1028" max="1028" width="10.5" style="3078" customWidth="1"/>
    <col min="1029" max="1030" width="13.875" style="3078" customWidth="1"/>
    <col min="1031" max="1031" width="24" style="3078" customWidth="1"/>
    <col min="1032" max="1032" width="7.875" style="3078" customWidth="1"/>
    <col min="1033" max="1033" width="15.375" style="3078" customWidth="1"/>
    <col min="1034" max="1035" width="7.875" style="3078" customWidth="1"/>
    <col min="1036" max="1036" width="11.25" style="3078" customWidth="1"/>
    <col min="1037" max="1037" width="7.875" style="3078" customWidth="1"/>
    <col min="1038" max="1038" width="9" style="3078" customWidth="1"/>
    <col min="1039" max="1039" width="39.25" style="3078" customWidth="1"/>
    <col min="1040" max="1040" width="10.625" style="3078" customWidth="1"/>
    <col min="1041" max="1041" width="16" style="3078" customWidth="1"/>
    <col min="1042" max="1042" width="14.375" style="3078" customWidth="1"/>
    <col min="1043" max="1043" width="6.25" style="3078" customWidth="1"/>
    <col min="1044" max="1044" width="21.25" style="3078" customWidth="1"/>
    <col min="1045" max="1045" width="20.125" style="3078" customWidth="1"/>
    <col min="1046" max="1046" width="7.875" style="3078" customWidth="1"/>
    <col min="1047" max="1280" width="9" style="3078"/>
    <col min="1281" max="1281" width="31" style="3078" customWidth="1"/>
    <col min="1282" max="1282" width="6.25" style="3078" customWidth="1"/>
    <col min="1283" max="1283" width="11.75" style="3078" customWidth="1"/>
    <col min="1284" max="1284" width="10.5" style="3078" customWidth="1"/>
    <col min="1285" max="1286" width="13.875" style="3078" customWidth="1"/>
    <col min="1287" max="1287" width="24" style="3078" customWidth="1"/>
    <col min="1288" max="1288" width="7.875" style="3078" customWidth="1"/>
    <col min="1289" max="1289" width="15.375" style="3078" customWidth="1"/>
    <col min="1290" max="1291" width="7.875" style="3078" customWidth="1"/>
    <col min="1292" max="1292" width="11.25" style="3078" customWidth="1"/>
    <col min="1293" max="1293" width="7.875" style="3078" customWidth="1"/>
    <col min="1294" max="1294" width="9" style="3078" customWidth="1"/>
    <col min="1295" max="1295" width="39.25" style="3078" customWidth="1"/>
    <col min="1296" max="1296" width="10.625" style="3078" customWidth="1"/>
    <col min="1297" max="1297" width="16" style="3078" customWidth="1"/>
    <col min="1298" max="1298" width="14.375" style="3078" customWidth="1"/>
    <col min="1299" max="1299" width="6.25" style="3078" customWidth="1"/>
    <col min="1300" max="1300" width="21.25" style="3078" customWidth="1"/>
    <col min="1301" max="1301" width="20.125" style="3078" customWidth="1"/>
    <col min="1302" max="1302" width="7.875" style="3078" customWidth="1"/>
    <col min="1303" max="1536" width="9" style="3078"/>
    <col min="1537" max="1537" width="31" style="3078" customWidth="1"/>
    <col min="1538" max="1538" width="6.25" style="3078" customWidth="1"/>
    <col min="1539" max="1539" width="11.75" style="3078" customWidth="1"/>
    <col min="1540" max="1540" width="10.5" style="3078" customWidth="1"/>
    <col min="1541" max="1542" width="13.875" style="3078" customWidth="1"/>
    <col min="1543" max="1543" width="24" style="3078" customWidth="1"/>
    <col min="1544" max="1544" width="7.875" style="3078" customWidth="1"/>
    <col min="1545" max="1545" width="15.375" style="3078" customWidth="1"/>
    <col min="1546" max="1547" width="7.875" style="3078" customWidth="1"/>
    <col min="1548" max="1548" width="11.25" style="3078" customWidth="1"/>
    <col min="1549" max="1549" width="7.875" style="3078" customWidth="1"/>
    <col min="1550" max="1550" width="9" style="3078" customWidth="1"/>
    <col min="1551" max="1551" width="39.25" style="3078" customWidth="1"/>
    <col min="1552" max="1552" width="10.625" style="3078" customWidth="1"/>
    <col min="1553" max="1553" width="16" style="3078" customWidth="1"/>
    <col min="1554" max="1554" width="14.375" style="3078" customWidth="1"/>
    <col min="1555" max="1555" width="6.25" style="3078" customWidth="1"/>
    <col min="1556" max="1556" width="21.25" style="3078" customWidth="1"/>
    <col min="1557" max="1557" width="20.125" style="3078" customWidth="1"/>
    <col min="1558" max="1558" width="7.875" style="3078" customWidth="1"/>
    <col min="1559" max="1792" width="9" style="3078"/>
    <col min="1793" max="1793" width="31" style="3078" customWidth="1"/>
    <col min="1794" max="1794" width="6.25" style="3078" customWidth="1"/>
    <col min="1795" max="1795" width="11.75" style="3078" customWidth="1"/>
    <col min="1796" max="1796" width="10.5" style="3078" customWidth="1"/>
    <col min="1797" max="1798" width="13.875" style="3078" customWidth="1"/>
    <col min="1799" max="1799" width="24" style="3078" customWidth="1"/>
    <col min="1800" max="1800" width="7.875" style="3078" customWidth="1"/>
    <col min="1801" max="1801" width="15.375" style="3078" customWidth="1"/>
    <col min="1802" max="1803" width="7.875" style="3078" customWidth="1"/>
    <col min="1804" max="1804" width="11.25" style="3078" customWidth="1"/>
    <col min="1805" max="1805" width="7.875" style="3078" customWidth="1"/>
    <col min="1806" max="1806" width="9" style="3078" customWidth="1"/>
    <col min="1807" max="1807" width="39.25" style="3078" customWidth="1"/>
    <col min="1808" max="1808" width="10.625" style="3078" customWidth="1"/>
    <col min="1809" max="1809" width="16" style="3078" customWidth="1"/>
    <col min="1810" max="1810" width="14.375" style="3078" customWidth="1"/>
    <col min="1811" max="1811" width="6.25" style="3078" customWidth="1"/>
    <col min="1812" max="1812" width="21.25" style="3078" customWidth="1"/>
    <col min="1813" max="1813" width="20.125" style="3078" customWidth="1"/>
    <col min="1814" max="1814" width="7.875" style="3078" customWidth="1"/>
    <col min="1815" max="2048" width="9" style="3078"/>
    <col min="2049" max="2049" width="31" style="3078" customWidth="1"/>
    <col min="2050" max="2050" width="6.25" style="3078" customWidth="1"/>
    <col min="2051" max="2051" width="11.75" style="3078" customWidth="1"/>
    <col min="2052" max="2052" width="10.5" style="3078" customWidth="1"/>
    <col min="2053" max="2054" width="13.875" style="3078" customWidth="1"/>
    <col min="2055" max="2055" width="24" style="3078" customWidth="1"/>
    <col min="2056" max="2056" width="7.875" style="3078" customWidth="1"/>
    <col min="2057" max="2057" width="15.375" style="3078" customWidth="1"/>
    <col min="2058" max="2059" width="7.875" style="3078" customWidth="1"/>
    <col min="2060" max="2060" width="11.25" style="3078" customWidth="1"/>
    <col min="2061" max="2061" width="7.875" style="3078" customWidth="1"/>
    <col min="2062" max="2062" width="9" style="3078" customWidth="1"/>
    <col min="2063" max="2063" width="39.25" style="3078" customWidth="1"/>
    <col min="2064" max="2064" width="10.625" style="3078" customWidth="1"/>
    <col min="2065" max="2065" width="16" style="3078" customWidth="1"/>
    <col min="2066" max="2066" width="14.375" style="3078" customWidth="1"/>
    <col min="2067" max="2067" width="6.25" style="3078" customWidth="1"/>
    <col min="2068" max="2068" width="21.25" style="3078" customWidth="1"/>
    <col min="2069" max="2069" width="20.125" style="3078" customWidth="1"/>
    <col min="2070" max="2070" width="7.875" style="3078" customWidth="1"/>
    <col min="2071" max="2304" width="9" style="3078"/>
    <col min="2305" max="2305" width="31" style="3078" customWidth="1"/>
    <col min="2306" max="2306" width="6.25" style="3078" customWidth="1"/>
    <col min="2307" max="2307" width="11.75" style="3078" customWidth="1"/>
    <col min="2308" max="2308" width="10.5" style="3078" customWidth="1"/>
    <col min="2309" max="2310" width="13.875" style="3078" customWidth="1"/>
    <col min="2311" max="2311" width="24" style="3078" customWidth="1"/>
    <col min="2312" max="2312" width="7.875" style="3078" customWidth="1"/>
    <col min="2313" max="2313" width="15.375" style="3078" customWidth="1"/>
    <col min="2314" max="2315" width="7.875" style="3078" customWidth="1"/>
    <col min="2316" max="2316" width="11.25" style="3078" customWidth="1"/>
    <col min="2317" max="2317" width="7.875" style="3078" customWidth="1"/>
    <col min="2318" max="2318" width="9" style="3078" customWidth="1"/>
    <col min="2319" max="2319" width="39.25" style="3078" customWidth="1"/>
    <col min="2320" max="2320" width="10.625" style="3078" customWidth="1"/>
    <col min="2321" max="2321" width="16" style="3078" customWidth="1"/>
    <col min="2322" max="2322" width="14.375" style="3078" customWidth="1"/>
    <col min="2323" max="2323" width="6.25" style="3078" customWidth="1"/>
    <col min="2324" max="2324" width="21.25" style="3078" customWidth="1"/>
    <col min="2325" max="2325" width="20.125" style="3078" customWidth="1"/>
    <col min="2326" max="2326" width="7.875" style="3078" customWidth="1"/>
    <col min="2327" max="2560" width="9" style="3078"/>
    <col min="2561" max="2561" width="31" style="3078" customWidth="1"/>
    <col min="2562" max="2562" width="6.25" style="3078" customWidth="1"/>
    <col min="2563" max="2563" width="11.75" style="3078" customWidth="1"/>
    <col min="2564" max="2564" width="10.5" style="3078" customWidth="1"/>
    <col min="2565" max="2566" width="13.875" style="3078" customWidth="1"/>
    <col min="2567" max="2567" width="24" style="3078" customWidth="1"/>
    <col min="2568" max="2568" width="7.875" style="3078" customWidth="1"/>
    <col min="2569" max="2569" width="15.375" style="3078" customWidth="1"/>
    <col min="2570" max="2571" width="7.875" style="3078" customWidth="1"/>
    <col min="2572" max="2572" width="11.25" style="3078" customWidth="1"/>
    <col min="2573" max="2573" width="7.875" style="3078" customWidth="1"/>
    <col min="2574" max="2574" width="9" style="3078" customWidth="1"/>
    <col min="2575" max="2575" width="39.25" style="3078" customWidth="1"/>
    <col min="2576" max="2576" width="10.625" style="3078" customWidth="1"/>
    <col min="2577" max="2577" width="16" style="3078" customWidth="1"/>
    <col min="2578" max="2578" width="14.375" style="3078" customWidth="1"/>
    <col min="2579" max="2579" width="6.25" style="3078" customWidth="1"/>
    <col min="2580" max="2580" width="21.25" style="3078" customWidth="1"/>
    <col min="2581" max="2581" width="20.125" style="3078" customWidth="1"/>
    <col min="2582" max="2582" width="7.875" style="3078" customWidth="1"/>
    <col min="2583" max="2816" width="9" style="3078"/>
    <col min="2817" max="2817" width="31" style="3078" customWidth="1"/>
    <col min="2818" max="2818" width="6.25" style="3078" customWidth="1"/>
    <col min="2819" max="2819" width="11.75" style="3078" customWidth="1"/>
    <col min="2820" max="2820" width="10.5" style="3078" customWidth="1"/>
    <col min="2821" max="2822" width="13.875" style="3078" customWidth="1"/>
    <col min="2823" max="2823" width="24" style="3078" customWidth="1"/>
    <col min="2824" max="2824" width="7.875" style="3078" customWidth="1"/>
    <col min="2825" max="2825" width="15.375" style="3078" customWidth="1"/>
    <col min="2826" max="2827" width="7.875" style="3078" customWidth="1"/>
    <col min="2828" max="2828" width="11.25" style="3078" customWidth="1"/>
    <col min="2829" max="2829" width="7.875" style="3078" customWidth="1"/>
    <col min="2830" max="2830" width="9" style="3078" customWidth="1"/>
    <col min="2831" max="2831" width="39.25" style="3078" customWidth="1"/>
    <col min="2832" max="2832" width="10.625" style="3078" customWidth="1"/>
    <col min="2833" max="2833" width="16" style="3078" customWidth="1"/>
    <col min="2834" max="2834" width="14.375" style="3078" customWidth="1"/>
    <col min="2835" max="2835" width="6.25" style="3078" customWidth="1"/>
    <col min="2836" max="2836" width="21.25" style="3078" customWidth="1"/>
    <col min="2837" max="2837" width="20.125" style="3078" customWidth="1"/>
    <col min="2838" max="2838" width="7.875" style="3078" customWidth="1"/>
    <col min="2839" max="3072" width="9" style="3078"/>
    <col min="3073" max="3073" width="31" style="3078" customWidth="1"/>
    <col min="3074" max="3074" width="6.25" style="3078" customWidth="1"/>
    <col min="3075" max="3075" width="11.75" style="3078" customWidth="1"/>
    <col min="3076" max="3076" width="10.5" style="3078" customWidth="1"/>
    <col min="3077" max="3078" width="13.875" style="3078" customWidth="1"/>
    <col min="3079" max="3079" width="24" style="3078" customWidth="1"/>
    <col min="3080" max="3080" width="7.875" style="3078" customWidth="1"/>
    <col min="3081" max="3081" width="15.375" style="3078" customWidth="1"/>
    <col min="3082" max="3083" width="7.875" style="3078" customWidth="1"/>
    <col min="3084" max="3084" width="11.25" style="3078" customWidth="1"/>
    <col min="3085" max="3085" width="7.875" style="3078" customWidth="1"/>
    <col min="3086" max="3086" width="9" style="3078" customWidth="1"/>
    <col min="3087" max="3087" width="39.25" style="3078" customWidth="1"/>
    <col min="3088" max="3088" width="10.625" style="3078" customWidth="1"/>
    <col min="3089" max="3089" width="16" style="3078" customWidth="1"/>
    <col min="3090" max="3090" width="14.375" style="3078" customWidth="1"/>
    <col min="3091" max="3091" width="6.25" style="3078" customWidth="1"/>
    <col min="3092" max="3092" width="21.25" style="3078" customWidth="1"/>
    <col min="3093" max="3093" width="20.125" style="3078" customWidth="1"/>
    <col min="3094" max="3094" width="7.875" style="3078" customWidth="1"/>
    <col min="3095" max="3328" width="9" style="3078"/>
    <col min="3329" max="3329" width="31" style="3078" customWidth="1"/>
    <col min="3330" max="3330" width="6.25" style="3078" customWidth="1"/>
    <col min="3331" max="3331" width="11.75" style="3078" customWidth="1"/>
    <col min="3332" max="3332" width="10.5" style="3078" customWidth="1"/>
    <col min="3333" max="3334" width="13.875" style="3078" customWidth="1"/>
    <col min="3335" max="3335" width="24" style="3078" customWidth="1"/>
    <col min="3336" max="3336" width="7.875" style="3078" customWidth="1"/>
    <col min="3337" max="3337" width="15.375" style="3078" customWidth="1"/>
    <col min="3338" max="3339" width="7.875" style="3078" customWidth="1"/>
    <col min="3340" max="3340" width="11.25" style="3078" customWidth="1"/>
    <col min="3341" max="3341" width="7.875" style="3078" customWidth="1"/>
    <col min="3342" max="3342" width="9" style="3078" customWidth="1"/>
    <col min="3343" max="3343" width="39.25" style="3078" customWidth="1"/>
    <col min="3344" max="3344" width="10.625" style="3078" customWidth="1"/>
    <col min="3345" max="3345" width="16" style="3078" customWidth="1"/>
    <col min="3346" max="3346" width="14.375" style="3078" customWidth="1"/>
    <col min="3347" max="3347" width="6.25" style="3078" customWidth="1"/>
    <col min="3348" max="3348" width="21.25" style="3078" customWidth="1"/>
    <col min="3349" max="3349" width="20.125" style="3078" customWidth="1"/>
    <col min="3350" max="3350" width="7.875" style="3078" customWidth="1"/>
    <col min="3351" max="3584" width="9" style="3078"/>
    <col min="3585" max="3585" width="31" style="3078" customWidth="1"/>
    <col min="3586" max="3586" width="6.25" style="3078" customWidth="1"/>
    <col min="3587" max="3587" width="11.75" style="3078" customWidth="1"/>
    <col min="3588" max="3588" width="10.5" style="3078" customWidth="1"/>
    <col min="3589" max="3590" width="13.875" style="3078" customWidth="1"/>
    <col min="3591" max="3591" width="24" style="3078" customWidth="1"/>
    <col min="3592" max="3592" width="7.875" style="3078" customWidth="1"/>
    <col min="3593" max="3593" width="15.375" style="3078" customWidth="1"/>
    <col min="3594" max="3595" width="7.875" style="3078" customWidth="1"/>
    <col min="3596" max="3596" width="11.25" style="3078" customWidth="1"/>
    <col min="3597" max="3597" width="7.875" style="3078" customWidth="1"/>
    <col min="3598" max="3598" width="9" style="3078" customWidth="1"/>
    <col min="3599" max="3599" width="39.25" style="3078" customWidth="1"/>
    <col min="3600" max="3600" width="10.625" style="3078" customWidth="1"/>
    <col min="3601" max="3601" width="16" style="3078" customWidth="1"/>
    <col min="3602" max="3602" width="14.375" style="3078" customWidth="1"/>
    <col min="3603" max="3603" width="6.25" style="3078" customWidth="1"/>
    <col min="3604" max="3604" width="21.25" style="3078" customWidth="1"/>
    <col min="3605" max="3605" width="20.125" style="3078" customWidth="1"/>
    <col min="3606" max="3606" width="7.875" style="3078" customWidth="1"/>
    <col min="3607" max="3840" width="9" style="3078"/>
    <col min="3841" max="3841" width="31" style="3078" customWidth="1"/>
    <col min="3842" max="3842" width="6.25" style="3078" customWidth="1"/>
    <col min="3843" max="3843" width="11.75" style="3078" customWidth="1"/>
    <col min="3844" max="3844" width="10.5" style="3078" customWidth="1"/>
    <col min="3845" max="3846" width="13.875" style="3078" customWidth="1"/>
    <col min="3847" max="3847" width="24" style="3078" customWidth="1"/>
    <col min="3848" max="3848" width="7.875" style="3078" customWidth="1"/>
    <col min="3849" max="3849" width="15.375" style="3078" customWidth="1"/>
    <col min="3850" max="3851" width="7.875" style="3078" customWidth="1"/>
    <col min="3852" max="3852" width="11.25" style="3078" customWidth="1"/>
    <col min="3853" max="3853" width="7.875" style="3078" customWidth="1"/>
    <col min="3854" max="3854" width="9" style="3078" customWidth="1"/>
    <col min="3855" max="3855" width="39.25" style="3078" customWidth="1"/>
    <col min="3856" max="3856" width="10.625" style="3078" customWidth="1"/>
    <col min="3857" max="3857" width="16" style="3078" customWidth="1"/>
    <col min="3858" max="3858" width="14.375" style="3078" customWidth="1"/>
    <col min="3859" max="3859" width="6.25" style="3078" customWidth="1"/>
    <col min="3860" max="3860" width="21.25" style="3078" customWidth="1"/>
    <col min="3861" max="3861" width="20.125" style="3078" customWidth="1"/>
    <col min="3862" max="3862" width="7.875" style="3078" customWidth="1"/>
    <col min="3863" max="4096" width="9" style="3078"/>
    <col min="4097" max="4097" width="31" style="3078" customWidth="1"/>
    <col min="4098" max="4098" width="6.25" style="3078" customWidth="1"/>
    <col min="4099" max="4099" width="11.75" style="3078" customWidth="1"/>
    <col min="4100" max="4100" width="10.5" style="3078" customWidth="1"/>
    <col min="4101" max="4102" width="13.875" style="3078" customWidth="1"/>
    <col min="4103" max="4103" width="24" style="3078" customWidth="1"/>
    <col min="4104" max="4104" width="7.875" style="3078" customWidth="1"/>
    <col min="4105" max="4105" width="15.375" style="3078" customWidth="1"/>
    <col min="4106" max="4107" width="7.875" style="3078" customWidth="1"/>
    <col min="4108" max="4108" width="11.25" style="3078" customWidth="1"/>
    <col min="4109" max="4109" width="7.875" style="3078" customWidth="1"/>
    <col min="4110" max="4110" width="9" style="3078" customWidth="1"/>
    <col min="4111" max="4111" width="39.25" style="3078" customWidth="1"/>
    <col min="4112" max="4112" width="10.625" style="3078" customWidth="1"/>
    <col min="4113" max="4113" width="16" style="3078" customWidth="1"/>
    <col min="4114" max="4114" width="14.375" style="3078" customWidth="1"/>
    <col min="4115" max="4115" width="6.25" style="3078" customWidth="1"/>
    <col min="4116" max="4116" width="21.25" style="3078" customWidth="1"/>
    <col min="4117" max="4117" width="20.125" style="3078" customWidth="1"/>
    <col min="4118" max="4118" width="7.875" style="3078" customWidth="1"/>
    <col min="4119" max="4352" width="9" style="3078"/>
    <col min="4353" max="4353" width="31" style="3078" customWidth="1"/>
    <col min="4354" max="4354" width="6.25" style="3078" customWidth="1"/>
    <col min="4355" max="4355" width="11.75" style="3078" customWidth="1"/>
    <col min="4356" max="4356" width="10.5" style="3078" customWidth="1"/>
    <col min="4357" max="4358" width="13.875" style="3078" customWidth="1"/>
    <col min="4359" max="4359" width="24" style="3078" customWidth="1"/>
    <col min="4360" max="4360" width="7.875" style="3078" customWidth="1"/>
    <col min="4361" max="4361" width="15.375" style="3078" customWidth="1"/>
    <col min="4362" max="4363" width="7.875" style="3078" customWidth="1"/>
    <col min="4364" max="4364" width="11.25" style="3078" customWidth="1"/>
    <col min="4365" max="4365" width="7.875" style="3078" customWidth="1"/>
    <col min="4366" max="4366" width="9" style="3078" customWidth="1"/>
    <col min="4367" max="4367" width="39.25" style="3078" customWidth="1"/>
    <col min="4368" max="4368" width="10.625" style="3078" customWidth="1"/>
    <col min="4369" max="4369" width="16" style="3078" customWidth="1"/>
    <col min="4370" max="4370" width="14.375" style="3078" customWidth="1"/>
    <col min="4371" max="4371" width="6.25" style="3078" customWidth="1"/>
    <col min="4372" max="4372" width="21.25" style="3078" customWidth="1"/>
    <col min="4373" max="4373" width="20.125" style="3078" customWidth="1"/>
    <col min="4374" max="4374" width="7.875" style="3078" customWidth="1"/>
    <col min="4375" max="4608" width="9" style="3078"/>
    <col min="4609" max="4609" width="31" style="3078" customWidth="1"/>
    <col min="4610" max="4610" width="6.25" style="3078" customWidth="1"/>
    <col min="4611" max="4611" width="11.75" style="3078" customWidth="1"/>
    <col min="4612" max="4612" width="10.5" style="3078" customWidth="1"/>
    <col min="4613" max="4614" width="13.875" style="3078" customWidth="1"/>
    <col min="4615" max="4615" width="24" style="3078" customWidth="1"/>
    <col min="4616" max="4616" width="7.875" style="3078" customWidth="1"/>
    <col min="4617" max="4617" width="15.375" style="3078" customWidth="1"/>
    <col min="4618" max="4619" width="7.875" style="3078" customWidth="1"/>
    <col min="4620" max="4620" width="11.25" style="3078" customWidth="1"/>
    <col min="4621" max="4621" width="7.875" style="3078" customWidth="1"/>
    <col min="4622" max="4622" width="9" style="3078" customWidth="1"/>
    <col min="4623" max="4623" width="39.25" style="3078" customWidth="1"/>
    <col min="4624" max="4624" width="10.625" style="3078" customWidth="1"/>
    <col min="4625" max="4625" width="16" style="3078" customWidth="1"/>
    <col min="4626" max="4626" width="14.375" style="3078" customWidth="1"/>
    <col min="4627" max="4627" width="6.25" style="3078" customWidth="1"/>
    <col min="4628" max="4628" width="21.25" style="3078" customWidth="1"/>
    <col min="4629" max="4629" width="20.125" style="3078" customWidth="1"/>
    <col min="4630" max="4630" width="7.875" style="3078" customWidth="1"/>
    <col min="4631" max="4864" width="9" style="3078"/>
    <col min="4865" max="4865" width="31" style="3078" customWidth="1"/>
    <col min="4866" max="4866" width="6.25" style="3078" customWidth="1"/>
    <col min="4867" max="4867" width="11.75" style="3078" customWidth="1"/>
    <col min="4868" max="4868" width="10.5" style="3078" customWidth="1"/>
    <col min="4869" max="4870" width="13.875" style="3078" customWidth="1"/>
    <col min="4871" max="4871" width="24" style="3078" customWidth="1"/>
    <col min="4872" max="4872" width="7.875" style="3078" customWidth="1"/>
    <col min="4873" max="4873" width="15.375" style="3078" customWidth="1"/>
    <col min="4874" max="4875" width="7.875" style="3078" customWidth="1"/>
    <col min="4876" max="4876" width="11.25" style="3078" customWidth="1"/>
    <col min="4877" max="4877" width="7.875" style="3078" customWidth="1"/>
    <col min="4878" max="4878" width="9" style="3078" customWidth="1"/>
    <col min="4879" max="4879" width="39.25" style="3078" customWidth="1"/>
    <col min="4880" max="4880" width="10.625" style="3078" customWidth="1"/>
    <col min="4881" max="4881" width="16" style="3078" customWidth="1"/>
    <col min="4882" max="4882" width="14.375" style="3078" customWidth="1"/>
    <col min="4883" max="4883" width="6.25" style="3078" customWidth="1"/>
    <col min="4884" max="4884" width="21.25" style="3078" customWidth="1"/>
    <col min="4885" max="4885" width="20.125" style="3078" customWidth="1"/>
    <col min="4886" max="4886" width="7.875" style="3078" customWidth="1"/>
    <col min="4887" max="5120" width="9" style="3078"/>
    <col min="5121" max="5121" width="31" style="3078" customWidth="1"/>
    <col min="5122" max="5122" width="6.25" style="3078" customWidth="1"/>
    <col min="5123" max="5123" width="11.75" style="3078" customWidth="1"/>
    <col min="5124" max="5124" width="10.5" style="3078" customWidth="1"/>
    <col min="5125" max="5126" width="13.875" style="3078" customWidth="1"/>
    <col min="5127" max="5127" width="24" style="3078" customWidth="1"/>
    <col min="5128" max="5128" width="7.875" style="3078" customWidth="1"/>
    <col min="5129" max="5129" width="15.375" style="3078" customWidth="1"/>
    <col min="5130" max="5131" width="7.875" style="3078" customWidth="1"/>
    <col min="5132" max="5132" width="11.25" style="3078" customWidth="1"/>
    <col min="5133" max="5133" width="7.875" style="3078" customWidth="1"/>
    <col min="5134" max="5134" width="9" style="3078" customWidth="1"/>
    <col min="5135" max="5135" width="39.25" style="3078" customWidth="1"/>
    <col min="5136" max="5136" width="10.625" style="3078" customWidth="1"/>
    <col min="5137" max="5137" width="16" style="3078" customWidth="1"/>
    <col min="5138" max="5138" width="14.375" style="3078" customWidth="1"/>
    <col min="5139" max="5139" width="6.25" style="3078" customWidth="1"/>
    <col min="5140" max="5140" width="21.25" style="3078" customWidth="1"/>
    <col min="5141" max="5141" width="20.125" style="3078" customWidth="1"/>
    <col min="5142" max="5142" width="7.875" style="3078" customWidth="1"/>
    <col min="5143" max="5376" width="9" style="3078"/>
    <col min="5377" max="5377" width="31" style="3078" customWidth="1"/>
    <col min="5378" max="5378" width="6.25" style="3078" customWidth="1"/>
    <col min="5379" max="5379" width="11.75" style="3078" customWidth="1"/>
    <col min="5380" max="5380" width="10.5" style="3078" customWidth="1"/>
    <col min="5381" max="5382" width="13.875" style="3078" customWidth="1"/>
    <col min="5383" max="5383" width="24" style="3078" customWidth="1"/>
    <col min="5384" max="5384" width="7.875" style="3078" customWidth="1"/>
    <col min="5385" max="5385" width="15.375" style="3078" customWidth="1"/>
    <col min="5386" max="5387" width="7.875" style="3078" customWidth="1"/>
    <col min="5388" max="5388" width="11.25" style="3078" customWidth="1"/>
    <col min="5389" max="5389" width="7.875" style="3078" customWidth="1"/>
    <col min="5390" max="5390" width="9" style="3078" customWidth="1"/>
    <col min="5391" max="5391" width="39.25" style="3078" customWidth="1"/>
    <col min="5392" max="5392" width="10.625" style="3078" customWidth="1"/>
    <col min="5393" max="5393" width="16" style="3078" customWidth="1"/>
    <col min="5394" max="5394" width="14.375" style="3078" customWidth="1"/>
    <col min="5395" max="5395" width="6.25" style="3078" customWidth="1"/>
    <col min="5396" max="5396" width="21.25" style="3078" customWidth="1"/>
    <col min="5397" max="5397" width="20.125" style="3078" customWidth="1"/>
    <col min="5398" max="5398" width="7.875" style="3078" customWidth="1"/>
    <col min="5399" max="5632" width="9" style="3078"/>
    <col min="5633" max="5633" width="31" style="3078" customWidth="1"/>
    <col min="5634" max="5634" width="6.25" style="3078" customWidth="1"/>
    <col min="5635" max="5635" width="11.75" style="3078" customWidth="1"/>
    <col min="5636" max="5636" width="10.5" style="3078" customWidth="1"/>
    <col min="5637" max="5638" width="13.875" style="3078" customWidth="1"/>
    <col min="5639" max="5639" width="24" style="3078" customWidth="1"/>
    <col min="5640" max="5640" width="7.875" style="3078" customWidth="1"/>
    <col min="5641" max="5641" width="15.375" style="3078" customWidth="1"/>
    <col min="5642" max="5643" width="7.875" style="3078" customWidth="1"/>
    <col min="5644" max="5644" width="11.25" style="3078" customWidth="1"/>
    <col min="5645" max="5645" width="7.875" style="3078" customWidth="1"/>
    <col min="5646" max="5646" width="9" style="3078" customWidth="1"/>
    <col min="5647" max="5647" width="39.25" style="3078" customWidth="1"/>
    <col min="5648" max="5648" width="10.625" style="3078" customWidth="1"/>
    <col min="5649" max="5649" width="16" style="3078" customWidth="1"/>
    <col min="5650" max="5650" width="14.375" style="3078" customWidth="1"/>
    <col min="5651" max="5651" width="6.25" style="3078" customWidth="1"/>
    <col min="5652" max="5652" width="21.25" style="3078" customWidth="1"/>
    <col min="5653" max="5653" width="20.125" style="3078" customWidth="1"/>
    <col min="5654" max="5654" width="7.875" style="3078" customWidth="1"/>
    <col min="5655" max="5888" width="9" style="3078"/>
    <col min="5889" max="5889" width="31" style="3078" customWidth="1"/>
    <col min="5890" max="5890" width="6.25" style="3078" customWidth="1"/>
    <col min="5891" max="5891" width="11.75" style="3078" customWidth="1"/>
    <col min="5892" max="5892" width="10.5" style="3078" customWidth="1"/>
    <col min="5893" max="5894" width="13.875" style="3078" customWidth="1"/>
    <col min="5895" max="5895" width="24" style="3078" customWidth="1"/>
    <col min="5896" max="5896" width="7.875" style="3078" customWidth="1"/>
    <col min="5897" max="5897" width="15.375" style="3078" customWidth="1"/>
    <col min="5898" max="5899" width="7.875" style="3078" customWidth="1"/>
    <col min="5900" max="5900" width="11.25" style="3078" customWidth="1"/>
    <col min="5901" max="5901" width="7.875" style="3078" customWidth="1"/>
    <col min="5902" max="5902" width="9" style="3078" customWidth="1"/>
    <col min="5903" max="5903" width="39.25" style="3078" customWidth="1"/>
    <col min="5904" max="5904" width="10.625" style="3078" customWidth="1"/>
    <col min="5905" max="5905" width="16" style="3078" customWidth="1"/>
    <col min="5906" max="5906" width="14.375" style="3078" customWidth="1"/>
    <col min="5907" max="5907" width="6.25" style="3078" customWidth="1"/>
    <col min="5908" max="5908" width="21.25" style="3078" customWidth="1"/>
    <col min="5909" max="5909" width="20.125" style="3078" customWidth="1"/>
    <col min="5910" max="5910" width="7.875" style="3078" customWidth="1"/>
    <col min="5911" max="6144" width="9" style="3078"/>
    <col min="6145" max="6145" width="31" style="3078" customWidth="1"/>
    <col min="6146" max="6146" width="6.25" style="3078" customWidth="1"/>
    <col min="6147" max="6147" width="11.75" style="3078" customWidth="1"/>
    <col min="6148" max="6148" width="10.5" style="3078" customWidth="1"/>
    <col min="6149" max="6150" width="13.875" style="3078" customWidth="1"/>
    <col min="6151" max="6151" width="24" style="3078" customWidth="1"/>
    <col min="6152" max="6152" width="7.875" style="3078" customWidth="1"/>
    <col min="6153" max="6153" width="15.375" style="3078" customWidth="1"/>
    <col min="6154" max="6155" width="7.875" style="3078" customWidth="1"/>
    <col min="6156" max="6156" width="11.25" style="3078" customWidth="1"/>
    <col min="6157" max="6157" width="7.875" style="3078" customWidth="1"/>
    <col min="6158" max="6158" width="9" style="3078" customWidth="1"/>
    <col min="6159" max="6159" width="39.25" style="3078" customWidth="1"/>
    <col min="6160" max="6160" width="10.625" style="3078" customWidth="1"/>
    <col min="6161" max="6161" width="16" style="3078" customWidth="1"/>
    <col min="6162" max="6162" width="14.375" style="3078" customWidth="1"/>
    <col min="6163" max="6163" width="6.25" style="3078" customWidth="1"/>
    <col min="6164" max="6164" width="21.25" style="3078" customWidth="1"/>
    <col min="6165" max="6165" width="20.125" style="3078" customWidth="1"/>
    <col min="6166" max="6166" width="7.875" style="3078" customWidth="1"/>
    <col min="6167" max="6400" width="9" style="3078"/>
    <col min="6401" max="6401" width="31" style="3078" customWidth="1"/>
    <col min="6402" max="6402" width="6.25" style="3078" customWidth="1"/>
    <col min="6403" max="6403" width="11.75" style="3078" customWidth="1"/>
    <col min="6404" max="6404" width="10.5" style="3078" customWidth="1"/>
    <col min="6405" max="6406" width="13.875" style="3078" customWidth="1"/>
    <col min="6407" max="6407" width="24" style="3078" customWidth="1"/>
    <col min="6408" max="6408" width="7.875" style="3078" customWidth="1"/>
    <col min="6409" max="6409" width="15.375" style="3078" customWidth="1"/>
    <col min="6410" max="6411" width="7.875" style="3078" customWidth="1"/>
    <col min="6412" max="6412" width="11.25" style="3078" customWidth="1"/>
    <col min="6413" max="6413" width="7.875" style="3078" customWidth="1"/>
    <col min="6414" max="6414" width="9" style="3078" customWidth="1"/>
    <col min="6415" max="6415" width="39.25" style="3078" customWidth="1"/>
    <col min="6416" max="6416" width="10.625" style="3078" customWidth="1"/>
    <col min="6417" max="6417" width="16" style="3078" customWidth="1"/>
    <col min="6418" max="6418" width="14.375" style="3078" customWidth="1"/>
    <col min="6419" max="6419" width="6.25" style="3078" customWidth="1"/>
    <col min="6420" max="6420" width="21.25" style="3078" customWidth="1"/>
    <col min="6421" max="6421" width="20.125" style="3078" customWidth="1"/>
    <col min="6422" max="6422" width="7.875" style="3078" customWidth="1"/>
    <col min="6423" max="6656" width="9" style="3078"/>
    <col min="6657" max="6657" width="31" style="3078" customWidth="1"/>
    <col min="6658" max="6658" width="6.25" style="3078" customWidth="1"/>
    <col min="6659" max="6659" width="11.75" style="3078" customWidth="1"/>
    <col min="6660" max="6660" width="10.5" style="3078" customWidth="1"/>
    <col min="6661" max="6662" width="13.875" style="3078" customWidth="1"/>
    <col min="6663" max="6663" width="24" style="3078" customWidth="1"/>
    <col min="6664" max="6664" width="7.875" style="3078" customWidth="1"/>
    <col min="6665" max="6665" width="15.375" style="3078" customWidth="1"/>
    <col min="6666" max="6667" width="7.875" style="3078" customWidth="1"/>
    <col min="6668" max="6668" width="11.25" style="3078" customWidth="1"/>
    <col min="6669" max="6669" width="7.875" style="3078" customWidth="1"/>
    <col min="6670" max="6670" width="9" style="3078" customWidth="1"/>
    <col min="6671" max="6671" width="39.25" style="3078" customWidth="1"/>
    <col min="6672" max="6672" width="10.625" style="3078" customWidth="1"/>
    <col min="6673" max="6673" width="16" style="3078" customWidth="1"/>
    <col min="6674" max="6674" width="14.375" style="3078" customWidth="1"/>
    <col min="6675" max="6675" width="6.25" style="3078" customWidth="1"/>
    <col min="6676" max="6676" width="21.25" style="3078" customWidth="1"/>
    <col min="6677" max="6677" width="20.125" style="3078" customWidth="1"/>
    <col min="6678" max="6678" width="7.875" style="3078" customWidth="1"/>
    <col min="6679" max="6912" width="9" style="3078"/>
    <col min="6913" max="6913" width="31" style="3078" customWidth="1"/>
    <col min="6914" max="6914" width="6.25" style="3078" customWidth="1"/>
    <col min="6915" max="6915" width="11.75" style="3078" customWidth="1"/>
    <col min="6916" max="6916" width="10.5" style="3078" customWidth="1"/>
    <col min="6917" max="6918" width="13.875" style="3078" customWidth="1"/>
    <col min="6919" max="6919" width="24" style="3078" customWidth="1"/>
    <col min="6920" max="6920" width="7.875" style="3078" customWidth="1"/>
    <col min="6921" max="6921" width="15.375" style="3078" customWidth="1"/>
    <col min="6922" max="6923" width="7.875" style="3078" customWidth="1"/>
    <col min="6924" max="6924" width="11.25" style="3078" customWidth="1"/>
    <col min="6925" max="6925" width="7.875" style="3078" customWidth="1"/>
    <col min="6926" max="6926" width="9" style="3078" customWidth="1"/>
    <col min="6927" max="6927" width="39.25" style="3078" customWidth="1"/>
    <col min="6928" max="6928" width="10.625" style="3078" customWidth="1"/>
    <col min="6929" max="6929" width="16" style="3078" customWidth="1"/>
    <col min="6930" max="6930" width="14.375" style="3078" customWidth="1"/>
    <col min="6931" max="6931" width="6.25" style="3078" customWidth="1"/>
    <col min="6932" max="6932" width="21.25" style="3078" customWidth="1"/>
    <col min="6933" max="6933" width="20.125" style="3078" customWidth="1"/>
    <col min="6934" max="6934" width="7.875" style="3078" customWidth="1"/>
    <col min="6935" max="7168" width="9" style="3078"/>
    <col min="7169" max="7169" width="31" style="3078" customWidth="1"/>
    <col min="7170" max="7170" width="6.25" style="3078" customWidth="1"/>
    <col min="7171" max="7171" width="11.75" style="3078" customWidth="1"/>
    <col min="7172" max="7172" width="10.5" style="3078" customWidth="1"/>
    <col min="7173" max="7174" width="13.875" style="3078" customWidth="1"/>
    <col min="7175" max="7175" width="24" style="3078" customWidth="1"/>
    <col min="7176" max="7176" width="7.875" style="3078" customWidth="1"/>
    <col min="7177" max="7177" width="15.375" style="3078" customWidth="1"/>
    <col min="7178" max="7179" width="7.875" style="3078" customWidth="1"/>
    <col min="7180" max="7180" width="11.25" style="3078" customWidth="1"/>
    <col min="7181" max="7181" width="7.875" style="3078" customWidth="1"/>
    <col min="7182" max="7182" width="9" style="3078" customWidth="1"/>
    <col min="7183" max="7183" width="39.25" style="3078" customWidth="1"/>
    <col min="7184" max="7184" width="10.625" style="3078" customWidth="1"/>
    <col min="7185" max="7185" width="16" style="3078" customWidth="1"/>
    <col min="7186" max="7186" width="14.375" style="3078" customWidth="1"/>
    <col min="7187" max="7187" width="6.25" style="3078" customWidth="1"/>
    <col min="7188" max="7188" width="21.25" style="3078" customWidth="1"/>
    <col min="7189" max="7189" width="20.125" style="3078" customWidth="1"/>
    <col min="7190" max="7190" width="7.875" style="3078" customWidth="1"/>
    <col min="7191" max="7424" width="9" style="3078"/>
    <col min="7425" max="7425" width="31" style="3078" customWidth="1"/>
    <col min="7426" max="7426" width="6.25" style="3078" customWidth="1"/>
    <col min="7427" max="7427" width="11.75" style="3078" customWidth="1"/>
    <col min="7428" max="7428" width="10.5" style="3078" customWidth="1"/>
    <col min="7429" max="7430" width="13.875" style="3078" customWidth="1"/>
    <col min="7431" max="7431" width="24" style="3078" customWidth="1"/>
    <col min="7432" max="7432" width="7.875" style="3078" customWidth="1"/>
    <col min="7433" max="7433" width="15.375" style="3078" customWidth="1"/>
    <col min="7434" max="7435" width="7.875" style="3078" customWidth="1"/>
    <col min="7436" max="7436" width="11.25" style="3078" customWidth="1"/>
    <col min="7437" max="7437" width="7.875" style="3078" customWidth="1"/>
    <col min="7438" max="7438" width="9" style="3078" customWidth="1"/>
    <col min="7439" max="7439" width="39.25" style="3078" customWidth="1"/>
    <col min="7440" max="7440" width="10.625" style="3078" customWidth="1"/>
    <col min="7441" max="7441" width="16" style="3078" customWidth="1"/>
    <col min="7442" max="7442" width="14.375" style="3078" customWidth="1"/>
    <col min="7443" max="7443" width="6.25" style="3078" customWidth="1"/>
    <col min="7444" max="7444" width="21.25" style="3078" customWidth="1"/>
    <col min="7445" max="7445" width="20.125" style="3078" customWidth="1"/>
    <col min="7446" max="7446" width="7.875" style="3078" customWidth="1"/>
    <col min="7447" max="7680" width="9" style="3078"/>
    <col min="7681" max="7681" width="31" style="3078" customWidth="1"/>
    <col min="7682" max="7682" width="6.25" style="3078" customWidth="1"/>
    <col min="7683" max="7683" width="11.75" style="3078" customWidth="1"/>
    <col min="7684" max="7684" width="10.5" style="3078" customWidth="1"/>
    <col min="7685" max="7686" width="13.875" style="3078" customWidth="1"/>
    <col min="7687" max="7687" width="24" style="3078" customWidth="1"/>
    <col min="7688" max="7688" width="7.875" style="3078" customWidth="1"/>
    <col min="7689" max="7689" width="15.375" style="3078" customWidth="1"/>
    <col min="7690" max="7691" width="7.875" style="3078" customWidth="1"/>
    <col min="7692" max="7692" width="11.25" style="3078" customWidth="1"/>
    <col min="7693" max="7693" width="7.875" style="3078" customWidth="1"/>
    <col min="7694" max="7694" width="9" style="3078" customWidth="1"/>
    <col min="7695" max="7695" width="39.25" style="3078" customWidth="1"/>
    <col min="7696" max="7696" width="10.625" style="3078" customWidth="1"/>
    <col min="7697" max="7697" width="16" style="3078" customWidth="1"/>
    <col min="7698" max="7698" width="14.375" style="3078" customWidth="1"/>
    <col min="7699" max="7699" width="6.25" style="3078" customWidth="1"/>
    <col min="7700" max="7700" width="21.25" style="3078" customWidth="1"/>
    <col min="7701" max="7701" width="20.125" style="3078" customWidth="1"/>
    <col min="7702" max="7702" width="7.875" style="3078" customWidth="1"/>
    <col min="7703" max="7936" width="9" style="3078"/>
    <col min="7937" max="7937" width="31" style="3078" customWidth="1"/>
    <col min="7938" max="7938" width="6.25" style="3078" customWidth="1"/>
    <col min="7939" max="7939" width="11.75" style="3078" customWidth="1"/>
    <col min="7940" max="7940" width="10.5" style="3078" customWidth="1"/>
    <col min="7941" max="7942" width="13.875" style="3078" customWidth="1"/>
    <col min="7943" max="7943" width="24" style="3078" customWidth="1"/>
    <col min="7944" max="7944" width="7.875" style="3078" customWidth="1"/>
    <col min="7945" max="7945" width="15.375" style="3078" customWidth="1"/>
    <col min="7946" max="7947" width="7.875" style="3078" customWidth="1"/>
    <col min="7948" max="7948" width="11.25" style="3078" customWidth="1"/>
    <col min="7949" max="7949" width="7.875" style="3078" customWidth="1"/>
    <col min="7950" max="7950" width="9" style="3078" customWidth="1"/>
    <col min="7951" max="7951" width="39.25" style="3078" customWidth="1"/>
    <col min="7952" max="7952" width="10.625" style="3078" customWidth="1"/>
    <col min="7953" max="7953" width="16" style="3078" customWidth="1"/>
    <col min="7954" max="7954" width="14.375" style="3078" customWidth="1"/>
    <col min="7955" max="7955" width="6.25" style="3078" customWidth="1"/>
    <col min="7956" max="7956" width="21.25" style="3078" customWidth="1"/>
    <col min="7957" max="7957" width="20.125" style="3078" customWidth="1"/>
    <col min="7958" max="7958" width="7.875" style="3078" customWidth="1"/>
    <col min="7959" max="8192" width="9" style="3078"/>
    <col min="8193" max="8193" width="31" style="3078" customWidth="1"/>
    <col min="8194" max="8194" width="6.25" style="3078" customWidth="1"/>
    <col min="8195" max="8195" width="11.75" style="3078" customWidth="1"/>
    <col min="8196" max="8196" width="10.5" style="3078" customWidth="1"/>
    <col min="8197" max="8198" width="13.875" style="3078" customWidth="1"/>
    <col min="8199" max="8199" width="24" style="3078" customWidth="1"/>
    <col min="8200" max="8200" width="7.875" style="3078" customWidth="1"/>
    <col min="8201" max="8201" width="15.375" style="3078" customWidth="1"/>
    <col min="8202" max="8203" width="7.875" style="3078" customWidth="1"/>
    <col min="8204" max="8204" width="11.25" style="3078" customWidth="1"/>
    <col min="8205" max="8205" width="7.875" style="3078" customWidth="1"/>
    <col min="8206" max="8206" width="9" style="3078" customWidth="1"/>
    <col min="8207" max="8207" width="39.25" style="3078" customWidth="1"/>
    <col min="8208" max="8208" width="10.625" style="3078" customWidth="1"/>
    <col min="8209" max="8209" width="16" style="3078" customWidth="1"/>
    <col min="8210" max="8210" width="14.375" style="3078" customWidth="1"/>
    <col min="8211" max="8211" width="6.25" style="3078" customWidth="1"/>
    <col min="8212" max="8212" width="21.25" style="3078" customWidth="1"/>
    <col min="8213" max="8213" width="20.125" style="3078" customWidth="1"/>
    <col min="8214" max="8214" width="7.875" style="3078" customWidth="1"/>
    <col min="8215" max="8448" width="9" style="3078"/>
    <col min="8449" max="8449" width="31" style="3078" customWidth="1"/>
    <col min="8450" max="8450" width="6.25" style="3078" customWidth="1"/>
    <col min="8451" max="8451" width="11.75" style="3078" customWidth="1"/>
    <col min="8452" max="8452" width="10.5" style="3078" customWidth="1"/>
    <col min="8453" max="8454" width="13.875" style="3078" customWidth="1"/>
    <col min="8455" max="8455" width="24" style="3078" customWidth="1"/>
    <col min="8456" max="8456" width="7.875" style="3078" customWidth="1"/>
    <col min="8457" max="8457" width="15.375" style="3078" customWidth="1"/>
    <col min="8458" max="8459" width="7.875" style="3078" customWidth="1"/>
    <col min="8460" max="8460" width="11.25" style="3078" customWidth="1"/>
    <col min="8461" max="8461" width="7.875" style="3078" customWidth="1"/>
    <col min="8462" max="8462" width="9" style="3078" customWidth="1"/>
    <col min="8463" max="8463" width="39.25" style="3078" customWidth="1"/>
    <col min="8464" max="8464" width="10.625" style="3078" customWidth="1"/>
    <col min="8465" max="8465" width="16" style="3078" customWidth="1"/>
    <col min="8466" max="8466" width="14.375" style="3078" customWidth="1"/>
    <col min="8467" max="8467" width="6.25" style="3078" customWidth="1"/>
    <col min="8468" max="8468" width="21.25" style="3078" customWidth="1"/>
    <col min="8469" max="8469" width="20.125" style="3078" customWidth="1"/>
    <col min="8470" max="8470" width="7.875" style="3078" customWidth="1"/>
    <col min="8471" max="8704" width="9" style="3078"/>
    <col min="8705" max="8705" width="31" style="3078" customWidth="1"/>
    <col min="8706" max="8706" width="6.25" style="3078" customWidth="1"/>
    <col min="8707" max="8707" width="11.75" style="3078" customWidth="1"/>
    <col min="8708" max="8708" width="10.5" style="3078" customWidth="1"/>
    <col min="8709" max="8710" width="13.875" style="3078" customWidth="1"/>
    <col min="8711" max="8711" width="24" style="3078" customWidth="1"/>
    <col min="8712" max="8712" width="7.875" style="3078" customWidth="1"/>
    <col min="8713" max="8713" width="15.375" style="3078" customWidth="1"/>
    <col min="8714" max="8715" width="7.875" style="3078" customWidth="1"/>
    <col min="8716" max="8716" width="11.25" style="3078" customWidth="1"/>
    <col min="8717" max="8717" width="7.875" style="3078" customWidth="1"/>
    <col min="8718" max="8718" width="9" style="3078" customWidth="1"/>
    <col min="8719" max="8719" width="39.25" style="3078" customWidth="1"/>
    <col min="8720" max="8720" width="10.625" style="3078" customWidth="1"/>
    <col min="8721" max="8721" width="16" style="3078" customWidth="1"/>
    <col min="8722" max="8722" width="14.375" style="3078" customWidth="1"/>
    <col min="8723" max="8723" width="6.25" style="3078" customWidth="1"/>
    <col min="8724" max="8724" width="21.25" style="3078" customWidth="1"/>
    <col min="8725" max="8725" width="20.125" style="3078" customWidth="1"/>
    <col min="8726" max="8726" width="7.875" style="3078" customWidth="1"/>
    <col min="8727" max="8960" width="9" style="3078"/>
    <col min="8961" max="8961" width="31" style="3078" customWidth="1"/>
    <col min="8962" max="8962" width="6.25" style="3078" customWidth="1"/>
    <col min="8963" max="8963" width="11.75" style="3078" customWidth="1"/>
    <col min="8964" max="8964" width="10.5" style="3078" customWidth="1"/>
    <col min="8965" max="8966" width="13.875" style="3078" customWidth="1"/>
    <col min="8967" max="8967" width="24" style="3078" customWidth="1"/>
    <col min="8968" max="8968" width="7.875" style="3078" customWidth="1"/>
    <col min="8969" max="8969" width="15.375" style="3078" customWidth="1"/>
    <col min="8970" max="8971" width="7.875" style="3078" customWidth="1"/>
    <col min="8972" max="8972" width="11.25" style="3078" customWidth="1"/>
    <col min="8973" max="8973" width="7.875" style="3078" customWidth="1"/>
    <col min="8974" max="8974" width="9" style="3078" customWidth="1"/>
    <col min="8975" max="8975" width="39.25" style="3078" customWidth="1"/>
    <col min="8976" max="8976" width="10.625" style="3078" customWidth="1"/>
    <col min="8977" max="8977" width="16" style="3078" customWidth="1"/>
    <col min="8978" max="8978" width="14.375" style="3078" customWidth="1"/>
    <col min="8979" max="8979" width="6.25" style="3078" customWidth="1"/>
    <col min="8980" max="8980" width="21.25" style="3078" customWidth="1"/>
    <col min="8981" max="8981" width="20.125" style="3078" customWidth="1"/>
    <col min="8982" max="8982" width="7.875" style="3078" customWidth="1"/>
    <col min="8983" max="9216" width="9" style="3078"/>
    <col min="9217" max="9217" width="31" style="3078" customWidth="1"/>
    <col min="9218" max="9218" width="6.25" style="3078" customWidth="1"/>
    <col min="9219" max="9219" width="11.75" style="3078" customWidth="1"/>
    <col min="9220" max="9220" width="10.5" style="3078" customWidth="1"/>
    <col min="9221" max="9222" width="13.875" style="3078" customWidth="1"/>
    <col min="9223" max="9223" width="24" style="3078" customWidth="1"/>
    <col min="9224" max="9224" width="7.875" style="3078" customWidth="1"/>
    <col min="9225" max="9225" width="15.375" style="3078" customWidth="1"/>
    <col min="9226" max="9227" width="7.875" style="3078" customWidth="1"/>
    <col min="9228" max="9228" width="11.25" style="3078" customWidth="1"/>
    <col min="9229" max="9229" width="7.875" style="3078" customWidth="1"/>
    <col min="9230" max="9230" width="9" style="3078" customWidth="1"/>
    <col min="9231" max="9231" width="39.25" style="3078" customWidth="1"/>
    <col min="9232" max="9232" width="10.625" style="3078" customWidth="1"/>
    <col min="9233" max="9233" width="16" style="3078" customWidth="1"/>
    <col min="9234" max="9234" width="14.375" style="3078" customWidth="1"/>
    <col min="9235" max="9235" width="6.25" style="3078" customWidth="1"/>
    <col min="9236" max="9236" width="21.25" style="3078" customWidth="1"/>
    <col min="9237" max="9237" width="20.125" style="3078" customWidth="1"/>
    <col min="9238" max="9238" width="7.875" style="3078" customWidth="1"/>
    <col min="9239" max="9472" width="9" style="3078"/>
    <col min="9473" max="9473" width="31" style="3078" customWidth="1"/>
    <col min="9474" max="9474" width="6.25" style="3078" customWidth="1"/>
    <col min="9475" max="9475" width="11.75" style="3078" customWidth="1"/>
    <col min="9476" max="9476" width="10.5" style="3078" customWidth="1"/>
    <col min="9477" max="9478" width="13.875" style="3078" customWidth="1"/>
    <col min="9479" max="9479" width="24" style="3078" customWidth="1"/>
    <col min="9480" max="9480" width="7.875" style="3078" customWidth="1"/>
    <col min="9481" max="9481" width="15.375" style="3078" customWidth="1"/>
    <col min="9482" max="9483" width="7.875" style="3078" customWidth="1"/>
    <col min="9484" max="9484" width="11.25" style="3078" customWidth="1"/>
    <col min="9485" max="9485" width="7.875" style="3078" customWidth="1"/>
    <col min="9486" max="9486" width="9" style="3078" customWidth="1"/>
    <col min="9487" max="9487" width="39.25" style="3078" customWidth="1"/>
    <col min="9488" max="9488" width="10.625" style="3078" customWidth="1"/>
    <col min="9489" max="9489" width="16" style="3078" customWidth="1"/>
    <col min="9490" max="9490" width="14.375" style="3078" customWidth="1"/>
    <col min="9491" max="9491" width="6.25" style="3078" customWidth="1"/>
    <col min="9492" max="9492" width="21.25" style="3078" customWidth="1"/>
    <col min="9493" max="9493" width="20.125" style="3078" customWidth="1"/>
    <col min="9494" max="9494" width="7.875" style="3078" customWidth="1"/>
    <col min="9495" max="9728" width="9" style="3078"/>
    <col min="9729" max="9729" width="31" style="3078" customWidth="1"/>
    <col min="9730" max="9730" width="6.25" style="3078" customWidth="1"/>
    <col min="9731" max="9731" width="11.75" style="3078" customWidth="1"/>
    <col min="9732" max="9732" width="10.5" style="3078" customWidth="1"/>
    <col min="9733" max="9734" width="13.875" style="3078" customWidth="1"/>
    <col min="9735" max="9735" width="24" style="3078" customWidth="1"/>
    <col min="9736" max="9736" width="7.875" style="3078" customWidth="1"/>
    <col min="9737" max="9737" width="15.375" style="3078" customWidth="1"/>
    <col min="9738" max="9739" width="7.875" style="3078" customWidth="1"/>
    <col min="9740" max="9740" width="11.25" style="3078" customWidth="1"/>
    <col min="9741" max="9741" width="7.875" style="3078" customWidth="1"/>
    <col min="9742" max="9742" width="9" style="3078" customWidth="1"/>
    <col min="9743" max="9743" width="39.25" style="3078" customWidth="1"/>
    <col min="9744" max="9744" width="10.625" style="3078" customWidth="1"/>
    <col min="9745" max="9745" width="16" style="3078" customWidth="1"/>
    <col min="9746" max="9746" width="14.375" style="3078" customWidth="1"/>
    <col min="9747" max="9747" width="6.25" style="3078" customWidth="1"/>
    <col min="9748" max="9748" width="21.25" style="3078" customWidth="1"/>
    <col min="9749" max="9749" width="20.125" style="3078" customWidth="1"/>
    <col min="9750" max="9750" width="7.875" style="3078" customWidth="1"/>
    <col min="9751" max="9984" width="9" style="3078"/>
    <col min="9985" max="9985" width="31" style="3078" customWidth="1"/>
    <col min="9986" max="9986" width="6.25" style="3078" customWidth="1"/>
    <col min="9987" max="9987" width="11.75" style="3078" customWidth="1"/>
    <col min="9988" max="9988" width="10.5" style="3078" customWidth="1"/>
    <col min="9989" max="9990" width="13.875" style="3078" customWidth="1"/>
    <col min="9991" max="9991" width="24" style="3078" customWidth="1"/>
    <col min="9992" max="9992" width="7.875" style="3078" customWidth="1"/>
    <col min="9993" max="9993" width="15.375" style="3078" customWidth="1"/>
    <col min="9994" max="9995" width="7.875" style="3078" customWidth="1"/>
    <col min="9996" max="9996" width="11.25" style="3078" customWidth="1"/>
    <col min="9997" max="9997" width="7.875" style="3078" customWidth="1"/>
    <col min="9998" max="9998" width="9" style="3078" customWidth="1"/>
    <col min="9999" max="9999" width="39.25" style="3078" customWidth="1"/>
    <col min="10000" max="10000" width="10.625" style="3078" customWidth="1"/>
    <col min="10001" max="10001" width="16" style="3078" customWidth="1"/>
    <col min="10002" max="10002" width="14.375" style="3078" customWidth="1"/>
    <col min="10003" max="10003" width="6.25" style="3078" customWidth="1"/>
    <col min="10004" max="10004" width="21.25" style="3078" customWidth="1"/>
    <col min="10005" max="10005" width="20.125" style="3078" customWidth="1"/>
    <col min="10006" max="10006" width="7.875" style="3078" customWidth="1"/>
    <col min="10007" max="10240" width="9" style="3078"/>
    <col min="10241" max="10241" width="31" style="3078" customWidth="1"/>
    <col min="10242" max="10242" width="6.25" style="3078" customWidth="1"/>
    <col min="10243" max="10243" width="11.75" style="3078" customWidth="1"/>
    <col min="10244" max="10244" width="10.5" style="3078" customWidth="1"/>
    <col min="10245" max="10246" width="13.875" style="3078" customWidth="1"/>
    <col min="10247" max="10247" width="24" style="3078" customWidth="1"/>
    <col min="10248" max="10248" width="7.875" style="3078" customWidth="1"/>
    <col min="10249" max="10249" width="15.375" style="3078" customWidth="1"/>
    <col min="10250" max="10251" width="7.875" style="3078" customWidth="1"/>
    <col min="10252" max="10252" width="11.25" style="3078" customWidth="1"/>
    <col min="10253" max="10253" width="7.875" style="3078" customWidth="1"/>
    <col min="10254" max="10254" width="9" style="3078" customWidth="1"/>
    <col min="10255" max="10255" width="39.25" style="3078" customWidth="1"/>
    <col min="10256" max="10256" width="10.625" style="3078" customWidth="1"/>
    <col min="10257" max="10257" width="16" style="3078" customWidth="1"/>
    <col min="10258" max="10258" width="14.375" style="3078" customWidth="1"/>
    <col min="10259" max="10259" width="6.25" style="3078" customWidth="1"/>
    <col min="10260" max="10260" width="21.25" style="3078" customWidth="1"/>
    <col min="10261" max="10261" width="20.125" style="3078" customWidth="1"/>
    <col min="10262" max="10262" width="7.875" style="3078" customWidth="1"/>
    <col min="10263" max="10496" width="9" style="3078"/>
    <col min="10497" max="10497" width="31" style="3078" customWidth="1"/>
    <col min="10498" max="10498" width="6.25" style="3078" customWidth="1"/>
    <col min="10499" max="10499" width="11.75" style="3078" customWidth="1"/>
    <col min="10500" max="10500" width="10.5" style="3078" customWidth="1"/>
    <col min="10501" max="10502" width="13.875" style="3078" customWidth="1"/>
    <col min="10503" max="10503" width="24" style="3078" customWidth="1"/>
    <col min="10504" max="10504" width="7.875" style="3078" customWidth="1"/>
    <col min="10505" max="10505" width="15.375" style="3078" customWidth="1"/>
    <col min="10506" max="10507" width="7.875" style="3078" customWidth="1"/>
    <col min="10508" max="10508" width="11.25" style="3078" customWidth="1"/>
    <col min="10509" max="10509" width="7.875" style="3078" customWidth="1"/>
    <col min="10510" max="10510" width="9" style="3078" customWidth="1"/>
    <col min="10511" max="10511" width="39.25" style="3078" customWidth="1"/>
    <col min="10512" max="10512" width="10.625" style="3078" customWidth="1"/>
    <col min="10513" max="10513" width="16" style="3078" customWidth="1"/>
    <col min="10514" max="10514" width="14.375" style="3078" customWidth="1"/>
    <col min="10515" max="10515" width="6.25" style="3078" customWidth="1"/>
    <col min="10516" max="10516" width="21.25" style="3078" customWidth="1"/>
    <col min="10517" max="10517" width="20.125" style="3078" customWidth="1"/>
    <col min="10518" max="10518" width="7.875" style="3078" customWidth="1"/>
    <col min="10519" max="10752" width="9" style="3078"/>
    <col min="10753" max="10753" width="31" style="3078" customWidth="1"/>
    <col min="10754" max="10754" width="6.25" style="3078" customWidth="1"/>
    <col min="10755" max="10755" width="11.75" style="3078" customWidth="1"/>
    <col min="10756" max="10756" width="10.5" style="3078" customWidth="1"/>
    <col min="10757" max="10758" width="13.875" style="3078" customWidth="1"/>
    <col min="10759" max="10759" width="24" style="3078" customWidth="1"/>
    <col min="10760" max="10760" width="7.875" style="3078" customWidth="1"/>
    <col min="10761" max="10761" width="15.375" style="3078" customWidth="1"/>
    <col min="10762" max="10763" width="7.875" style="3078" customWidth="1"/>
    <col min="10764" max="10764" width="11.25" style="3078" customWidth="1"/>
    <col min="10765" max="10765" width="7.875" style="3078" customWidth="1"/>
    <col min="10766" max="10766" width="9" style="3078" customWidth="1"/>
    <col min="10767" max="10767" width="39.25" style="3078" customWidth="1"/>
    <col min="10768" max="10768" width="10.625" style="3078" customWidth="1"/>
    <col min="10769" max="10769" width="16" style="3078" customWidth="1"/>
    <col min="10770" max="10770" width="14.375" style="3078" customWidth="1"/>
    <col min="10771" max="10771" width="6.25" style="3078" customWidth="1"/>
    <col min="10772" max="10772" width="21.25" style="3078" customWidth="1"/>
    <col min="10773" max="10773" width="20.125" style="3078" customWidth="1"/>
    <col min="10774" max="10774" width="7.875" style="3078" customWidth="1"/>
    <col min="10775" max="11008" width="9" style="3078"/>
    <col min="11009" max="11009" width="31" style="3078" customWidth="1"/>
    <col min="11010" max="11010" width="6.25" style="3078" customWidth="1"/>
    <col min="11011" max="11011" width="11.75" style="3078" customWidth="1"/>
    <col min="11012" max="11012" width="10.5" style="3078" customWidth="1"/>
    <col min="11013" max="11014" width="13.875" style="3078" customWidth="1"/>
    <col min="11015" max="11015" width="24" style="3078" customWidth="1"/>
    <col min="11016" max="11016" width="7.875" style="3078" customWidth="1"/>
    <col min="11017" max="11017" width="15.375" style="3078" customWidth="1"/>
    <col min="11018" max="11019" width="7.875" style="3078" customWidth="1"/>
    <col min="11020" max="11020" width="11.25" style="3078" customWidth="1"/>
    <col min="11021" max="11021" width="7.875" style="3078" customWidth="1"/>
    <col min="11022" max="11022" width="9" style="3078" customWidth="1"/>
    <col min="11023" max="11023" width="39.25" style="3078" customWidth="1"/>
    <col min="11024" max="11024" width="10.625" style="3078" customWidth="1"/>
    <col min="11025" max="11025" width="16" style="3078" customWidth="1"/>
    <col min="11026" max="11026" width="14.375" style="3078" customWidth="1"/>
    <col min="11027" max="11027" width="6.25" style="3078" customWidth="1"/>
    <col min="11028" max="11028" width="21.25" style="3078" customWidth="1"/>
    <col min="11029" max="11029" width="20.125" style="3078" customWidth="1"/>
    <col min="11030" max="11030" width="7.875" style="3078" customWidth="1"/>
    <col min="11031" max="11264" width="9" style="3078"/>
    <col min="11265" max="11265" width="31" style="3078" customWidth="1"/>
    <col min="11266" max="11266" width="6.25" style="3078" customWidth="1"/>
    <col min="11267" max="11267" width="11.75" style="3078" customWidth="1"/>
    <col min="11268" max="11268" width="10.5" style="3078" customWidth="1"/>
    <col min="11269" max="11270" width="13.875" style="3078" customWidth="1"/>
    <col min="11271" max="11271" width="24" style="3078" customWidth="1"/>
    <col min="11272" max="11272" width="7.875" style="3078" customWidth="1"/>
    <col min="11273" max="11273" width="15.375" style="3078" customWidth="1"/>
    <col min="11274" max="11275" width="7.875" style="3078" customWidth="1"/>
    <col min="11276" max="11276" width="11.25" style="3078" customWidth="1"/>
    <col min="11277" max="11277" width="7.875" style="3078" customWidth="1"/>
    <col min="11278" max="11278" width="9" style="3078" customWidth="1"/>
    <col min="11279" max="11279" width="39.25" style="3078" customWidth="1"/>
    <col min="11280" max="11280" width="10.625" style="3078" customWidth="1"/>
    <col min="11281" max="11281" width="16" style="3078" customWidth="1"/>
    <col min="11282" max="11282" width="14.375" style="3078" customWidth="1"/>
    <col min="11283" max="11283" width="6.25" style="3078" customWidth="1"/>
    <col min="11284" max="11284" width="21.25" style="3078" customWidth="1"/>
    <col min="11285" max="11285" width="20.125" style="3078" customWidth="1"/>
    <col min="11286" max="11286" width="7.875" style="3078" customWidth="1"/>
    <col min="11287" max="11520" width="9" style="3078"/>
    <col min="11521" max="11521" width="31" style="3078" customWidth="1"/>
    <col min="11522" max="11522" width="6.25" style="3078" customWidth="1"/>
    <col min="11523" max="11523" width="11.75" style="3078" customWidth="1"/>
    <col min="11524" max="11524" width="10.5" style="3078" customWidth="1"/>
    <col min="11525" max="11526" width="13.875" style="3078" customWidth="1"/>
    <col min="11527" max="11527" width="24" style="3078" customWidth="1"/>
    <col min="11528" max="11528" width="7.875" style="3078" customWidth="1"/>
    <col min="11529" max="11529" width="15.375" style="3078" customWidth="1"/>
    <col min="11530" max="11531" width="7.875" style="3078" customWidth="1"/>
    <col min="11532" max="11532" width="11.25" style="3078" customWidth="1"/>
    <col min="11533" max="11533" width="7.875" style="3078" customWidth="1"/>
    <col min="11534" max="11534" width="9" style="3078" customWidth="1"/>
    <col min="11535" max="11535" width="39.25" style="3078" customWidth="1"/>
    <col min="11536" max="11536" width="10.625" style="3078" customWidth="1"/>
    <col min="11537" max="11537" width="16" style="3078" customWidth="1"/>
    <col min="11538" max="11538" width="14.375" style="3078" customWidth="1"/>
    <col min="11539" max="11539" width="6.25" style="3078" customWidth="1"/>
    <col min="11540" max="11540" width="21.25" style="3078" customWidth="1"/>
    <col min="11541" max="11541" width="20.125" style="3078" customWidth="1"/>
    <col min="11542" max="11542" width="7.875" style="3078" customWidth="1"/>
    <col min="11543" max="11776" width="9" style="3078"/>
    <col min="11777" max="11777" width="31" style="3078" customWidth="1"/>
    <col min="11778" max="11778" width="6.25" style="3078" customWidth="1"/>
    <col min="11779" max="11779" width="11.75" style="3078" customWidth="1"/>
    <col min="11780" max="11780" width="10.5" style="3078" customWidth="1"/>
    <col min="11781" max="11782" width="13.875" style="3078" customWidth="1"/>
    <col min="11783" max="11783" width="24" style="3078" customWidth="1"/>
    <col min="11784" max="11784" width="7.875" style="3078" customWidth="1"/>
    <col min="11785" max="11785" width="15.375" style="3078" customWidth="1"/>
    <col min="11786" max="11787" width="7.875" style="3078" customWidth="1"/>
    <col min="11788" max="11788" width="11.25" style="3078" customWidth="1"/>
    <col min="11789" max="11789" width="7.875" style="3078" customWidth="1"/>
    <col min="11790" max="11790" width="9" style="3078" customWidth="1"/>
    <col min="11791" max="11791" width="39.25" style="3078" customWidth="1"/>
    <col min="11792" max="11792" width="10.625" style="3078" customWidth="1"/>
    <col min="11793" max="11793" width="16" style="3078" customWidth="1"/>
    <col min="11794" max="11794" width="14.375" style="3078" customWidth="1"/>
    <col min="11795" max="11795" width="6.25" style="3078" customWidth="1"/>
    <col min="11796" max="11796" width="21.25" style="3078" customWidth="1"/>
    <col min="11797" max="11797" width="20.125" style="3078" customWidth="1"/>
    <col min="11798" max="11798" width="7.875" style="3078" customWidth="1"/>
    <col min="11799" max="12032" width="9" style="3078"/>
    <col min="12033" max="12033" width="31" style="3078" customWidth="1"/>
    <col min="12034" max="12034" width="6.25" style="3078" customWidth="1"/>
    <col min="12035" max="12035" width="11.75" style="3078" customWidth="1"/>
    <col min="12036" max="12036" width="10.5" style="3078" customWidth="1"/>
    <col min="12037" max="12038" width="13.875" style="3078" customWidth="1"/>
    <col min="12039" max="12039" width="24" style="3078" customWidth="1"/>
    <col min="12040" max="12040" width="7.875" style="3078" customWidth="1"/>
    <col min="12041" max="12041" width="15.375" style="3078" customWidth="1"/>
    <col min="12042" max="12043" width="7.875" style="3078" customWidth="1"/>
    <col min="12044" max="12044" width="11.25" style="3078" customWidth="1"/>
    <col min="12045" max="12045" width="7.875" style="3078" customWidth="1"/>
    <col min="12046" max="12046" width="9" style="3078" customWidth="1"/>
    <col min="12047" max="12047" width="39.25" style="3078" customWidth="1"/>
    <col min="12048" max="12048" width="10.625" style="3078" customWidth="1"/>
    <col min="12049" max="12049" width="16" style="3078" customWidth="1"/>
    <col min="12050" max="12050" width="14.375" style="3078" customWidth="1"/>
    <col min="12051" max="12051" width="6.25" style="3078" customWidth="1"/>
    <col min="12052" max="12052" width="21.25" style="3078" customWidth="1"/>
    <col min="12053" max="12053" width="20.125" style="3078" customWidth="1"/>
    <col min="12054" max="12054" width="7.875" style="3078" customWidth="1"/>
    <col min="12055" max="12288" width="9" style="3078"/>
    <col min="12289" max="12289" width="31" style="3078" customWidth="1"/>
    <col min="12290" max="12290" width="6.25" style="3078" customWidth="1"/>
    <col min="12291" max="12291" width="11.75" style="3078" customWidth="1"/>
    <col min="12292" max="12292" width="10.5" style="3078" customWidth="1"/>
    <col min="12293" max="12294" width="13.875" style="3078" customWidth="1"/>
    <col min="12295" max="12295" width="24" style="3078" customWidth="1"/>
    <col min="12296" max="12296" width="7.875" style="3078" customWidth="1"/>
    <col min="12297" max="12297" width="15.375" style="3078" customWidth="1"/>
    <col min="12298" max="12299" width="7.875" style="3078" customWidth="1"/>
    <col min="12300" max="12300" width="11.25" style="3078" customWidth="1"/>
    <col min="12301" max="12301" width="7.875" style="3078" customWidth="1"/>
    <col min="12302" max="12302" width="9" style="3078" customWidth="1"/>
    <col min="12303" max="12303" width="39.25" style="3078" customWidth="1"/>
    <col min="12304" max="12304" width="10.625" style="3078" customWidth="1"/>
    <col min="12305" max="12305" width="16" style="3078" customWidth="1"/>
    <col min="12306" max="12306" width="14.375" style="3078" customWidth="1"/>
    <col min="12307" max="12307" width="6.25" style="3078" customWidth="1"/>
    <col min="12308" max="12308" width="21.25" style="3078" customWidth="1"/>
    <col min="12309" max="12309" width="20.125" style="3078" customWidth="1"/>
    <col min="12310" max="12310" width="7.875" style="3078" customWidth="1"/>
    <col min="12311" max="12544" width="9" style="3078"/>
    <col min="12545" max="12545" width="31" style="3078" customWidth="1"/>
    <col min="12546" max="12546" width="6.25" style="3078" customWidth="1"/>
    <col min="12547" max="12547" width="11.75" style="3078" customWidth="1"/>
    <col min="12548" max="12548" width="10.5" style="3078" customWidth="1"/>
    <col min="12549" max="12550" width="13.875" style="3078" customWidth="1"/>
    <col min="12551" max="12551" width="24" style="3078" customWidth="1"/>
    <col min="12552" max="12552" width="7.875" style="3078" customWidth="1"/>
    <col min="12553" max="12553" width="15.375" style="3078" customWidth="1"/>
    <col min="12554" max="12555" width="7.875" style="3078" customWidth="1"/>
    <col min="12556" max="12556" width="11.25" style="3078" customWidth="1"/>
    <col min="12557" max="12557" width="7.875" style="3078" customWidth="1"/>
    <col min="12558" max="12558" width="9" style="3078" customWidth="1"/>
    <col min="12559" max="12559" width="39.25" style="3078" customWidth="1"/>
    <col min="12560" max="12560" width="10.625" style="3078" customWidth="1"/>
    <col min="12561" max="12561" width="16" style="3078" customWidth="1"/>
    <col min="12562" max="12562" width="14.375" style="3078" customWidth="1"/>
    <col min="12563" max="12563" width="6.25" style="3078" customWidth="1"/>
    <col min="12564" max="12564" width="21.25" style="3078" customWidth="1"/>
    <col min="12565" max="12565" width="20.125" style="3078" customWidth="1"/>
    <col min="12566" max="12566" width="7.875" style="3078" customWidth="1"/>
    <col min="12567" max="12800" width="9" style="3078"/>
    <col min="12801" max="12801" width="31" style="3078" customWidth="1"/>
    <col min="12802" max="12802" width="6.25" style="3078" customWidth="1"/>
    <col min="12803" max="12803" width="11.75" style="3078" customWidth="1"/>
    <col min="12804" max="12804" width="10.5" style="3078" customWidth="1"/>
    <col min="12805" max="12806" width="13.875" style="3078" customWidth="1"/>
    <col min="12807" max="12807" width="24" style="3078" customWidth="1"/>
    <col min="12808" max="12808" width="7.875" style="3078" customWidth="1"/>
    <col min="12809" max="12809" width="15.375" style="3078" customWidth="1"/>
    <col min="12810" max="12811" width="7.875" style="3078" customWidth="1"/>
    <col min="12812" max="12812" width="11.25" style="3078" customWidth="1"/>
    <col min="12813" max="12813" width="7.875" style="3078" customWidth="1"/>
    <col min="12814" max="12814" width="9" style="3078" customWidth="1"/>
    <col min="12815" max="12815" width="39.25" style="3078" customWidth="1"/>
    <col min="12816" max="12816" width="10.625" style="3078" customWidth="1"/>
    <col min="12817" max="12817" width="16" style="3078" customWidth="1"/>
    <col min="12818" max="12818" width="14.375" style="3078" customWidth="1"/>
    <col min="12819" max="12819" width="6.25" style="3078" customWidth="1"/>
    <col min="12820" max="12820" width="21.25" style="3078" customWidth="1"/>
    <col min="12821" max="12821" width="20.125" style="3078" customWidth="1"/>
    <col min="12822" max="12822" width="7.875" style="3078" customWidth="1"/>
    <col min="12823" max="13056" width="9" style="3078"/>
    <col min="13057" max="13057" width="31" style="3078" customWidth="1"/>
    <col min="13058" max="13058" width="6.25" style="3078" customWidth="1"/>
    <col min="13059" max="13059" width="11.75" style="3078" customWidth="1"/>
    <col min="13060" max="13060" width="10.5" style="3078" customWidth="1"/>
    <col min="13061" max="13062" width="13.875" style="3078" customWidth="1"/>
    <col min="13063" max="13063" width="24" style="3078" customWidth="1"/>
    <col min="13064" max="13064" width="7.875" style="3078" customWidth="1"/>
    <col min="13065" max="13065" width="15.375" style="3078" customWidth="1"/>
    <col min="13066" max="13067" width="7.875" style="3078" customWidth="1"/>
    <col min="13068" max="13068" width="11.25" style="3078" customWidth="1"/>
    <col min="13069" max="13069" width="7.875" style="3078" customWidth="1"/>
    <col min="13070" max="13070" width="9" style="3078" customWidth="1"/>
    <col min="13071" max="13071" width="39.25" style="3078" customWidth="1"/>
    <col min="13072" max="13072" width="10.625" style="3078" customWidth="1"/>
    <col min="13073" max="13073" width="16" style="3078" customWidth="1"/>
    <col min="13074" max="13074" width="14.375" style="3078" customWidth="1"/>
    <col min="13075" max="13075" width="6.25" style="3078" customWidth="1"/>
    <col min="13076" max="13076" width="21.25" style="3078" customWidth="1"/>
    <col min="13077" max="13077" width="20.125" style="3078" customWidth="1"/>
    <col min="13078" max="13078" width="7.875" style="3078" customWidth="1"/>
    <col min="13079" max="13312" width="9" style="3078"/>
    <col min="13313" max="13313" width="31" style="3078" customWidth="1"/>
    <col min="13314" max="13314" width="6.25" style="3078" customWidth="1"/>
    <col min="13315" max="13315" width="11.75" style="3078" customWidth="1"/>
    <col min="13316" max="13316" width="10.5" style="3078" customWidth="1"/>
    <col min="13317" max="13318" width="13.875" style="3078" customWidth="1"/>
    <col min="13319" max="13319" width="24" style="3078" customWidth="1"/>
    <col min="13320" max="13320" width="7.875" style="3078" customWidth="1"/>
    <col min="13321" max="13321" width="15.375" style="3078" customWidth="1"/>
    <col min="13322" max="13323" width="7.875" style="3078" customWidth="1"/>
    <col min="13324" max="13324" width="11.25" style="3078" customWidth="1"/>
    <col min="13325" max="13325" width="7.875" style="3078" customWidth="1"/>
    <col min="13326" max="13326" width="9" style="3078" customWidth="1"/>
    <col min="13327" max="13327" width="39.25" style="3078" customWidth="1"/>
    <col min="13328" max="13328" width="10.625" style="3078" customWidth="1"/>
    <col min="13329" max="13329" width="16" style="3078" customWidth="1"/>
    <col min="13330" max="13330" width="14.375" style="3078" customWidth="1"/>
    <col min="13331" max="13331" width="6.25" style="3078" customWidth="1"/>
    <col min="13332" max="13332" width="21.25" style="3078" customWidth="1"/>
    <col min="13333" max="13333" width="20.125" style="3078" customWidth="1"/>
    <col min="13334" max="13334" width="7.875" style="3078" customWidth="1"/>
    <col min="13335" max="13568" width="9" style="3078"/>
    <col min="13569" max="13569" width="31" style="3078" customWidth="1"/>
    <col min="13570" max="13570" width="6.25" style="3078" customWidth="1"/>
    <col min="13571" max="13571" width="11.75" style="3078" customWidth="1"/>
    <col min="13572" max="13572" width="10.5" style="3078" customWidth="1"/>
    <col min="13573" max="13574" width="13.875" style="3078" customWidth="1"/>
    <col min="13575" max="13575" width="24" style="3078" customWidth="1"/>
    <col min="13576" max="13576" width="7.875" style="3078" customWidth="1"/>
    <col min="13577" max="13577" width="15.375" style="3078" customWidth="1"/>
    <col min="13578" max="13579" width="7.875" style="3078" customWidth="1"/>
    <col min="13580" max="13580" width="11.25" style="3078" customWidth="1"/>
    <col min="13581" max="13581" width="7.875" style="3078" customWidth="1"/>
    <col min="13582" max="13582" width="9" style="3078" customWidth="1"/>
    <col min="13583" max="13583" width="39.25" style="3078" customWidth="1"/>
    <col min="13584" max="13584" width="10.625" style="3078" customWidth="1"/>
    <col min="13585" max="13585" width="16" style="3078" customWidth="1"/>
    <col min="13586" max="13586" width="14.375" style="3078" customWidth="1"/>
    <col min="13587" max="13587" width="6.25" style="3078" customWidth="1"/>
    <col min="13588" max="13588" width="21.25" style="3078" customWidth="1"/>
    <col min="13589" max="13589" width="20.125" style="3078" customWidth="1"/>
    <col min="13590" max="13590" width="7.875" style="3078" customWidth="1"/>
    <col min="13591" max="13824" width="9" style="3078"/>
    <col min="13825" max="13825" width="31" style="3078" customWidth="1"/>
    <col min="13826" max="13826" width="6.25" style="3078" customWidth="1"/>
    <col min="13827" max="13827" width="11.75" style="3078" customWidth="1"/>
    <col min="13828" max="13828" width="10.5" style="3078" customWidth="1"/>
    <col min="13829" max="13830" width="13.875" style="3078" customWidth="1"/>
    <col min="13831" max="13831" width="24" style="3078" customWidth="1"/>
    <col min="13832" max="13832" width="7.875" style="3078" customWidth="1"/>
    <col min="13833" max="13833" width="15.375" style="3078" customWidth="1"/>
    <col min="13834" max="13835" width="7.875" style="3078" customWidth="1"/>
    <col min="13836" max="13836" width="11.25" style="3078" customWidth="1"/>
    <col min="13837" max="13837" width="7.875" style="3078" customWidth="1"/>
    <col min="13838" max="13838" width="9" style="3078" customWidth="1"/>
    <col min="13839" max="13839" width="39.25" style="3078" customWidth="1"/>
    <col min="13840" max="13840" width="10.625" style="3078" customWidth="1"/>
    <col min="13841" max="13841" width="16" style="3078" customWidth="1"/>
    <col min="13842" max="13842" width="14.375" style="3078" customWidth="1"/>
    <col min="13843" max="13843" width="6.25" style="3078" customWidth="1"/>
    <col min="13844" max="13844" width="21.25" style="3078" customWidth="1"/>
    <col min="13845" max="13845" width="20.125" style="3078" customWidth="1"/>
    <col min="13846" max="13846" width="7.875" style="3078" customWidth="1"/>
    <col min="13847" max="14080" width="9" style="3078"/>
    <col min="14081" max="14081" width="31" style="3078" customWidth="1"/>
    <col min="14082" max="14082" width="6.25" style="3078" customWidth="1"/>
    <col min="14083" max="14083" width="11.75" style="3078" customWidth="1"/>
    <col min="14084" max="14084" width="10.5" style="3078" customWidth="1"/>
    <col min="14085" max="14086" width="13.875" style="3078" customWidth="1"/>
    <col min="14087" max="14087" width="24" style="3078" customWidth="1"/>
    <col min="14088" max="14088" width="7.875" style="3078" customWidth="1"/>
    <col min="14089" max="14089" width="15.375" style="3078" customWidth="1"/>
    <col min="14090" max="14091" width="7.875" style="3078" customWidth="1"/>
    <col min="14092" max="14092" width="11.25" style="3078" customWidth="1"/>
    <col min="14093" max="14093" width="7.875" style="3078" customWidth="1"/>
    <col min="14094" max="14094" width="9" style="3078" customWidth="1"/>
    <col min="14095" max="14095" width="39.25" style="3078" customWidth="1"/>
    <col min="14096" max="14096" width="10.625" style="3078" customWidth="1"/>
    <col min="14097" max="14097" width="16" style="3078" customWidth="1"/>
    <col min="14098" max="14098" width="14.375" style="3078" customWidth="1"/>
    <col min="14099" max="14099" width="6.25" style="3078" customWidth="1"/>
    <col min="14100" max="14100" width="21.25" style="3078" customWidth="1"/>
    <col min="14101" max="14101" width="20.125" style="3078" customWidth="1"/>
    <col min="14102" max="14102" width="7.875" style="3078" customWidth="1"/>
    <col min="14103" max="14336" width="9" style="3078"/>
    <col min="14337" max="14337" width="31" style="3078" customWidth="1"/>
    <col min="14338" max="14338" width="6.25" style="3078" customWidth="1"/>
    <col min="14339" max="14339" width="11.75" style="3078" customWidth="1"/>
    <col min="14340" max="14340" width="10.5" style="3078" customWidth="1"/>
    <col min="14341" max="14342" width="13.875" style="3078" customWidth="1"/>
    <col min="14343" max="14343" width="24" style="3078" customWidth="1"/>
    <col min="14344" max="14344" width="7.875" style="3078" customWidth="1"/>
    <col min="14345" max="14345" width="15.375" style="3078" customWidth="1"/>
    <col min="14346" max="14347" width="7.875" style="3078" customWidth="1"/>
    <col min="14348" max="14348" width="11.25" style="3078" customWidth="1"/>
    <col min="14349" max="14349" width="7.875" style="3078" customWidth="1"/>
    <col min="14350" max="14350" width="9" style="3078" customWidth="1"/>
    <col min="14351" max="14351" width="39.25" style="3078" customWidth="1"/>
    <col min="14352" max="14352" width="10.625" style="3078" customWidth="1"/>
    <col min="14353" max="14353" width="16" style="3078" customWidth="1"/>
    <col min="14354" max="14354" width="14.375" style="3078" customWidth="1"/>
    <col min="14355" max="14355" width="6.25" style="3078" customWidth="1"/>
    <col min="14356" max="14356" width="21.25" style="3078" customWidth="1"/>
    <col min="14357" max="14357" width="20.125" style="3078" customWidth="1"/>
    <col min="14358" max="14358" width="7.875" style="3078" customWidth="1"/>
    <col min="14359" max="14592" width="9" style="3078"/>
    <col min="14593" max="14593" width="31" style="3078" customWidth="1"/>
    <col min="14594" max="14594" width="6.25" style="3078" customWidth="1"/>
    <col min="14595" max="14595" width="11.75" style="3078" customWidth="1"/>
    <col min="14596" max="14596" width="10.5" style="3078" customWidth="1"/>
    <col min="14597" max="14598" width="13.875" style="3078" customWidth="1"/>
    <col min="14599" max="14599" width="24" style="3078" customWidth="1"/>
    <col min="14600" max="14600" width="7.875" style="3078" customWidth="1"/>
    <col min="14601" max="14601" width="15.375" style="3078" customWidth="1"/>
    <col min="14602" max="14603" width="7.875" style="3078" customWidth="1"/>
    <col min="14604" max="14604" width="11.25" style="3078" customWidth="1"/>
    <col min="14605" max="14605" width="7.875" style="3078" customWidth="1"/>
    <col min="14606" max="14606" width="9" style="3078" customWidth="1"/>
    <col min="14607" max="14607" width="39.25" style="3078" customWidth="1"/>
    <col min="14608" max="14608" width="10.625" style="3078" customWidth="1"/>
    <col min="14609" max="14609" width="16" style="3078" customWidth="1"/>
    <col min="14610" max="14610" width="14.375" style="3078" customWidth="1"/>
    <col min="14611" max="14611" width="6.25" style="3078" customWidth="1"/>
    <col min="14612" max="14612" width="21.25" style="3078" customWidth="1"/>
    <col min="14613" max="14613" width="20.125" style="3078" customWidth="1"/>
    <col min="14614" max="14614" width="7.875" style="3078" customWidth="1"/>
    <col min="14615" max="14848" width="9" style="3078"/>
    <col min="14849" max="14849" width="31" style="3078" customWidth="1"/>
    <col min="14850" max="14850" width="6.25" style="3078" customWidth="1"/>
    <col min="14851" max="14851" width="11.75" style="3078" customWidth="1"/>
    <col min="14852" max="14852" width="10.5" style="3078" customWidth="1"/>
    <col min="14853" max="14854" width="13.875" style="3078" customWidth="1"/>
    <col min="14855" max="14855" width="24" style="3078" customWidth="1"/>
    <col min="14856" max="14856" width="7.875" style="3078" customWidth="1"/>
    <col min="14857" max="14857" width="15.375" style="3078" customWidth="1"/>
    <col min="14858" max="14859" width="7.875" style="3078" customWidth="1"/>
    <col min="14860" max="14860" width="11.25" style="3078" customWidth="1"/>
    <col min="14861" max="14861" width="7.875" style="3078" customWidth="1"/>
    <col min="14862" max="14862" width="9" style="3078" customWidth="1"/>
    <col min="14863" max="14863" width="39.25" style="3078" customWidth="1"/>
    <col min="14864" max="14864" width="10.625" style="3078" customWidth="1"/>
    <col min="14865" max="14865" width="16" style="3078" customWidth="1"/>
    <col min="14866" max="14866" width="14.375" style="3078" customWidth="1"/>
    <col min="14867" max="14867" width="6.25" style="3078" customWidth="1"/>
    <col min="14868" max="14868" width="21.25" style="3078" customWidth="1"/>
    <col min="14869" max="14869" width="20.125" style="3078" customWidth="1"/>
    <col min="14870" max="14870" width="7.875" style="3078" customWidth="1"/>
    <col min="14871" max="15104" width="9" style="3078"/>
    <col min="15105" max="15105" width="31" style="3078" customWidth="1"/>
    <col min="15106" max="15106" width="6.25" style="3078" customWidth="1"/>
    <col min="15107" max="15107" width="11.75" style="3078" customWidth="1"/>
    <col min="15108" max="15108" width="10.5" style="3078" customWidth="1"/>
    <col min="15109" max="15110" width="13.875" style="3078" customWidth="1"/>
    <col min="15111" max="15111" width="24" style="3078" customWidth="1"/>
    <col min="15112" max="15112" width="7.875" style="3078" customWidth="1"/>
    <col min="15113" max="15113" width="15.375" style="3078" customWidth="1"/>
    <col min="15114" max="15115" width="7.875" style="3078" customWidth="1"/>
    <col min="15116" max="15116" width="11.25" style="3078" customWidth="1"/>
    <col min="15117" max="15117" width="7.875" style="3078" customWidth="1"/>
    <col min="15118" max="15118" width="9" style="3078" customWidth="1"/>
    <col min="15119" max="15119" width="39.25" style="3078" customWidth="1"/>
    <col min="15120" max="15120" width="10.625" style="3078" customWidth="1"/>
    <col min="15121" max="15121" width="16" style="3078" customWidth="1"/>
    <col min="15122" max="15122" width="14.375" style="3078" customWidth="1"/>
    <col min="15123" max="15123" width="6.25" style="3078" customWidth="1"/>
    <col min="15124" max="15124" width="21.25" style="3078" customWidth="1"/>
    <col min="15125" max="15125" width="20.125" style="3078" customWidth="1"/>
    <col min="15126" max="15126" width="7.875" style="3078" customWidth="1"/>
    <col min="15127" max="15360" width="9" style="3078"/>
    <col min="15361" max="15361" width="31" style="3078" customWidth="1"/>
    <col min="15362" max="15362" width="6.25" style="3078" customWidth="1"/>
    <col min="15363" max="15363" width="11.75" style="3078" customWidth="1"/>
    <col min="15364" max="15364" width="10.5" style="3078" customWidth="1"/>
    <col min="15365" max="15366" width="13.875" style="3078" customWidth="1"/>
    <col min="15367" max="15367" width="24" style="3078" customWidth="1"/>
    <col min="15368" max="15368" width="7.875" style="3078" customWidth="1"/>
    <col min="15369" max="15369" width="15.375" style="3078" customWidth="1"/>
    <col min="15370" max="15371" width="7.875" style="3078" customWidth="1"/>
    <col min="15372" max="15372" width="11.25" style="3078" customWidth="1"/>
    <col min="15373" max="15373" width="7.875" style="3078" customWidth="1"/>
    <col min="15374" max="15374" width="9" style="3078" customWidth="1"/>
    <col min="15375" max="15375" width="39.25" style="3078" customWidth="1"/>
    <col min="15376" max="15376" width="10.625" style="3078" customWidth="1"/>
    <col min="15377" max="15377" width="16" style="3078" customWidth="1"/>
    <col min="15378" max="15378" width="14.375" style="3078" customWidth="1"/>
    <col min="15379" max="15379" width="6.25" style="3078" customWidth="1"/>
    <col min="15380" max="15380" width="21.25" style="3078" customWidth="1"/>
    <col min="15381" max="15381" width="20.125" style="3078" customWidth="1"/>
    <col min="15382" max="15382" width="7.875" style="3078" customWidth="1"/>
    <col min="15383" max="15616" width="9" style="3078"/>
    <col min="15617" max="15617" width="31" style="3078" customWidth="1"/>
    <col min="15618" max="15618" width="6.25" style="3078" customWidth="1"/>
    <col min="15619" max="15619" width="11.75" style="3078" customWidth="1"/>
    <col min="15620" max="15620" width="10.5" style="3078" customWidth="1"/>
    <col min="15621" max="15622" width="13.875" style="3078" customWidth="1"/>
    <col min="15623" max="15623" width="24" style="3078" customWidth="1"/>
    <col min="15624" max="15624" width="7.875" style="3078" customWidth="1"/>
    <col min="15625" max="15625" width="15.375" style="3078" customWidth="1"/>
    <col min="15626" max="15627" width="7.875" style="3078" customWidth="1"/>
    <col min="15628" max="15628" width="11.25" style="3078" customWidth="1"/>
    <col min="15629" max="15629" width="7.875" style="3078" customWidth="1"/>
    <col min="15630" max="15630" width="9" style="3078" customWidth="1"/>
    <col min="15631" max="15631" width="39.25" style="3078" customWidth="1"/>
    <col min="15632" max="15632" width="10.625" style="3078" customWidth="1"/>
    <col min="15633" max="15633" width="16" style="3078" customWidth="1"/>
    <col min="15634" max="15634" width="14.375" style="3078" customWidth="1"/>
    <col min="15635" max="15635" width="6.25" style="3078" customWidth="1"/>
    <col min="15636" max="15636" width="21.25" style="3078" customWidth="1"/>
    <col min="15637" max="15637" width="20.125" style="3078" customWidth="1"/>
    <col min="15638" max="15638" width="7.875" style="3078" customWidth="1"/>
    <col min="15639" max="15872" width="9" style="3078"/>
    <col min="15873" max="15873" width="31" style="3078" customWidth="1"/>
    <col min="15874" max="15874" width="6.25" style="3078" customWidth="1"/>
    <col min="15875" max="15875" width="11.75" style="3078" customWidth="1"/>
    <col min="15876" max="15876" width="10.5" style="3078" customWidth="1"/>
    <col min="15877" max="15878" width="13.875" style="3078" customWidth="1"/>
    <col min="15879" max="15879" width="24" style="3078" customWidth="1"/>
    <col min="15880" max="15880" width="7.875" style="3078" customWidth="1"/>
    <col min="15881" max="15881" width="15.375" style="3078" customWidth="1"/>
    <col min="15882" max="15883" width="7.875" style="3078" customWidth="1"/>
    <col min="15884" max="15884" width="11.25" style="3078" customWidth="1"/>
    <col min="15885" max="15885" width="7.875" style="3078" customWidth="1"/>
    <col min="15886" max="15886" width="9" style="3078" customWidth="1"/>
    <col min="15887" max="15887" width="39.25" style="3078" customWidth="1"/>
    <col min="15888" max="15888" width="10.625" style="3078" customWidth="1"/>
    <col min="15889" max="15889" width="16" style="3078" customWidth="1"/>
    <col min="15890" max="15890" width="14.375" style="3078" customWidth="1"/>
    <col min="15891" max="15891" width="6.25" style="3078" customWidth="1"/>
    <col min="15892" max="15892" width="21.25" style="3078" customWidth="1"/>
    <col min="15893" max="15893" width="20.125" style="3078" customWidth="1"/>
    <col min="15894" max="15894" width="7.875" style="3078" customWidth="1"/>
    <col min="15895" max="16128" width="9" style="3078"/>
    <col min="16129" max="16129" width="31" style="3078" customWidth="1"/>
    <col min="16130" max="16130" width="6.25" style="3078" customWidth="1"/>
    <col min="16131" max="16131" width="11.75" style="3078" customWidth="1"/>
    <col min="16132" max="16132" width="10.5" style="3078" customWidth="1"/>
    <col min="16133" max="16134" width="13.875" style="3078" customWidth="1"/>
    <col min="16135" max="16135" width="24" style="3078" customWidth="1"/>
    <col min="16136" max="16136" width="7.875" style="3078" customWidth="1"/>
    <col min="16137" max="16137" width="15.375" style="3078" customWidth="1"/>
    <col min="16138" max="16139" width="7.875" style="3078" customWidth="1"/>
    <col min="16140" max="16140" width="11.25" style="3078" customWidth="1"/>
    <col min="16141" max="16141" width="7.875" style="3078" customWidth="1"/>
    <col min="16142" max="16142" width="9" style="3078" customWidth="1"/>
    <col min="16143" max="16143" width="39.25" style="3078" customWidth="1"/>
    <col min="16144" max="16144" width="10.625" style="3078" customWidth="1"/>
    <col min="16145" max="16145" width="16" style="3078" customWidth="1"/>
    <col min="16146" max="16146" width="14.375" style="3078" customWidth="1"/>
    <col min="16147" max="16147" width="6.25" style="3078" customWidth="1"/>
    <col min="16148" max="16148" width="21.25" style="3078" customWidth="1"/>
    <col min="16149" max="16149" width="20.125" style="3078" customWidth="1"/>
    <col min="16150" max="16150" width="7.875" style="3078" customWidth="1"/>
    <col min="16151" max="16384" width="9" style="3078"/>
  </cols>
  <sheetData>
    <row r="1" spans="1:22">
      <c r="A1" s="3078" t="s">
        <v>3103</v>
      </c>
      <c r="B1" s="3078" t="s">
        <v>3104</v>
      </c>
      <c r="C1" s="3078" t="s">
        <v>3105</v>
      </c>
      <c r="D1" s="3078" t="s">
        <v>3106</v>
      </c>
      <c r="E1" s="3078" t="s">
        <v>3107</v>
      </c>
      <c r="F1" s="3078" t="s">
        <v>3108</v>
      </c>
      <c r="G1" s="3078" t="s">
        <v>3109</v>
      </c>
      <c r="H1" s="3078" t="s">
        <v>3110</v>
      </c>
      <c r="I1" s="3078" t="s">
        <v>3111</v>
      </c>
      <c r="J1" s="3078" t="s">
        <v>3112</v>
      </c>
      <c r="K1" s="3078" t="s">
        <v>3113</v>
      </c>
      <c r="L1" s="3078" t="s">
        <v>3114</v>
      </c>
      <c r="M1" s="3078" t="s">
        <v>3115</v>
      </c>
      <c r="N1" s="3078" t="s">
        <v>3116</v>
      </c>
      <c r="O1" s="3078" t="s">
        <v>3117</v>
      </c>
      <c r="P1" s="3078" t="s">
        <v>3118</v>
      </c>
      <c r="Q1" s="3078" t="s">
        <v>3119</v>
      </c>
      <c r="R1" s="3078" t="s">
        <v>3120</v>
      </c>
      <c r="S1" s="3078" t="s">
        <v>3121</v>
      </c>
      <c r="T1" s="3078" t="s">
        <v>3122</v>
      </c>
      <c r="U1" s="3078" t="s">
        <v>3123</v>
      </c>
      <c r="V1" s="3078" t="s">
        <v>3124</v>
      </c>
    </row>
    <row r="2" spans="1:22" hidden="1">
      <c r="A2" s="3078" t="s">
        <v>3125</v>
      </c>
      <c r="B2" s="3078" t="s">
        <v>3126</v>
      </c>
      <c r="C2" s="3078" t="s">
        <v>3127</v>
      </c>
      <c r="D2" s="3078" t="s">
        <v>3128</v>
      </c>
      <c r="E2" s="3078">
        <v>125095</v>
      </c>
      <c r="F2" s="3078">
        <v>437832.5</v>
      </c>
      <c r="G2" s="3078" t="s">
        <v>3129</v>
      </c>
      <c r="H2" s="3078" t="s">
        <v>3130</v>
      </c>
      <c r="I2" s="3078" t="s">
        <v>3131</v>
      </c>
      <c r="J2" s="3078">
        <v>0</v>
      </c>
      <c r="K2" s="3078" t="s">
        <v>1292</v>
      </c>
      <c r="L2" s="3078" t="s">
        <v>1292</v>
      </c>
      <c r="M2" s="3078" t="s">
        <v>3132</v>
      </c>
      <c r="N2" s="3078" t="s">
        <v>3133</v>
      </c>
      <c r="O2" s="3078" t="s">
        <v>3134</v>
      </c>
      <c r="P2" s="3078">
        <v>5817</v>
      </c>
      <c r="Q2" s="3078">
        <v>31</v>
      </c>
      <c r="R2" s="3078">
        <v>132.86000000000001</v>
      </c>
      <c r="S2" s="3078">
        <v>0</v>
      </c>
      <c r="T2" s="3078" t="s">
        <v>3135</v>
      </c>
      <c r="U2" s="3078" t="s">
        <v>1292</v>
      </c>
      <c r="V2" s="3078" t="s">
        <v>3136</v>
      </c>
    </row>
    <row r="3" spans="1:22" hidden="1">
      <c r="A3" s="3078" t="s">
        <v>3137</v>
      </c>
      <c r="B3" s="3078" t="s">
        <v>3126</v>
      </c>
      <c r="C3" s="3078" t="s">
        <v>3127</v>
      </c>
      <c r="D3" s="3078" t="s">
        <v>3138</v>
      </c>
      <c r="E3" s="3078">
        <v>1331</v>
      </c>
      <c r="F3" s="3078">
        <v>1331</v>
      </c>
      <c r="G3" s="3078" t="s">
        <v>3139</v>
      </c>
      <c r="H3" s="3078" t="s">
        <v>3130</v>
      </c>
      <c r="I3" s="3078" t="s">
        <v>3131</v>
      </c>
      <c r="J3" s="3078">
        <v>0</v>
      </c>
      <c r="K3" s="3078" t="s">
        <v>1292</v>
      </c>
      <c r="L3" s="3078" t="s">
        <v>1292</v>
      </c>
      <c r="M3" s="3078" t="s">
        <v>3132</v>
      </c>
      <c r="N3" s="3078" t="s">
        <v>3140</v>
      </c>
      <c r="O3" s="3078" t="s">
        <v>3141</v>
      </c>
      <c r="P3" s="3078">
        <v>61</v>
      </c>
      <c r="Q3" s="3078">
        <v>30.55</v>
      </c>
      <c r="R3" s="3078">
        <v>458.3</v>
      </c>
      <c r="S3" s="3078">
        <v>0</v>
      </c>
      <c r="T3" s="3078" t="s">
        <v>3135</v>
      </c>
      <c r="U3" s="3078" t="s">
        <v>1292</v>
      </c>
      <c r="V3" s="3078" t="s">
        <v>3136</v>
      </c>
    </row>
    <row r="4" spans="1:22" s="3082" customFormat="1" hidden="1">
      <c r="A4" s="3082" t="s">
        <v>3142</v>
      </c>
      <c r="B4" s="3082" t="s">
        <v>3126</v>
      </c>
      <c r="C4" s="3082" t="s">
        <v>3127</v>
      </c>
      <c r="D4" s="3082" t="s">
        <v>3143</v>
      </c>
      <c r="E4" s="3082">
        <v>7400</v>
      </c>
      <c r="F4" s="3082">
        <v>2220</v>
      </c>
      <c r="G4" s="3082" t="s">
        <v>3144</v>
      </c>
      <c r="H4" s="3082" t="s">
        <v>3130</v>
      </c>
      <c r="I4" s="3082" t="s">
        <v>3131</v>
      </c>
      <c r="J4" s="3082">
        <v>0</v>
      </c>
      <c r="K4" s="3082" t="s">
        <v>1292</v>
      </c>
      <c r="L4" s="3082" t="s">
        <v>1292</v>
      </c>
      <c r="M4" s="3082" t="s">
        <v>3132</v>
      </c>
      <c r="N4" s="3082" t="s">
        <v>3145</v>
      </c>
      <c r="O4" s="3082" t="s">
        <v>3146</v>
      </c>
      <c r="P4" s="3082">
        <v>644</v>
      </c>
      <c r="Q4" s="3082">
        <v>58.02</v>
      </c>
      <c r="R4" s="3082">
        <v>2900.9</v>
      </c>
      <c r="S4" s="3082">
        <v>0</v>
      </c>
      <c r="T4" s="3082" t="s">
        <v>3135</v>
      </c>
      <c r="U4" s="3082" t="s">
        <v>1292</v>
      </c>
      <c r="V4" s="3082" t="s">
        <v>3136</v>
      </c>
    </row>
    <row r="5" spans="1:22" hidden="1">
      <c r="A5" s="3078" t="s">
        <v>3147</v>
      </c>
      <c r="B5" s="3078" t="s">
        <v>3126</v>
      </c>
      <c r="C5" s="3078" t="s">
        <v>3127</v>
      </c>
      <c r="D5" s="3078" t="s">
        <v>3148</v>
      </c>
      <c r="E5" s="3078">
        <v>90366.81</v>
      </c>
      <c r="F5" s="3078">
        <v>180733.62</v>
      </c>
      <c r="G5" s="3078" t="s">
        <v>3149</v>
      </c>
      <c r="H5" s="3078" t="s">
        <v>3130</v>
      </c>
      <c r="I5" s="3078" t="s">
        <v>3150</v>
      </c>
      <c r="J5" s="3078">
        <v>0</v>
      </c>
      <c r="K5" s="3078" t="s">
        <v>1292</v>
      </c>
      <c r="L5" s="3078" t="s">
        <v>1292</v>
      </c>
      <c r="M5" s="3078" t="s">
        <v>3151</v>
      </c>
      <c r="N5" s="3078" t="s">
        <v>3152</v>
      </c>
      <c r="O5" s="3078" t="s">
        <v>3153</v>
      </c>
      <c r="P5" s="3078">
        <v>111151</v>
      </c>
      <c r="Q5" s="3078">
        <v>820</v>
      </c>
      <c r="R5" s="3078">
        <v>6149.98</v>
      </c>
      <c r="S5" s="3078">
        <v>0</v>
      </c>
      <c r="T5" s="3078" t="s">
        <v>3154</v>
      </c>
      <c r="U5" s="3078" t="s">
        <v>1292</v>
      </c>
      <c r="V5" s="3078" t="s">
        <v>3155</v>
      </c>
    </row>
    <row r="6" spans="1:22" hidden="1">
      <c r="A6" s="3078" t="s">
        <v>3156</v>
      </c>
      <c r="B6" s="3078" t="s">
        <v>3126</v>
      </c>
      <c r="C6" s="3078" t="s">
        <v>3127</v>
      </c>
      <c r="D6" s="3078" t="s">
        <v>3157</v>
      </c>
      <c r="E6" s="3078">
        <v>3580</v>
      </c>
      <c r="F6" s="3078">
        <v>2148</v>
      </c>
      <c r="G6" s="3078" t="s">
        <v>3158</v>
      </c>
      <c r="H6" s="3078" t="s">
        <v>3130</v>
      </c>
      <c r="I6" s="3078" t="s">
        <v>3131</v>
      </c>
      <c r="J6" s="3078">
        <v>0</v>
      </c>
      <c r="K6" s="3078" t="s">
        <v>1292</v>
      </c>
      <c r="L6" s="3078" t="s">
        <v>1292</v>
      </c>
      <c r="M6" s="3078" t="s">
        <v>3151</v>
      </c>
      <c r="N6" s="3078" t="s">
        <v>3159</v>
      </c>
      <c r="O6" s="3078" t="s">
        <v>3160</v>
      </c>
      <c r="P6" s="3078">
        <v>194</v>
      </c>
      <c r="Q6" s="3078">
        <v>36.130000000000003</v>
      </c>
      <c r="R6" s="3078">
        <v>903.16</v>
      </c>
      <c r="S6" s="3078">
        <v>0</v>
      </c>
      <c r="T6" s="3078" t="s">
        <v>3135</v>
      </c>
      <c r="U6" s="3078" t="s">
        <v>1292</v>
      </c>
      <c r="V6" s="3078" t="s">
        <v>3136</v>
      </c>
    </row>
    <row r="7" spans="1:22" s="3080" customFormat="1">
      <c r="A7" s="3080" t="s">
        <v>3161</v>
      </c>
      <c r="B7" s="3080" t="s">
        <v>3126</v>
      </c>
      <c r="C7" s="3080" t="s">
        <v>3127</v>
      </c>
      <c r="D7" s="3080" t="s">
        <v>3162</v>
      </c>
      <c r="E7" s="3080">
        <v>4282.6499999999996</v>
      </c>
      <c r="F7" s="3080">
        <v>12847.95</v>
      </c>
      <c r="G7" s="3080" t="s">
        <v>3163</v>
      </c>
      <c r="H7" s="3080" t="s">
        <v>3130</v>
      </c>
      <c r="I7" s="3080" t="s">
        <v>3131</v>
      </c>
      <c r="J7" s="3080">
        <v>0</v>
      </c>
      <c r="K7" s="3080" t="s">
        <v>1292</v>
      </c>
      <c r="L7" s="3080" t="s">
        <v>1292</v>
      </c>
      <c r="M7" s="3080" t="s">
        <v>3151</v>
      </c>
      <c r="N7" s="3080" t="s">
        <v>3159</v>
      </c>
      <c r="O7" s="3080" t="s">
        <v>3164</v>
      </c>
      <c r="P7" s="3080">
        <v>3210</v>
      </c>
      <c r="Q7" s="3080">
        <v>499.69</v>
      </c>
      <c r="R7" s="3080">
        <v>2498.44</v>
      </c>
      <c r="S7" s="3080">
        <v>0</v>
      </c>
      <c r="T7" s="3080" t="s">
        <v>3135</v>
      </c>
      <c r="U7" s="3080" t="s">
        <v>1292</v>
      </c>
      <c r="V7" s="3080" t="s">
        <v>3165</v>
      </c>
    </row>
    <row r="8" spans="1:22" s="3080" customFormat="1">
      <c r="A8" s="3080" t="s">
        <v>3166</v>
      </c>
      <c r="B8" s="3080" t="s">
        <v>3126</v>
      </c>
      <c r="C8" s="3080" t="s">
        <v>3127</v>
      </c>
      <c r="D8" s="3080" t="s">
        <v>3167</v>
      </c>
      <c r="E8" s="3080">
        <v>4914</v>
      </c>
      <c r="F8" s="3080">
        <v>9828</v>
      </c>
      <c r="G8" s="3080" t="s">
        <v>3168</v>
      </c>
      <c r="H8" s="3080" t="s">
        <v>3130</v>
      </c>
      <c r="I8" s="3080" t="s">
        <v>3131</v>
      </c>
      <c r="J8" s="3080">
        <v>0</v>
      </c>
      <c r="K8" s="3080" t="s">
        <v>1292</v>
      </c>
      <c r="L8" s="3080" t="s">
        <v>1292</v>
      </c>
      <c r="M8" s="3080" t="s">
        <v>3151</v>
      </c>
      <c r="N8" s="3080" t="s">
        <v>3169</v>
      </c>
      <c r="O8" s="3080" t="s">
        <v>3170</v>
      </c>
      <c r="P8" s="3080">
        <v>1771</v>
      </c>
      <c r="Q8" s="3080">
        <v>240.27</v>
      </c>
      <c r="R8" s="3080">
        <v>1801.99</v>
      </c>
      <c r="S8" s="3080">
        <v>0</v>
      </c>
      <c r="T8" s="3080" t="s">
        <v>3135</v>
      </c>
      <c r="U8" s="3080" t="s">
        <v>1292</v>
      </c>
      <c r="V8" s="3080" t="s">
        <v>3155</v>
      </c>
    </row>
    <row r="9" spans="1:22" s="3088" customFormat="1">
      <c r="A9" s="3088" t="s">
        <v>3166</v>
      </c>
      <c r="B9" s="3088" t="s">
        <v>3126</v>
      </c>
      <c r="C9" s="3088" t="s">
        <v>3127</v>
      </c>
      <c r="D9" s="3088" t="s">
        <v>3171</v>
      </c>
      <c r="E9" s="3088">
        <v>2572</v>
      </c>
      <c r="F9" s="3088">
        <v>5144</v>
      </c>
      <c r="G9" s="3088" t="s">
        <v>3172</v>
      </c>
      <c r="H9" s="3088" t="s">
        <v>3130</v>
      </c>
      <c r="I9" s="3088" t="s">
        <v>3131</v>
      </c>
      <c r="J9" s="3088">
        <v>0</v>
      </c>
      <c r="K9" s="3088" t="s">
        <v>1292</v>
      </c>
      <c r="L9" s="3088" t="s">
        <v>1292</v>
      </c>
      <c r="M9" s="3088" t="s">
        <v>3151</v>
      </c>
      <c r="N9" s="3088" t="s">
        <v>3169</v>
      </c>
      <c r="O9" s="3088" t="s">
        <v>3170</v>
      </c>
      <c r="P9" s="3088">
        <v>927</v>
      </c>
      <c r="Q9" s="3088">
        <v>240.28</v>
      </c>
      <c r="R9" s="3088">
        <v>1802.09</v>
      </c>
      <c r="S9" s="3088">
        <v>0</v>
      </c>
      <c r="T9" s="3088" t="s">
        <v>3135</v>
      </c>
      <c r="U9" s="3088" t="s">
        <v>1292</v>
      </c>
      <c r="V9" s="3088" t="s">
        <v>3155</v>
      </c>
    </row>
    <row r="10" spans="1:22" hidden="1">
      <c r="A10" s="3078" t="s">
        <v>3137</v>
      </c>
      <c r="B10" s="3078" t="s">
        <v>3126</v>
      </c>
      <c r="C10" s="3078" t="s">
        <v>3127</v>
      </c>
      <c r="D10" s="3078" t="s">
        <v>3173</v>
      </c>
      <c r="E10" s="3078">
        <v>2767</v>
      </c>
      <c r="F10" s="3078">
        <v>2767</v>
      </c>
      <c r="G10" s="3078" t="s">
        <v>3174</v>
      </c>
      <c r="H10" s="3078" t="s">
        <v>3130</v>
      </c>
      <c r="I10" s="3078" t="s">
        <v>3131</v>
      </c>
      <c r="J10" s="3078">
        <v>0</v>
      </c>
      <c r="K10" s="3078" t="s">
        <v>1292</v>
      </c>
      <c r="L10" s="3078" t="s">
        <v>1292</v>
      </c>
      <c r="M10" s="3078" t="s">
        <v>3151</v>
      </c>
      <c r="N10" s="3078" t="s">
        <v>3175</v>
      </c>
      <c r="O10" s="3078" t="s">
        <v>3176</v>
      </c>
      <c r="P10" s="3078">
        <v>126</v>
      </c>
      <c r="Q10" s="3078">
        <v>30.36</v>
      </c>
      <c r="R10" s="3078">
        <v>455.37</v>
      </c>
      <c r="S10" s="3078">
        <v>0</v>
      </c>
      <c r="T10" s="3078" t="s">
        <v>3135</v>
      </c>
      <c r="U10" s="3078" t="s">
        <v>1292</v>
      </c>
      <c r="V10" s="3078" t="s">
        <v>3136</v>
      </c>
    </row>
    <row r="11" spans="1:22" hidden="1">
      <c r="A11" s="3078" t="s">
        <v>3137</v>
      </c>
      <c r="B11" s="3078" t="s">
        <v>3126</v>
      </c>
      <c r="C11" s="3078" t="s">
        <v>3127</v>
      </c>
      <c r="D11" s="3078" t="s">
        <v>3177</v>
      </c>
      <c r="E11" s="3078">
        <v>33420</v>
      </c>
      <c r="F11" s="3078">
        <v>33420</v>
      </c>
      <c r="G11" s="3078" t="s">
        <v>3174</v>
      </c>
      <c r="H11" s="3078" t="s">
        <v>3130</v>
      </c>
      <c r="I11" s="3078" t="s">
        <v>3131</v>
      </c>
      <c r="J11" s="3078">
        <v>0</v>
      </c>
      <c r="K11" s="3078" t="s">
        <v>1292</v>
      </c>
      <c r="L11" s="3078" t="s">
        <v>1292</v>
      </c>
      <c r="M11" s="3078" t="s">
        <v>3151</v>
      </c>
      <c r="N11" s="3078" t="s">
        <v>3175</v>
      </c>
      <c r="O11" s="3078" t="s">
        <v>3176</v>
      </c>
      <c r="P11" s="3078">
        <v>1521</v>
      </c>
      <c r="Q11" s="3078">
        <v>30.34</v>
      </c>
      <c r="R11" s="3078">
        <v>455.12</v>
      </c>
      <c r="S11" s="3078">
        <v>0</v>
      </c>
      <c r="T11" s="3078" t="s">
        <v>3135</v>
      </c>
      <c r="U11" s="3078" t="s">
        <v>1292</v>
      </c>
      <c r="V11" s="3078" t="s">
        <v>3136</v>
      </c>
    </row>
    <row r="12" spans="1:22" hidden="1">
      <c r="A12" s="3078" t="s">
        <v>3137</v>
      </c>
      <c r="B12" s="3078" t="s">
        <v>3126</v>
      </c>
      <c r="C12" s="3078" t="s">
        <v>3127</v>
      </c>
      <c r="D12" s="3078" t="s">
        <v>3178</v>
      </c>
      <c r="E12" s="3078">
        <v>8505</v>
      </c>
      <c r="F12" s="3078">
        <v>5953.5</v>
      </c>
      <c r="G12" s="3078" t="s">
        <v>3179</v>
      </c>
      <c r="H12" s="3078" t="s">
        <v>3130</v>
      </c>
      <c r="I12" s="3078" t="s">
        <v>3131</v>
      </c>
      <c r="J12" s="3078">
        <v>0</v>
      </c>
      <c r="K12" s="3078" t="s">
        <v>1292</v>
      </c>
      <c r="L12" s="3078" t="s">
        <v>1292</v>
      </c>
      <c r="M12" s="3078" t="s">
        <v>3151</v>
      </c>
      <c r="N12" s="3078" t="s">
        <v>3175</v>
      </c>
      <c r="O12" s="3078" t="s">
        <v>3176</v>
      </c>
      <c r="P12" s="3078">
        <v>387</v>
      </c>
      <c r="Q12" s="3078">
        <v>30.34</v>
      </c>
      <c r="R12" s="3078">
        <v>650.03</v>
      </c>
      <c r="S12" s="3078">
        <v>0</v>
      </c>
      <c r="T12" s="3078" t="s">
        <v>3135</v>
      </c>
      <c r="U12" s="3078" t="s">
        <v>1292</v>
      </c>
      <c r="V12" s="3078" t="s">
        <v>3136</v>
      </c>
    </row>
    <row r="13" spans="1:22" hidden="1">
      <c r="A13" s="3078" t="s">
        <v>3180</v>
      </c>
      <c r="B13" s="3078" t="s">
        <v>3126</v>
      </c>
      <c r="C13" s="3078" t="s">
        <v>3127</v>
      </c>
      <c r="D13" s="3078" t="s">
        <v>3181</v>
      </c>
      <c r="E13" s="3078">
        <v>2333</v>
      </c>
      <c r="F13" s="3078">
        <v>3499.5</v>
      </c>
      <c r="G13" s="3078" t="s">
        <v>3182</v>
      </c>
      <c r="H13" s="3078" t="s">
        <v>3130</v>
      </c>
      <c r="I13" s="3078" t="s">
        <v>3131</v>
      </c>
      <c r="J13" s="3078">
        <v>0</v>
      </c>
      <c r="K13" s="3078" t="s">
        <v>1292</v>
      </c>
      <c r="L13" s="3078" t="s">
        <v>1292</v>
      </c>
      <c r="M13" s="3078" t="s">
        <v>3151</v>
      </c>
      <c r="N13" s="3078" t="s">
        <v>3183</v>
      </c>
      <c r="O13" s="3078" t="s">
        <v>3184</v>
      </c>
      <c r="P13" s="3078">
        <v>141</v>
      </c>
      <c r="Q13" s="3078">
        <v>40.29</v>
      </c>
      <c r="R13" s="3078">
        <v>402.91</v>
      </c>
      <c r="S13" s="3078">
        <v>0</v>
      </c>
      <c r="T13" s="3078" t="s">
        <v>3135</v>
      </c>
      <c r="U13" s="3078" t="s">
        <v>1292</v>
      </c>
      <c r="V13" s="3078" t="s">
        <v>3185</v>
      </c>
    </row>
    <row r="14" spans="1:22" s="3080" customFormat="1" hidden="1">
      <c r="A14" s="3080" t="s">
        <v>3186</v>
      </c>
      <c r="B14" s="3080" t="s">
        <v>3126</v>
      </c>
      <c r="C14" s="3080" t="s">
        <v>3127</v>
      </c>
      <c r="D14" s="3080" t="s">
        <v>3187</v>
      </c>
      <c r="E14" s="3080">
        <v>29693.599999999999</v>
      </c>
      <c r="F14" s="3080">
        <v>74234</v>
      </c>
      <c r="G14" s="3080" t="s">
        <v>3188</v>
      </c>
      <c r="H14" s="3080" t="s">
        <v>3130</v>
      </c>
      <c r="I14" s="3080" t="s">
        <v>3189</v>
      </c>
      <c r="J14" s="3080">
        <v>0</v>
      </c>
      <c r="K14" s="3080" t="s">
        <v>1292</v>
      </c>
      <c r="L14" s="3080" t="s">
        <v>1292</v>
      </c>
      <c r="M14" s="3080" t="s">
        <v>3151</v>
      </c>
      <c r="N14" s="3080" t="s">
        <v>3190</v>
      </c>
      <c r="O14" s="3080" t="s">
        <v>3191</v>
      </c>
      <c r="P14" s="3080">
        <v>22270</v>
      </c>
      <c r="Q14" s="3080">
        <v>500</v>
      </c>
      <c r="R14" s="3080">
        <v>2999.96</v>
      </c>
      <c r="S14" s="3080">
        <v>0</v>
      </c>
      <c r="T14" s="3080" t="s">
        <v>3135</v>
      </c>
      <c r="U14" s="3080" t="s">
        <v>1292</v>
      </c>
      <c r="V14" s="3080" t="s">
        <v>3165</v>
      </c>
    </row>
    <row r="15" spans="1:22" hidden="1">
      <c r="A15" s="3078" t="s">
        <v>3142</v>
      </c>
      <c r="B15" s="3078" t="s">
        <v>3126</v>
      </c>
      <c r="C15" s="3078" t="s">
        <v>3127</v>
      </c>
      <c r="D15" s="3078" t="s">
        <v>3192</v>
      </c>
      <c r="E15" s="3078">
        <v>4630.17</v>
      </c>
      <c r="F15" s="3078">
        <v>6945.26</v>
      </c>
      <c r="G15" s="3078" t="s">
        <v>3182</v>
      </c>
      <c r="H15" s="3078" t="s">
        <v>3130</v>
      </c>
      <c r="I15" s="3078" t="s">
        <v>3131</v>
      </c>
      <c r="J15" s="3078">
        <v>0</v>
      </c>
      <c r="K15" s="3078" t="s">
        <v>1292</v>
      </c>
      <c r="L15" s="3078" t="s">
        <v>1292</v>
      </c>
      <c r="M15" s="3078" t="s">
        <v>3151</v>
      </c>
      <c r="N15" s="3078" t="s">
        <v>3193</v>
      </c>
      <c r="O15" s="3078" t="s">
        <v>3194</v>
      </c>
      <c r="P15" s="3078">
        <v>161</v>
      </c>
      <c r="Q15" s="3078">
        <v>23.18</v>
      </c>
      <c r="R15" s="3078">
        <v>231.81</v>
      </c>
      <c r="S15" s="3078">
        <v>0</v>
      </c>
      <c r="T15" s="3078" t="s">
        <v>3135</v>
      </c>
      <c r="U15" s="3078" t="s">
        <v>1292</v>
      </c>
      <c r="V15" s="3078" t="s">
        <v>3136</v>
      </c>
    </row>
    <row r="16" spans="1:22" hidden="1">
      <c r="A16" s="3078" t="s">
        <v>3195</v>
      </c>
      <c r="B16" s="3078" t="s">
        <v>3126</v>
      </c>
      <c r="C16" s="3078" t="s">
        <v>3127</v>
      </c>
      <c r="D16" s="3078" t="s">
        <v>3196</v>
      </c>
      <c r="E16" s="3078">
        <v>137181.94</v>
      </c>
      <c r="F16" s="3078">
        <v>170791.65</v>
      </c>
      <c r="G16" s="3078" t="s">
        <v>3197</v>
      </c>
      <c r="H16" s="3078" t="s">
        <v>3130</v>
      </c>
      <c r="I16" s="3078" t="s">
        <v>3198</v>
      </c>
      <c r="J16" s="3078">
        <v>0</v>
      </c>
      <c r="K16" s="3078" t="s">
        <v>1292</v>
      </c>
      <c r="L16" s="3078" t="s">
        <v>1292</v>
      </c>
      <c r="M16" s="3078" t="s">
        <v>3151</v>
      </c>
      <c r="N16" s="3078" t="s">
        <v>3199</v>
      </c>
      <c r="O16" s="3078" t="s">
        <v>3200</v>
      </c>
      <c r="P16" s="3078">
        <v>28294</v>
      </c>
      <c r="Q16" s="3078">
        <v>137.5</v>
      </c>
      <c r="R16" s="3078">
        <v>1656.64</v>
      </c>
      <c r="S16" s="3078">
        <v>0</v>
      </c>
      <c r="T16" s="3078" t="s">
        <v>3201</v>
      </c>
      <c r="U16" s="3078" t="s">
        <v>1292</v>
      </c>
      <c r="V16" s="3078" t="s">
        <v>3165</v>
      </c>
    </row>
    <row r="17" spans="1:22" hidden="1">
      <c r="A17" s="3078" t="s">
        <v>3195</v>
      </c>
      <c r="B17" s="3078" t="s">
        <v>3126</v>
      </c>
      <c r="C17" s="3078" t="s">
        <v>3127</v>
      </c>
      <c r="D17" s="3078" t="s">
        <v>3202</v>
      </c>
      <c r="E17" s="3078">
        <v>25749.09</v>
      </c>
      <c r="F17" s="3078">
        <v>90121.82</v>
      </c>
      <c r="G17" s="3078" t="s">
        <v>3203</v>
      </c>
      <c r="H17" s="3078" t="s">
        <v>3130</v>
      </c>
      <c r="I17" s="3078" t="s">
        <v>3189</v>
      </c>
      <c r="J17" s="3078">
        <v>0</v>
      </c>
      <c r="K17" s="3078" t="s">
        <v>1292</v>
      </c>
      <c r="L17" s="3078" t="s">
        <v>1292</v>
      </c>
      <c r="M17" s="3078" t="s">
        <v>3151</v>
      </c>
      <c r="N17" s="3078" t="s">
        <v>3199</v>
      </c>
      <c r="O17" s="3078" t="s">
        <v>3204</v>
      </c>
      <c r="P17" s="3078">
        <v>11586</v>
      </c>
      <c r="Q17" s="3078">
        <v>299.97000000000003</v>
      </c>
      <c r="R17" s="3078">
        <v>1285.58</v>
      </c>
      <c r="S17" s="3078">
        <v>0</v>
      </c>
      <c r="T17" s="3078" t="s">
        <v>3205</v>
      </c>
      <c r="U17" s="3078" t="s">
        <v>1292</v>
      </c>
      <c r="V17" s="3078" t="s">
        <v>3165</v>
      </c>
    </row>
    <row r="18" spans="1:22" hidden="1">
      <c r="A18" s="3078" t="s">
        <v>3206</v>
      </c>
      <c r="B18" s="3078" t="s">
        <v>3126</v>
      </c>
      <c r="C18" s="3078" t="s">
        <v>3127</v>
      </c>
      <c r="D18" s="3078" t="s">
        <v>3207</v>
      </c>
      <c r="E18" s="3078">
        <v>5603.02</v>
      </c>
      <c r="F18" s="3078">
        <v>28743.49</v>
      </c>
      <c r="G18" s="3078" t="s">
        <v>3208</v>
      </c>
      <c r="H18" s="3078" t="s">
        <v>3130</v>
      </c>
      <c r="I18" s="3078" t="s">
        <v>3189</v>
      </c>
      <c r="J18" s="3078">
        <v>0</v>
      </c>
      <c r="K18" s="3078" t="s">
        <v>1292</v>
      </c>
      <c r="L18" s="3078" t="s">
        <v>1292</v>
      </c>
      <c r="M18" s="3078" t="s">
        <v>3151</v>
      </c>
      <c r="N18" s="3078" t="s">
        <v>3209</v>
      </c>
      <c r="O18" s="3078" t="s">
        <v>3210</v>
      </c>
      <c r="P18" s="3078">
        <v>7274.64</v>
      </c>
      <c r="Q18" s="3078">
        <v>865.56</v>
      </c>
      <c r="R18" s="3078">
        <v>2530.88</v>
      </c>
      <c r="S18" s="3078">
        <v>0</v>
      </c>
      <c r="T18" s="3078" t="s">
        <v>3205</v>
      </c>
      <c r="U18" s="3078" t="s">
        <v>1292</v>
      </c>
      <c r="V18" s="3078" t="s">
        <v>3165</v>
      </c>
    </row>
    <row r="19" spans="1:22" hidden="1">
      <c r="A19" s="3078" t="s">
        <v>3211</v>
      </c>
      <c r="B19" s="3078" t="s">
        <v>3126</v>
      </c>
      <c r="C19" s="3078" t="s">
        <v>3127</v>
      </c>
      <c r="D19" s="3078" t="s">
        <v>3212</v>
      </c>
      <c r="E19" s="3078">
        <v>3217.24</v>
      </c>
      <c r="F19" s="3078">
        <v>3217.24</v>
      </c>
      <c r="G19" s="3078" t="s">
        <v>3174</v>
      </c>
      <c r="H19" s="3078" t="s">
        <v>3130</v>
      </c>
      <c r="I19" s="3078" t="s">
        <v>3131</v>
      </c>
      <c r="J19" s="3078">
        <v>0</v>
      </c>
      <c r="K19" s="3078" t="s">
        <v>1292</v>
      </c>
      <c r="L19" s="3078" t="s">
        <v>1292</v>
      </c>
      <c r="M19" s="3078" t="s">
        <v>3151</v>
      </c>
      <c r="N19" s="3078" t="s">
        <v>3213</v>
      </c>
      <c r="O19" s="3078" t="s">
        <v>3214</v>
      </c>
      <c r="P19" s="3078">
        <v>147</v>
      </c>
      <c r="Q19" s="3078">
        <v>30.46</v>
      </c>
      <c r="R19" s="3078">
        <v>456.91</v>
      </c>
      <c r="S19" s="3078">
        <v>0</v>
      </c>
      <c r="T19" s="3078" t="s">
        <v>3135</v>
      </c>
      <c r="U19" s="3078" t="s">
        <v>1292</v>
      </c>
      <c r="V19" s="3078" t="s">
        <v>3136</v>
      </c>
    </row>
    <row r="20" spans="1:22" hidden="1">
      <c r="A20" s="3078" t="s">
        <v>3137</v>
      </c>
      <c r="B20" s="3078" t="s">
        <v>3126</v>
      </c>
      <c r="C20" s="3078" t="s">
        <v>3127</v>
      </c>
      <c r="D20" s="3078" t="s">
        <v>3177</v>
      </c>
      <c r="E20" s="3078">
        <v>33420</v>
      </c>
      <c r="F20" s="3078">
        <v>33420</v>
      </c>
      <c r="G20" s="3078" t="s">
        <v>3174</v>
      </c>
      <c r="H20" s="3078" t="s">
        <v>3130</v>
      </c>
      <c r="I20" s="3078" t="s">
        <v>3131</v>
      </c>
      <c r="J20" s="3078">
        <v>0</v>
      </c>
      <c r="K20" s="3078" t="s">
        <v>1292</v>
      </c>
      <c r="L20" s="3078" t="s">
        <v>1292</v>
      </c>
      <c r="M20" s="3078" t="s">
        <v>3151</v>
      </c>
      <c r="N20" s="3078" t="s">
        <v>3215</v>
      </c>
      <c r="O20" s="3078" t="s">
        <v>3176</v>
      </c>
      <c r="P20" s="3078">
        <v>1521</v>
      </c>
      <c r="Q20" s="3078">
        <v>30.34</v>
      </c>
      <c r="R20" s="3078">
        <v>455.12</v>
      </c>
      <c r="S20" s="3078">
        <v>0</v>
      </c>
      <c r="T20" s="3078" t="s">
        <v>3135</v>
      </c>
      <c r="U20" s="3078" t="s">
        <v>1292</v>
      </c>
      <c r="V20" s="3078" t="s">
        <v>3136</v>
      </c>
    </row>
    <row r="21" spans="1:22" hidden="1">
      <c r="A21" s="3078" t="s">
        <v>3137</v>
      </c>
      <c r="B21" s="3078" t="s">
        <v>3126</v>
      </c>
      <c r="C21" s="3078" t="s">
        <v>3127</v>
      </c>
      <c r="D21" s="3078" t="s">
        <v>3178</v>
      </c>
      <c r="E21" s="3078">
        <v>8505</v>
      </c>
      <c r="F21" s="3078">
        <v>5953.5</v>
      </c>
      <c r="G21" s="3078" t="s">
        <v>3179</v>
      </c>
      <c r="H21" s="3078" t="s">
        <v>3130</v>
      </c>
      <c r="I21" s="3078" t="s">
        <v>3131</v>
      </c>
      <c r="J21" s="3078">
        <v>0</v>
      </c>
      <c r="K21" s="3078" t="s">
        <v>1292</v>
      </c>
      <c r="L21" s="3078" t="s">
        <v>1292</v>
      </c>
      <c r="M21" s="3078" t="s">
        <v>3151</v>
      </c>
      <c r="N21" s="3078" t="s">
        <v>3215</v>
      </c>
      <c r="O21" s="3078" t="s">
        <v>3216</v>
      </c>
      <c r="P21" s="3078">
        <v>387</v>
      </c>
      <c r="Q21" s="3078">
        <v>30.34</v>
      </c>
      <c r="R21" s="3078">
        <v>650.03</v>
      </c>
      <c r="S21" s="3078">
        <v>0</v>
      </c>
      <c r="T21" s="3078" t="s">
        <v>3135</v>
      </c>
      <c r="U21" s="3078" t="s">
        <v>1292</v>
      </c>
      <c r="V21" s="3078" t="s">
        <v>3136</v>
      </c>
    </row>
    <row r="22" spans="1:22" hidden="1">
      <c r="A22" s="3078" t="s">
        <v>3137</v>
      </c>
      <c r="B22" s="3078" t="s">
        <v>3126</v>
      </c>
      <c r="C22" s="3078" t="s">
        <v>3127</v>
      </c>
      <c r="D22" s="3078" t="s">
        <v>3173</v>
      </c>
      <c r="E22" s="3078">
        <v>2767</v>
      </c>
      <c r="F22" s="3078">
        <v>2767</v>
      </c>
      <c r="G22" s="3078" t="s">
        <v>3174</v>
      </c>
      <c r="H22" s="3078" t="s">
        <v>3130</v>
      </c>
      <c r="I22" s="3078" t="s">
        <v>3131</v>
      </c>
      <c r="J22" s="3078">
        <v>0</v>
      </c>
      <c r="K22" s="3078" t="s">
        <v>1292</v>
      </c>
      <c r="L22" s="3078" t="s">
        <v>1292</v>
      </c>
      <c r="M22" s="3078" t="s">
        <v>3151</v>
      </c>
      <c r="N22" s="3078" t="s">
        <v>3215</v>
      </c>
      <c r="O22" s="3078" t="s">
        <v>3216</v>
      </c>
      <c r="P22" s="3078">
        <v>126</v>
      </c>
      <c r="Q22" s="3078">
        <v>30.36</v>
      </c>
      <c r="R22" s="3078">
        <v>455.37</v>
      </c>
      <c r="S22" s="3078">
        <v>0</v>
      </c>
      <c r="T22" s="3078" t="s">
        <v>3135</v>
      </c>
      <c r="U22" s="3078" t="s">
        <v>1292</v>
      </c>
      <c r="V22" s="3078" t="s">
        <v>3136</v>
      </c>
    </row>
    <row r="23" spans="1:22" hidden="1">
      <c r="A23" s="3078" t="s">
        <v>3166</v>
      </c>
      <c r="B23" s="3078" t="s">
        <v>3126</v>
      </c>
      <c r="C23" s="3078" t="s">
        <v>3127</v>
      </c>
      <c r="D23" s="3078" t="s">
        <v>3217</v>
      </c>
      <c r="E23" s="3078">
        <v>255</v>
      </c>
      <c r="F23" s="3078">
        <v>382.5</v>
      </c>
      <c r="G23" s="3078" t="s">
        <v>3182</v>
      </c>
      <c r="H23" s="3078" t="s">
        <v>3130</v>
      </c>
      <c r="I23" s="3078" t="s">
        <v>3131</v>
      </c>
      <c r="J23" s="3078">
        <v>0</v>
      </c>
      <c r="K23" s="3078" t="s">
        <v>1292</v>
      </c>
      <c r="L23" s="3078" t="s">
        <v>1292</v>
      </c>
      <c r="M23" s="3078" t="s">
        <v>3151</v>
      </c>
      <c r="N23" s="3078" t="s">
        <v>3218</v>
      </c>
      <c r="O23" s="3078" t="s">
        <v>3219</v>
      </c>
      <c r="P23" s="3078">
        <v>11.16</v>
      </c>
      <c r="Q23" s="3078">
        <v>29.18</v>
      </c>
      <c r="R23" s="3078">
        <v>292.02</v>
      </c>
      <c r="S23" s="3078">
        <v>0</v>
      </c>
      <c r="T23" s="3078" t="s">
        <v>3135</v>
      </c>
      <c r="U23" s="3078" t="s">
        <v>1292</v>
      </c>
      <c r="V23" s="3078" t="s">
        <v>3155</v>
      </c>
    </row>
    <row r="24" spans="1:22" hidden="1">
      <c r="A24" s="3079" t="s">
        <v>3331</v>
      </c>
      <c r="B24" s="3078" t="s">
        <v>3126</v>
      </c>
      <c r="C24" s="3078" t="s">
        <v>3127</v>
      </c>
      <c r="D24" s="3078" t="s">
        <v>3220</v>
      </c>
      <c r="E24" s="3078">
        <v>48768.09</v>
      </c>
      <c r="F24" s="3078">
        <v>146304.26999999999</v>
      </c>
      <c r="G24" s="3078" t="s">
        <v>3221</v>
      </c>
      <c r="H24" s="3078" t="s">
        <v>3130</v>
      </c>
      <c r="I24" s="3078" t="s">
        <v>3222</v>
      </c>
      <c r="J24" s="3078">
        <v>0</v>
      </c>
      <c r="K24" s="3078" t="s">
        <v>1292</v>
      </c>
      <c r="L24" s="3078" t="s">
        <v>1292</v>
      </c>
      <c r="M24" s="3078" t="s">
        <v>3151</v>
      </c>
      <c r="N24" s="3078" t="s">
        <v>3223</v>
      </c>
      <c r="O24" s="3078" t="s">
        <v>3224</v>
      </c>
      <c r="P24" s="3078">
        <v>32919</v>
      </c>
      <c r="Q24" s="3078">
        <v>450.01</v>
      </c>
      <c r="R24" s="3078">
        <v>2250.0300000000002</v>
      </c>
      <c r="S24" s="3078">
        <v>0</v>
      </c>
      <c r="T24" s="3078" t="s">
        <v>3135</v>
      </c>
      <c r="U24" s="3078" t="s">
        <v>1292</v>
      </c>
      <c r="V24" s="3078" t="s">
        <v>3155</v>
      </c>
    </row>
    <row r="25" spans="1:22" hidden="1">
      <c r="A25" s="3078" t="s">
        <v>3225</v>
      </c>
      <c r="B25" s="3078" t="s">
        <v>3126</v>
      </c>
      <c r="C25" s="3078" t="s">
        <v>3127</v>
      </c>
      <c r="D25" s="3078" t="s">
        <v>3226</v>
      </c>
      <c r="E25" s="3078">
        <v>2018</v>
      </c>
      <c r="F25" s="3078">
        <v>7063</v>
      </c>
      <c r="G25" s="3078" t="s">
        <v>3227</v>
      </c>
      <c r="H25" s="3078" t="s">
        <v>3130</v>
      </c>
      <c r="I25" s="3078" t="s">
        <v>3222</v>
      </c>
      <c r="J25" s="3078">
        <v>0</v>
      </c>
      <c r="K25" s="3078" t="s">
        <v>1292</v>
      </c>
      <c r="L25" s="3078" t="s">
        <v>1292</v>
      </c>
      <c r="M25" s="3078" t="s">
        <v>3151</v>
      </c>
      <c r="N25" s="3078" t="s">
        <v>3223</v>
      </c>
      <c r="O25" s="3078" t="s">
        <v>3228</v>
      </c>
      <c r="P25" s="3078">
        <v>1825</v>
      </c>
      <c r="Q25" s="3078">
        <v>602.91</v>
      </c>
      <c r="R25" s="3078">
        <v>2583.88</v>
      </c>
      <c r="S25" s="3078">
        <v>0</v>
      </c>
      <c r="T25" s="3078" t="s">
        <v>3135</v>
      </c>
      <c r="U25" s="3078" t="s">
        <v>1292</v>
      </c>
      <c r="V25" s="3078" t="s">
        <v>3165</v>
      </c>
    </row>
    <row r="26" spans="1:22" hidden="1">
      <c r="A26" s="3078" t="s">
        <v>3229</v>
      </c>
      <c r="B26" s="3078" t="s">
        <v>3126</v>
      </c>
      <c r="C26" s="3078" t="s">
        <v>3127</v>
      </c>
      <c r="D26" s="3078" t="s">
        <v>3230</v>
      </c>
      <c r="E26" s="3078">
        <v>21293</v>
      </c>
      <c r="F26" s="3078">
        <v>42586</v>
      </c>
      <c r="G26" s="3078" t="s">
        <v>3231</v>
      </c>
      <c r="H26" s="3078" t="s">
        <v>3130</v>
      </c>
      <c r="I26" s="3078" t="s">
        <v>3232</v>
      </c>
      <c r="J26" s="3078">
        <v>0</v>
      </c>
      <c r="K26" s="3078" t="s">
        <v>1292</v>
      </c>
      <c r="L26" s="3078" t="s">
        <v>1292</v>
      </c>
      <c r="M26" s="3078" t="s">
        <v>3233</v>
      </c>
      <c r="N26" s="3078" t="s">
        <v>3234</v>
      </c>
      <c r="O26" s="3078" t="s">
        <v>3235</v>
      </c>
      <c r="P26" s="3078">
        <v>9583.9699999999993</v>
      </c>
      <c r="Q26" s="3078">
        <v>300.07</v>
      </c>
      <c r="R26" s="3078">
        <v>2250.5</v>
      </c>
      <c r="S26" s="3078">
        <v>0</v>
      </c>
      <c r="T26" s="3078" t="s">
        <v>3135</v>
      </c>
      <c r="U26" s="3078" t="s">
        <v>1292</v>
      </c>
      <c r="V26" s="3078" t="s">
        <v>3155</v>
      </c>
    </row>
    <row r="27" spans="1:22" hidden="1">
      <c r="A27" s="3078" t="s">
        <v>3236</v>
      </c>
      <c r="B27" s="3078" t="s">
        <v>3126</v>
      </c>
      <c r="C27" s="3078" t="s">
        <v>3127</v>
      </c>
      <c r="D27" s="3078" t="s">
        <v>3237</v>
      </c>
      <c r="E27" s="3078">
        <v>2320.0100000000002</v>
      </c>
      <c r="F27" s="3078">
        <v>6960.03</v>
      </c>
      <c r="G27" s="3078" t="s">
        <v>3238</v>
      </c>
      <c r="H27" s="3078" t="s">
        <v>3130</v>
      </c>
      <c r="I27" s="3078" t="s">
        <v>3131</v>
      </c>
      <c r="J27" s="3078">
        <v>0</v>
      </c>
      <c r="K27" s="3078" t="s">
        <v>1292</v>
      </c>
      <c r="L27" s="3078" t="s">
        <v>1292</v>
      </c>
      <c r="M27" s="3078" t="s">
        <v>3233</v>
      </c>
      <c r="N27" s="3078" t="s">
        <v>3239</v>
      </c>
      <c r="O27" s="3078" t="s">
        <v>3240</v>
      </c>
      <c r="P27" s="3078">
        <v>80.040000000000006</v>
      </c>
      <c r="Q27" s="3078">
        <v>23</v>
      </c>
      <c r="R27" s="3078">
        <v>115</v>
      </c>
      <c r="S27" s="3078">
        <v>0</v>
      </c>
      <c r="T27" s="3078" t="s">
        <v>3135</v>
      </c>
      <c r="U27" s="3078" t="s">
        <v>1292</v>
      </c>
      <c r="V27" s="3078" t="s">
        <v>3136</v>
      </c>
    </row>
    <row r="28" spans="1:22" hidden="1">
      <c r="A28" s="3078" t="s">
        <v>3241</v>
      </c>
      <c r="B28" s="3078" t="s">
        <v>3126</v>
      </c>
      <c r="C28" s="3078" t="s">
        <v>3127</v>
      </c>
      <c r="D28" s="3078" t="s">
        <v>3242</v>
      </c>
      <c r="E28" s="3078">
        <v>4516.47</v>
      </c>
      <c r="F28" s="3078">
        <v>13549.41</v>
      </c>
      <c r="G28" s="3078" t="s">
        <v>3238</v>
      </c>
      <c r="H28" s="3078" t="s">
        <v>3130</v>
      </c>
      <c r="I28" s="3078" t="s">
        <v>3131</v>
      </c>
      <c r="J28" s="3078">
        <v>0</v>
      </c>
      <c r="K28" s="3078" t="s">
        <v>1292</v>
      </c>
      <c r="L28" s="3078" t="s">
        <v>1292</v>
      </c>
      <c r="M28" s="3078" t="s">
        <v>3233</v>
      </c>
      <c r="N28" s="3078" t="s">
        <v>3239</v>
      </c>
      <c r="O28" s="3078" t="s">
        <v>3243</v>
      </c>
      <c r="P28" s="3078">
        <v>156</v>
      </c>
      <c r="Q28" s="3078">
        <v>23.03</v>
      </c>
      <c r="R28" s="3078">
        <v>115.12</v>
      </c>
      <c r="S28" s="3078">
        <v>0</v>
      </c>
      <c r="T28" s="3078" t="s">
        <v>3135</v>
      </c>
      <c r="U28" s="3078" t="s">
        <v>1292</v>
      </c>
      <c r="V28" s="3078" t="s">
        <v>3136</v>
      </c>
    </row>
    <row r="29" spans="1:22" hidden="1">
      <c r="A29" s="3078" t="s">
        <v>3236</v>
      </c>
      <c r="B29" s="3078" t="s">
        <v>3126</v>
      </c>
      <c r="C29" s="3078" t="s">
        <v>3127</v>
      </c>
      <c r="D29" s="3078" t="s">
        <v>3244</v>
      </c>
      <c r="E29" s="3078">
        <v>7781</v>
      </c>
      <c r="F29" s="3078">
        <v>23343</v>
      </c>
      <c r="G29" s="3078" t="s">
        <v>3238</v>
      </c>
      <c r="H29" s="3078" t="s">
        <v>3130</v>
      </c>
      <c r="I29" s="3078" t="s">
        <v>3131</v>
      </c>
      <c r="J29" s="3078">
        <v>0</v>
      </c>
      <c r="K29" s="3078" t="s">
        <v>1292</v>
      </c>
      <c r="L29" s="3078" t="s">
        <v>1292</v>
      </c>
      <c r="M29" s="3078" t="s">
        <v>3233</v>
      </c>
      <c r="N29" s="3078" t="s">
        <v>3239</v>
      </c>
      <c r="O29" s="3078" t="s">
        <v>3245</v>
      </c>
      <c r="P29" s="3078">
        <v>268.43</v>
      </c>
      <c r="Q29" s="3078">
        <v>23</v>
      </c>
      <c r="R29" s="3078">
        <v>115</v>
      </c>
      <c r="S29" s="3078">
        <v>0</v>
      </c>
      <c r="T29" s="3078" t="s">
        <v>3135</v>
      </c>
      <c r="U29" s="3078" t="s">
        <v>1292</v>
      </c>
      <c r="V29" s="3078" t="s">
        <v>3136</v>
      </c>
    </row>
    <row r="30" spans="1:22" hidden="1">
      <c r="A30" s="3078" t="s">
        <v>3246</v>
      </c>
      <c r="B30" s="3078" t="s">
        <v>3126</v>
      </c>
      <c r="C30" s="3078" t="s">
        <v>3127</v>
      </c>
      <c r="D30" s="3078" t="s">
        <v>3247</v>
      </c>
      <c r="E30" s="3078">
        <v>3727.02</v>
      </c>
      <c r="F30" s="3078">
        <v>2236.21</v>
      </c>
      <c r="G30" s="3078" t="s">
        <v>3248</v>
      </c>
      <c r="H30" s="3078" t="s">
        <v>3130</v>
      </c>
      <c r="I30" s="3078" t="s">
        <v>3131</v>
      </c>
      <c r="J30" s="3078">
        <v>0</v>
      </c>
      <c r="K30" s="3078" t="s">
        <v>1292</v>
      </c>
      <c r="L30" s="3078" t="s">
        <v>1292</v>
      </c>
      <c r="M30" s="3078" t="s">
        <v>3233</v>
      </c>
      <c r="N30" s="3078" t="s">
        <v>3249</v>
      </c>
      <c r="O30" s="3078" t="s">
        <v>3250</v>
      </c>
      <c r="P30" s="3078">
        <v>222</v>
      </c>
      <c r="Q30" s="3078">
        <v>39.71</v>
      </c>
      <c r="R30" s="3078">
        <v>992.75</v>
      </c>
      <c r="S30" s="3078">
        <v>0</v>
      </c>
      <c r="T30" s="3078" t="s">
        <v>3135</v>
      </c>
      <c r="U30" s="3078" t="s">
        <v>1292</v>
      </c>
      <c r="V30" s="3078" t="s">
        <v>3136</v>
      </c>
    </row>
    <row r="31" spans="1:22" hidden="1">
      <c r="A31" s="3078" t="s">
        <v>3251</v>
      </c>
      <c r="B31" s="3078" t="s">
        <v>3126</v>
      </c>
      <c r="C31" s="3078" t="s">
        <v>3127</v>
      </c>
      <c r="D31" s="3078" t="s">
        <v>3252</v>
      </c>
      <c r="E31" s="3078">
        <v>79163</v>
      </c>
      <c r="F31" s="3078">
        <v>118744.5</v>
      </c>
      <c r="G31" s="3078" t="s">
        <v>3253</v>
      </c>
      <c r="H31" s="3078" t="s">
        <v>3130</v>
      </c>
      <c r="I31" s="3078" t="s">
        <v>3131</v>
      </c>
      <c r="J31" s="3078">
        <v>0</v>
      </c>
      <c r="K31" s="3078" t="s">
        <v>1292</v>
      </c>
      <c r="L31" s="3078" t="s">
        <v>1292</v>
      </c>
      <c r="M31" s="3078" t="s">
        <v>3233</v>
      </c>
      <c r="N31" s="3078" t="s">
        <v>3254</v>
      </c>
      <c r="O31" s="3078" t="s">
        <v>3255</v>
      </c>
      <c r="P31" s="3078">
        <v>7852.97</v>
      </c>
      <c r="Q31" s="3078">
        <v>66.13</v>
      </c>
      <c r="R31" s="3078">
        <v>661.33</v>
      </c>
      <c r="S31" s="3078">
        <v>0</v>
      </c>
      <c r="T31" s="3078" t="s">
        <v>3135</v>
      </c>
      <c r="U31" s="3078" t="s">
        <v>1292</v>
      </c>
      <c r="V31" s="3078" t="s">
        <v>3185</v>
      </c>
    </row>
    <row r="32" spans="1:22" hidden="1">
      <c r="A32" s="3078" t="s">
        <v>3195</v>
      </c>
      <c r="B32" s="3078" t="s">
        <v>3126</v>
      </c>
      <c r="C32" s="3078" t="s">
        <v>3127</v>
      </c>
      <c r="D32" s="3078" t="s">
        <v>3256</v>
      </c>
      <c r="E32" s="3078">
        <v>8226.7800000000007</v>
      </c>
      <c r="F32" s="3078">
        <v>37020.51</v>
      </c>
      <c r="G32" s="3078" t="s">
        <v>3257</v>
      </c>
      <c r="H32" s="3078" t="s">
        <v>3130</v>
      </c>
      <c r="I32" s="3078" t="s">
        <v>3232</v>
      </c>
      <c r="J32" s="3078">
        <v>0</v>
      </c>
      <c r="K32" s="3078" t="s">
        <v>1292</v>
      </c>
      <c r="L32" s="3078" t="s">
        <v>1292</v>
      </c>
      <c r="M32" s="3078" t="s">
        <v>3233</v>
      </c>
      <c r="N32" s="3078" t="s">
        <v>3258</v>
      </c>
      <c r="O32" s="3078" t="s">
        <v>3259</v>
      </c>
      <c r="P32" s="3078">
        <v>5187</v>
      </c>
      <c r="Q32" s="3078">
        <v>420.33</v>
      </c>
      <c r="R32" s="3078">
        <v>1401.11</v>
      </c>
      <c r="S32" s="3078">
        <v>0</v>
      </c>
      <c r="T32" s="3078" t="s">
        <v>3135</v>
      </c>
      <c r="U32" s="3078" t="s">
        <v>1292</v>
      </c>
      <c r="V32" s="3078" t="s">
        <v>3165</v>
      </c>
    </row>
    <row r="33" spans="1:22" hidden="1">
      <c r="A33" s="3078" t="s">
        <v>3260</v>
      </c>
      <c r="B33" s="3078" t="s">
        <v>3126</v>
      </c>
      <c r="C33" s="3078" t="s">
        <v>3127</v>
      </c>
      <c r="D33" s="3078" t="s">
        <v>3261</v>
      </c>
      <c r="E33" s="3078">
        <v>21199.29</v>
      </c>
      <c r="F33" s="3078">
        <v>84797.16</v>
      </c>
      <c r="G33" s="3078" t="s">
        <v>3262</v>
      </c>
      <c r="H33" s="3078" t="s">
        <v>3130</v>
      </c>
      <c r="I33" s="3078" t="s">
        <v>3232</v>
      </c>
      <c r="J33" s="3078">
        <v>0</v>
      </c>
      <c r="K33" s="3078" t="s">
        <v>1292</v>
      </c>
      <c r="L33" s="3078" t="s">
        <v>1292</v>
      </c>
      <c r="M33" s="3078" t="s">
        <v>3233</v>
      </c>
      <c r="N33" s="3078" t="s">
        <v>3263</v>
      </c>
      <c r="O33" s="3078" t="s">
        <v>3264</v>
      </c>
      <c r="P33" s="3078">
        <v>19957.95</v>
      </c>
      <c r="Q33" s="3078">
        <v>627.63</v>
      </c>
      <c r="R33" s="3078">
        <v>2353.61</v>
      </c>
      <c r="S33" s="3078">
        <v>2.35</v>
      </c>
      <c r="T33" s="3078" t="s">
        <v>3135</v>
      </c>
      <c r="U33" s="3078" t="s">
        <v>1292</v>
      </c>
      <c r="V33" s="3078" t="s">
        <v>3165</v>
      </c>
    </row>
    <row r="34" spans="1:22" hidden="1">
      <c r="A34" s="3078" t="s">
        <v>3265</v>
      </c>
      <c r="B34" s="3078" t="s">
        <v>3126</v>
      </c>
      <c r="C34" s="3078" t="s">
        <v>3127</v>
      </c>
      <c r="D34" s="3078" t="s">
        <v>3266</v>
      </c>
      <c r="E34" s="3078">
        <v>374159</v>
      </c>
      <c r="F34" s="3078">
        <v>299327.2</v>
      </c>
      <c r="G34" s="3078" t="s">
        <v>3267</v>
      </c>
      <c r="H34" s="3078" t="s">
        <v>3130</v>
      </c>
      <c r="I34" s="3078" t="s">
        <v>3131</v>
      </c>
      <c r="J34" s="3078">
        <v>0</v>
      </c>
      <c r="K34" s="3078" t="s">
        <v>1292</v>
      </c>
      <c r="L34" s="3078" t="s">
        <v>1292</v>
      </c>
      <c r="M34" s="3078" t="s">
        <v>3233</v>
      </c>
      <c r="N34" s="3078" t="s">
        <v>3268</v>
      </c>
      <c r="O34" s="3078" t="s">
        <v>3269</v>
      </c>
      <c r="P34" s="3078">
        <v>26939.45</v>
      </c>
      <c r="Q34" s="3078">
        <v>48</v>
      </c>
      <c r="R34" s="3078">
        <v>900</v>
      </c>
      <c r="S34" s="3078">
        <v>0</v>
      </c>
      <c r="T34" s="3078" t="s">
        <v>3135</v>
      </c>
      <c r="U34" s="3078" t="s">
        <v>1292</v>
      </c>
      <c r="V34" s="3078" t="s">
        <v>3185</v>
      </c>
    </row>
    <row r="35" spans="1:22" hidden="1">
      <c r="A35" s="3078" t="s">
        <v>3270</v>
      </c>
      <c r="B35" s="3078" t="s">
        <v>3126</v>
      </c>
      <c r="C35" s="3078" t="s">
        <v>3127</v>
      </c>
      <c r="D35" s="3078" t="s">
        <v>3271</v>
      </c>
      <c r="E35" s="3078">
        <v>5850.55</v>
      </c>
      <c r="F35" s="3078">
        <v>23402.2</v>
      </c>
      <c r="G35" s="3078" t="s">
        <v>3262</v>
      </c>
      <c r="H35" s="3078" t="s">
        <v>3130</v>
      </c>
      <c r="I35" s="3078" t="s">
        <v>3272</v>
      </c>
      <c r="J35" s="3078">
        <v>0</v>
      </c>
      <c r="K35" s="3078" t="s">
        <v>1292</v>
      </c>
      <c r="L35" s="3078" t="s">
        <v>1292</v>
      </c>
      <c r="M35" s="3078" t="s">
        <v>3233</v>
      </c>
      <c r="N35" s="3078" t="s">
        <v>3273</v>
      </c>
      <c r="O35" s="3078" t="s">
        <v>3274</v>
      </c>
      <c r="P35" s="3078">
        <v>4265</v>
      </c>
      <c r="Q35" s="3078">
        <v>485.99</v>
      </c>
      <c r="R35" s="3078">
        <v>1822.48</v>
      </c>
      <c r="S35" s="3078">
        <v>0</v>
      </c>
      <c r="T35" s="3078" t="s">
        <v>3135</v>
      </c>
      <c r="U35" s="3078" t="s">
        <v>1292</v>
      </c>
      <c r="V35" s="3078" t="s">
        <v>3275</v>
      </c>
    </row>
    <row r="36" spans="1:22" hidden="1">
      <c r="A36" s="3078" t="s">
        <v>3276</v>
      </c>
      <c r="B36" s="3078" t="s">
        <v>3126</v>
      </c>
      <c r="C36" s="3078" t="s">
        <v>3127</v>
      </c>
      <c r="D36" s="3078" t="s">
        <v>3277</v>
      </c>
      <c r="E36" s="3078">
        <v>551.20000000000005</v>
      </c>
      <c r="F36" s="3078">
        <v>992.16</v>
      </c>
      <c r="G36" s="3078" t="s">
        <v>3278</v>
      </c>
      <c r="H36" s="3078" t="s">
        <v>3130</v>
      </c>
      <c r="I36" s="3078" t="s">
        <v>3232</v>
      </c>
      <c r="J36" s="3078">
        <v>0</v>
      </c>
      <c r="K36" s="3078" t="s">
        <v>1292</v>
      </c>
      <c r="L36" s="3078" t="s">
        <v>1292</v>
      </c>
      <c r="M36" s="3078" t="s">
        <v>3233</v>
      </c>
      <c r="N36" s="3078" t="s">
        <v>3279</v>
      </c>
      <c r="O36" s="3078" t="s">
        <v>3280</v>
      </c>
      <c r="P36" s="3078">
        <v>24</v>
      </c>
      <c r="Q36" s="3078">
        <v>29.03</v>
      </c>
      <c r="R36" s="3078">
        <v>241.9</v>
      </c>
      <c r="S36" s="3078">
        <v>0</v>
      </c>
      <c r="T36" s="3078" t="s">
        <v>3135</v>
      </c>
      <c r="U36" s="3078" t="s">
        <v>1292</v>
      </c>
      <c r="V36" s="3078" t="s">
        <v>3136</v>
      </c>
    </row>
    <row r="37" spans="1:22" hidden="1">
      <c r="A37" s="3078" t="s">
        <v>3281</v>
      </c>
      <c r="B37" s="3078" t="s">
        <v>3126</v>
      </c>
      <c r="C37" s="3078" t="s">
        <v>3127</v>
      </c>
      <c r="D37" s="3078" t="s">
        <v>3282</v>
      </c>
      <c r="E37" s="3078">
        <v>89318.7</v>
      </c>
      <c r="F37" s="3078">
        <v>44659.35</v>
      </c>
      <c r="G37" s="3078" t="s">
        <v>3283</v>
      </c>
      <c r="H37" s="3078" t="s">
        <v>3130</v>
      </c>
      <c r="I37" s="3078" t="s">
        <v>3131</v>
      </c>
      <c r="J37" s="3078">
        <v>0</v>
      </c>
      <c r="K37" s="3078" t="s">
        <v>1292</v>
      </c>
      <c r="L37" s="3078" t="s">
        <v>1292</v>
      </c>
      <c r="M37" s="3078" t="s">
        <v>3233</v>
      </c>
      <c r="N37" s="3078" t="s">
        <v>3284</v>
      </c>
      <c r="O37" s="3078" t="s">
        <v>3285</v>
      </c>
      <c r="P37" s="3078">
        <v>8038.68</v>
      </c>
      <c r="Q37" s="3078">
        <v>60</v>
      </c>
      <c r="R37" s="3078">
        <v>1800</v>
      </c>
      <c r="S37" s="3078">
        <v>0</v>
      </c>
      <c r="T37" s="3078" t="s">
        <v>3135</v>
      </c>
      <c r="U37" s="3078" t="s">
        <v>1292</v>
      </c>
      <c r="V37" s="3078" t="s">
        <v>3185</v>
      </c>
    </row>
    <row r="38" spans="1:22" hidden="1">
      <c r="A38" s="3078" t="s">
        <v>3286</v>
      </c>
      <c r="B38" s="3078" t="s">
        <v>3126</v>
      </c>
      <c r="C38" s="3078" t="s">
        <v>3127</v>
      </c>
      <c r="D38" s="3078" t="s">
        <v>3287</v>
      </c>
      <c r="E38" s="3078">
        <v>842.84</v>
      </c>
      <c r="F38" s="3078">
        <v>3792.78</v>
      </c>
      <c r="G38" s="3078" t="s">
        <v>3288</v>
      </c>
      <c r="H38" s="3078" t="s">
        <v>3130</v>
      </c>
      <c r="I38" s="3078" t="s">
        <v>3131</v>
      </c>
      <c r="J38" s="3078">
        <v>0</v>
      </c>
      <c r="K38" s="3078" t="s">
        <v>1292</v>
      </c>
      <c r="L38" s="3078" t="s">
        <v>1292</v>
      </c>
      <c r="M38" s="3078" t="s">
        <v>3233</v>
      </c>
      <c r="N38" s="3078" t="s">
        <v>3289</v>
      </c>
      <c r="O38" s="3078" t="s">
        <v>3290</v>
      </c>
      <c r="P38" s="3078">
        <v>234.36</v>
      </c>
      <c r="Q38" s="3078">
        <v>185.37</v>
      </c>
      <c r="R38" s="3078">
        <v>617.9</v>
      </c>
      <c r="S38" s="3078" t="s">
        <v>1292</v>
      </c>
      <c r="T38" s="3078" t="s">
        <v>3135</v>
      </c>
      <c r="U38" s="3078" t="s">
        <v>1292</v>
      </c>
      <c r="V38" s="3078" t="s">
        <v>3155</v>
      </c>
    </row>
    <row r="39" spans="1:22" hidden="1">
      <c r="A39" s="3078" t="s">
        <v>3291</v>
      </c>
      <c r="B39" s="3078" t="s">
        <v>3126</v>
      </c>
      <c r="C39" s="3078" t="s">
        <v>3127</v>
      </c>
      <c r="D39" s="3078" t="s">
        <v>3292</v>
      </c>
      <c r="E39" s="3078">
        <v>12105.5</v>
      </c>
      <c r="F39" s="3078">
        <v>24211</v>
      </c>
      <c r="G39" s="3078" t="s">
        <v>3231</v>
      </c>
      <c r="H39" s="3078" t="s">
        <v>3130</v>
      </c>
      <c r="I39" s="3078" t="s">
        <v>3131</v>
      </c>
      <c r="J39" s="3078">
        <v>0</v>
      </c>
      <c r="K39" s="3078" t="s">
        <v>1292</v>
      </c>
      <c r="L39" s="3078" t="s">
        <v>1292</v>
      </c>
      <c r="M39" s="3078" t="s">
        <v>3233</v>
      </c>
      <c r="N39" s="3078" t="s">
        <v>3293</v>
      </c>
      <c r="O39" s="3078" t="s">
        <v>3294</v>
      </c>
      <c r="P39" s="3078">
        <v>1997.59</v>
      </c>
      <c r="Q39" s="3078">
        <v>110.01</v>
      </c>
      <c r="R39" s="3078">
        <v>825.08</v>
      </c>
      <c r="S39" s="3078">
        <v>0</v>
      </c>
      <c r="T39" s="3078" t="s">
        <v>3135</v>
      </c>
      <c r="U39" s="3078" t="s">
        <v>1292</v>
      </c>
      <c r="V39" s="3078" t="s">
        <v>3155</v>
      </c>
    </row>
    <row r="40" spans="1:22" hidden="1">
      <c r="A40" s="3078" t="s">
        <v>3291</v>
      </c>
      <c r="B40" s="3078" t="s">
        <v>3126</v>
      </c>
      <c r="C40" s="3078" t="s">
        <v>3127</v>
      </c>
      <c r="D40" s="3078" t="s">
        <v>3295</v>
      </c>
      <c r="E40" s="3078">
        <v>6300</v>
      </c>
      <c r="F40" s="3078">
        <v>12600</v>
      </c>
      <c r="G40" s="3078" t="s">
        <v>3231</v>
      </c>
      <c r="H40" s="3078" t="s">
        <v>3130</v>
      </c>
      <c r="I40" s="3078" t="s">
        <v>3131</v>
      </c>
      <c r="J40" s="3078">
        <v>0</v>
      </c>
      <c r="K40" s="3078" t="s">
        <v>1292</v>
      </c>
      <c r="L40" s="3078" t="s">
        <v>1292</v>
      </c>
      <c r="M40" s="3078" t="s">
        <v>3233</v>
      </c>
      <c r="N40" s="3078" t="s">
        <v>3296</v>
      </c>
      <c r="O40" s="3078" t="s">
        <v>3297</v>
      </c>
      <c r="P40" s="3078">
        <v>1040</v>
      </c>
      <c r="Q40" s="3078">
        <v>110.05</v>
      </c>
      <c r="R40" s="3078">
        <v>825.39</v>
      </c>
      <c r="S40" s="3078">
        <v>0</v>
      </c>
      <c r="T40" s="3078" t="s">
        <v>3135</v>
      </c>
      <c r="U40" s="3078" t="s">
        <v>1292</v>
      </c>
      <c r="V40" s="3078" t="s">
        <v>3155</v>
      </c>
    </row>
    <row r="41" spans="1:22" hidden="1">
      <c r="A41" s="3078" t="s">
        <v>3286</v>
      </c>
      <c r="B41" s="3078" t="s">
        <v>3126</v>
      </c>
      <c r="C41" s="3078" t="s">
        <v>3127</v>
      </c>
      <c r="D41" s="3078" t="s">
        <v>3298</v>
      </c>
      <c r="E41" s="3078">
        <v>3417.49</v>
      </c>
      <c r="F41" s="3078">
        <v>17087.45</v>
      </c>
      <c r="G41" s="3078" t="s">
        <v>3299</v>
      </c>
      <c r="H41" s="3078" t="s">
        <v>3130</v>
      </c>
      <c r="I41" s="3078" t="s">
        <v>3131</v>
      </c>
      <c r="J41" s="3078">
        <v>0</v>
      </c>
      <c r="K41" s="3078" t="s">
        <v>1292</v>
      </c>
      <c r="L41" s="3078" t="s">
        <v>1292</v>
      </c>
      <c r="M41" s="3078" t="s">
        <v>3233</v>
      </c>
      <c r="N41" s="3078" t="s">
        <v>3300</v>
      </c>
      <c r="O41" s="3078" t="s">
        <v>3301</v>
      </c>
      <c r="P41" s="3078">
        <v>1236.32</v>
      </c>
      <c r="Q41" s="3078">
        <v>241.18</v>
      </c>
      <c r="R41" s="3078">
        <v>723.52</v>
      </c>
      <c r="S41" s="3078" t="s">
        <v>1292</v>
      </c>
      <c r="T41" s="3078" t="s">
        <v>3135</v>
      </c>
      <c r="U41" s="3078" t="s">
        <v>1292</v>
      </c>
      <c r="V41" s="3078" t="s">
        <v>3155</v>
      </c>
    </row>
    <row r="42" spans="1:22" hidden="1">
      <c r="A42" s="3078" t="s">
        <v>3302</v>
      </c>
      <c r="B42" s="3078" t="s">
        <v>3126</v>
      </c>
      <c r="C42" s="3078" t="s">
        <v>3127</v>
      </c>
      <c r="D42" s="3078" t="s">
        <v>3303</v>
      </c>
      <c r="E42" s="3078">
        <v>9997</v>
      </c>
      <c r="F42" s="3078">
        <v>29991</v>
      </c>
      <c r="G42" s="3078" t="s">
        <v>3238</v>
      </c>
      <c r="H42" s="3078" t="s">
        <v>3130</v>
      </c>
      <c r="I42" s="3078" t="s">
        <v>3131</v>
      </c>
      <c r="J42" s="3078">
        <v>0</v>
      </c>
      <c r="K42" s="3078" t="s">
        <v>1292</v>
      </c>
      <c r="L42" s="3078" t="s">
        <v>1292</v>
      </c>
      <c r="M42" s="3078" t="s">
        <v>3233</v>
      </c>
      <c r="N42" s="3078" t="s">
        <v>3304</v>
      </c>
      <c r="O42" s="3078" t="s">
        <v>3305</v>
      </c>
      <c r="P42" s="3078">
        <v>1800</v>
      </c>
      <c r="Q42" s="3078">
        <v>120.04</v>
      </c>
      <c r="R42" s="3078">
        <v>600.16999999999996</v>
      </c>
      <c r="S42" s="3078">
        <v>0</v>
      </c>
      <c r="T42" s="3078" t="s">
        <v>3135</v>
      </c>
      <c r="U42" s="3078" t="s">
        <v>1292</v>
      </c>
      <c r="V42" s="3078" t="s">
        <v>3185</v>
      </c>
    </row>
    <row r="43" spans="1:22" hidden="1">
      <c r="A43" s="3078" t="s">
        <v>3302</v>
      </c>
      <c r="B43" s="3078" t="s">
        <v>3126</v>
      </c>
      <c r="C43" s="3078" t="s">
        <v>3127</v>
      </c>
      <c r="D43" s="3078" t="s">
        <v>3306</v>
      </c>
      <c r="E43" s="3078">
        <v>4000</v>
      </c>
      <c r="F43" s="3078">
        <v>4000</v>
      </c>
      <c r="G43" s="3078" t="s">
        <v>3307</v>
      </c>
      <c r="H43" s="3078" t="s">
        <v>3130</v>
      </c>
      <c r="I43" s="3078" t="s">
        <v>3131</v>
      </c>
      <c r="J43" s="3078">
        <v>0</v>
      </c>
      <c r="K43" s="3078" t="s">
        <v>1292</v>
      </c>
      <c r="L43" s="3078" t="s">
        <v>1292</v>
      </c>
      <c r="M43" s="3078" t="s">
        <v>3233</v>
      </c>
      <c r="N43" s="3078" t="s">
        <v>3308</v>
      </c>
      <c r="O43" s="3078" t="s">
        <v>3309</v>
      </c>
      <c r="P43" s="3078">
        <v>596</v>
      </c>
      <c r="Q43" s="3078">
        <v>99.33</v>
      </c>
      <c r="R43" s="3078">
        <v>1490</v>
      </c>
      <c r="S43" s="3078">
        <v>0</v>
      </c>
      <c r="T43" s="3078" t="s">
        <v>3135</v>
      </c>
      <c r="U43" s="3078" t="s">
        <v>1292</v>
      </c>
      <c r="V43" s="3078" t="s">
        <v>3185</v>
      </c>
    </row>
    <row r="44" spans="1:22" hidden="1">
      <c r="A44" s="3078" t="s">
        <v>3310</v>
      </c>
      <c r="B44" s="3078" t="s">
        <v>3126</v>
      </c>
      <c r="C44" s="3078" t="s">
        <v>3127</v>
      </c>
      <c r="D44" s="3078" t="s">
        <v>3311</v>
      </c>
      <c r="E44" s="3078">
        <v>2345.56</v>
      </c>
      <c r="F44" s="3078">
        <v>8209.4599999999991</v>
      </c>
      <c r="G44" s="3078" t="s">
        <v>3203</v>
      </c>
      <c r="H44" s="3078" t="s">
        <v>3130</v>
      </c>
      <c r="I44" s="3078" t="s">
        <v>3232</v>
      </c>
      <c r="J44" s="3078">
        <v>0</v>
      </c>
      <c r="K44" s="3078" t="s">
        <v>1292</v>
      </c>
      <c r="L44" s="3078" t="s">
        <v>1292</v>
      </c>
      <c r="M44" s="3078" t="s">
        <v>3233</v>
      </c>
      <c r="N44" s="3078" t="s">
        <v>3312</v>
      </c>
      <c r="O44" s="3078" t="s">
        <v>3313</v>
      </c>
      <c r="P44" s="3078">
        <v>2760</v>
      </c>
      <c r="Q44" s="3078">
        <v>784.46</v>
      </c>
      <c r="R44" s="3078">
        <v>3361.98</v>
      </c>
      <c r="S44" s="3078">
        <v>0</v>
      </c>
      <c r="T44" s="3078" t="s">
        <v>3135</v>
      </c>
      <c r="U44" s="3078" t="s">
        <v>1292</v>
      </c>
      <c r="V44" s="3078" t="s">
        <v>3165</v>
      </c>
    </row>
    <row r="45" spans="1:22" hidden="1">
      <c r="A45" s="3078" t="s">
        <v>3286</v>
      </c>
      <c r="B45" s="3078" t="s">
        <v>3126</v>
      </c>
      <c r="C45" s="3078" t="s">
        <v>3127</v>
      </c>
      <c r="D45" s="3078" t="s">
        <v>3314</v>
      </c>
      <c r="E45" s="3078">
        <v>5157.5</v>
      </c>
      <c r="F45" s="3078">
        <v>20630</v>
      </c>
      <c r="G45" s="3078" t="s">
        <v>3315</v>
      </c>
      <c r="H45" s="3078" t="s">
        <v>3130</v>
      </c>
      <c r="I45" s="3078" t="s">
        <v>3131</v>
      </c>
      <c r="J45" s="3078">
        <v>0</v>
      </c>
      <c r="K45" s="3078" t="s">
        <v>1292</v>
      </c>
      <c r="L45" s="3078" t="s">
        <v>1292</v>
      </c>
      <c r="M45" s="3078" t="s">
        <v>3233</v>
      </c>
      <c r="N45" s="3078" t="s">
        <v>3316</v>
      </c>
      <c r="O45" s="3078" t="s">
        <v>3317</v>
      </c>
      <c r="P45" s="3078">
        <v>1269.3499999999999</v>
      </c>
      <c r="Q45" s="3078">
        <v>164.08</v>
      </c>
      <c r="R45" s="3078">
        <v>615.29</v>
      </c>
      <c r="S45" s="3078">
        <v>0</v>
      </c>
      <c r="T45" s="3078" t="s">
        <v>3135</v>
      </c>
      <c r="U45" s="3078" t="s">
        <v>1292</v>
      </c>
      <c r="V45" s="3078" t="s">
        <v>3165</v>
      </c>
    </row>
    <row r="46" spans="1:22" hidden="1">
      <c r="A46" s="3078" t="s">
        <v>3318</v>
      </c>
      <c r="B46" s="3078" t="s">
        <v>3126</v>
      </c>
      <c r="C46" s="3078" t="s">
        <v>3127</v>
      </c>
      <c r="D46" s="3078" t="s">
        <v>3319</v>
      </c>
      <c r="E46" s="3078">
        <v>57111.1</v>
      </c>
      <c r="F46" s="3078">
        <v>171333.3</v>
      </c>
      <c r="G46" s="3078" t="s">
        <v>3320</v>
      </c>
      <c r="H46" s="3078" t="s">
        <v>3130</v>
      </c>
      <c r="I46" s="3078" t="s">
        <v>3131</v>
      </c>
      <c r="J46" s="3078">
        <v>0</v>
      </c>
      <c r="K46" s="3078" t="s">
        <v>1292</v>
      </c>
      <c r="L46" s="3078" t="s">
        <v>1292</v>
      </c>
      <c r="M46" s="3078" t="s">
        <v>3233</v>
      </c>
      <c r="N46" s="3078" t="s">
        <v>3321</v>
      </c>
      <c r="O46" s="3078" t="s">
        <v>3322</v>
      </c>
      <c r="P46" s="3078">
        <v>20030</v>
      </c>
      <c r="Q46" s="3078">
        <v>233.81</v>
      </c>
      <c r="R46" s="3078">
        <v>1169.06</v>
      </c>
      <c r="S46" s="3078">
        <v>0.01</v>
      </c>
      <c r="T46" s="3078" t="s">
        <v>3135</v>
      </c>
      <c r="U46" s="3078" t="s">
        <v>1292</v>
      </c>
      <c r="V46" s="3078" t="s">
        <v>3155</v>
      </c>
    </row>
    <row r="48" spans="1:22" ht="13.5">
      <c r="A48" s="3081" t="s">
        <v>3332</v>
      </c>
    </row>
    <row r="49" spans="1:1" ht="13.5">
      <c r="A49" s="3081" t="s">
        <v>3342</v>
      </c>
    </row>
  </sheetData>
  <autoFilter ref="A1:WWD46"/>
  <phoneticPr fontId="140" type="noConversion"/>
  <hyperlinks>
    <hyperlink ref="A48" r:id="rId1"/>
    <hyperlink ref="A49" r:id="rId2"/>
  </hyperlinks>
  <pageMargins left="0.75" right="0.75" top="1" bottom="1" header="0.5" footer="0.5"/>
  <pageSetup orientation="portrait" horizontalDpi="300" verticalDpi="300"/>
  <headerFooter alignWithMargins="0"/>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1548</v>
      </c>
      <c r="B1" s="721"/>
      <c r="C1" s="1560"/>
      <c r="D1" s="1543"/>
      <c r="E1" s="1544" t="s">
        <v>1346</v>
      </c>
      <c r="F1" s="1192">
        <f ca="1">J53</f>
        <v>0</v>
      </c>
      <c r="G1" s="1559">
        <f>MATCH(C1,'数据-取费表'!A6:A16,0)+5</f>
        <v>8</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1549</v>
      </c>
      <c r="B2" s="1567" t="e">
        <f ca="1">ROUND(D2/10000,0)</f>
        <v>#DIV/0!</v>
      </c>
      <c r="C2" s="1568" t="s">
        <v>1550</v>
      </c>
      <c r="D2" s="1652" t="e">
        <f ca="1">C40+J29+L46</f>
        <v>#DIV/0!</v>
      </c>
      <c r="E2" s="1569" t="s">
        <v>1551</v>
      </c>
      <c r="F2" s="1570"/>
      <c r="G2" s="2929"/>
      <c r="H2" s="2918"/>
      <c r="I2" s="2918"/>
      <c r="J2" s="2918"/>
      <c r="K2" s="2919"/>
      <c r="L2" s="2918"/>
      <c r="M2" s="2918"/>
    </row>
    <row r="3" spans="1:37" ht="18" customHeight="1" thickBot="1">
      <c r="A3" s="1571" t="s">
        <v>1552</v>
      </c>
      <c r="B3" s="1572">
        <f ca="1">IF(ISERROR(D2/F43),0,ROUND(D2/F43,0))</f>
        <v>0</v>
      </c>
      <c r="C3" s="1568" t="s">
        <v>1553</v>
      </c>
      <c r="D3" s="1568"/>
      <c r="E3" s="1569"/>
      <c r="F3" s="1570"/>
      <c r="G3" s="2929"/>
      <c r="H3" s="691" t="s">
        <v>1547</v>
      </c>
      <c r="I3" s="1563"/>
      <c r="J3" s="1563"/>
      <c r="K3" s="1564"/>
      <c r="L3" s="1563"/>
      <c r="M3" s="1563"/>
    </row>
    <row r="4" spans="1:37" ht="18" customHeight="1">
      <c r="A4" s="301" t="s">
        <v>1554</v>
      </c>
      <c r="B4" s="302" t="s">
        <v>1555</v>
      </c>
      <c r="C4" s="302" t="s">
        <v>1556</v>
      </c>
      <c r="D4" s="302" t="s">
        <v>1557</v>
      </c>
      <c r="E4" s="303" t="s">
        <v>1558</v>
      </c>
      <c r="F4" s="304"/>
      <c r="G4" s="1565"/>
      <c r="H4" s="301" t="s">
        <v>1554</v>
      </c>
      <c r="I4" s="302" t="s">
        <v>1555</v>
      </c>
      <c r="J4" s="302" t="s">
        <v>1556</v>
      </c>
      <c r="K4" s="302" t="s">
        <v>1557</v>
      </c>
      <c r="L4" s="303" t="s">
        <v>1558</v>
      </c>
      <c r="M4" s="304"/>
    </row>
    <row r="5" spans="1:37" ht="18" customHeight="1">
      <c r="A5" s="305">
        <v>1</v>
      </c>
      <c r="B5" s="306" t="s">
        <v>1559</v>
      </c>
      <c r="C5" s="1201">
        <f ca="1">C6+C10+C12</f>
        <v>0</v>
      </c>
      <c r="D5" s="1545" t="s">
        <v>1560</v>
      </c>
      <c r="E5" s="1202"/>
      <c r="F5" s="1203"/>
      <c r="G5" s="1565"/>
      <c r="H5" s="305">
        <v>1</v>
      </c>
      <c r="I5" s="306" t="s">
        <v>1559</v>
      </c>
      <c r="J5" s="1201">
        <f ca="1">J6+J10+J12</f>
        <v>0</v>
      </c>
      <c r="K5" s="1545" t="s">
        <v>1560</v>
      </c>
      <c r="L5" s="1202"/>
      <c r="M5" s="1203"/>
    </row>
    <row r="6" spans="1:37" ht="18" customHeight="1">
      <c r="A6" s="1200" t="s">
        <v>1003</v>
      </c>
      <c r="B6" s="3534" t="s">
        <v>1362</v>
      </c>
      <c r="C6" s="1205">
        <f ca="1">ROUND(F6*F8*F7*(1-F9),0)</f>
        <v>0</v>
      </c>
      <c r="D6" s="160" t="s">
        <v>2840</v>
      </c>
      <c r="E6" s="308" t="s">
        <v>1364</v>
      </c>
      <c r="F6" s="309">
        <f ca="1">INDIRECT("'数据-取费表'!u"&amp;$G$1)</f>
        <v>0</v>
      </c>
      <c r="G6" s="1565"/>
      <c r="H6" s="1200" t="s">
        <v>1003</v>
      </c>
      <c r="I6" s="3534" t="s">
        <v>1362</v>
      </c>
      <c r="J6" s="307">
        <f ca="1">ROUND(M6*M8*M7*(1-M9),0)</f>
        <v>0</v>
      </c>
      <c r="K6" s="1557" t="s">
        <v>2841</v>
      </c>
      <c r="L6" s="308" t="s">
        <v>1364</v>
      </c>
      <c r="M6" s="309">
        <f ca="1">INDIRECT("'数据-取费表'!z"&amp;$G$1)</f>
        <v>0</v>
      </c>
    </row>
    <row r="7" spans="1:37" ht="18" customHeight="1">
      <c r="A7" s="1204"/>
      <c r="B7" s="3535"/>
      <c r="C7" s="1206"/>
      <c r="D7" s="313"/>
      <c r="E7" s="1207" t="s">
        <v>1365</v>
      </c>
      <c r="F7" s="309">
        <f ca="1">IF(INDIRECT("'数据-取费表'!ah"&amp;$G$1)="",INDIRECT("'数据-取费表'!k"&amp;$G$1),INDIRECT("'数据-取费表'!ah"&amp;$G$1))</f>
        <v>0</v>
      </c>
      <c r="G7" s="1565"/>
      <c r="H7" s="310"/>
      <c r="I7" s="3535"/>
      <c r="J7" s="312"/>
      <c r="K7" s="313"/>
      <c r="L7" s="308" t="s">
        <v>1365</v>
      </c>
      <c r="M7" s="309">
        <f ca="1">F7</f>
        <v>0</v>
      </c>
    </row>
    <row r="8" spans="1:37" ht="18" customHeight="1">
      <c r="A8" s="310"/>
      <c r="B8" s="3535"/>
      <c r="C8" s="312"/>
      <c r="D8" s="313"/>
      <c r="E8" s="308" t="s">
        <v>1366</v>
      </c>
      <c r="F8" s="309">
        <f ca="1">INDIRECT("'数据-取费表'!ai"&amp;$G$1)</f>
        <v>0</v>
      </c>
      <c r="G8" s="1565"/>
      <c r="H8" s="310"/>
      <c r="I8" s="3535"/>
      <c r="J8" s="312"/>
      <c r="K8" s="313"/>
      <c r="L8" s="308" t="s">
        <v>1366</v>
      </c>
      <c r="M8" s="309">
        <f ca="1">INDIRECT("'数据-取费表'!ai"&amp;$G$1)</f>
        <v>0</v>
      </c>
    </row>
    <row r="9" spans="1:37" ht="18" customHeight="1">
      <c r="A9" s="310"/>
      <c r="B9" s="3536"/>
      <c r="C9" s="312"/>
      <c r="D9" s="313"/>
      <c r="E9" s="308" t="s">
        <v>1367</v>
      </c>
      <c r="F9" s="318">
        <f ca="1">INDIRECT("'数据-取费表'!w"&amp;$G$1)</f>
        <v>0</v>
      </c>
      <c r="G9" s="1565"/>
      <c r="H9" s="310"/>
      <c r="I9" s="3536"/>
      <c r="J9" s="312"/>
      <c r="K9" s="313"/>
      <c r="L9" s="319" t="s">
        <v>1367</v>
      </c>
      <c r="M9" s="320">
        <f ca="1">INDIRECT("'数据-取费表'!ab"&amp;$G$1)</f>
        <v>0</v>
      </c>
    </row>
    <row r="10" spans="1:37" ht="18" customHeight="1">
      <c r="A10" s="1200" t="s">
        <v>1007</v>
      </c>
      <c r="B10" s="1546" t="s">
        <v>1368</v>
      </c>
      <c r="C10" s="322">
        <f ca="1">ROUND(IF(F10="押一",C6/12*F11,IF(F10="押二",C6/12*2*F11,IF(F10="押三",C6/12*3*F11,C11*F11))),0)</f>
        <v>0</v>
      </c>
      <c r="D10" s="1547" t="s">
        <v>2850</v>
      </c>
      <c r="E10" s="319" t="s">
        <v>1369</v>
      </c>
      <c r="F10" s="1274"/>
      <c r="G10" s="1565"/>
      <c r="H10" s="1200" t="s">
        <v>1007</v>
      </c>
      <c r="I10" s="1546" t="s">
        <v>1368</v>
      </c>
      <c r="J10" s="307">
        <f ca="1">ROUND(IF(M10="押一",J6/12*M11,IF(M10="押二",J6/12*2*M11,IF(M10="押三",J6/12*3*M11,J11*M11))),0)</f>
        <v>0</v>
      </c>
      <c r="K10" s="1558" t="s">
        <v>2852</v>
      </c>
      <c r="L10" s="319" t="s">
        <v>1369</v>
      </c>
      <c r="M10" s="1274"/>
    </row>
    <row r="11" spans="1:37" ht="18" customHeight="1">
      <c r="A11" s="314"/>
      <c r="B11" s="1548" t="s">
        <v>1561</v>
      </c>
      <c r="C11" s="1089"/>
      <c r="D11" s="313"/>
      <c r="E11" s="319" t="s">
        <v>1371</v>
      </c>
      <c r="F11" s="320">
        <f ca="1">'数据-取费表'!B39</f>
        <v>1.4999999999999999E-2</v>
      </c>
      <c r="G11" s="1565"/>
      <c r="H11" s="1208"/>
      <c r="I11" s="1548" t="s">
        <v>1562</v>
      </c>
      <c r="J11" s="1089"/>
      <c r="K11" s="692"/>
      <c r="L11" s="319" t="s">
        <v>1371</v>
      </c>
      <c r="M11" s="970">
        <f ca="1">'数据-取费表'!B39</f>
        <v>1.4999999999999999E-2</v>
      </c>
    </row>
    <row r="12" spans="1:37" ht="18" customHeight="1" thickBot="1">
      <c r="A12" s="1241" t="s">
        <v>1043</v>
      </c>
      <c r="B12" s="1550" t="s">
        <v>1372</v>
      </c>
      <c r="C12" s="1242"/>
      <c r="D12" s="1243"/>
      <c r="E12" s="1248"/>
      <c r="F12" s="1244"/>
      <c r="G12" s="1565"/>
      <c r="H12" s="1241" t="s">
        <v>1043</v>
      </c>
      <c r="I12" s="1550" t="s">
        <v>1372</v>
      </c>
      <c r="J12" s="1242"/>
      <c r="K12" s="1256"/>
      <c r="L12" s="1248"/>
      <c r="M12" s="1257"/>
    </row>
    <row r="13" spans="1:37" ht="18" customHeight="1" thickTop="1">
      <c r="A13" s="1237">
        <v>2</v>
      </c>
      <c r="B13" s="1238" t="s">
        <v>1373</v>
      </c>
      <c r="C13" s="316">
        <f ca="1">ROUND(C29*F13,0)</f>
        <v>0</v>
      </c>
      <c r="D13" s="1239" t="s">
        <v>1374</v>
      </c>
      <c r="E13" s="1239" t="s">
        <v>1375</v>
      </c>
      <c r="F13" s="1240">
        <f ca="1">INDIRECT("'数据-取费表'!y"&amp;$G$1)</f>
        <v>0</v>
      </c>
      <c r="G13" s="1565"/>
      <c r="H13" s="1237">
        <v>2</v>
      </c>
      <c r="I13" s="1238" t="s">
        <v>1373</v>
      </c>
      <c r="J13" s="1199">
        <f ca="1">ROUND(J14*J15,0)</f>
        <v>0</v>
      </c>
      <c r="K13" s="1245" t="s">
        <v>1374</v>
      </c>
      <c r="L13" s="1573"/>
      <c r="M13" s="1574"/>
    </row>
    <row r="14" spans="1:37" ht="18" customHeight="1">
      <c r="A14" s="1112" t="s">
        <v>1002</v>
      </c>
      <c r="B14" s="308" t="s">
        <v>1376</v>
      </c>
      <c r="C14" s="324">
        <f ca="1">ROUND(INDIRECT("'数据-取费表'!l"&amp;$G$1)*F43+'数据-取费表'!L14*INDIRECT("'数据-取费表'!S"&amp;$G$1),0)</f>
        <v>0</v>
      </c>
      <c r="D14" s="1526" t="s">
        <v>1377</v>
      </c>
      <c r="E14" s="1523"/>
      <c r="F14" s="325"/>
      <c r="G14" s="1565"/>
      <c r="H14" s="1112" t="s">
        <v>1003</v>
      </c>
      <c r="I14" s="308" t="s">
        <v>1378</v>
      </c>
      <c r="J14" s="24">
        <f ca="1">C29</f>
        <v>0</v>
      </c>
      <c r="K14" s="15"/>
      <c r="L14" s="915"/>
      <c r="M14" s="916"/>
    </row>
    <row r="15" spans="1:37" s="1578" customFormat="1" ht="18" customHeight="1" thickBot="1">
      <c r="A15" s="1112" t="s">
        <v>1004</v>
      </c>
      <c r="B15" s="308" t="s">
        <v>1379</v>
      </c>
      <c r="C15" s="24">
        <f ca="1">ROUND(C14*F15,0)</f>
        <v>0</v>
      </c>
      <c r="D15" s="326" t="s">
        <v>1380</v>
      </c>
      <c r="E15" s="326" t="s">
        <v>1381</v>
      </c>
      <c r="F15" s="327">
        <f>'数据-取费表'!B33</f>
        <v>0.05</v>
      </c>
      <c r="G15" s="1577"/>
      <c r="H15" s="1247" t="s">
        <v>1007</v>
      </c>
      <c r="I15" s="1248" t="s">
        <v>1375</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1348</v>
      </c>
      <c r="B16" s="308" t="s">
        <v>1382</v>
      </c>
      <c r="C16" s="24">
        <f ca="1">ROUND(INDIRECT("'数据-取费表'!l"&amp;$G$1)*F43*F16,0)</f>
        <v>0</v>
      </c>
      <c r="D16" s="308" t="s">
        <v>1380</v>
      </c>
      <c r="E16" s="308" t="s">
        <v>1381</v>
      </c>
      <c r="F16" s="328">
        <f ca="1">IF(INDIRECT("'数据-取费表'!c"&amp;$G$1)="住宅",'数据-取费表'!B34,0)</f>
        <v>0</v>
      </c>
      <c r="G16" s="1565"/>
      <c r="H16" s="1237" t="s">
        <v>998</v>
      </c>
      <c r="I16" s="1238" t="s">
        <v>1383</v>
      </c>
      <c r="J16" s="316">
        <f ca="1">ROUND(J17+J22+J23+J24,0)</f>
        <v>0</v>
      </c>
      <c r="K16" s="1245" t="s">
        <v>1384</v>
      </c>
      <c r="L16" s="1246"/>
      <c r="M16" s="1203"/>
    </row>
    <row r="17" spans="1:37" s="1578" customFormat="1" ht="18" customHeight="1">
      <c r="A17" s="1112" t="s">
        <v>1349</v>
      </c>
      <c r="B17" s="308" t="s">
        <v>1385</v>
      </c>
      <c r="C17" s="24">
        <f ca="1">ROUND(F17*(F43+INDIRECT("'数据-取费表'!S"&amp;$G$1)),0)</f>
        <v>0</v>
      </c>
      <c r="D17" s="308" t="s">
        <v>1386</v>
      </c>
      <c r="E17" s="308" t="s">
        <v>1387</v>
      </c>
      <c r="F17" s="26">
        <f>'数据-取费表'!B35</f>
        <v>350</v>
      </c>
      <c r="G17" s="1577"/>
      <c r="H17" s="1112" t="s">
        <v>1003</v>
      </c>
      <c r="I17" s="308" t="s">
        <v>1388</v>
      </c>
      <c r="J17" s="2531">
        <f ca="1">ROUND(IF(AND(项目基本情况!B11="自然人",项目基本情况!B10="北京市"),J6*M17/(1+'数据-取费表'!C42),J18+J19+J20),0)</f>
        <v>0</v>
      </c>
      <c r="K17" s="1526" t="s">
        <v>1389</v>
      </c>
      <c r="L17" s="1525" t="s">
        <v>1390</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1350</v>
      </c>
      <c r="B18" s="308" t="s">
        <v>1391</v>
      </c>
      <c r="C18" s="24">
        <f ca="1">ROUND(C14*F18,0)</f>
        <v>0</v>
      </c>
      <c r="D18" s="308" t="s">
        <v>1380</v>
      </c>
      <c r="E18" s="308" t="s">
        <v>1381</v>
      </c>
      <c r="F18" s="328">
        <f>'数据-取费表'!B36</f>
        <v>1.4999999999999999E-2</v>
      </c>
      <c r="G18" s="1577"/>
      <c r="H18" s="1112" t="s">
        <v>1002</v>
      </c>
      <c r="I18" s="308" t="s">
        <v>1392</v>
      </c>
      <c r="J18" s="24">
        <f ca="1">ROUND(J6*M18/(1+'数据-取费表'!C42),0)</f>
        <v>0</v>
      </c>
      <c r="K18" s="1525" t="s">
        <v>1393</v>
      </c>
      <c r="L18" s="308" t="s">
        <v>1381</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8" t="s">
        <v>1394</v>
      </c>
      <c r="C19" s="24">
        <f ca="1">SUM(C14:C18)</f>
        <v>0</v>
      </c>
      <c r="D19" s="136" t="s">
        <v>1395</v>
      </c>
      <c r="E19" s="1541"/>
      <c r="F19" s="26"/>
      <c r="G19" s="1565"/>
      <c r="H19" s="1112" t="s">
        <v>1004</v>
      </c>
      <c r="I19" s="308" t="s">
        <v>1396</v>
      </c>
      <c r="J19" s="24">
        <f ca="1">IF(K19="按租金收入计税",ROUND(J6*M19/(1+'数据-取费表'!C42),0),ROUND(C29*M19*0.7,0))</f>
        <v>0</v>
      </c>
      <c r="K19" s="1551" t="s">
        <v>1397</v>
      </c>
      <c r="L19" s="308" t="s">
        <v>1381</v>
      </c>
      <c r="M19" s="328">
        <f>IF(K19="按租金收入计税",'数据-取费表'!B51,'数据-取费表'!B50)</f>
        <v>1.2E-2</v>
      </c>
    </row>
    <row r="20" spans="1:37" s="1578" customFormat="1" ht="18" customHeight="1">
      <c r="A20" s="1112" t="s">
        <v>1007</v>
      </c>
      <c r="B20" s="308" t="s">
        <v>1398</v>
      </c>
      <c r="C20" s="24">
        <f ca="1">ROUND(C19*F20,0)</f>
        <v>0</v>
      </c>
      <c r="D20" s="329" t="s">
        <v>1399</v>
      </c>
      <c r="E20" s="308" t="s">
        <v>1381</v>
      </c>
      <c r="F20" s="328">
        <f>'数据-取费表'!B37</f>
        <v>0.03</v>
      </c>
      <c r="G20" s="1577"/>
      <c r="H20" s="1112" t="s">
        <v>1348</v>
      </c>
      <c r="I20" s="160" t="s">
        <v>1400</v>
      </c>
      <c r="J20" s="25">
        <f ca="1">ROUND(M20*M21,0)</f>
        <v>0</v>
      </c>
      <c r="K20" s="330" t="s">
        <v>1401</v>
      </c>
      <c r="L20" s="308" t="s">
        <v>1402</v>
      </c>
      <c r="M20" s="331">
        <f>'数据-取费表'!B52</f>
        <v>10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8" t="s">
        <v>1403</v>
      </c>
      <c r="C21" s="24" t="s">
        <v>1</v>
      </c>
      <c r="D21" s="329" t="s">
        <v>1404</v>
      </c>
      <c r="E21" s="308" t="s">
        <v>1405</v>
      </c>
      <c r="F21" s="328">
        <f>'数据-取费表'!B38</f>
        <v>1.4999999999999999E-2</v>
      </c>
      <c r="G21" s="1577"/>
      <c r="H21" s="332"/>
      <c r="I21" s="317"/>
      <c r="J21" s="29"/>
      <c r="K21" s="333"/>
      <c r="L21" s="308" t="s">
        <v>1406</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1351</v>
      </c>
      <c r="B22" s="308" t="s">
        <v>1407</v>
      </c>
      <c r="C22" s="24"/>
      <c r="D22" s="136" t="str">
        <f>IF(F23&lt;=1,"单利计息。","复利计息。")&amp;"建造成本、管理费用、销售费用产生的利息。"</f>
        <v>复利计息。建造成本、管理费用、销售费用产生的利息。</v>
      </c>
      <c r="E22" s="1541"/>
      <c r="F22" s="26"/>
      <c r="G22" s="1565"/>
      <c r="H22" s="1112" t="s">
        <v>1007</v>
      </c>
      <c r="I22" s="308" t="s">
        <v>1408</v>
      </c>
      <c r="J22" s="24">
        <f ca="1">ROUND(J14*M22,0)</f>
        <v>0</v>
      </c>
      <c r="K22" s="1525" t="s">
        <v>1409</v>
      </c>
      <c r="L22" s="308" t="s">
        <v>1381</v>
      </c>
      <c r="M22" s="334">
        <f ca="1">INDIRECT("'数据-取费表'!Ak"&amp;$G$1)</f>
        <v>0</v>
      </c>
    </row>
    <row r="23" spans="1:37" s="1578" customFormat="1" ht="18" customHeight="1">
      <c r="A23" s="1112" t="s">
        <v>1002</v>
      </c>
      <c r="B23" s="308" t="s">
        <v>1410</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1411</v>
      </c>
      <c r="F23" s="331">
        <f>'数据-取费表'!B20</f>
        <v>2</v>
      </c>
      <c r="G23" s="1577"/>
      <c r="H23" s="1112" t="s">
        <v>1043</v>
      </c>
      <c r="I23" s="308" t="s">
        <v>1412</v>
      </c>
      <c r="J23" s="24">
        <f ca="1">ROUND(J13*M23,0)</f>
        <v>0</v>
      </c>
      <c r="K23" s="1525" t="s">
        <v>1413</v>
      </c>
      <c r="L23" s="308" t="s">
        <v>1414</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1415</v>
      </c>
      <c r="B24" s="308" t="s">
        <v>1416</v>
      </c>
      <c r="C24" s="24">
        <f ca="1">ROUND(IF('数据-取费表'!B22&lt;=1,F21*F24*F23/2,F21*(POWER((1+F24),F23/2)-1)),4)</f>
        <v>6.9999999999999999E-4</v>
      </c>
      <c r="D24" s="335" t="str">
        <f>IF(F23&lt;=1,"销售费用×利率×(建设周期÷2)","销售费用×((1+利率)^(建设周期÷2)-1)")</f>
        <v>销售费用×((1+利率)^(建设周期÷2)-1)</v>
      </c>
      <c r="E24" s="308" t="s">
        <v>1417</v>
      </c>
      <c r="F24" s="337">
        <f ca="1">'数据-取费表'!B40</f>
        <v>4.3499999999999997E-2</v>
      </c>
      <c r="G24" s="1577"/>
      <c r="H24" s="1247" t="s">
        <v>1352</v>
      </c>
      <c r="I24" s="1248" t="s">
        <v>1398</v>
      </c>
      <c r="J24" s="1249">
        <f ca="1">ROUND(J5*M24,0)</f>
        <v>0</v>
      </c>
      <c r="K24" s="1250" t="s">
        <v>1418</v>
      </c>
      <c r="L24" s="1248" t="s">
        <v>1414</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2" t="s">
        <v>1419</v>
      </c>
      <c r="B25" s="308" t="s">
        <v>1420</v>
      </c>
      <c r="C25" s="24"/>
      <c r="D25" s="136" t="s">
        <v>1421</v>
      </c>
      <c r="E25" s="1541"/>
      <c r="F25" s="26"/>
      <c r="G25" s="1565"/>
      <c r="H25" s="1237" t="s">
        <v>999</v>
      </c>
      <c r="I25" s="1252" t="s">
        <v>1422</v>
      </c>
      <c r="J25" s="316">
        <f ca="1">J5-J16</f>
        <v>0</v>
      </c>
      <c r="K25" s="1253" t="s">
        <v>1423</v>
      </c>
      <c r="L25" s="1254"/>
      <c r="M25" s="1255"/>
    </row>
    <row r="26" spans="1:37" ht="18" customHeight="1">
      <c r="A26" s="1112" t="s">
        <v>1002</v>
      </c>
      <c r="B26" s="308" t="s">
        <v>1424</v>
      </c>
      <c r="C26" s="24">
        <f ca="1">ROUND((C19+C20)*F26,0)</f>
        <v>0</v>
      </c>
      <c r="D26" s="329" t="s">
        <v>1425</v>
      </c>
      <c r="E26" s="319" t="s">
        <v>1426</v>
      </c>
      <c r="F26" s="318">
        <f ca="1">INDIRECT("'数据-取费表'!q"&amp;$G$1)</f>
        <v>0</v>
      </c>
      <c r="G26" s="1565"/>
      <c r="H26" s="305" t="s">
        <v>1000</v>
      </c>
      <c r="I26" s="306" t="s">
        <v>1427</v>
      </c>
      <c r="J26" s="307">
        <f ca="1">IF(J5&lt;&gt;0,ROUND(J25*(1-((1+M28)/(1+M26))^M27)/(M26-M28),0),0)</f>
        <v>0</v>
      </c>
      <c r="K26" s="330" t="s">
        <v>1428</v>
      </c>
      <c r="L26" s="308" t="s">
        <v>1429</v>
      </c>
      <c r="M26" s="318">
        <f ca="1">INDIRECT("'数据-取费表'!I"&amp;$G$1)</f>
        <v>0</v>
      </c>
    </row>
    <row r="27" spans="1:37" ht="18" customHeight="1">
      <c r="A27" s="1112" t="s">
        <v>1004</v>
      </c>
      <c r="B27" s="308" t="s">
        <v>1430</v>
      </c>
      <c r="C27" s="24">
        <f ca="1">ROUND(F21*F26,4)</f>
        <v>0</v>
      </c>
      <c r="D27" s="329" t="s">
        <v>1431</v>
      </c>
      <c r="E27" s="326"/>
      <c r="F27" s="327"/>
      <c r="G27" s="1565"/>
      <c r="H27" s="310"/>
      <c r="I27" s="311"/>
      <c r="J27" s="312"/>
      <c r="K27" s="338" t="s">
        <v>1432</v>
      </c>
      <c r="L27" s="308" t="s">
        <v>1433</v>
      </c>
      <c r="M27" s="339">
        <f ca="1">INDIRECT("'数据-取费表'!ag"&amp;$G$1)</f>
        <v>0</v>
      </c>
    </row>
    <row r="28" spans="1:37" s="1578" customFormat="1" ht="18" customHeight="1">
      <c r="A28" s="1112" t="s">
        <v>1005</v>
      </c>
      <c r="B28" s="308" t="s">
        <v>1434</v>
      </c>
      <c r="C28" s="24">
        <f>ROUND(F28/(1+'数据-取费表'!C42),4)</f>
        <v>5.33E-2</v>
      </c>
      <c r="D28" s="329" t="s">
        <v>1435</v>
      </c>
      <c r="E28" s="308" t="s">
        <v>1381</v>
      </c>
      <c r="F28" s="328">
        <f>'数据-取费表'!B41</f>
        <v>5.6000000000000001E-2</v>
      </c>
      <c r="G28" s="1577"/>
      <c r="H28" s="314"/>
      <c r="I28" s="315"/>
      <c r="J28" s="316"/>
      <c r="K28" s="333"/>
      <c r="L28" s="308" t="s">
        <v>1436</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1437</v>
      </c>
      <c r="C29" s="1249">
        <f ca="1">ROUND((C19+C20+C23+C26)/(1-F21-C24-C27-C28),0)</f>
        <v>0</v>
      </c>
      <c r="D29" s="1250"/>
      <c r="E29" s="1248"/>
      <c r="F29" s="1251"/>
      <c r="G29" s="1577"/>
      <c r="H29" s="340" t="s">
        <v>1001</v>
      </c>
      <c r="I29" s="341" t="s">
        <v>1438</v>
      </c>
      <c r="J29" s="342">
        <f ca="1">ROUND(J26/(1+F40)^F41,0)</f>
        <v>0</v>
      </c>
      <c r="K29" s="343" t="s">
        <v>1439</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1383</v>
      </c>
      <c r="C30" s="316">
        <f ca="1">ROUND(C31+C36+C37+C38,0)</f>
        <v>0</v>
      </c>
      <c r="D30" s="1245" t="s">
        <v>1384</v>
      </c>
      <c r="E30" s="1246"/>
      <c r="F30" s="1203"/>
      <c r="G30" s="1565"/>
      <c r="H30" s="2920"/>
      <c r="I30" s="1579"/>
      <c r="J30" s="1580"/>
      <c r="K30" s="2695"/>
      <c r="L30" s="2921"/>
      <c r="M30" s="2922"/>
    </row>
    <row r="31" spans="1:37" ht="18" customHeight="1">
      <c r="A31" s="1112" t="s">
        <v>1003</v>
      </c>
      <c r="B31" s="308" t="s">
        <v>1388</v>
      </c>
      <c r="C31" s="2531">
        <f ca="1">ROUND(IF(AND(项目基本情况!B11="自然人",项目基本情况!B10="北京市"),C6*F31/(1+'数据-取费表'!C42),C32+C33+C34),0)</f>
        <v>0</v>
      </c>
      <c r="D31" s="1526" t="s">
        <v>1389</v>
      </c>
      <c r="E31" s="1525" t="s">
        <v>1440</v>
      </c>
      <c r="F31" s="2530" t="str">
        <f>IF(项目基本情况!B11="企业","——",IF('数据-取费表'!B10="住宅",IF(F6*F7*F8/12/(1+'数据-取费表'!F30)&gt;100000,4%,2.5%),IF(F6*F7*F8/12/(1+'数据-取费表'!F30)&gt;100000,12%,7%)))</f>
        <v>——</v>
      </c>
      <c r="G31" s="1565"/>
      <c r="H31" s="3033" t="s">
        <v>3048</v>
      </c>
      <c r="I31" s="1579"/>
      <c r="J31" s="1580"/>
      <c r="K31" s="2695"/>
      <c r="L31" s="2921"/>
      <c r="M31" s="2922"/>
    </row>
    <row r="32" spans="1:37" ht="18" customHeight="1">
      <c r="A32" s="1112" t="s">
        <v>1002</v>
      </c>
      <c r="B32" s="308" t="s">
        <v>1392</v>
      </c>
      <c r="C32" s="24">
        <f ca="1">IF(项目基本情况!B11="自然人","——",ROUND(C6*F32/(1+'数据-取费表'!C42),0))</f>
        <v>0</v>
      </c>
      <c r="D32" s="1525" t="s">
        <v>1393</v>
      </c>
      <c r="E32" s="308" t="s">
        <v>1381</v>
      </c>
      <c r="F32" s="337">
        <f>'数据-取费表'!B41</f>
        <v>5.6000000000000001E-2</v>
      </c>
      <c r="G32" s="1565"/>
      <c r="H32" s="2920"/>
      <c r="I32" s="1579"/>
      <c r="J32" s="1580"/>
      <c r="K32" s="2695"/>
      <c r="L32" s="2921"/>
      <c r="M32" s="2922"/>
    </row>
    <row r="33" spans="1:18" ht="18" customHeight="1">
      <c r="A33" s="1112" t="s">
        <v>1004</v>
      </c>
      <c r="B33" s="308" t="s">
        <v>1396</v>
      </c>
      <c r="C33" s="24">
        <f ca="1">IF(项目基本情况!B11="自然人","——",IF(D33="按租金收入计税",ROUND(C6*F33/(1+'数据-取费表'!C42),0),IF(D33="按房产原值计税",ROUND(C29*F33*0.7,0),INDIRECT("'数据-取费表'!Aj"&amp;$G$1))))</f>
        <v>0</v>
      </c>
      <c r="D33" s="1551" t="s">
        <v>1397</v>
      </c>
      <c r="E33" s="308" t="s">
        <v>1381</v>
      </c>
      <c r="F33" s="328">
        <f>IF(D33="按票据","——",IF(D33="按租金收入计税",'数据-取费表'!B51,'数据-取费表'!B50))</f>
        <v>1.2E-2</v>
      </c>
      <c r="G33" s="1565"/>
      <c r="H33" s="2923"/>
      <c r="I33" s="1579"/>
      <c r="J33" s="1580"/>
      <c r="K33" s="2924"/>
      <c r="L33" s="2923"/>
      <c r="M33" s="2923"/>
    </row>
    <row r="34" spans="1:18" ht="18" customHeight="1">
      <c r="A34" s="1200" t="s">
        <v>1348</v>
      </c>
      <c r="B34" s="160" t="s">
        <v>1400</v>
      </c>
      <c r="C34" s="25">
        <f ca="1">IF(项目基本情况!B11="自然人","——",ROUND(F34*F35,))</f>
        <v>0</v>
      </c>
      <c r="D34" s="330" t="s">
        <v>1401</v>
      </c>
      <c r="E34" s="308" t="s">
        <v>1402</v>
      </c>
      <c r="F34" s="331">
        <f>'数据-取费表'!B52</f>
        <v>10</v>
      </c>
      <c r="G34" s="1565"/>
      <c r="H34" s="2920"/>
      <c r="I34" s="1579"/>
      <c r="J34" s="1580"/>
      <c r="K34" s="2925"/>
      <c r="L34" s="2926"/>
      <c r="M34" s="2926"/>
    </row>
    <row r="35" spans="1:18" ht="18" customHeight="1">
      <c r="A35" s="1261"/>
      <c r="B35" s="1259"/>
      <c r="C35" s="29"/>
      <c r="D35" s="333"/>
      <c r="E35" s="308" t="s">
        <v>1406</v>
      </c>
      <c r="F35" s="309">
        <f ca="1">INDIRECT("'数据-取费表'!r"&amp;$G$1)</f>
        <v>0</v>
      </c>
      <c r="G35" s="1565"/>
      <c r="H35" s="2920"/>
      <c r="I35" s="1579"/>
      <c r="J35" s="1580"/>
      <c r="K35" s="2924"/>
      <c r="L35" s="2923"/>
      <c r="M35" s="2923"/>
    </row>
    <row r="36" spans="1:18" ht="18" customHeight="1">
      <c r="A36" s="1260" t="s">
        <v>1007</v>
      </c>
      <c r="B36" s="308" t="s">
        <v>1408</v>
      </c>
      <c r="C36" s="24">
        <f ca="1">ROUND(C29*F36,0)</f>
        <v>0</v>
      </c>
      <c r="D36" s="1525" t="s">
        <v>1441</v>
      </c>
      <c r="E36" s="308" t="s">
        <v>1381</v>
      </c>
      <c r="F36" s="334">
        <f ca="1">INDIRECT("'数据-取费表'!Ak"&amp;$G$1)</f>
        <v>0</v>
      </c>
      <c r="G36" s="1565"/>
      <c r="H36" s="2923"/>
      <c r="I36" s="1579"/>
      <c r="J36" s="1580"/>
      <c r="K36" s="2764"/>
      <c r="L36" s="2923"/>
      <c r="M36" s="2923"/>
    </row>
    <row r="37" spans="1:18" ht="18" customHeight="1">
      <c r="A37" s="1112" t="s">
        <v>1043</v>
      </c>
      <c r="B37" s="308" t="s">
        <v>1412</v>
      </c>
      <c r="C37" s="24">
        <f ca="1">ROUND(C13*F37,0)</f>
        <v>0</v>
      </c>
      <c r="D37" s="1525" t="s">
        <v>1413</v>
      </c>
      <c r="E37" s="308" t="s">
        <v>1414</v>
      </c>
      <c r="F37" s="336">
        <f ca="1">INDIRECT("'数据-取费表'!Al"&amp;$G$1)</f>
        <v>0</v>
      </c>
      <c r="G37" s="1565"/>
      <c r="H37" s="2923"/>
      <c r="I37" s="1579"/>
      <c r="J37" s="1580"/>
      <c r="K37" s="2764"/>
      <c r="L37" s="2923"/>
      <c r="M37" s="2923"/>
    </row>
    <row r="38" spans="1:18" ht="18" customHeight="1" thickBot="1">
      <c r="A38" s="1247" t="s">
        <v>1352</v>
      </c>
      <c r="B38" s="1248" t="s">
        <v>1398</v>
      </c>
      <c r="C38" s="1249">
        <f ca="1">ROUND(C5*F38,1)</f>
        <v>0</v>
      </c>
      <c r="D38" s="1250" t="s">
        <v>1418</v>
      </c>
      <c r="E38" s="1248" t="s">
        <v>1414</v>
      </c>
      <c r="F38" s="1244">
        <f ca="1">INDIRECT("'数据-取费表'!Am"&amp;$G$1)</f>
        <v>0</v>
      </c>
      <c r="G38" s="1565"/>
      <c r="H38" s="2923"/>
      <c r="I38" s="1579"/>
      <c r="J38" s="1580"/>
      <c r="K38" s="2927"/>
      <c r="L38" s="2923"/>
      <c r="M38" s="2923"/>
    </row>
    <row r="39" spans="1:18" ht="24.6" customHeight="1" thickTop="1">
      <c r="A39" s="1237" t="s">
        <v>999</v>
      </c>
      <c r="B39" s="1252" t="s">
        <v>1442</v>
      </c>
      <c r="C39" s="316">
        <f ca="1">C5-C30</f>
        <v>0</v>
      </c>
      <c r="D39" s="1253" t="s">
        <v>1443</v>
      </c>
      <c r="E39" s="1254"/>
      <c r="F39" s="1255"/>
      <c r="G39" s="1565"/>
      <c r="H39" s="2923"/>
      <c r="I39" s="1579"/>
      <c r="J39" s="1580"/>
      <c r="K39" s="2927"/>
      <c r="L39" s="2923"/>
      <c r="M39" s="2923"/>
    </row>
    <row r="40" spans="1:18" ht="18" customHeight="1">
      <c r="A40" s="305" t="s">
        <v>1000</v>
      </c>
      <c r="B40" s="306" t="s">
        <v>1444</v>
      </c>
      <c r="C40" s="307" t="e">
        <f ca="1">ROUND(C39*(1-((1+F42)/(1+F40))^F41)/(F40-F42),0)</f>
        <v>#DIV/0!</v>
      </c>
      <c r="D40" s="330" t="s">
        <v>1428</v>
      </c>
      <c r="E40" s="308" t="s">
        <v>1429</v>
      </c>
      <c r="F40" s="318">
        <f ca="1">INDIRECT("'数据-取费表'!I"&amp;$G$1)</f>
        <v>0</v>
      </c>
      <c r="G40" s="1565"/>
      <c r="H40" s="1642"/>
      <c r="I40" s="1579"/>
      <c r="J40" s="1580"/>
      <c r="K40" s="2927"/>
      <c r="L40" s="1642"/>
      <c r="M40" s="1642"/>
    </row>
    <row r="41" spans="1:18" ht="18" customHeight="1">
      <c r="A41" s="310"/>
      <c r="B41" s="311"/>
      <c r="C41" s="312"/>
      <c r="D41" s="338" t="s">
        <v>1445</v>
      </c>
      <c r="E41" s="308" t="s">
        <v>1433</v>
      </c>
      <c r="F41" s="339">
        <f ca="1">IF(INDIRECT("'数据-取费表'!af"&amp;$G$1)=0,INDIRECT("'数据-取费表'!ae"&amp;$G$1),INDIRECT("'数据-取费表'!af"&amp;$G$1))</f>
        <v>0</v>
      </c>
      <c r="G41" s="1565"/>
      <c r="H41" s="1351"/>
      <c r="I41" s="1579"/>
      <c r="J41" s="1580"/>
      <c r="K41" s="2764"/>
      <c r="L41" s="1351"/>
      <c r="M41" s="1351"/>
    </row>
    <row r="42" spans="1:18" ht="18" customHeight="1">
      <c r="A42" s="314"/>
      <c r="B42" s="315"/>
      <c r="C42" s="316"/>
      <c r="D42" s="333"/>
      <c r="E42" s="308" t="s">
        <v>1436</v>
      </c>
      <c r="F42" s="318">
        <f ca="1">INDIRECT("'数据-取费表'!v"&amp;$G$1)</f>
        <v>0</v>
      </c>
      <c r="G42" s="1565"/>
      <c r="H42" s="1351"/>
      <c r="I42" s="1579"/>
      <c r="J42" s="1580"/>
      <c r="K42" s="2764"/>
      <c r="L42" s="1351"/>
      <c r="M42" s="1351"/>
    </row>
    <row r="43" spans="1:18" ht="18" customHeight="1" thickBot="1">
      <c r="A43" s="340" t="s">
        <v>1001</v>
      </c>
      <c r="B43" s="341" t="s">
        <v>1446</v>
      </c>
      <c r="C43" s="342" t="e">
        <f ca="1">ROUND(C40/F43,0)</f>
        <v>#DIV/0!</v>
      </c>
      <c r="D43" s="343" t="s">
        <v>1447</v>
      </c>
      <c r="E43" s="344" t="s">
        <v>1448</v>
      </c>
      <c r="F43" s="345">
        <f ca="1">INDIRECT("'数据-取费表'!k"&amp;$G$1)</f>
        <v>0</v>
      </c>
      <c r="G43" s="1565"/>
      <c r="H43" s="1351"/>
      <c r="I43" s="1351"/>
      <c r="J43" s="1351"/>
      <c r="K43" s="2764"/>
      <c r="L43" s="1351"/>
      <c r="M43" s="1351"/>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1563</v>
      </c>
      <c r="E45" s="1581"/>
      <c r="F45" s="1581"/>
      <c r="O45" s="1584" t="s">
        <v>1478</v>
      </c>
      <c r="P45" s="1642"/>
      <c r="Q45" s="1642"/>
      <c r="R45" s="1642"/>
    </row>
    <row r="46" spans="1:18" s="1565" customFormat="1" ht="13.5" thickBot="1">
      <c r="A46" s="1585" t="s">
        <v>1479</v>
      </c>
      <c r="C46" s="1586" t="e">
        <f ca="1">ROUND(C45/10000,0)</f>
        <v>#DIV/0!</v>
      </c>
      <c r="D46" s="1587" t="str">
        <f>C2</f>
        <v>万元</v>
      </c>
      <c r="I46" s="1588" t="s">
        <v>1480</v>
      </c>
      <c r="J46" s="1589"/>
      <c r="K46" s="1590"/>
      <c r="L46" s="1591" t="e">
        <f ca="1">IF(M47="住宅",0,IF(L48&gt;J51,L60,J60))</f>
        <v>#DIV/0!</v>
      </c>
      <c r="O46" s="1592" t="s">
        <v>1481</v>
      </c>
      <c r="P46" s="1593" t="s">
        <v>1482</v>
      </c>
      <c r="Q46" s="1594" t="s">
        <v>1483</v>
      </c>
      <c r="R46" s="1594" t="s">
        <v>1484</v>
      </c>
    </row>
    <row r="47" spans="1:18" s="1565" customFormat="1" ht="13.5" thickBot="1">
      <c r="A47" s="1076" t="s">
        <v>1355</v>
      </c>
      <c r="B47" s="1108" t="s">
        <v>1356</v>
      </c>
      <c r="C47" s="1108" t="s">
        <v>1357</v>
      </c>
      <c r="D47" s="1108" t="s">
        <v>1358</v>
      </c>
      <c r="E47" s="1188" t="s">
        <v>1359</v>
      </c>
      <c r="F47" s="1189"/>
      <c r="G47" s="730"/>
      <c r="I47" s="1595" t="s">
        <v>1485</v>
      </c>
      <c r="J47" s="1596"/>
      <c r="K47" s="1597" t="s">
        <v>1486</v>
      </c>
      <c r="L47" s="1598">
        <f ca="1">INDIRECT("'数据-取费表'!d"&amp;$G$1)</f>
        <v>0</v>
      </c>
      <c r="M47" s="1561" t="str">
        <f>IF(ISNUMBER(FIND("住宅",C1)),"住宅","非住宅")</f>
        <v>非住宅</v>
      </c>
      <c r="O47" s="1599" t="s">
        <v>1008</v>
      </c>
      <c r="P47" s="1600" t="s">
        <v>1487</v>
      </c>
      <c r="Q47" s="1601" t="e">
        <f ca="1">C40+J29</f>
        <v>#DIV/0!</v>
      </c>
      <c r="R47" s="1601" t="s">
        <v>1488</v>
      </c>
    </row>
    <row r="48" spans="1:18" s="1565" customFormat="1" ht="28.5" thickBot="1">
      <c r="A48" s="1268" t="s">
        <v>1097</v>
      </c>
      <c r="B48" s="306" t="s">
        <v>1360</v>
      </c>
      <c r="C48" s="1540">
        <f ca="1">C49+C53+C55</f>
        <v>0</v>
      </c>
      <c r="D48" s="1270"/>
      <c r="E48" s="1271"/>
      <c r="F48" s="1092"/>
      <c r="G48" s="730"/>
      <c r="H48" s="731"/>
      <c r="I48" s="1602" t="s">
        <v>1489</v>
      </c>
      <c r="J48" s="1603"/>
      <c r="K48" s="1604" t="s">
        <v>1490</v>
      </c>
      <c r="L48" s="1605">
        <f ca="1">INDIRECT("'数据-取费表'!f"&amp;$G$1)</f>
        <v>0</v>
      </c>
      <c r="O48" s="1599" t="s">
        <v>1009</v>
      </c>
      <c r="P48" s="1600" t="s">
        <v>1491</v>
      </c>
      <c r="Q48" s="1601" t="e">
        <f ca="1">J60</f>
        <v>#DIV/0!</v>
      </c>
      <c r="R48" s="1601" t="s">
        <v>1492</v>
      </c>
    </row>
    <row r="49" spans="1:18" s="1565" customFormat="1" ht="13.5" thickBot="1">
      <c r="A49" s="1105" t="s">
        <v>1098</v>
      </c>
      <c r="B49" s="1552" t="s">
        <v>1449</v>
      </c>
      <c r="C49" s="1272">
        <f ca="1">ROUND(F49*F51*F50*(1-F52),0)</f>
        <v>0</v>
      </c>
      <c r="D49" s="1185" t="s">
        <v>1363</v>
      </c>
      <c r="E49" s="1553" t="s">
        <v>1450</v>
      </c>
      <c r="F49" s="1190"/>
      <c r="G49" s="1606"/>
      <c r="H49" s="731"/>
      <c r="I49" s="1602" t="s">
        <v>1493</v>
      </c>
      <c r="J49" s="1607"/>
      <c r="K49" s="1604" t="s">
        <v>1494</v>
      </c>
      <c r="L49" s="1608"/>
      <c r="O49" s="1609" t="s">
        <v>1010</v>
      </c>
      <c r="P49" s="1600" t="s">
        <v>1495</v>
      </c>
      <c r="Q49" s="1601">
        <f ca="1">C29</f>
        <v>0</v>
      </c>
      <c r="R49" s="1601" t="s">
        <v>1488</v>
      </c>
    </row>
    <row r="50" spans="1:18" s="1565" customFormat="1" ht="13.5" thickBot="1">
      <c r="A50" s="1106"/>
      <c r="B50" s="1109"/>
      <c r="C50" s="1110"/>
      <c r="D50" s="1083"/>
      <c r="E50" s="1186" t="s">
        <v>1365</v>
      </c>
      <c r="F50" s="1187">
        <f ca="1">F7</f>
        <v>0</v>
      </c>
      <c r="H50" s="731"/>
      <c r="I50" s="1602" t="s">
        <v>1496</v>
      </c>
      <c r="J50" s="1610">
        <f>SUMPRODUCT((I63:I65=J47)*(J62:L62=J48)*(J63:L65))</f>
        <v>0</v>
      </c>
      <c r="K50" s="1604" t="s">
        <v>1497</v>
      </c>
      <c r="L50" s="1608"/>
      <c r="M50" s="1611"/>
      <c r="O50" s="1609" t="s">
        <v>1011</v>
      </c>
      <c r="P50" s="1600" t="s">
        <v>1498</v>
      </c>
      <c r="Q50" s="1612" t="e">
        <f ca="1">J58</f>
        <v>#DIV/0!</v>
      </c>
      <c r="R50" s="1601"/>
    </row>
    <row r="51" spans="1:18" s="1565" customFormat="1" ht="13.5" thickBot="1">
      <c r="A51" s="1107"/>
      <c r="B51" s="1109"/>
      <c r="C51" s="1110"/>
      <c r="D51" s="1083"/>
      <c r="E51" s="1111" t="s">
        <v>1366</v>
      </c>
      <c r="F51" s="309">
        <f ca="1">F8</f>
        <v>0</v>
      </c>
      <c r="I51" s="1613" t="s">
        <v>1499</v>
      </c>
      <c r="J51" s="1614">
        <f>IF(J49="",J50,J49+J50-YEAR('数据-取费表'!B2))</f>
        <v>0</v>
      </c>
      <c r="K51" s="1615" t="s">
        <v>1500</v>
      </c>
      <c r="L51" s="1616">
        <f ca="1">ROUND(-PV(INDIRECT("'数据-取费表'!h"&amp;$G$1),J51,(C39-C13*C76),0),0)</f>
        <v>0</v>
      </c>
      <c r="M51" s="1617"/>
      <c r="O51" s="1609" t="s">
        <v>1012</v>
      </c>
      <c r="P51" s="1600" t="s">
        <v>1501</v>
      </c>
      <c r="Q51" s="1612">
        <f>J52</f>
        <v>0</v>
      </c>
      <c r="R51" s="1601"/>
    </row>
    <row r="52" spans="1:18" s="1565" customFormat="1" ht="13.5" thickBot="1">
      <c r="A52" s="1107"/>
      <c r="B52" s="1109"/>
      <c r="C52" s="1110"/>
      <c r="D52" s="1083"/>
      <c r="E52" s="1111" t="s">
        <v>1367</v>
      </c>
      <c r="F52" s="1184"/>
      <c r="I52" s="1618" t="s">
        <v>1502</v>
      </c>
      <c r="J52" s="1619"/>
      <c r="K52" s="1618" t="s">
        <v>1503</v>
      </c>
      <c r="L52" s="1619"/>
      <c r="O52" s="1609" t="s">
        <v>1013</v>
      </c>
      <c r="P52" s="1600" t="s">
        <v>1504</v>
      </c>
      <c r="Q52" s="1601">
        <f ca="1">J53</f>
        <v>0</v>
      </c>
      <c r="R52" s="1601" t="s">
        <v>1505</v>
      </c>
    </row>
    <row r="53" spans="1:18" s="1565" customFormat="1" ht="30.75" customHeight="1" thickBot="1">
      <c r="A53" s="1269" t="s">
        <v>1099</v>
      </c>
      <c r="B53" s="329" t="s">
        <v>1368</v>
      </c>
      <c r="C53" s="322">
        <f ca="1">ROUND(IF(F53="押一",C49/12*F11,IF(F53="押二",C49/12*2*F11,IF(F53="押三",C49/12*3*F11,C54*F11))),0)</f>
        <v>0</v>
      </c>
      <c r="D53" s="1547" t="s">
        <v>2853</v>
      </c>
      <c r="E53" s="319" t="s">
        <v>1369</v>
      </c>
      <c r="F53" s="1274"/>
      <c r="I53" s="1620" t="s">
        <v>1506</v>
      </c>
      <c r="J53" s="2383">
        <f ca="1">IF(M47="住宅",IF(D1="——",MAX(J51,L48),MAX(J51,L48-'数据-取费表'!B24)),IF(D1="——",MIN(J51,L48),MIN(J51,L48-'数据-取费表'!B24)))</f>
        <v>0</v>
      </c>
      <c r="K53" s="3537" t="s">
        <v>1507</v>
      </c>
      <c r="L53" s="3538"/>
      <c r="O53" s="1599" t="s">
        <v>1014</v>
      </c>
      <c r="P53" s="1600" t="s">
        <v>1508</v>
      </c>
      <c r="Q53" s="1601" t="e">
        <f ca="1">Q47+Q48</f>
        <v>#DIV/0!</v>
      </c>
      <c r="R53" s="1601" t="s">
        <v>1015</v>
      </c>
    </row>
    <row r="54" spans="1:18" s="1565" customFormat="1" ht="13.5" thickBot="1">
      <c r="A54" s="1105"/>
      <c r="B54" s="1655" t="s">
        <v>1562</v>
      </c>
      <c r="C54" s="1089"/>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1509</v>
      </c>
      <c r="P54" s="1562"/>
      <c r="Q54" s="1562"/>
      <c r="R54" s="1562"/>
    </row>
    <row r="55" spans="1:18" s="1565" customFormat="1" ht="13.5" thickBot="1">
      <c r="A55" s="1241" t="s">
        <v>1043</v>
      </c>
      <c r="B55" s="1550" t="s">
        <v>1372</v>
      </c>
      <c r="C55" s="1242"/>
      <c r="D55" s="1547"/>
      <c r="E55" s="1555"/>
      <c r="F55" s="1621"/>
      <c r="I55" s="1624" t="s">
        <v>1510</v>
      </c>
      <c r="J55" s="1625" t="e">
        <f ca="1">ROUND(IF(J47="钢混",J57/J50,1-(1-2%)*(J50-J57)/J50),3)</f>
        <v>#DIV/0!</v>
      </c>
      <c r="K55" s="1626" t="s">
        <v>1511</v>
      </c>
      <c r="L55" s="1627"/>
      <c r="O55" s="1592" t="s">
        <v>1481</v>
      </c>
      <c r="P55" s="1593" t="s">
        <v>1482</v>
      </c>
      <c r="Q55" s="1594" t="s">
        <v>1483</v>
      </c>
      <c r="R55" s="1594" t="s">
        <v>1484</v>
      </c>
    </row>
    <row r="56" spans="1:18" s="1565" customFormat="1" ht="36" customHeight="1" thickTop="1" thickBot="1">
      <c r="A56" s="1087">
        <v>2</v>
      </c>
      <c r="B56" s="1088" t="s">
        <v>1373</v>
      </c>
      <c r="C56" s="238">
        <f ca="1">C13</f>
        <v>0</v>
      </c>
      <c r="D56" s="1628"/>
      <c r="E56" s="1629"/>
      <c r="F56" s="1621"/>
      <c r="I56" s="1630" t="s">
        <v>1513</v>
      </c>
      <c r="J56" s="1631"/>
      <c r="K56" s="1602" t="s">
        <v>1514</v>
      </c>
      <c r="L56" s="1605">
        <f ca="1">IF(L48&lt;J51,"——",L48-J51)</f>
        <v>0</v>
      </c>
      <c r="O56" s="1599" t="s">
        <v>1008</v>
      </c>
      <c r="P56" s="1600" t="s">
        <v>1487</v>
      </c>
      <c r="Q56" s="1601" t="e">
        <f ca="1">C40+J29</f>
        <v>#DIV/0!</v>
      </c>
      <c r="R56" s="1601" t="s">
        <v>1488</v>
      </c>
    </row>
    <row r="57" spans="1:18" s="1565" customFormat="1" ht="24.75" thickBot="1">
      <c r="A57" s="1632"/>
      <c r="B57" s="1080" t="s">
        <v>1437</v>
      </c>
      <c r="C57" s="244">
        <f ca="1">C29</f>
        <v>0</v>
      </c>
      <c r="D57" s="1633"/>
      <c r="E57" s="1634"/>
      <c r="F57" s="1635"/>
      <c r="I57" s="1636" t="s">
        <v>1515</v>
      </c>
      <c r="J57" s="1637">
        <f ca="1">IF(OR(M47="住宅",J51&lt;L48,J56="是"),"——",J51-L48)</f>
        <v>0</v>
      </c>
      <c r="K57" s="1602" t="s">
        <v>1564</v>
      </c>
      <c r="L57" s="1605">
        <f ca="1">IF(L48&lt;J51,"——",IF(L55="比较法",L49,IF(L55="基准地价",L50,L51)))</f>
        <v>0</v>
      </c>
      <c r="O57" s="1599" t="s">
        <v>1009</v>
      </c>
      <c r="P57" s="1600" t="s">
        <v>1565</v>
      </c>
      <c r="Q57" s="1601" t="e">
        <f ca="1">L60</f>
        <v>#DIV/0!</v>
      </c>
      <c r="R57" s="1601" t="s">
        <v>1566</v>
      </c>
    </row>
    <row r="58" spans="1:18" s="1565" customFormat="1" ht="24.75" thickBot="1">
      <c r="A58" s="321" t="s">
        <v>998</v>
      </c>
      <c r="B58" s="1088" t="s">
        <v>1383</v>
      </c>
      <c r="C58" s="322">
        <f ca="1">ROUND(C59+C64+C65+C66,0)</f>
        <v>0</v>
      </c>
      <c r="D58" s="1090" t="s">
        <v>1384</v>
      </c>
      <c r="E58" s="1091"/>
      <c r="F58" s="1092"/>
      <c r="I58" s="1636" t="s">
        <v>1519</v>
      </c>
      <c r="J58" s="1638" t="e">
        <f ca="1">IF(J55&lt;0.4,0.4,J55)</f>
        <v>#DIV/0!</v>
      </c>
      <c r="K58" s="1615" t="s">
        <v>1567</v>
      </c>
      <c r="L58" s="1605" t="e">
        <f ca="1">ROUND(POWER(1+L52,L47-L48)*(POWER(1+L52,L48)-1)/(POWER(1+L52,L47)-1),4)</f>
        <v>#DIV/0!</v>
      </c>
      <c r="O58" s="1609" t="s">
        <v>1010</v>
      </c>
      <c r="P58" s="1600" t="s">
        <v>1521</v>
      </c>
      <c r="Q58" s="1601">
        <f>IF(L55="比较法",L49,IF(L55="基准地价",L50,0))</f>
        <v>0</v>
      </c>
      <c r="R58" s="1601" t="s">
        <v>1488</v>
      </c>
    </row>
    <row r="59" spans="1:18" s="1565" customFormat="1" ht="24.75" thickBot="1">
      <c r="A59" s="1112" t="s">
        <v>1003</v>
      </c>
      <c r="B59" s="1080" t="s">
        <v>1388</v>
      </c>
      <c r="C59" s="2531">
        <f ca="1">ROUND(IF(AND(项目基本情况!B11="自然人",项目基本情况!B10="北京市"),C49*F59/(1+'数据-取费表'!C42),C60+C61+C62),0)</f>
        <v>0</v>
      </c>
      <c r="D59" s="1093" t="s">
        <v>1389</v>
      </c>
      <c r="E59" s="1094" t="s">
        <v>1390</v>
      </c>
      <c r="F59" s="2530" t="str">
        <f>IF(项目基本情况!B11="企业","——",IF('数据-取费表'!B10="住宅",IF(F49*F50*F51/12/(1+'数据-取费表'!F30)&gt;100000,4%,2.5%),IF(F49*F50*F51/12/(1+'数据-取费表'!F30)&gt;100000,12%,7%)))</f>
        <v>——</v>
      </c>
      <c r="I59" s="1636" t="s">
        <v>1522</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1523</v>
      </c>
      <c r="Q59" s="1612">
        <f>L52</f>
        <v>0</v>
      </c>
      <c r="R59" s="1601"/>
    </row>
    <row r="60" spans="1:18" s="1565" customFormat="1" ht="16.5" thickBot="1">
      <c r="A60" s="1112" t="s">
        <v>1002</v>
      </c>
      <c r="B60" s="1080" t="s">
        <v>1392</v>
      </c>
      <c r="C60" s="24">
        <f ca="1">IF(项目基本情况!B11="自然人","——",ROUND(C48*F60/(1+'数据-取费表'!C42),0))</f>
        <v>0</v>
      </c>
      <c r="D60" s="1094" t="s">
        <v>1393</v>
      </c>
      <c r="E60" s="1080" t="s">
        <v>1381</v>
      </c>
      <c r="F60" s="337">
        <f t="shared" ref="F60:F66" si="0">F32</f>
        <v>5.6000000000000001E-2</v>
      </c>
      <c r="I60" s="1639" t="s">
        <v>1524</v>
      </c>
      <c r="J60" s="1640" t="e">
        <f ca="1">IF(OR(M47="住宅",J51&lt;L48,J56="是"),"0",ROUND(J59/(1+J52)^J53,0))</f>
        <v>#DIV/0!</v>
      </c>
      <c r="K60" s="1641" t="s">
        <v>1525</v>
      </c>
      <c r="L60" s="1640" t="e">
        <f ca="1">IF(OR(M47="住宅",L48&lt;J51),0,ROUND(L57*(L58/L59-1),0))</f>
        <v>#DIV/0!</v>
      </c>
      <c r="O60" s="1609" t="s">
        <v>1012</v>
      </c>
      <c r="P60" s="1600" t="s">
        <v>1526</v>
      </c>
      <c r="Q60" s="1601" t="e">
        <f ca="1">L58</f>
        <v>#DIV/0!</v>
      </c>
      <c r="R60" s="1601" t="s">
        <v>1527</v>
      </c>
    </row>
    <row r="61" spans="1:18" s="1565" customFormat="1" ht="13.5" thickBot="1">
      <c r="A61" s="1112" t="s">
        <v>1451</v>
      </c>
      <c r="B61" s="1080" t="s">
        <v>1452</v>
      </c>
      <c r="C61" s="24">
        <f ca="1">IF(项目基本情况!B11="自然人","——",IF(D61="按租金收入计税",ROUND(C49*F61/(1+'数据-取费表'!C42),0),IF(D61="按房产原值计税",ROUND(C57*F61*0.7,0),INDIRECT("'数据-取费表'!Aj"&amp;$G$1))))</f>
        <v>0</v>
      </c>
      <c r="D61" s="1551" t="s">
        <v>1397</v>
      </c>
      <c r="E61" s="1080" t="s">
        <v>1453</v>
      </c>
      <c r="F61" s="328">
        <f t="shared" si="0"/>
        <v>1.2E-2</v>
      </c>
      <c r="I61" s="1642"/>
      <c r="J61" s="1642"/>
      <c r="K61" s="1642"/>
      <c r="L61" s="1642"/>
      <c r="O61" s="1609" t="s">
        <v>1013</v>
      </c>
      <c r="P61" s="1600" t="str">
        <f>K59</f>
        <v>建设期及建筑物耐用年限下的土地年期修正系数Kn</v>
      </c>
      <c r="Q61" s="1601" t="e">
        <f ca="1">L59</f>
        <v>#DIV/0!</v>
      </c>
      <c r="R61" s="1601" t="s">
        <v>1528</v>
      </c>
    </row>
    <row r="62" spans="1:18" s="1565" customFormat="1" ht="13.5" thickBot="1">
      <c r="A62" s="1112" t="s">
        <v>1454</v>
      </c>
      <c r="B62" s="1079" t="s">
        <v>1455</v>
      </c>
      <c r="C62" s="25">
        <f ca="1">IF(项目基本情况!B11="自然人","——",ROUND(F62*F63,0))</f>
        <v>0</v>
      </c>
      <c r="D62" s="1095" t="s">
        <v>1456</v>
      </c>
      <c r="E62" s="1080" t="s">
        <v>1457</v>
      </c>
      <c r="F62" s="331">
        <f t="shared" si="0"/>
        <v>10</v>
      </c>
      <c r="I62" s="1643" t="s">
        <v>1529</v>
      </c>
      <c r="J62" s="1644" t="s">
        <v>1530</v>
      </c>
      <c r="K62" s="1644" t="s">
        <v>1531</v>
      </c>
      <c r="L62" s="1644" t="s">
        <v>1532</v>
      </c>
      <c r="M62" s="1645" t="s">
        <v>1533</v>
      </c>
      <c r="O62" s="1599" t="s">
        <v>1014</v>
      </c>
      <c r="P62" s="1600" t="s">
        <v>1534</v>
      </c>
      <c r="Q62" s="1601" t="e">
        <f ca="1">Q56+Q57</f>
        <v>#DIV/0!</v>
      </c>
      <c r="R62" s="1601" t="s">
        <v>1015</v>
      </c>
    </row>
    <row r="63" spans="1:18" s="1565" customFormat="1" ht="13.5" thickBot="1">
      <c r="A63" s="332"/>
      <c r="B63" s="1086"/>
      <c r="C63" s="29"/>
      <c r="D63" s="1096"/>
      <c r="E63" s="1080" t="s">
        <v>1458</v>
      </c>
      <c r="F63" s="309">
        <f t="shared" ca="1" si="0"/>
        <v>0</v>
      </c>
      <c r="I63" s="1643" t="s">
        <v>1535</v>
      </c>
      <c r="J63" s="1644">
        <v>70</v>
      </c>
      <c r="K63" s="1644">
        <v>50</v>
      </c>
      <c r="L63" s="1644">
        <v>80</v>
      </c>
      <c r="M63" s="1646">
        <v>0.02</v>
      </c>
      <c r="O63" s="1584" t="s">
        <v>1536</v>
      </c>
      <c r="P63" s="1562"/>
      <c r="Q63" s="1562"/>
      <c r="R63" s="1562"/>
    </row>
    <row r="64" spans="1:18" s="1565" customFormat="1" ht="13.5" thickBot="1">
      <c r="A64" s="1112" t="s">
        <v>1459</v>
      </c>
      <c r="B64" s="1080" t="s">
        <v>1460</v>
      </c>
      <c r="C64" s="24">
        <f ca="1">ROUND(C57*F64,0)</f>
        <v>0</v>
      </c>
      <c r="D64" s="1094" t="s">
        <v>1461</v>
      </c>
      <c r="E64" s="1080" t="s">
        <v>1453</v>
      </c>
      <c r="F64" s="334">
        <f t="shared" ca="1" si="0"/>
        <v>0</v>
      </c>
      <c r="I64" s="1643" t="s">
        <v>1537</v>
      </c>
      <c r="J64" s="1644">
        <v>50</v>
      </c>
      <c r="K64" s="1644">
        <v>35</v>
      </c>
      <c r="L64" s="1644">
        <v>60</v>
      </c>
      <c r="M64" s="1645">
        <v>0</v>
      </c>
      <c r="O64" s="1592" t="s">
        <v>1481</v>
      </c>
      <c r="P64" s="1593" t="s">
        <v>1482</v>
      </c>
      <c r="Q64" s="1594" t="s">
        <v>1483</v>
      </c>
      <c r="R64" s="1594" t="s">
        <v>1484</v>
      </c>
    </row>
    <row r="65" spans="1:18" s="1565" customFormat="1" ht="13.5" thickBot="1">
      <c r="A65" s="1112" t="s">
        <v>1462</v>
      </c>
      <c r="B65" s="1080" t="s">
        <v>1412</v>
      </c>
      <c r="C65" s="24">
        <f ca="1">ROUND(C56*F65,0)</f>
        <v>0</v>
      </c>
      <c r="D65" s="1094" t="s">
        <v>1413</v>
      </c>
      <c r="E65" s="1080" t="s">
        <v>1414</v>
      </c>
      <c r="F65" s="336">
        <f t="shared" ca="1" si="0"/>
        <v>0</v>
      </c>
      <c r="I65" s="1643" t="s">
        <v>1538</v>
      </c>
      <c r="J65" s="1644">
        <v>40</v>
      </c>
      <c r="K65" s="1644">
        <v>30</v>
      </c>
      <c r="L65" s="1644">
        <v>50</v>
      </c>
      <c r="M65" s="1646">
        <v>0.02</v>
      </c>
      <c r="O65" s="1599" t="s">
        <v>1008</v>
      </c>
      <c r="P65" s="1600" t="s">
        <v>1539</v>
      </c>
      <c r="Q65" s="1601" t="e">
        <f ca="1">C40+J29</f>
        <v>#DIV/0!</v>
      </c>
      <c r="R65" s="1601" t="s">
        <v>1488</v>
      </c>
    </row>
    <row r="66" spans="1:18" s="1565" customFormat="1" ht="16.5" thickBot="1">
      <c r="A66" s="1112" t="s">
        <v>1463</v>
      </c>
      <c r="B66" s="1080" t="s">
        <v>1398</v>
      </c>
      <c r="C66" s="24">
        <f ca="1">ROUND(C48*F66,0)</f>
        <v>0</v>
      </c>
      <c r="D66" s="1094" t="s">
        <v>1464</v>
      </c>
      <c r="E66" s="1080" t="s">
        <v>1381</v>
      </c>
      <c r="F66" s="318">
        <f t="shared" ca="1" si="0"/>
        <v>0</v>
      </c>
      <c r="O66" s="1599" t="s">
        <v>1009</v>
      </c>
      <c r="P66" s="1600" t="s">
        <v>1517</v>
      </c>
      <c r="Q66" s="1601" t="e">
        <f ca="1">L60</f>
        <v>#DIV/0!</v>
      </c>
      <c r="R66" s="1601" t="s">
        <v>1540</v>
      </c>
    </row>
    <row r="67" spans="1:18" s="1565" customFormat="1" ht="16.5" thickBot="1">
      <c r="A67" s="1087" t="s">
        <v>999</v>
      </c>
      <c r="B67" s="1097" t="s">
        <v>1422</v>
      </c>
      <c r="C67" s="322">
        <f ca="1">C48-C58</f>
        <v>0</v>
      </c>
      <c r="D67" s="1093" t="s">
        <v>1423</v>
      </c>
      <c r="E67" s="1098"/>
      <c r="F67" s="1099"/>
      <c r="O67" s="1609" t="s">
        <v>1010</v>
      </c>
      <c r="P67" s="1600" t="s">
        <v>1521</v>
      </c>
      <c r="Q67" s="1647">
        <f ca="1">L51</f>
        <v>0</v>
      </c>
      <c r="R67" s="1601" t="s">
        <v>1541</v>
      </c>
    </row>
    <row r="68" spans="1:18" s="1565" customFormat="1" ht="16.5" thickBot="1">
      <c r="A68" s="1077" t="s">
        <v>1000</v>
      </c>
      <c r="B68" s="1078" t="s">
        <v>1444</v>
      </c>
      <c r="C68" s="307" t="e">
        <f ca="1">ROUND(C67*(1-((1+F70)/(1+F68))^F69)/(F68-F70),0)</f>
        <v>#DIV/0!</v>
      </c>
      <c r="D68" s="1095" t="s">
        <v>1428</v>
      </c>
      <c r="E68" s="1080" t="s">
        <v>1429</v>
      </c>
      <c r="F68" s="318">
        <f ca="1">F40</f>
        <v>0</v>
      </c>
      <c r="O68" s="1609" t="s">
        <v>1011</v>
      </c>
      <c r="P68" s="1648" t="s">
        <v>1542</v>
      </c>
      <c r="Q68" s="1601">
        <f ca="1">ROUND(Q69-Q70*Q71,0)</f>
        <v>0</v>
      </c>
      <c r="R68" s="1601" t="s">
        <v>1019</v>
      </c>
    </row>
    <row r="69" spans="1:18" s="1565" customFormat="1" ht="13.5" thickBot="1">
      <c r="A69" s="1081"/>
      <c r="B69" s="1082"/>
      <c r="C69" s="312"/>
      <c r="D69" s="1100" t="s">
        <v>1432</v>
      </c>
      <c r="E69" s="1080" t="s">
        <v>1433</v>
      </c>
      <c r="F69" s="339">
        <f ca="1">F41</f>
        <v>0</v>
      </c>
      <c r="O69" s="1609" t="s">
        <v>1016</v>
      </c>
      <c r="P69" s="1648" t="s">
        <v>1543</v>
      </c>
      <c r="Q69" s="1601">
        <f ca="1">C39</f>
        <v>0</v>
      </c>
      <c r="R69" s="1601" t="s">
        <v>1488</v>
      </c>
    </row>
    <row r="70" spans="1:18" s="1565" customFormat="1" ht="13.5" thickBot="1">
      <c r="A70" s="1084"/>
      <c r="B70" s="1085"/>
      <c r="C70" s="316"/>
      <c r="D70" s="1096"/>
      <c r="E70" s="1080" t="s">
        <v>1436</v>
      </c>
      <c r="F70" s="1184">
        <f ca="1">F42</f>
        <v>0</v>
      </c>
      <c r="O70" s="1609" t="s">
        <v>1017</v>
      </c>
      <c r="P70" s="1648" t="s">
        <v>1544</v>
      </c>
      <c r="Q70" s="1601">
        <f ca="1">C13</f>
        <v>0</v>
      </c>
      <c r="R70" s="1601" t="s">
        <v>1488</v>
      </c>
    </row>
    <row r="71" spans="1:18" s="1565" customFormat="1" ht="13.5" thickBot="1">
      <c r="A71" s="1101" t="s">
        <v>1001</v>
      </c>
      <c r="B71" s="1102" t="s">
        <v>1446</v>
      </c>
      <c r="C71" s="342" t="e">
        <f ca="1">ROUND(C68/F71,0)</f>
        <v>#DIV/0!</v>
      </c>
      <c r="D71" s="1103" t="s">
        <v>1447</v>
      </c>
      <c r="E71" s="1104" t="s">
        <v>1448</v>
      </c>
      <c r="F71" s="345">
        <f ca="1">F43</f>
        <v>0</v>
      </c>
      <c r="O71" s="1609" t="s">
        <v>1018</v>
      </c>
      <c r="P71" s="1648" t="s">
        <v>1545</v>
      </c>
      <c r="Q71" s="1612">
        <f ca="1">C76</f>
        <v>0</v>
      </c>
      <c r="R71" s="1601"/>
    </row>
    <row r="72" spans="1:18" s="1565" customFormat="1" ht="13.5" thickBot="1">
      <c r="B72" s="734"/>
      <c r="C72" s="734"/>
      <c r="O72" s="1609" t="s">
        <v>1012</v>
      </c>
      <c r="P72" s="1600" t="s">
        <v>1523</v>
      </c>
      <c r="Q72" s="1612">
        <f>L52</f>
        <v>0</v>
      </c>
      <c r="R72" s="1601"/>
    </row>
    <row r="73" spans="1:18" ht="16.5" thickBot="1">
      <c r="A73" s="1565"/>
      <c r="B73" s="734"/>
      <c r="C73" s="734"/>
      <c r="D73" s="1565"/>
      <c r="E73" s="1565"/>
      <c r="F73" s="1565"/>
      <c r="O73" s="1609" t="s">
        <v>1013</v>
      </c>
      <c r="P73" s="1600" t="s">
        <v>1526</v>
      </c>
      <c r="Q73" s="1601" t="e">
        <f ca="1">L58</f>
        <v>#DIV/0!</v>
      </c>
      <c r="R73" s="1601" t="s">
        <v>1527</v>
      </c>
    </row>
    <row r="74" spans="1:18" ht="13.5" thickBot="1">
      <c r="A74" s="1565"/>
      <c r="B74" s="279" t="s">
        <v>1546</v>
      </c>
      <c r="C74" s="1650"/>
      <c r="D74" s="1565"/>
      <c r="E74" s="1565"/>
      <c r="F74" s="1565"/>
      <c r="O74" s="1609" t="s">
        <v>1020</v>
      </c>
      <c r="P74" s="1600" t="str">
        <f>K59</f>
        <v>建设期及建筑物耐用年限下的土地年期修正系数Kn</v>
      </c>
      <c r="Q74" s="1601" t="e">
        <f ca="1">L59</f>
        <v>#DIV/0!</v>
      </c>
      <c r="R74" s="1601" t="s">
        <v>1528</v>
      </c>
    </row>
    <row r="75" spans="1:18" ht="13.5" thickBot="1">
      <c r="A75" s="1565"/>
      <c r="B75" s="346" t="s">
        <v>1465</v>
      </c>
      <c r="C75" s="347">
        <f ca="1">ROUND(C13*C76,0)</f>
        <v>0</v>
      </c>
      <c r="D75" s="1565"/>
      <c r="E75" s="1565"/>
      <c r="F75" s="1565"/>
      <c r="K75" s="1583"/>
      <c r="L75" s="1565"/>
      <c r="O75" s="1599" t="s">
        <v>1014</v>
      </c>
      <c r="P75" s="1600" t="s">
        <v>1508</v>
      </c>
      <c r="Q75" s="1601" t="e">
        <f ca="1">Q65+Q66</f>
        <v>#DIV/0!</v>
      </c>
      <c r="R75" s="1601" t="s">
        <v>1015</v>
      </c>
    </row>
    <row r="76" spans="1:18">
      <c r="B76" s="348" t="s">
        <v>1466</v>
      </c>
      <c r="C76" s="349">
        <f ca="1">INDIRECT("'数据-取费表'!j"&amp;$G$1)</f>
        <v>0</v>
      </c>
      <c r="I76" s="1565"/>
      <c r="J76" s="1565"/>
      <c r="K76" s="1583"/>
      <c r="L76" s="1565"/>
    </row>
    <row r="77" spans="1:18">
      <c r="B77" s="350" t="s">
        <v>1467</v>
      </c>
      <c r="C77" s="351"/>
      <c r="I77" s="1565"/>
      <c r="J77" s="1565"/>
      <c r="K77" s="1583"/>
      <c r="L77" s="1565"/>
    </row>
    <row r="78" spans="1:18">
      <c r="B78" s="276" t="s">
        <v>1468</v>
      </c>
      <c r="C78" s="352"/>
    </row>
    <row r="79" spans="1:18">
      <c r="B79" s="346" t="s">
        <v>1469</v>
      </c>
      <c r="C79" s="280" t="e">
        <f ca="1">1-C80</f>
        <v>#DIV/0!</v>
      </c>
    </row>
    <row r="80" spans="1:18">
      <c r="B80" s="346" t="s">
        <v>1470</v>
      </c>
      <c r="C80" s="280" t="e">
        <f ca="1">ROUND(C75/C39,3)</f>
        <v>#DIV/0!</v>
      </c>
    </row>
    <row r="81" spans="2:3">
      <c r="B81" s="276" t="s">
        <v>1471</v>
      </c>
      <c r="C81" s="244"/>
    </row>
    <row r="82" spans="2:3">
      <c r="B82" s="279" t="s">
        <v>1472</v>
      </c>
      <c r="C82" s="281" t="e">
        <f ca="1">1-C83</f>
        <v>#DIV/0!</v>
      </c>
    </row>
    <row r="83" spans="2:3">
      <c r="B83" s="279" t="s">
        <v>1473</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F45" sqref="F45"/>
    </sheetView>
  </sheetViews>
  <sheetFormatPr defaultRowHeight="13.15" customHeight="1"/>
  <cols>
    <col min="1" max="1" width="9.5" style="3126" customWidth="1"/>
    <col min="2" max="2" width="8.875" style="3126"/>
    <col min="3" max="5" width="12.875" style="3126" customWidth="1"/>
    <col min="6" max="6" width="47.5" style="3126" customWidth="1"/>
    <col min="7" max="7" width="13" style="3284" customWidth="1"/>
    <col min="8" max="8" width="8.875" style="3126"/>
    <col min="9" max="9" width="8.875" style="3127"/>
    <col min="10" max="10" width="5.75" style="3285" customWidth="1"/>
    <col min="11" max="11" width="11.75" style="3285" customWidth="1"/>
    <col min="12" max="13" width="10.75" style="3285" customWidth="1"/>
    <col min="14" max="14" width="10" style="3285" customWidth="1"/>
    <col min="15" max="16" width="10.5" style="3285" bestFit="1" customWidth="1"/>
    <col min="17" max="17" width="10" style="3285" customWidth="1"/>
    <col min="18" max="18" width="10.125" style="3285" customWidth="1"/>
    <col min="19" max="19" width="10" style="3285" customWidth="1"/>
    <col min="20" max="20" width="26.125" style="3285" customWidth="1"/>
    <col min="21" max="21" width="8.875" style="3285"/>
    <col min="22" max="22" width="8.875" style="3127"/>
    <col min="23" max="256" width="8.875" style="3126"/>
    <col min="257" max="257" width="9.5" style="3126" customWidth="1"/>
    <col min="258" max="258" width="8.875" style="3126"/>
    <col min="259" max="261" width="12.875" style="3126" customWidth="1"/>
    <col min="262" max="262" width="47.5" style="3126" customWidth="1"/>
    <col min="263" max="263" width="13" style="3126" customWidth="1"/>
    <col min="264" max="265" width="8.875" style="3126"/>
    <col min="266" max="266" width="5.75" style="3126" customWidth="1"/>
    <col min="267" max="267" width="11.75" style="3126" customWidth="1"/>
    <col min="268" max="269" width="10.75" style="3126" customWidth="1"/>
    <col min="270" max="270" width="10" style="3126" customWidth="1"/>
    <col min="271" max="272" width="10.5" style="3126" bestFit="1" customWidth="1"/>
    <col min="273" max="273" width="10" style="3126" customWidth="1"/>
    <col min="274" max="274" width="10.125" style="3126" customWidth="1"/>
    <col min="275" max="275" width="10" style="3126" customWidth="1"/>
    <col min="276" max="276" width="26.125" style="3126" customWidth="1"/>
    <col min="277" max="512" width="8.875" style="3126"/>
    <col min="513" max="513" width="9.5" style="3126" customWidth="1"/>
    <col min="514" max="514" width="8.875" style="3126"/>
    <col min="515" max="517" width="12.875" style="3126" customWidth="1"/>
    <col min="518" max="518" width="47.5" style="3126" customWidth="1"/>
    <col min="519" max="519" width="13" style="3126" customWidth="1"/>
    <col min="520" max="521" width="8.875" style="3126"/>
    <col min="522" max="522" width="5.75" style="3126" customWidth="1"/>
    <col min="523" max="523" width="11.75" style="3126" customWidth="1"/>
    <col min="524" max="525" width="10.75" style="3126" customWidth="1"/>
    <col min="526" max="526" width="10" style="3126" customWidth="1"/>
    <col min="527" max="528" width="10.5" style="3126" bestFit="1" customWidth="1"/>
    <col min="529" max="529" width="10" style="3126" customWidth="1"/>
    <col min="530" max="530" width="10.125" style="3126" customWidth="1"/>
    <col min="531" max="531" width="10" style="3126" customWidth="1"/>
    <col min="532" max="532" width="26.125" style="3126" customWidth="1"/>
    <col min="533" max="768" width="8.875" style="3126"/>
    <col min="769" max="769" width="9.5" style="3126" customWidth="1"/>
    <col min="770" max="770" width="8.875" style="3126"/>
    <col min="771" max="773" width="12.875" style="3126" customWidth="1"/>
    <col min="774" max="774" width="47.5" style="3126" customWidth="1"/>
    <col min="775" max="775" width="13" style="3126" customWidth="1"/>
    <col min="776" max="777" width="8.875" style="3126"/>
    <col min="778" max="778" width="5.75" style="3126" customWidth="1"/>
    <col min="779" max="779" width="11.75" style="3126" customWidth="1"/>
    <col min="780" max="781" width="10.75" style="3126" customWidth="1"/>
    <col min="782" max="782" width="10" style="3126" customWidth="1"/>
    <col min="783" max="784" width="10.5" style="3126" bestFit="1" customWidth="1"/>
    <col min="785" max="785" width="10" style="3126" customWidth="1"/>
    <col min="786" max="786" width="10.125" style="3126" customWidth="1"/>
    <col min="787" max="787" width="10" style="3126" customWidth="1"/>
    <col min="788" max="788" width="26.125" style="3126" customWidth="1"/>
    <col min="789" max="1024" width="8.875" style="3126"/>
    <col min="1025" max="1025" width="9.5" style="3126" customWidth="1"/>
    <col min="1026" max="1026" width="8.875" style="3126"/>
    <col min="1027" max="1029" width="12.875" style="3126" customWidth="1"/>
    <col min="1030" max="1030" width="47.5" style="3126" customWidth="1"/>
    <col min="1031" max="1031" width="13" style="3126" customWidth="1"/>
    <col min="1032" max="1033" width="8.875" style="3126"/>
    <col min="1034" max="1034" width="5.75" style="3126" customWidth="1"/>
    <col min="1035" max="1035" width="11.75" style="3126" customWidth="1"/>
    <col min="1036" max="1037" width="10.75" style="3126" customWidth="1"/>
    <col min="1038" max="1038" width="10" style="3126" customWidth="1"/>
    <col min="1039" max="1040" width="10.5" style="3126" bestFit="1" customWidth="1"/>
    <col min="1041" max="1041" width="10" style="3126" customWidth="1"/>
    <col min="1042" max="1042" width="10.125" style="3126" customWidth="1"/>
    <col min="1043" max="1043" width="10" style="3126" customWidth="1"/>
    <col min="1044" max="1044" width="26.125" style="3126" customWidth="1"/>
    <col min="1045" max="1280" width="8.875" style="3126"/>
    <col min="1281" max="1281" width="9.5" style="3126" customWidth="1"/>
    <col min="1282" max="1282" width="8.875" style="3126"/>
    <col min="1283" max="1285" width="12.875" style="3126" customWidth="1"/>
    <col min="1286" max="1286" width="47.5" style="3126" customWidth="1"/>
    <col min="1287" max="1287" width="13" style="3126" customWidth="1"/>
    <col min="1288" max="1289" width="8.875" style="3126"/>
    <col min="1290" max="1290" width="5.75" style="3126" customWidth="1"/>
    <col min="1291" max="1291" width="11.75" style="3126" customWidth="1"/>
    <col min="1292" max="1293" width="10.75" style="3126" customWidth="1"/>
    <col min="1294" max="1294" width="10" style="3126" customWidth="1"/>
    <col min="1295" max="1296" width="10.5" style="3126" bestFit="1" customWidth="1"/>
    <col min="1297" max="1297" width="10" style="3126" customWidth="1"/>
    <col min="1298" max="1298" width="10.125" style="3126" customWidth="1"/>
    <col min="1299" max="1299" width="10" style="3126" customWidth="1"/>
    <col min="1300" max="1300" width="26.125" style="3126" customWidth="1"/>
    <col min="1301" max="1536" width="8.875" style="3126"/>
    <col min="1537" max="1537" width="9.5" style="3126" customWidth="1"/>
    <col min="1538" max="1538" width="8.875" style="3126"/>
    <col min="1539" max="1541" width="12.875" style="3126" customWidth="1"/>
    <col min="1542" max="1542" width="47.5" style="3126" customWidth="1"/>
    <col min="1543" max="1543" width="13" style="3126" customWidth="1"/>
    <col min="1544" max="1545" width="8.875" style="3126"/>
    <col min="1546" max="1546" width="5.75" style="3126" customWidth="1"/>
    <col min="1547" max="1547" width="11.75" style="3126" customWidth="1"/>
    <col min="1548" max="1549" width="10.75" style="3126" customWidth="1"/>
    <col min="1550" max="1550" width="10" style="3126" customWidth="1"/>
    <col min="1551" max="1552" width="10.5" style="3126" bestFit="1" customWidth="1"/>
    <col min="1553" max="1553" width="10" style="3126" customWidth="1"/>
    <col min="1554" max="1554" width="10.125" style="3126" customWidth="1"/>
    <col min="1555" max="1555" width="10" style="3126" customWidth="1"/>
    <col min="1556" max="1556" width="26.125" style="3126" customWidth="1"/>
    <col min="1557" max="1792" width="8.875" style="3126"/>
    <col min="1793" max="1793" width="9.5" style="3126" customWidth="1"/>
    <col min="1794" max="1794" width="8.875" style="3126"/>
    <col min="1795" max="1797" width="12.875" style="3126" customWidth="1"/>
    <col min="1798" max="1798" width="47.5" style="3126" customWidth="1"/>
    <col min="1799" max="1799" width="13" style="3126" customWidth="1"/>
    <col min="1800" max="1801" width="8.875" style="3126"/>
    <col min="1802" max="1802" width="5.75" style="3126" customWidth="1"/>
    <col min="1803" max="1803" width="11.75" style="3126" customWidth="1"/>
    <col min="1804" max="1805" width="10.75" style="3126" customWidth="1"/>
    <col min="1806" max="1806" width="10" style="3126" customWidth="1"/>
    <col min="1807" max="1808" width="10.5" style="3126" bestFit="1" customWidth="1"/>
    <col min="1809" max="1809" width="10" style="3126" customWidth="1"/>
    <col min="1810" max="1810" width="10.125" style="3126" customWidth="1"/>
    <col min="1811" max="1811" width="10" style="3126" customWidth="1"/>
    <col min="1812" max="1812" width="26.125" style="3126" customWidth="1"/>
    <col min="1813" max="2048" width="8.875" style="3126"/>
    <col min="2049" max="2049" width="9.5" style="3126" customWidth="1"/>
    <col min="2050" max="2050" width="8.875" style="3126"/>
    <col min="2051" max="2053" width="12.875" style="3126" customWidth="1"/>
    <col min="2054" max="2054" width="47.5" style="3126" customWidth="1"/>
    <col min="2055" max="2055" width="13" style="3126" customWidth="1"/>
    <col min="2056" max="2057" width="8.875" style="3126"/>
    <col min="2058" max="2058" width="5.75" style="3126" customWidth="1"/>
    <col min="2059" max="2059" width="11.75" style="3126" customWidth="1"/>
    <col min="2060" max="2061" width="10.75" style="3126" customWidth="1"/>
    <col min="2062" max="2062" width="10" style="3126" customWidth="1"/>
    <col min="2063" max="2064" width="10.5" style="3126" bestFit="1" customWidth="1"/>
    <col min="2065" max="2065" width="10" style="3126" customWidth="1"/>
    <col min="2066" max="2066" width="10.125" style="3126" customWidth="1"/>
    <col min="2067" max="2067" width="10" style="3126" customWidth="1"/>
    <col min="2068" max="2068" width="26.125" style="3126" customWidth="1"/>
    <col min="2069" max="2304" width="8.875" style="3126"/>
    <col min="2305" max="2305" width="9.5" style="3126" customWidth="1"/>
    <col min="2306" max="2306" width="8.875" style="3126"/>
    <col min="2307" max="2309" width="12.875" style="3126" customWidth="1"/>
    <col min="2310" max="2310" width="47.5" style="3126" customWidth="1"/>
    <col min="2311" max="2311" width="13" style="3126" customWidth="1"/>
    <col min="2312" max="2313" width="8.875" style="3126"/>
    <col min="2314" max="2314" width="5.75" style="3126" customWidth="1"/>
    <col min="2315" max="2315" width="11.75" style="3126" customWidth="1"/>
    <col min="2316" max="2317" width="10.75" style="3126" customWidth="1"/>
    <col min="2318" max="2318" width="10" style="3126" customWidth="1"/>
    <col min="2319" max="2320" width="10.5" style="3126" bestFit="1" customWidth="1"/>
    <col min="2321" max="2321" width="10" style="3126" customWidth="1"/>
    <col min="2322" max="2322" width="10.125" style="3126" customWidth="1"/>
    <col min="2323" max="2323" width="10" style="3126" customWidth="1"/>
    <col min="2324" max="2324" width="26.125" style="3126" customWidth="1"/>
    <col min="2325" max="2560" width="8.875" style="3126"/>
    <col min="2561" max="2561" width="9.5" style="3126" customWidth="1"/>
    <col min="2562" max="2562" width="8.875" style="3126"/>
    <col min="2563" max="2565" width="12.875" style="3126" customWidth="1"/>
    <col min="2566" max="2566" width="47.5" style="3126" customWidth="1"/>
    <col min="2567" max="2567" width="13" style="3126" customWidth="1"/>
    <col min="2568" max="2569" width="8.875" style="3126"/>
    <col min="2570" max="2570" width="5.75" style="3126" customWidth="1"/>
    <col min="2571" max="2571" width="11.75" style="3126" customWidth="1"/>
    <col min="2572" max="2573" width="10.75" style="3126" customWidth="1"/>
    <col min="2574" max="2574" width="10" style="3126" customWidth="1"/>
    <col min="2575" max="2576" width="10.5" style="3126" bestFit="1" customWidth="1"/>
    <col min="2577" max="2577" width="10" style="3126" customWidth="1"/>
    <col min="2578" max="2578" width="10.125" style="3126" customWidth="1"/>
    <col min="2579" max="2579" width="10" style="3126" customWidth="1"/>
    <col min="2580" max="2580" width="26.125" style="3126" customWidth="1"/>
    <col min="2581" max="2816" width="8.875" style="3126"/>
    <col min="2817" max="2817" width="9.5" style="3126" customWidth="1"/>
    <col min="2818" max="2818" width="8.875" style="3126"/>
    <col min="2819" max="2821" width="12.875" style="3126" customWidth="1"/>
    <col min="2822" max="2822" width="47.5" style="3126" customWidth="1"/>
    <col min="2823" max="2823" width="13" style="3126" customWidth="1"/>
    <col min="2824" max="2825" width="8.875" style="3126"/>
    <col min="2826" max="2826" width="5.75" style="3126" customWidth="1"/>
    <col min="2827" max="2827" width="11.75" style="3126" customWidth="1"/>
    <col min="2828" max="2829" width="10.75" style="3126" customWidth="1"/>
    <col min="2830" max="2830" width="10" style="3126" customWidth="1"/>
    <col min="2831" max="2832" width="10.5" style="3126" bestFit="1" customWidth="1"/>
    <col min="2833" max="2833" width="10" style="3126" customWidth="1"/>
    <col min="2834" max="2834" width="10.125" style="3126" customWidth="1"/>
    <col min="2835" max="2835" width="10" style="3126" customWidth="1"/>
    <col min="2836" max="2836" width="26.125" style="3126" customWidth="1"/>
    <col min="2837" max="3072" width="8.875" style="3126"/>
    <col min="3073" max="3073" width="9.5" style="3126" customWidth="1"/>
    <col min="3074" max="3074" width="8.875" style="3126"/>
    <col min="3075" max="3077" width="12.875" style="3126" customWidth="1"/>
    <col min="3078" max="3078" width="47.5" style="3126" customWidth="1"/>
    <col min="3079" max="3079" width="13" style="3126" customWidth="1"/>
    <col min="3080" max="3081" width="8.875" style="3126"/>
    <col min="3082" max="3082" width="5.75" style="3126" customWidth="1"/>
    <col min="3083" max="3083" width="11.75" style="3126" customWidth="1"/>
    <col min="3084" max="3085" width="10.75" style="3126" customWidth="1"/>
    <col min="3086" max="3086" width="10" style="3126" customWidth="1"/>
    <col min="3087" max="3088" width="10.5" style="3126" bestFit="1" customWidth="1"/>
    <col min="3089" max="3089" width="10" style="3126" customWidth="1"/>
    <col min="3090" max="3090" width="10.125" style="3126" customWidth="1"/>
    <col min="3091" max="3091" width="10" style="3126" customWidth="1"/>
    <col min="3092" max="3092" width="26.125" style="3126" customWidth="1"/>
    <col min="3093" max="3328" width="8.875" style="3126"/>
    <col min="3329" max="3329" width="9.5" style="3126" customWidth="1"/>
    <col min="3330" max="3330" width="8.875" style="3126"/>
    <col min="3331" max="3333" width="12.875" style="3126" customWidth="1"/>
    <col min="3334" max="3334" width="47.5" style="3126" customWidth="1"/>
    <col min="3335" max="3335" width="13" style="3126" customWidth="1"/>
    <col min="3336" max="3337" width="8.875" style="3126"/>
    <col min="3338" max="3338" width="5.75" style="3126" customWidth="1"/>
    <col min="3339" max="3339" width="11.75" style="3126" customWidth="1"/>
    <col min="3340" max="3341" width="10.75" style="3126" customWidth="1"/>
    <col min="3342" max="3342" width="10" style="3126" customWidth="1"/>
    <col min="3343" max="3344" width="10.5" style="3126" bestFit="1" customWidth="1"/>
    <col min="3345" max="3345" width="10" style="3126" customWidth="1"/>
    <col min="3346" max="3346" width="10.125" style="3126" customWidth="1"/>
    <col min="3347" max="3347" width="10" style="3126" customWidth="1"/>
    <col min="3348" max="3348" width="26.125" style="3126" customWidth="1"/>
    <col min="3349" max="3584" width="8.875" style="3126"/>
    <col min="3585" max="3585" width="9.5" style="3126" customWidth="1"/>
    <col min="3586" max="3586" width="8.875" style="3126"/>
    <col min="3587" max="3589" width="12.875" style="3126" customWidth="1"/>
    <col min="3590" max="3590" width="47.5" style="3126" customWidth="1"/>
    <col min="3591" max="3591" width="13" style="3126" customWidth="1"/>
    <col min="3592" max="3593" width="8.875" style="3126"/>
    <col min="3594" max="3594" width="5.75" style="3126" customWidth="1"/>
    <col min="3595" max="3595" width="11.75" style="3126" customWidth="1"/>
    <col min="3596" max="3597" width="10.75" style="3126" customWidth="1"/>
    <col min="3598" max="3598" width="10" style="3126" customWidth="1"/>
    <col min="3599" max="3600" width="10.5" style="3126" bestFit="1" customWidth="1"/>
    <col min="3601" max="3601" width="10" style="3126" customWidth="1"/>
    <col min="3602" max="3602" width="10.125" style="3126" customWidth="1"/>
    <col min="3603" max="3603" width="10" style="3126" customWidth="1"/>
    <col min="3604" max="3604" width="26.125" style="3126" customWidth="1"/>
    <col min="3605" max="3840" width="8.875" style="3126"/>
    <col min="3841" max="3841" width="9.5" style="3126" customWidth="1"/>
    <col min="3842" max="3842" width="8.875" style="3126"/>
    <col min="3843" max="3845" width="12.875" style="3126" customWidth="1"/>
    <col min="3846" max="3846" width="47.5" style="3126" customWidth="1"/>
    <col min="3847" max="3847" width="13" style="3126" customWidth="1"/>
    <col min="3848" max="3849" width="8.875" style="3126"/>
    <col min="3850" max="3850" width="5.75" style="3126" customWidth="1"/>
    <col min="3851" max="3851" width="11.75" style="3126" customWidth="1"/>
    <col min="3852" max="3853" width="10.75" style="3126" customWidth="1"/>
    <col min="3854" max="3854" width="10" style="3126" customWidth="1"/>
    <col min="3855" max="3856" width="10.5" style="3126" bestFit="1" customWidth="1"/>
    <col min="3857" max="3857" width="10" style="3126" customWidth="1"/>
    <col min="3858" max="3858" width="10.125" style="3126" customWidth="1"/>
    <col min="3859" max="3859" width="10" style="3126" customWidth="1"/>
    <col min="3860" max="3860" width="26.125" style="3126" customWidth="1"/>
    <col min="3861" max="4096" width="8.875" style="3126"/>
    <col min="4097" max="4097" width="9.5" style="3126" customWidth="1"/>
    <col min="4098" max="4098" width="8.875" style="3126"/>
    <col min="4099" max="4101" width="12.875" style="3126" customWidth="1"/>
    <col min="4102" max="4102" width="47.5" style="3126" customWidth="1"/>
    <col min="4103" max="4103" width="13" style="3126" customWidth="1"/>
    <col min="4104" max="4105" width="8.875" style="3126"/>
    <col min="4106" max="4106" width="5.75" style="3126" customWidth="1"/>
    <col min="4107" max="4107" width="11.75" style="3126" customWidth="1"/>
    <col min="4108" max="4109" width="10.75" style="3126" customWidth="1"/>
    <col min="4110" max="4110" width="10" style="3126" customWidth="1"/>
    <col min="4111" max="4112" width="10.5" style="3126" bestFit="1" customWidth="1"/>
    <col min="4113" max="4113" width="10" style="3126" customWidth="1"/>
    <col min="4114" max="4114" width="10.125" style="3126" customWidth="1"/>
    <col min="4115" max="4115" width="10" style="3126" customWidth="1"/>
    <col min="4116" max="4116" width="26.125" style="3126" customWidth="1"/>
    <col min="4117" max="4352" width="8.875" style="3126"/>
    <col min="4353" max="4353" width="9.5" style="3126" customWidth="1"/>
    <col min="4354" max="4354" width="8.875" style="3126"/>
    <col min="4355" max="4357" width="12.875" style="3126" customWidth="1"/>
    <col min="4358" max="4358" width="47.5" style="3126" customWidth="1"/>
    <col min="4359" max="4359" width="13" style="3126" customWidth="1"/>
    <col min="4360" max="4361" width="8.875" style="3126"/>
    <col min="4362" max="4362" width="5.75" style="3126" customWidth="1"/>
    <col min="4363" max="4363" width="11.75" style="3126" customWidth="1"/>
    <col min="4364" max="4365" width="10.75" style="3126" customWidth="1"/>
    <col min="4366" max="4366" width="10" style="3126" customWidth="1"/>
    <col min="4367" max="4368" width="10.5" style="3126" bestFit="1" customWidth="1"/>
    <col min="4369" max="4369" width="10" style="3126" customWidth="1"/>
    <col min="4370" max="4370" width="10.125" style="3126" customWidth="1"/>
    <col min="4371" max="4371" width="10" style="3126" customWidth="1"/>
    <col min="4372" max="4372" width="26.125" style="3126" customWidth="1"/>
    <col min="4373" max="4608" width="8.875" style="3126"/>
    <col min="4609" max="4609" width="9.5" style="3126" customWidth="1"/>
    <col min="4610" max="4610" width="8.875" style="3126"/>
    <col min="4611" max="4613" width="12.875" style="3126" customWidth="1"/>
    <col min="4614" max="4614" width="47.5" style="3126" customWidth="1"/>
    <col min="4615" max="4615" width="13" style="3126" customWidth="1"/>
    <col min="4616" max="4617" width="8.875" style="3126"/>
    <col min="4618" max="4618" width="5.75" style="3126" customWidth="1"/>
    <col min="4619" max="4619" width="11.75" style="3126" customWidth="1"/>
    <col min="4620" max="4621" width="10.75" style="3126" customWidth="1"/>
    <col min="4622" max="4622" width="10" style="3126" customWidth="1"/>
    <col min="4623" max="4624" width="10.5" style="3126" bestFit="1" customWidth="1"/>
    <col min="4625" max="4625" width="10" style="3126" customWidth="1"/>
    <col min="4626" max="4626" width="10.125" style="3126" customWidth="1"/>
    <col min="4627" max="4627" width="10" style="3126" customWidth="1"/>
    <col min="4628" max="4628" width="26.125" style="3126" customWidth="1"/>
    <col min="4629" max="4864" width="8.875" style="3126"/>
    <col min="4865" max="4865" width="9.5" style="3126" customWidth="1"/>
    <col min="4866" max="4866" width="8.875" style="3126"/>
    <col min="4867" max="4869" width="12.875" style="3126" customWidth="1"/>
    <col min="4870" max="4870" width="47.5" style="3126" customWidth="1"/>
    <col min="4871" max="4871" width="13" style="3126" customWidth="1"/>
    <col min="4872" max="4873" width="8.875" style="3126"/>
    <col min="4874" max="4874" width="5.75" style="3126" customWidth="1"/>
    <col min="4875" max="4875" width="11.75" style="3126" customWidth="1"/>
    <col min="4876" max="4877" width="10.75" style="3126" customWidth="1"/>
    <col min="4878" max="4878" width="10" style="3126" customWidth="1"/>
    <col min="4879" max="4880" width="10.5" style="3126" bestFit="1" customWidth="1"/>
    <col min="4881" max="4881" width="10" style="3126" customWidth="1"/>
    <col min="4882" max="4882" width="10.125" style="3126" customWidth="1"/>
    <col min="4883" max="4883" width="10" style="3126" customWidth="1"/>
    <col min="4884" max="4884" width="26.125" style="3126" customWidth="1"/>
    <col min="4885" max="5120" width="8.875" style="3126"/>
    <col min="5121" max="5121" width="9.5" style="3126" customWidth="1"/>
    <col min="5122" max="5122" width="8.875" style="3126"/>
    <col min="5123" max="5125" width="12.875" style="3126" customWidth="1"/>
    <col min="5126" max="5126" width="47.5" style="3126" customWidth="1"/>
    <col min="5127" max="5127" width="13" style="3126" customWidth="1"/>
    <col min="5128" max="5129" width="8.875" style="3126"/>
    <col min="5130" max="5130" width="5.75" style="3126" customWidth="1"/>
    <col min="5131" max="5131" width="11.75" style="3126" customWidth="1"/>
    <col min="5132" max="5133" width="10.75" style="3126" customWidth="1"/>
    <col min="5134" max="5134" width="10" style="3126" customWidth="1"/>
    <col min="5135" max="5136" width="10.5" style="3126" bestFit="1" customWidth="1"/>
    <col min="5137" max="5137" width="10" style="3126" customWidth="1"/>
    <col min="5138" max="5138" width="10.125" style="3126" customWidth="1"/>
    <col min="5139" max="5139" width="10" style="3126" customWidth="1"/>
    <col min="5140" max="5140" width="26.125" style="3126" customWidth="1"/>
    <col min="5141" max="5376" width="8.875" style="3126"/>
    <col min="5377" max="5377" width="9.5" style="3126" customWidth="1"/>
    <col min="5378" max="5378" width="8.875" style="3126"/>
    <col min="5379" max="5381" width="12.875" style="3126" customWidth="1"/>
    <col min="5382" max="5382" width="47.5" style="3126" customWidth="1"/>
    <col min="5383" max="5383" width="13" style="3126" customWidth="1"/>
    <col min="5384" max="5385" width="8.875" style="3126"/>
    <col min="5386" max="5386" width="5.75" style="3126" customWidth="1"/>
    <col min="5387" max="5387" width="11.75" style="3126" customWidth="1"/>
    <col min="5388" max="5389" width="10.75" style="3126" customWidth="1"/>
    <col min="5390" max="5390" width="10" style="3126" customWidth="1"/>
    <col min="5391" max="5392" width="10.5" style="3126" bestFit="1" customWidth="1"/>
    <col min="5393" max="5393" width="10" style="3126" customWidth="1"/>
    <col min="5394" max="5394" width="10.125" style="3126" customWidth="1"/>
    <col min="5395" max="5395" width="10" style="3126" customWidth="1"/>
    <col min="5396" max="5396" width="26.125" style="3126" customWidth="1"/>
    <col min="5397" max="5632" width="8.875" style="3126"/>
    <col min="5633" max="5633" width="9.5" style="3126" customWidth="1"/>
    <col min="5634" max="5634" width="8.875" style="3126"/>
    <col min="5635" max="5637" width="12.875" style="3126" customWidth="1"/>
    <col min="5638" max="5638" width="47.5" style="3126" customWidth="1"/>
    <col min="5639" max="5639" width="13" style="3126" customWidth="1"/>
    <col min="5640" max="5641" width="8.875" style="3126"/>
    <col min="5642" max="5642" width="5.75" style="3126" customWidth="1"/>
    <col min="5643" max="5643" width="11.75" style="3126" customWidth="1"/>
    <col min="5644" max="5645" width="10.75" style="3126" customWidth="1"/>
    <col min="5646" max="5646" width="10" style="3126" customWidth="1"/>
    <col min="5647" max="5648" width="10.5" style="3126" bestFit="1" customWidth="1"/>
    <col min="5649" max="5649" width="10" style="3126" customWidth="1"/>
    <col min="5650" max="5650" width="10.125" style="3126" customWidth="1"/>
    <col min="5651" max="5651" width="10" style="3126" customWidth="1"/>
    <col min="5652" max="5652" width="26.125" style="3126" customWidth="1"/>
    <col min="5653" max="5888" width="8.875" style="3126"/>
    <col min="5889" max="5889" width="9.5" style="3126" customWidth="1"/>
    <col min="5890" max="5890" width="8.875" style="3126"/>
    <col min="5891" max="5893" width="12.875" style="3126" customWidth="1"/>
    <col min="5894" max="5894" width="47.5" style="3126" customWidth="1"/>
    <col min="5895" max="5895" width="13" style="3126" customWidth="1"/>
    <col min="5896" max="5897" width="8.875" style="3126"/>
    <col min="5898" max="5898" width="5.75" style="3126" customWidth="1"/>
    <col min="5899" max="5899" width="11.75" style="3126" customWidth="1"/>
    <col min="5900" max="5901" width="10.75" style="3126" customWidth="1"/>
    <col min="5902" max="5902" width="10" style="3126" customWidth="1"/>
    <col min="5903" max="5904" width="10.5" style="3126" bestFit="1" customWidth="1"/>
    <col min="5905" max="5905" width="10" style="3126" customWidth="1"/>
    <col min="5906" max="5906" width="10.125" style="3126" customWidth="1"/>
    <col min="5907" max="5907" width="10" style="3126" customWidth="1"/>
    <col min="5908" max="5908" width="26.125" style="3126" customWidth="1"/>
    <col min="5909" max="6144" width="8.875" style="3126"/>
    <col min="6145" max="6145" width="9.5" style="3126" customWidth="1"/>
    <col min="6146" max="6146" width="8.875" style="3126"/>
    <col min="6147" max="6149" width="12.875" style="3126" customWidth="1"/>
    <col min="6150" max="6150" width="47.5" style="3126" customWidth="1"/>
    <col min="6151" max="6151" width="13" style="3126" customWidth="1"/>
    <col min="6152" max="6153" width="8.875" style="3126"/>
    <col min="6154" max="6154" width="5.75" style="3126" customWidth="1"/>
    <col min="6155" max="6155" width="11.75" style="3126" customWidth="1"/>
    <col min="6156" max="6157" width="10.75" style="3126" customWidth="1"/>
    <col min="6158" max="6158" width="10" style="3126" customWidth="1"/>
    <col min="6159" max="6160" width="10.5" style="3126" bestFit="1" customWidth="1"/>
    <col min="6161" max="6161" width="10" style="3126" customWidth="1"/>
    <col min="6162" max="6162" width="10.125" style="3126" customWidth="1"/>
    <col min="6163" max="6163" width="10" style="3126" customWidth="1"/>
    <col min="6164" max="6164" width="26.125" style="3126" customWidth="1"/>
    <col min="6165" max="6400" width="8.875" style="3126"/>
    <col min="6401" max="6401" width="9.5" style="3126" customWidth="1"/>
    <col min="6402" max="6402" width="8.875" style="3126"/>
    <col min="6403" max="6405" width="12.875" style="3126" customWidth="1"/>
    <col min="6406" max="6406" width="47.5" style="3126" customWidth="1"/>
    <col min="6407" max="6407" width="13" style="3126" customWidth="1"/>
    <col min="6408" max="6409" width="8.875" style="3126"/>
    <col min="6410" max="6410" width="5.75" style="3126" customWidth="1"/>
    <col min="6411" max="6411" width="11.75" style="3126" customWidth="1"/>
    <col min="6412" max="6413" width="10.75" style="3126" customWidth="1"/>
    <col min="6414" max="6414" width="10" style="3126" customWidth="1"/>
    <col min="6415" max="6416" width="10.5" style="3126" bestFit="1" customWidth="1"/>
    <col min="6417" max="6417" width="10" style="3126" customWidth="1"/>
    <col min="6418" max="6418" width="10.125" style="3126" customWidth="1"/>
    <col min="6419" max="6419" width="10" style="3126" customWidth="1"/>
    <col min="6420" max="6420" width="26.125" style="3126" customWidth="1"/>
    <col min="6421" max="6656" width="8.875" style="3126"/>
    <col min="6657" max="6657" width="9.5" style="3126" customWidth="1"/>
    <col min="6658" max="6658" width="8.875" style="3126"/>
    <col min="6659" max="6661" width="12.875" style="3126" customWidth="1"/>
    <col min="6662" max="6662" width="47.5" style="3126" customWidth="1"/>
    <col min="6663" max="6663" width="13" style="3126" customWidth="1"/>
    <col min="6664" max="6665" width="8.875" style="3126"/>
    <col min="6666" max="6666" width="5.75" style="3126" customWidth="1"/>
    <col min="6667" max="6667" width="11.75" style="3126" customWidth="1"/>
    <col min="6668" max="6669" width="10.75" style="3126" customWidth="1"/>
    <col min="6670" max="6670" width="10" style="3126" customWidth="1"/>
    <col min="6671" max="6672" width="10.5" style="3126" bestFit="1" customWidth="1"/>
    <col min="6673" max="6673" width="10" style="3126" customWidth="1"/>
    <col min="6674" max="6674" width="10.125" style="3126" customWidth="1"/>
    <col min="6675" max="6675" width="10" style="3126" customWidth="1"/>
    <col min="6676" max="6676" width="26.125" style="3126" customWidth="1"/>
    <col min="6677" max="6912" width="8.875" style="3126"/>
    <col min="6913" max="6913" width="9.5" style="3126" customWidth="1"/>
    <col min="6914" max="6914" width="8.875" style="3126"/>
    <col min="6915" max="6917" width="12.875" style="3126" customWidth="1"/>
    <col min="6918" max="6918" width="47.5" style="3126" customWidth="1"/>
    <col min="6919" max="6919" width="13" style="3126" customWidth="1"/>
    <col min="6920" max="6921" width="8.875" style="3126"/>
    <col min="6922" max="6922" width="5.75" style="3126" customWidth="1"/>
    <col min="6923" max="6923" width="11.75" style="3126" customWidth="1"/>
    <col min="6924" max="6925" width="10.75" style="3126" customWidth="1"/>
    <col min="6926" max="6926" width="10" style="3126" customWidth="1"/>
    <col min="6927" max="6928" width="10.5" style="3126" bestFit="1" customWidth="1"/>
    <col min="6929" max="6929" width="10" style="3126" customWidth="1"/>
    <col min="6930" max="6930" width="10.125" style="3126" customWidth="1"/>
    <col min="6931" max="6931" width="10" style="3126" customWidth="1"/>
    <col min="6932" max="6932" width="26.125" style="3126" customWidth="1"/>
    <col min="6933" max="7168" width="8.875" style="3126"/>
    <col min="7169" max="7169" width="9.5" style="3126" customWidth="1"/>
    <col min="7170" max="7170" width="8.875" style="3126"/>
    <col min="7171" max="7173" width="12.875" style="3126" customWidth="1"/>
    <col min="7174" max="7174" width="47.5" style="3126" customWidth="1"/>
    <col min="7175" max="7175" width="13" style="3126" customWidth="1"/>
    <col min="7176" max="7177" width="8.875" style="3126"/>
    <col min="7178" max="7178" width="5.75" style="3126" customWidth="1"/>
    <col min="7179" max="7179" width="11.75" style="3126" customWidth="1"/>
    <col min="7180" max="7181" width="10.75" style="3126" customWidth="1"/>
    <col min="7182" max="7182" width="10" style="3126" customWidth="1"/>
    <col min="7183" max="7184" width="10.5" style="3126" bestFit="1" customWidth="1"/>
    <col min="7185" max="7185" width="10" style="3126" customWidth="1"/>
    <col min="7186" max="7186" width="10.125" style="3126" customWidth="1"/>
    <col min="7187" max="7187" width="10" style="3126" customWidth="1"/>
    <col min="7188" max="7188" width="26.125" style="3126" customWidth="1"/>
    <col min="7189" max="7424" width="8.875" style="3126"/>
    <col min="7425" max="7425" width="9.5" style="3126" customWidth="1"/>
    <col min="7426" max="7426" width="8.875" style="3126"/>
    <col min="7427" max="7429" width="12.875" style="3126" customWidth="1"/>
    <col min="7430" max="7430" width="47.5" style="3126" customWidth="1"/>
    <col min="7431" max="7431" width="13" style="3126" customWidth="1"/>
    <col min="7432" max="7433" width="8.875" style="3126"/>
    <col min="7434" max="7434" width="5.75" style="3126" customWidth="1"/>
    <col min="7435" max="7435" width="11.75" style="3126" customWidth="1"/>
    <col min="7436" max="7437" width="10.75" style="3126" customWidth="1"/>
    <col min="7438" max="7438" width="10" style="3126" customWidth="1"/>
    <col min="7439" max="7440" width="10.5" style="3126" bestFit="1" customWidth="1"/>
    <col min="7441" max="7441" width="10" style="3126" customWidth="1"/>
    <col min="7442" max="7442" width="10.125" style="3126" customWidth="1"/>
    <col min="7443" max="7443" width="10" style="3126" customWidth="1"/>
    <col min="7444" max="7444" width="26.125" style="3126" customWidth="1"/>
    <col min="7445" max="7680" width="8.875" style="3126"/>
    <col min="7681" max="7681" width="9.5" style="3126" customWidth="1"/>
    <col min="7682" max="7682" width="8.875" style="3126"/>
    <col min="7683" max="7685" width="12.875" style="3126" customWidth="1"/>
    <col min="7686" max="7686" width="47.5" style="3126" customWidth="1"/>
    <col min="7687" max="7687" width="13" style="3126" customWidth="1"/>
    <col min="7688" max="7689" width="8.875" style="3126"/>
    <col min="7690" max="7690" width="5.75" style="3126" customWidth="1"/>
    <col min="7691" max="7691" width="11.75" style="3126" customWidth="1"/>
    <col min="7692" max="7693" width="10.75" style="3126" customWidth="1"/>
    <col min="7694" max="7694" width="10" style="3126" customWidth="1"/>
    <col min="7695" max="7696" width="10.5" style="3126" bestFit="1" customWidth="1"/>
    <col min="7697" max="7697" width="10" style="3126" customWidth="1"/>
    <col min="7698" max="7698" width="10.125" style="3126" customWidth="1"/>
    <col min="7699" max="7699" width="10" style="3126" customWidth="1"/>
    <col min="7700" max="7700" width="26.125" style="3126" customWidth="1"/>
    <col min="7701" max="7936" width="8.875" style="3126"/>
    <col min="7937" max="7937" width="9.5" style="3126" customWidth="1"/>
    <col min="7938" max="7938" width="8.875" style="3126"/>
    <col min="7939" max="7941" width="12.875" style="3126" customWidth="1"/>
    <col min="7942" max="7942" width="47.5" style="3126" customWidth="1"/>
    <col min="7943" max="7943" width="13" style="3126" customWidth="1"/>
    <col min="7944" max="7945" width="8.875" style="3126"/>
    <col min="7946" max="7946" width="5.75" style="3126" customWidth="1"/>
    <col min="7947" max="7947" width="11.75" style="3126" customWidth="1"/>
    <col min="7948" max="7949" width="10.75" style="3126" customWidth="1"/>
    <col min="7950" max="7950" width="10" style="3126" customWidth="1"/>
    <col min="7951" max="7952" width="10.5" style="3126" bestFit="1" customWidth="1"/>
    <col min="7953" max="7953" width="10" style="3126" customWidth="1"/>
    <col min="7954" max="7954" width="10.125" style="3126" customWidth="1"/>
    <col min="7955" max="7955" width="10" style="3126" customWidth="1"/>
    <col min="7956" max="7956" width="26.125" style="3126" customWidth="1"/>
    <col min="7957" max="8192" width="8.875" style="3126"/>
    <col min="8193" max="8193" width="9.5" style="3126" customWidth="1"/>
    <col min="8194" max="8194" width="8.875" style="3126"/>
    <col min="8195" max="8197" width="12.875" style="3126" customWidth="1"/>
    <col min="8198" max="8198" width="47.5" style="3126" customWidth="1"/>
    <col min="8199" max="8199" width="13" style="3126" customWidth="1"/>
    <col min="8200" max="8201" width="8.875" style="3126"/>
    <col min="8202" max="8202" width="5.75" style="3126" customWidth="1"/>
    <col min="8203" max="8203" width="11.75" style="3126" customWidth="1"/>
    <col min="8204" max="8205" width="10.75" style="3126" customWidth="1"/>
    <col min="8206" max="8206" width="10" style="3126" customWidth="1"/>
    <col min="8207" max="8208" width="10.5" style="3126" bestFit="1" customWidth="1"/>
    <col min="8209" max="8209" width="10" style="3126" customWidth="1"/>
    <col min="8210" max="8210" width="10.125" style="3126" customWidth="1"/>
    <col min="8211" max="8211" width="10" style="3126" customWidth="1"/>
    <col min="8212" max="8212" width="26.125" style="3126" customWidth="1"/>
    <col min="8213" max="8448" width="8.875" style="3126"/>
    <col min="8449" max="8449" width="9.5" style="3126" customWidth="1"/>
    <col min="8450" max="8450" width="8.875" style="3126"/>
    <col min="8451" max="8453" width="12.875" style="3126" customWidth="1"/>
    <col min="8454" max="8454" width="47.5" style="3126" customWidth="1"/>
    <col min="8455" max="8455" width="13" style="3126" customWidth="1"/>
    <col min="8456" max="8457" width="8.875" style="3126"/>
    <col min="8458" max="8458" width="5.75" style="3126" customWidth="1"/>
    <col min="8459" max="8459" width="11.75" style="3126" customWidth="1"/>
    <col min="8460" max="8461" width="10.75" style="3126" customWidth="1"/>
    <col min="8462" max="8462" width="10" style="3126" customWidth="1"/>
    <col min="8463" max="8464" width="10.5" style="3126" bestFit="1" customWidth="1"/>
    <col min="8465" max="8465" width="10" style="3126" customWidth="1"/>
    <col min="8466" max="8466" width="10.125" style="3126" customWidth="1"/>
    <col min="8467" max="8467" width="10" style="3126" customWidth="1"/>
    <col min="8468" max="8468" width="26.125" style="3126" customWidth="1"/>
    <col min="8469" max="8704" width="8.875" style="3126"/>
    <col min="8705" max="8705" width="9.5" style="3126" customWidth="1"/>
    <col min="8706" max="8706" width="8.875" style="3126"/>
    <col min="8707" max="8709" width="12.875" style="3126" customWidth="1"/>
    <col min="8710" max="8710" width="47.5" style="3126" customWidth="1"/>
    <col min="8711" max="8711" width="13" style="3126" customWidth="1"/>
    <col min="8712" max="8713" width="8.875" style="3126"/>
    <col min="8714" max="8714" width="5.75" style="3126" customWidth="1"/>
    <col min="8715" max="8715" width="11.75" style="3126" customWidth="1"/>
    <col min="8716" max="8717" width="10.75" style="3126" customWidth="1"/>
    <col min="8718" max="8718" width="10" style="3126" customWidth="1"/>
    <col min="8719" max="8720" width="10.5" style="3126" bestFit="1" customWidth="1"/>
    <col min="8721" max="8721" width="10" style="3126" customWidth="1"/>
    <col min="8722" max="8722" width="10.125" style="3126" customWidth="1"/>
    <col min="8723" max="8723" width="10" style="3126" customWidth="1"/>
    <col min="8724" max="8724" width="26.125" style="3126" customWidth="1"/>
    <col min="8725" max="8960" width="8.875" style="3126"/>
    <col min="8961" max="8961" width="9.5" style="3126" customWidth="1"/>
    <col min="8962" max="8962" width="8.875" style="3126"/>
    <col min="8963" max="8965" width="12.875" style="3126" customWidth="1"/>
    <col min="8966" max="8966" width="47.5" style="3126" customWidth="1"/>
    <col min="8967" max="8967" width="13" style="3126" customWidth="1"/>
    <col min="8968" max="8969" width="8.875" style="3126"/>
    <col min="8970" max="8970" width="5.75" style="3126" customWidth="1"/>
    <col min="8971" max="8971" width="11.75" style="3126" customWidth="1"/>
    <col min="8972" max="8973" width="10.75" style="3126" customWidth="1"/>
    <col min="8974" max="8974" width="10" style="3126" customWidth="1"/>
    <col min="8975" max="8976" width="10.5" style="3126" bestFit="1" customWidth="1"/>
    <col min="8977" max="8977" width="10" style="3126" customWidth="1"/>
    <col min="8978" max="8978" width="10.125" style="3126" customWidth="1"/>
    <col min="8979" max="8979" width="10" style="3126" customWidth="1"/>
    <col min="8980" max="8980" width="26.125" style="3126" customWidth="1"/>
    <col min="8981" max="9216" width="8.875" style="3126"/>
    <col min="9217" max="9217" width="9.5" style="3126" customWidth="1"/>
    <col min="9218" max="9218" width="8.875" style="3126"/>
    <col min="9219" max="9221" width="12.875" style="3126" customWidth="1"/>
    <col min="9222" max="9222" width="47.5" style="3126" customWidth="1"/>
    <col min="9223" max="9223" width="13" style="3126" customWidth="1"/>
    <col min="9224" max="9225" width="8.875" style="3126"/>
    <col min="9226" max="9226" width="5.75" style="3126" customWidth="1"/>
    <col min="9227" max="9227" width="11.75" style="3126" customWidth="1"/>
    <col min="9228" max="9229" width="10.75" style="3126" customWidth="1"/>
    <col min="9230" max="9230" width="10" style="3126" customWidth="1"/>
    <col min="9231" max="9232" width="10.5" style="3126" bestFit="1" customWidth="1"/>
    <col min="9233" max="9233" width="10" style="3126" customWidth="1"/>
    <col min="9234" max="9234" width="10.125" style="3126" customWidth="1"/>
    <col min="9235" max="9235" width="10" style="3126" customWidth="1"/>
    <col min="9236" max="9236" width="26.125" style="3126" customWidth="1"/>
    <col min="9237" max="9472" width="8.875" style="3126"/>
    <col min="9473" max="9473" width="9.5" style="3126" customWidth="1"/>
    <col min="9474" max="9474" width="8.875" style="3126"/>
    <col min="9475" max="9477" width="12.875" style="3126" customWidth="1"/>
    <col min="9478" max="9478" width="47.5" style="3126" customWidth="1"/>
    <col min="9479" max="9479" width="13" style="3126" customWidth="1"/>
    <col min="9480" max="9481" width="8.875" style="3126"/>
    <col min="9482" max="9482" width="5.75" style="3126" customWidth="1"/>
    <col min="9483" max="9483" width="11.75" style="3126" customWidth="1"/>
    <col min="9484" max="9485" width="10.75" style="3126" customWidth="1"/>
    <col min="9486" max="9486" width="10" style="3126" customWidth="1"/>
    <col min="9487" max="9488" width="10.5" style="3126" bestFit="1" customWidth="1"/>
    <col min="9489" max="9489" width="10" style="3126" customWidth="1"/>
    <col min="9490" max="9490" width="10.125" style="3126" customWidth="1"/>
    <col min="9491" max="9491" width="10" style="3126" customWidth="1"/>
    <col min="9492" max="9492" width="26.125" style="3126" customWidth="1"/>
    <col min="9493" max="9728" width="8.875" style="3126"/>
    <col min="9729" max="9729" width="9.5" style="3126" customWidth="1"/>
    <col min="9730" max="9730" width="8.875" style="3126"/>
    <col min="9731" max="9733" width="12.875" style="3126" customWidth="1"/>
    <col min="9734" max="9734" width="47.5" style="3126" customWidth="1"/>
    <col min="9735" max="9735" width="13" style="3126" customWidth="1"/>
    <col min="9736" max="9737" width="8.875" style="3126"/>
    <col min="9738" max="9738" width="5.75" style="3126" customWidth="1"/>
    <col min="9739" max="9739" width="11.75" style="3126" customWidth="1"/>
    <col min="9740" max="9741" width="10.75" style="3126" customWidth="1"/>
    <col min="9742" max="9742" width="10" style="3126" customWidth="1"/>
    <col min="9743" max="9744" width="10.5" style="3126" bestFit="1" customWidth="1"/>
    <col min="9745" max="9745" width="10" style="3126" customWidth="1"/>
    <col min="9746" max="9746" width="10.125" style="3126" customWidth="1"/>
    <col min="9747" max="9747" width="10" style="3126" customWidth="1"/>
    <col min="9748" max="9748" width="26.125" style="3126" customWidth="1"/>
    <col min="9749" max="9984" width="8.875" style="3126"/>
    <col min="9985" max="9985" width="9.5" style="3126" customWidth="1"/>
    <col min="9986" max="9986" width="8.875" style="3126"/>
    <col min="9987" max="9989" width="12.875" style="3126" customWidth="1"/>
    <col min="9990" max="9990" width="47.5" style="3126" customWidth="1"/>
    <col min="9991" max="9991" width="13" style="3126" customWidth="1"/>
    <col min="9992" max="9993" width="8.875" style="3126"/>
    <col min="9994" max="9994" width="5.75" style="3126" customWidth="1"/>
    <col min="9995" max="9995" width="11.75" style="3126" customWidth="1"/>
    <col min="9996" max="9997" width="10.75" style="3126" customWidth="1"/>
    <col min="9998" max="9998" width="10" style="3126" customWidth="1"/>
    <col min="9999" max="10000" width="10.5" style="3126" bestFit="1" customWidth="1"/>
    <col min="10001" max="10001" width="10" style="3126" customWidth="1"/>
    <col min="10002" max="10002" width="10.125" style="3126" customWidth="1"/>
    <col min="10003" max="10003" width="10" style="3126" customWidth="1"/>
    <col min="10004" max="10004" width="26.125" style="3126" customWidth="1"/>
    <col min="10005" max="10240" width="8.875" style="3126"/>
    <col min="10241" max="10241" width="9.5" style="3126" customWidth="1"/>
    <col min="10242" max="10242" width="8.875" style="3126"/>
    <col min="10243" max="10245" width="12.875" style="3126" customWidth="1"/>
    <col min="10246" max="10246" width="47.5" style="3126" customWidth="1"/>
    <col min="10247" max="10247" width="13" style="3126" customWidth="1"/>
    <col min="10248" max="10249" width="8.875" style="3126"/>
    <col min="10250" max="10250" width="5.75" style="3126" customWidth="1"/>
    <col min="10251" max="10251" width="11.75" style="3126" customWidth="1"/>
    <col min="10252" max="10253" width="10.75" style="3126" customWidth="1"/>
    <col min="10254" max="10254" width="10" style="3126" customWidth="1"/>
    <col min="10255" max="10256" width="10.5" style="3126" bestFit="1" customWidth="1"/>
    <col min="10257" max="10257" width="10" style="3126" customWidth="1"/>
    <col min="10258" max="10258" width="10.125" style="3126" customWidth="1"/>
    <col min="10259" max="10259" width="10" style="3126" customWidth="1"/>
    <col min="10260" max="10260" width="26.125" style="3126" customWidth="1"/>
    <col min="10261" max="10496" width="8.875" style="3126"/>
    <col min="10497" max="10497" width="9.5" style="3126" customWidth="1"/>
    <col min="10498" max="10498" width="8.875" style="3126"/>
    <col min="10499" max="10501" width="12.875" style="3126" customWidth="1"/>
    <col min="10502" max="10502" width="47.5" style="3126" customWidth="1"/>
    <col min="10503" max="10503" width="13" style="3126" customWidth="1"/>
    <col min="10504" max="10505" width="8.875" style="3126"/>
    <col min="10506" max="10506" width="5.75" style="3126" customWidth="1"/>
    <col min="10507" max="10507" width="11.75" style="3126" customWidth="1"/>
    <col min="10508" max="10509" width="10.75" style="3126" customWidth="1"/>
    <col min="10510" max="10510" width="10" style="3126" customWidth="1"/>
    <col min="10511" max="10512" width="10.5" style="3126" bestFit="1" customWidth="1"/>
    <col min="10513" max="10513" width="10" style="3126" customWidth="1"/>
    <col min="10514" max="10514" width="10.125" style="3126" customWidth="1"/>
    <col min="10515" max="10515" width="10" style="3126" customWidth="1"/>
    <col min="10516" max="10516" width="26.125" style="3126" customWidth="1"/>
    <col min="10517" max="10752" width="8.875" style="3126"/>
    <col min="10753" max="10753" width="9.5" style="3126" customWidth="1"/>
    <col min="10754" max="10754" width="8.875" style="3126"/>
    <col min="10755" max="10757" width="12.875" style="3126" customWidth="1"/>
    <col min="10758" max="10758" width="47.5" style="3126" customWidth="1"/>
    <col min="10759" max="10759" width="13" style="3126" customWidth="1"/>
    <col min="10760" max="10761" width="8.875" style="3126"/>
    <col min="10762" max="10762" width="5.75" style="3126" customWidth="1"/>
    <col min="10763" max="10763" width="11.75" style="3126" customWidth="1"/>
    <col min="10764" max="10765" width="10.75" style="3126" customWidth="1"/>
    <col min="10766" max="10766" width="10" style="3126" customWidth="1"/>
    <col min="10767" max="10768" width="10.5" style="3126" bestFit="1" customWidth="1"/>
    <col min="10769" max="10769" width="10" style="3126" customWidth="1"/>
    <col min="10770" max="10770" width="10.125" style="3126" customWidth="1"/>
    <col min="10771" max="10771" width="10" style="3126" customWidth="1"/>
    <col min="10772" max="10772" width="26.125" style="3126" customWidth="1"/>
    <col min="10773" max="11008" width="8.875" style="3126"/>
    <col min="11009" max="11009" width="9.5" style="3126" customWidth="1"/>
    <col min="11010" max="11010" width="8.875" style="3126"/>
    <col min="11011" max="11013" width="12.875" style="3126" customWidth="1"/>
    <col min="11014" max="11014" width="47.5" style="3126" customWidth="1"/>
    <col min="11015" max="11015" width="13" style="3126" customWidth="1"/>
    <col min="11016" max="11017" width="8.875" style="3126"/>
    <col min="11018" max="11018" width="5.75" style="3126" customWidth="1"/>
    <col min="11019" max="11019" width="11.75" style="3126" customWidth="1"/>
    <col min="11020" max="11021" width="10.75" style="3126" customWidth="1"/>
    <col min="11022" max="11022" width="10" style="3126" customWidth="1"/>
    <col min="11023" max="11024" width="10.5" style="3126" bestFit="1" customWidth="1"/>
    <col min="11025" max="11025" width="10" style="3126" customWidth="1"/>
    <col min="11026" max="11026" width="10.125" style="3126" customWidth="1"/>
    <col min="11027" max="11027" width="10" style="3126" customWidth="1"/>
    <col min="11028" max="11028" width="26.125" style="3126" customWidth="1"/>
    <col min="11029" max="11264" width="8.875" style="3126"/>
    <col min="11265" max="11265" width="9.5" style="3126" customWidth="1"/>
    <col min="11266" max="11266" width="8.875" style="3126"/>
    <col min="11267" max="11269" width="12.875" style="3126" customWidth="1"/>
    <col min="11270" max="11270" width="47.5" style="3126" customWidth="1"/>
    <col min="11271" max="11271" width="13" style="3126" customWidth="1"/>
    <col min="11272" max="11273" width="8.875" style="3126"/>
    <col min="11274" max="11274" width="5.75" style="3126" customWidth="1"/>
    <col min="11275" max="11275" width="11.75" style="3126" customWidth="1"/>
    <col min="11276" max="11277" width="10.75" style="3126" customWidth="1"/>
    <col min="11278" max="11278" width="10" style="3126" customWidth="1"/>
    <col min="11279" max="11280" width="10.5" style="3126" bestFit="1" customWidth="1"/>
    <col min="11281" max="11281" width="10" style="3126" customWidth="1"/>
    <col min="11282" max="11282" width="10.125" style="3126" customWidth="1"/>
    <col min="11283" max="11283" width="10" style="3126" customWidth="1"/>
    <col min="11284" max="11284" width="26.125" style="3126" customWidth="1"/>
    <col min="11285" max="11520" width="8.875" style="3126"/>
    <col min="11521" max="11521" width="9.5" style="3126" customWidth="1"/>
    <col min="11522" max="11522" width="8.875" style="3126"/>
    <col min="11523" max="11525" width="12.875" style="3126" customWidth="1"/>
    <col min="11526" max="11526" width="47.5" style="3126" customWidth="1"/>
    <col min="11527" max="11527" width="13" style="3126" customWidth="1"/>
    <col min="11528" max="11529" width="8.875" style="3126"/>
    <col min="11530" max="11530" width="5.75" style="3126" customWidth="1"/>
    <col min="11531" max="11531" width="11.75" style="3126" customWidth="1"/>
    <col min="11532" max="11533" width="10.75" style="3126" customWidth="1"/>
    <col min="11534" max="11534" width="10" style="3126" customWidth="1"/>
    <col min="11535" max="11536" width="10.5" style="3126" bestFit="1" customWidth="1"/>
    <col min="11537" max="11537" width="10" style="3126" customWidth="1"/>
    <col min="11538" max="11538" width="10.125" style="3126" customWidth="1"/>
    <col min="11539" max="11539" width="10" style="3126" customWidth="1"/>
    <col min="11540" max="11540" width="26.125" style="3126" customWidth="1"/>
    <col min="11541" max="11776" width="8.875" style="3126"/>
    <col min="11777" max="11777" width="9.5" style="3126" customWidth="1"/>
    <col min="11778" max="11778" width="8.875" style="3126"/>
    <col min="11779" max="11781" width="12.875" style="3126" customWidth="1"/>
    <col min="11782" max="11782" width="47.5" style="3126" customWidth="1"/>
    <col min="11783" max="11783" width="13" style="3126" customWidth="1"/>
    <col min="11784" max="11785" width="8.875" style="3126"/>
    <col min="11786" max="11786" width="5.75" style="3126" customWidth="1"/>
    <col min="11787" max="11787" width="11.75" style="3126" customWidth="1"/>
    <col min="11788" max="11789" width="10.75" style="3126" customWidth="1"/>
    <col min="11790" max="11790" width="10" style="3126" customWidth="1"/>
    <col min="11791" max="11792" width="10.5" style="3126" bestFit="1" customWidth="1"/>
    <col min="11793" max="11793" width="10" style="3126" customWidth="1"/>
    <col min="11794" max="11794" width="10.125" style="3126" customWidth="1"/>
    <col min="11795" max="11795" width="10" style="3126" customWidth="1"/>
    <col min="11796" max="11796" width="26.125" style="3126" customWidth="1"/>
    <col min="11797" max="12032" width="8.875" style="3126"/>
    <col min="12033" max="12033" width="9.5" style="3126" customWidth="1"/>
    <col min="12034" max="12034" width="8.875" style="3126"/>
    <col min="12035" max="12037" width="12.875" style="3126" customWidth="1"/>
    <col min="12038" max="12038" width="47.5" style="3126" customWidth="1"/>
    <col min="12039" max="12039" width="13" style="3126" customWidth="1"/>
    <col min="12040" max="12041" width="8.875" style="3126"/>
    <col min="12042" max="12042" width="5.75" style="3126" customWidth="1"/>
    <col min="12043" max="12043" width="11.75" style="3126" customWidth="1"/>
    <col min="12044" max="12045" width="10.75" style="3126" customWidth="1"/>
    <col min="12046" max="12046" width="10" style="3126" customWidth="1"/>
    <col min="12047" max="12048" width="10.5" style="3126" bestFit="1" customWidth="1"/>
    <col min="12049" max="12049" width="10" style="3126" customWidth="1"/>
    <col min="12050" max="12050" width="10.125" style="3126" customWidth="1"/>
    <col min="12051" max="12051" width="10" style="3126" customWidth="1"/>
    <col min="12052" max="12052" width="26.125" style="3126" customWidth="1"/>
    <col min="12053" max="12288" width="8.875" style="3126"/>
    <col min="12289" max="12289" width="9.5" style="3126" customWidth="1"/>
    <col min="12290" max="12290" width="8.875" style="3126"/>
    <col min="12291" max="12293" width="12.875" style="3126" customWidth="1"/>
    <col min="12294" max="12294" width="47.5" style="3126" customWidth="1"/>
    <col min="12295" max="12295" width="13" style="3126" customWidth="1"/>
    <col min="12296" max="12297" width="8.875" style="3126"/>
    <col min="12298" max="12298" width="5.75" style="3126" customWidth="1"/>
    <col min="12299" max="12299" width="11.75" style="3126" customWidth="1"/>
    <col min="12300" max="12301" width="10.75" style="3126" customWidth="1"/>
    <col min="12302" max="12302" width="10" style="3126" customWidth="1"/>
    <col min="12303" max="12304" width="10.5" style="3126" bestFit="1" customWidth="1"/>
    <col min="12305" max="12305" width="10" style="3126" customWidth="1"/>
    <col min="12306" max="12306" width="10.125" style="3126" customWidth="1"/>
    <col min="12307" max="12307" width="10" style="3126" customWidth="1"/>
    <col min="12308" max="12308" width="26.125" style="3126" customWidth="1"/>
    <col min="12309" max="12544" width="8.875" style="3126"/>
    <col min="12545" max="12545" width="9.5" style="3126" customWidth="1"/>
    <col min="12546" max="12546" width="8.875" style="3126"/>
    <col min="12547" max="12549" width="12.875" style="3126" customWidth="1"/>
    <col min="12550" max="12550" width="47.5" style="3126" customWidth="1"/>
    <col min="12551" max="12551" width="13" style="3126" customWidth="1"/>
    <col min="12552" max="12553" width="8.875" style="3126"/>
    <col min="12554" max="12554" width="5.75" style="3126" customWidth="1"/>
    <col min="12555" max="12555" width="11.75" style="3126" customWidth="1"/>
    <col min="12556" max="12557" width="10.75" style="3126" customWidth="1"/>
    <col min="12558" max="12558" width="10" style="3126" customWidth="1"/>
    <col min="12559" max="12560" width="10.5" style="3126" bestFit="1" customWidth="1"/>
    <col min="12561" max="12561" width="10" style="3126" customWidth="1"/>
    <col min="12562" max="12562" width="10.125" style="3126" customWidth="1"/>
    <col min="12563" max="12563" width="10" style="3126" customWidth="1"/>
    <col min="12564" max="12564" width="26.125" style="3126" customWidth="1"/>
    <col min="12565" max="12800" width="8.875" style="3126"/>
    <col min="12801" max="12801" width="9.5" style="3126" customWidth="1"/>
    <col min="12802" max="12802" width="8.875" style="3126"/>
    <col min="12803" max="12805" width="12.875" style="3126" customWidth="1"/>
    <col min="12806" max="12806" width="47.5" style="3126" customWidth="1"/>
    <col min="12807" max="12807" width="13" style="3126" customWidth="1"/>
    <col min="12808" max="12809" width="8.875" style="3126"/>
    <col min="12810" max="12810" width="5.75" style="3126" customWidth="1"/>
    <col min="12811" max="12811" width="11.75" style="3126" customWidth="1"/>
    <col min="12812" max="12813" width="10.75" style="3126" customWidth="1"/>
    <col min="12814" max="12814" width="10" style="3126" customWidth="1"/>
    <col min="12815" max="12816" width="10.5" style="3126" bestFit="1" customWidth="1"/>
    <col min="12817" max="12817" width="10" style="3126" customWidth="1"/>
    <col min="12818" max="12818" width="10.125" style="3126" customWidth="1"/>
    <col min="12819" max="12819" width="10" style="3126" customWidth="1"/>
    <col min="12820" max="12820" width="26.125" style="3126" customWidth="1"/>
    <col min="12821" max="13056" width="8.875" style="3126"/>
    <col min="13057" max="13057" width="9.5" style="3126" customWidth="1"/>
    <col min="13058" max="13058" width="8.875" style="3126"/>
    <col min="13059" max="13061" width="12.875" style="3126" customWidth="1"/>
    <col min="13062" max="13062" width="47.5" style="3126" customWidth="1"/>
    <col min="13063" max="13063" width="13" style="3126" customWidth="1"/>
    <col min="13064" max="13065" width="8.875" style="3126"/>
    <col min="13066" max="13066" width="5.75" style="3126" customWidth="1"/>
    <col min="13067" max="13067" width="11.75" style="3126" customWidth="1"/>
    <col min="13068" max="13069" width="10.75" style="3126" customWidth="1"/>
    <col min="13070" max="13070" width="10" style="3126" customWidth="1"/>
    <col min="13071" max="13072" width="10.5" style="3126" bestFit="1" customWidth="1"/>
    <col min="13073" max="13073" width="10" style="3126" customWidth="1"/>
    <col min="13074" max="13074" width="10.125" style="3126" customWidth="1"/>
    <col min="13075" max="13075" width="10" style="3126" customWidth="1"/>
    <col min="13076" max="13076" width="26.125" style="3126" customWidth="1"/>
    <col min="13077" max="13312" width="8.875" style="3126"/>
    <col min="13313" max="13313" width="9.5" style="3126" customWidth="1"/>
    <col min="13314" max="13314" width="8.875" style="3126"/>
    <col min="13315" max="13317" width="12.875" style="3126" customWidth="1"/>
    <col min="13318" max="13318" width="47.5" style="3126" customWidth="1"/>
    <col min="13319" max="13319" width="13" style="3126" customWidth="1"/>
    <col min="13320" max="13321" width="8.875" style="3126"/>
    <col min="13322" max="13322" width="5.75" style="3126" customWidth="1"/>
    <col min="13323" max="13323" width="11.75" style="3126" customWidth="1"/>
    <col min="13324" max="13325" width="10.75" style="3126" customWidth="1"/>
    <col min="13326" max="13326" width="10" style="3126" customWidth="1"/>
    <col min="13327" max="13328" width="10.5" style="3126" bestFit="1" customWidth="1"/>
    <col min="13329" max="13329" width="10" style="3126" customWidth="1"/>
    <col min="13330" max="13330" width="10.125" style="3126" customWidth="1"/>
    <col min="13331" max="13331" width="10" style="3126" customWidth="1"/>
    <col min="13332" max="13332" width="26.125" style="3126" customWidth="1"/>
    <col min="13333" max="13568" width="8.875" style="3126"/>
    <col min="13569" max="13569" width="9.5" style="3126" customWidth="1"/>
    <col min="13570" max="13570" width="8.875" style="3126"/>
    <col min="13571" max="13573" width="12.875" style="3126" customWidth="1"/>
    <col min="13574" max="13574" width="47.5" style="3126" customWidth="1"/>
    <col min="13575" max="13575" width="13" style="3126" customWidth="1"/>
    <col min="13576" max="13577" width="8.875" style="3126"/>
    <col min="13578" max="13578" width="5.75" style="3126" customWidth="1"/>
    <col min="13579" max="13579" width="11.75" style="3126" customWidth="1"/>
    <col min="13580" max="13581" width="10.75" style="3126" customWidth="1"/>
    <col min="13582" max="13582" width="10" style="3126" customWidth="1"/>
    <col min="13583" max="13584" width="10.5" style="3126" bestFit="1" customWidth="1"/>
    <col min="13585" max="13585" width="10" style="3126" customWidth="1"/>
    <col min="13586" max="13586" width="10.125" style="3126" customWidth="1"/>
    <col min="13587" max="13587" width="10" style="3126" customWidth="1"/>
    <col min="13588" max="13588" width="26.125" style="3126" customWidth="1"/>
    <col min="13589" max="13824" width="8.875" style="3126"/>
    <col min="13825" max="13825" width="9.5" style="3126" customWidth="1"/>
    <col min="13826" max="13826" width="8.875" style="3126"/>
    <col min="13827" max="13829" width="12.875" style="3126" customWidth="1"/>
    <col min="13830" max="13830" width="47.5" style="3126" customWidth="1"/>
    <col min="13831" max="13831" width="13" style="3126" customWidth="1"/>
    <col min="13832" max="13833" width="8.875" style="3126"/>
    <col min="13834" max="13834" width="5.75" style="3126" customWidth="1"/>
    <col min="13835" max="13835" width="11.75" style="3126" customWidth="1"/>
    <col min="13836" max="13837" width="10.75" style="3126" customWidth="1"/>
    <col min="13838" max="13838" width="10" style="3126" customWidth="1"/>
    <col min="13839" max="13840" width="10.5" style="3126" bestFit="1" customWidth="1"/>
    <col min="13841" max="13841" width="10" style="3126" customWidth="1"/>
    <col min="13842" max="13842" width="10.125" style="3126" customWidth="1"/>
    <col min="13843" max="13843" width="10" style="3126" customWidth="1"/>
    <col min="13844" max="13844" width="26.125" style="3126" customWidth="1"/>
    <col min="13845" max="14080" width="8.875" style="3126"/>
    <col min="14081" max="14081" width="9.5" style="3126" customWidth="1"/>
    <col min="14082" max="14082" width="8.875" style="3126"/>
    <col min="14083" max="14085" width="12.875" style="3126" customWidth="1"/>
    <col min="14086" max="14086" width="47.5" style="3126" customWidth="1"/>
    <col min="14087" max="14087" width="13" style="3126" customWidth="1"/>
    <col min="14088" max="14089" width="8.875" style="3126"/>
    <col min="14090" max="14090" width="5.75" style="3126" customWidth="1"/>
    <col min="14091" max="14091" width="11.75" style="3126" customWidth="1"/>
    <col min="14092" max="14093" width="10.75" style="3126" customWidth="1"/>
    <col min="14094" max="14094" width="10" style="3126" customWidth="1"/>
    <col min="14095" max="14096" width="10.5" style="3126" bestFit="1" customWidth="1"/>
    <col min="14097" max="14097" width="10" style="3126" customWidth="1"/>
    <col min="14098" max="14098" width="10.125" style="3126" customWidth="1"/>
    <col min="14099" max="14099" width="10" style="3126" customWidth="1"/>
    <col min="14100" max="14100" width="26.125" style="3126" customWidth="1"/>
    <col min="14101" max="14336" width="8.875" style="3126"/>
    <col min="14337" max="14337" width="9.5" style="3126" customWidth="1"/>
    <col min="14338" max="14338" width="8.875" style="3126"/>
    <col min="14339" max="14341" width="12.875" style="3126" customWidth="1"/>
    <col min="14342" max="14342" width="47.5" style="3126" customWidth="1"/>
    <col min="14343" max="14343" width="13" style="3126" customWidth="1"/>
    <col min="14344" max="14345" width="8.875" style="3126"/>
    <col min="14346" max="14346" width="5.75" style="3126" customWidth="1"/>
    <col min="14347" max="14347" width="11.75" style="3126" customWidth="1"/>
    <col min="14348" max="14349" width="10.75" style="3126" customWidth="1"/>
    <col min="14350" max="14350" width="10" style="3126" customWidth="1"/>
    <col min="14351" max="14352" width="10.5" style="3126" bestFit="1" customWidth="1"/>
    <col min="14353" max="14353" width="10" style="3126" customWidth="1"/>
    <col min="14354" max="14354" width="10.125" style="3126" customWidth="1"/>
    <col min="14355" max="14355" width="10" style="3126" customWidth="1"/>
    <col min="14356" max="14356" width="26.125" style="3126" customWidth="1"/>
    <col min="14357" max="14592" width="8.875" style="3126"/>
    <col min="14593" max="14593" width="9.5" style="3126" customWidth="1"/>
    <col min="14594" max="14594" width="8.875" style="3126"/>
    <col min="14595" max="14597" width="12.875" style="3126" customWidth="1"/>
    <col min="14598" max="14598" width="47.5" style="3126" customWidth="1"/>
    <col min="14599" max="14599" width="13" style="3126" customWidth="1"/>
    <col min="14600" max="14601" width="8.875" style="3126"/>
    <col min="14602" max="14602" width="5.75" style="3126" customWidth="1"/>
    <col min="14603" max="14603" width="11.75" style="3126" customWidth="1"/>
    <col min="14604" max="14605" width="10.75" style="3126" customWidth="1"/>
    <col min="14606" max="14606" width="10" style="3126" customWidth="1"/>
    <col min="14607" max="14608" width="10.5" style="3126" bestFit="1" customWidth="1"/>
    <col min="14609" max="14609" width="10" style="3126" customWidth="1"/>
    <col min="14610" max="14610" width="10.125" style="3126" customWidth="1"/>
    <col min="14611" max="14611" width="10" style="3126" customWidth="1"/>
    <col min="14612" max="14612" width="26.125" style="3126" customWidth="1"/>
    <col min="14613" max="14848" width="8.875" style="3126"/>
    <col min="14849" max="14849" width="9.5" style="3126" customWidth="1"/>
    <col min="14850" max="14850" width="8.875" style="3126"/>
    <col min="14851" max="14853" width="12.875" style="3126" customWidth="1"/>
    <col min="14854" max="14854" width="47.5" style="3126" customWidth="1"/>
    <col min="14855" max="14855" width="13" style="3126" customWidth="1"/>
    <col min="14856" max="14857" width="8.875" style="3126"/>
    <col min="14858" max="14858" width="5.75" style="3126" customWidth="1"/>
    <col min="14859" max="14859" width="11.75" style="3126" customWidth="1"/>
    <col min="14860" max="14861" width="10.75" style="3126" customWidth="1"/>
    <col min="14862" max="14862" width="10" style="3126" customWidth="1"/>
    <col min="14863" max="14864" width="10.5" style="3126" bestFit="1" customWidth="1"/>
    <col min="14865" max="14865" width="10" style="3126" customWidth="1"/>
    <col min="14866" max="14866" width="10.125" style="3126" customWidth="1"/>
    <col min="14867" max="14867" width="10" style="3126" customWidth="1"/>
    <col min="14868" max="14868" width="26.125" style="3126" customWidth="1"/>
    <col min="14869" max="15104" width="8.875" style="3126"/>
    <col min="15105" max="15105" width="9.5" style="3126" customWidth="1"/>
    <col min="15106" max="15106" width="8.875" style="3126"/>
    <col min="15107" max="15109" width="12.875" style="3126" customWidth="1"/>
    <col min="15110" max="15110" width="47.5" style="3126" customWidth="1"/>
    <col min="15111" max="15111" width="13" style="3126" customWidth="1"/>
    <col min="15112" max="15113" width="8.875" style="3126"/>
    <col min="15114" max="15114" width="5.75" style="3126" customWidth="1"/>
    <col min="15115" max="15115" width="11.75" style="3126" customWidth="1"/>
    <col min="15116" max="15117" width="10.75" style="3126" customWidth="1"/>
    <col min="15118" max="15118" width="10" style="3126" customWidth="1"/>
    <col min="15119" max="15120" width="10.5" style="3126" bestFit="1" customWidth="1"/>
    <col min="15121" max="15121" width="10" style="3126" customWidth="1"/>
    <col min="15122" max="15122" width="10.125" style="3126" customWidth="1"/>
    <col min="15123" max="15123" width="10" style="3126" customWidth="1"/>
    <col min="15124" max="15124" width="26.125" style="3126" customWidth="1"/>
    <col min="15125" max="15360" width="8.875" style="3126"/>
    <col min="15361" max="15361" width="9.5" style="3126" customWidth="1"/>
    <col min="15362" max="15362" width="8.875" style="3126"/>
    <col min="15363" max="15365" width="12.875" style="3126" customWidth="1"/>
    <col min="15366" max="15366" width="47.5" style="3126" customWidth="1"/>
    <col min="15367" max="15367" width="13" style="3126" customWidth="1"/>
    <col min="15368" max="15369" width="8.875" style="3126"/>
    <col min="15370" max="15370" width="5.75" style="3126" customWidth="1"/>
    <col min="15371" max="15371" width="11.75" style="3126" customWidth="1"/>
    <col min="15372" max="15373" width="10.75" style="3126" customWidth="1"/>
    <col min="15374" max="15374" width="10" style="3126" customWidth="1"/>
    <col min="15375" max="15376" width="10.5" style="3126" bestFit="1" customWidth="1"/>
    <col min="15377" max="15377" width="10" style="3126" customWidth="1"/>
    <col min="15378" max="15378" width="10.125" style="3126" customWidth="1"/>
    <col min="15379" max="15379" width="10" style="3126" customWidth="1"/>
    <col min="15380" max="15380" width="26.125" style="3126" customWidth="1"/>
    <col min="15381" max="15616" width="8.875" style="3126"/>
    <col min="15617" max="15617" width="9.5" style="3126" customWidth="1"/>
    <col min="15618" max="15618" width="8.875" style="3126"/>
    <col min="15619" max="15621" width="12.875" style="3126" customWidth="1"/>
    <col min="15622" max="15622" width="47.5" style="3126" customWidth="1"/>
    <col min="15623" max="15623" width="13" style="3126" customWidth="1"/>
    <col min="15624" max="15625" width="8.875" style="3126"/>
    <col min="15626" max="15626" width="5.75" style="3126" customWidth="1"/>
    <col min="15627" max="15627" width="11.75" style="3126" customWidth="1"/>
    <col min="15628" max="15629" width="10.75" style="3126" customWidth="1"/>
    <col min="15630" max="15630" width="10" style="3126" customWidth="1"/>
    <col min="15631" max="15632" width="10.5" style="3126" bestFit="1" customWidth="1"/>
    <col min="15633" max="15633" width="10" style="3126" customWidth="1"/>
    <col min="15634" max="15634" width="10.125" style="3126" customWidth="1"/>
    <col min="15635" max="15635" width="10" style="3126" customWidth="1"/>
    <col min="15636" max="15636" width="26.125" style="3126" customWidth="1"/>
    <col min="15637" max="15872" width="8.875" style="3126"/>
    <col min="15873" max="15873" width="9.5" style="3126" customWidth="1"/>
    <col min="15874" max="15874" width="8.875" style="3126"/>
    <col min="15875" max="15877" width="12.875" style="3126" customWidth="1"/>
    <col min="15878" max="15878" width="47.5" style="3126" customWidth="1"/>
    <col min="15879" max="15879" width="13" style="3126" customWidth="1"/>
    <col min="15880" max="15881" width="8.875" style="3126"/>
    <col min="15882" max="15882" width="5.75" style="3126" customWidth="1"/>
    <col min="15883" max="15883" width="11.75" style="3126" customWidth="1"/>
    <col min="15884" max="15885" width="10.75" style="3126" customWidth="1"/>
    <col min="15886" max="15886" width="10" style="3126" customWidth="1"/>
    <col min="15887" max="15888" width="10.5" style="3126" bestFit="1" customWidth="1"/>
    <col min="15889" max="15889" width="10" style="3126" customWidth="1"/>
    <col min="15890" max="15890" width="10.125" style="3126" customWidth="1"/>
    <col min="15891" max="15891" width="10" style="3126" customWidth="1"/>
    <col min="15892" max="15892" width="26.125" style="3126" customWidth="1"/>
    <col min="15893" max="16128" width="8.875" style="3126"/>
    <col min="16129" max="16129" width="9.5" style="3126" customWidth="1"/>
    <col min="16130" max="16130" width="8.875" style="3126"/>
    <col min="16131" max="16133" width="12.875" style="3126" customWidth="1"/>
    <col min="16134" max="16134" width="47.5" style="3126" customWidth="1"/>
    <col min="16135" max="16135" width="13" style="3126" customWidth="1"/>
    <col min="16136" max="16137" width="8.875" style="3126"/>
    <col min="16138" max="16138" width="5.75" style="3126" customWidth="1"/>
    <col min="16139" max="16139" width="11.75" style="3126" customWidth="1"/>
    <col min="16140" max="16141" width="10.75" style="3126" customWidth="1"/>
    <col min="16142" max="16142" width="10" style="3126" customWidth="1"/>
    <col min="16143" max="16144" width="10.5" style="3126" bestFit="1" customWidth="1"/>
    <col min="16145" max="16145" width="10" style="3126" customWidth="1"/>
    <col min="16146" max="16146" width="10.125" style="3126" customWidth="1"/>
    <col min="16147" max="16147" width="10" style="3126" customWidth="1"/>
    <col min="16148" max="16148" width="26.125" style="3126" customWidth="1"/>
    <col min="16149" max="16384" width="8.875" style="3126"/>
  </cols>
  <sheetData>
    <row r="1" spans="1:22" ht="21" customHeight="1">
      <c r="A1" s="3119" t="s">
        <v>3427</v>
      </c>
      <c r="B1" s="3120"/>
      <c r="C1" s="3121"/>
      <c r="D1" s="3122"/>
      <c r="E1" s="3123" t="s">
        <v>3428</v>
      </c>
      <c r="F1" s="3124" t="e">
        <f>#REF!</f>
        <v>#REF!</v>
      </c>
      <c r="G1" s="3125"/>
      <c r="J1" s="3128" t="s">
        <v>3429</v>
      </c>
      <c r="K1" s="3129"/>
      <c r="L1" s="3129"/>
      <c r="M1" s="3129"/>
      <c r="N1" s="3129"/>
      <c r="O1" s="3129"/>
      <c r="P1" s="3129"/>
      <c r="Q1" s="3129"/>
      <c r="R1" s="3130"/>
      <c r="S1" s="3131"/>
      <c r="T1" s="3131"/>
      <c r="U1" s="3131"/>
    </row>
    <row r="2" spans="1:22" s="3137" customFormat="1" ht="13.15" customHeight="1">
      <c r="A2" s="1566" t="s">
        <v>3430</v>
      </c>
      <c r="B2" s="3132">
        <f ca="1">C40</f>
        <v>50386</v>
      </c>
      <c r="C2" s="3133" t="s">
        <v>3431</v>
      </c>
      <c r="D2" s="3133"/>
      <c r="E2" s="3134"/>
      <c r="F2" s="3135"/>
      <c r="G2" s="3136"/>
      <c r="I2" s="3138"/>
      <c r="J2" s="3545" t="s">
        <v>3432</v>
      </c>
      <c r="K2" s="3546"/>
      <c r="L2" s="3139" t="s">
        <v>3433</v>
      </c>
      <c r="M2" s="3139" t="s">
        <v>3434</v>
      </c>
      <c r="N2" s="3139" t="s">
        <v>3435</v>
      </c>
      <c r="O2" s="3139" t="s">
        <v>3436</v>
      </c>
      <c r="P2" s="3139" t="s">
        <v>3437</v>
      </c>
      <c r="Q2" s="3140" t="s">
        <v>3438</v>
      </c>
      <c r="R2" s="3141" t="s">
        <v>3439</v>
      </c>
      <c r="S2" s="3131"/>
      <c r="T2" s="3131"/>
      <c r="U2" s="3131"/>
      <c r="V2" s="3138"/>
    </row>
    <row r="3" spans="1:22" s="3137" customFormat="1" ht="13.15" customHeight="1">
      <c r="A3" s="3142" t="s">
        <v>3440</v>
      </c>
      <c r="B3" s="3143">
        <f ca="1">ROUND(B2*10000/B4,0)</f>
        <v>7572</v>
      </c>
      <c r="C3" s="3133" t="s">
        <v>3441</v>
      </c>
      <c r="D3" s="3133"/>
      <c r="E3" s="3134"/>
      <c r="F3" s="3135"/>
      <c r="G3" s="3136"/>
      <c r="I3" s="3138"/>
      <c r="J3" s="3547" t="s">
        <v>3442</v>
      </c>
      <c r="K3" s="3548"/>
      <c r="L3" s="3144">
        <v>20000</v>
      </c>
      <c r="M3" s="3144">
        <v>500</v>
      </c>
      <c r="N3" s="3144">
        <v>500</v>
      </c>
      <c r="O3" s="3144">
        <v>10000</v>
      </c>
      <c r="P3" s="3144">
        <v>10000</v>
      </c>
      <c r="Q3" s="3145">
        <v>500</v>
      </c>
      <c r="R3" s="3146">
        <f>SUM(L3:Q3)</f>
        <v>41500</v>
      </c>
      <c r="S3" s="3131"/>
      <c r="T3" s="3131"/>
      <c r="U3" s="3131"/>
      <c r="V3" s="3138"/>
    </row>
    <row r="4" spans="1:22" s="3137" customFormat="1" ht="13.15" customHeight="1">
      <c r="A4" s="3147" t="s">
        <v>3443</v>
      </c>
      <c r="B4" s="3148">
        <f>'数据-汇总表'!E3</f>
        <v>66539.560000000012</v>
      </c>
      <c r="C4" s="3133"/>
      <c r="D4" s="3133"/>
      <c r="E4" s="3134"/>
      <c r="F4" s="3135"/>
      <c r="G4" s="3136"/>
      <c r="I4" s="3138"/>
      <c r="J4" s="3547" t="s">
        <v>3444</v>
      </c>
      <c r="K4" s="3548"/>
      <c r="L4" s="3149">
        <v>6500</v>
      </c>
      <c r="M4" s="3149">
        <v>150</v>
      </c>
      <c r="N4" s="3149">
        <v>150</v>
      </c>
      <c r="O4" s="3149">
        <v>3500</v>
      </c>
      <c r="P4" s="3149">
        <v>3500</v>
      </c>
      <c r="Q4" s="3150">
        <v>150</v>
      </c>
      <c r="R4" s="3151">
        <f>SUM(L4:Q4)</f>
        <v>13950</v>
      </c>
      <c r="S4" s="3131"/>
      <c r="T4" s="3131"/>
      <c r="U4" s="3131"/>
      <c r="V4" s="3138"/>
    </row>
    <row r="5" spans="1:22" s="3137" customFormat="1" ht="13.15" customHeight="1" thickBot="1">
      <c r="A5" s="3152" t="s">
        <v>3445</v>
      </c>
      <c r="B5" s="3153">
        <f>'数据-汇总表'!D3</f>
        <v>62220.89</v>
      </c>
      <c r="C5" s="3133"/>
      <c r="D5" s="3154"/>
      <c r="E5" s="3135"/>
      <c r="F5" s="3135"/>
      <c r="G5" s="3136"/>
      <c r="I5" s="3138"/>
      <c r="J5" s="3155" t="s">
        <v>3446</v>
      </c>
      <c r="K5" s="3156"/>
      <c r="L5" s="3156"/>
      <c r="M5" s="3157"/>
      <c r="N5" s="3157"/>
      <c r="O5" s="3157"/>
      <c r="P5" s="3157"/>
      <c r="Q5" s="3157"/>
      <c r="R5" s="3141">
        <f>SUM(R14,R19,R24,R25,R27,R28)</f>
        <v>17965</v>
      </c>
      <c r="S5" s="3131"/>
      <c r="T5" s="3131" t="s">
        <v>3447</v>
      </c>
      <c r="U5" s="3131">
        <f>ROUND(R5*10000/365/R3,1)</f>
        <v>11.9</v>
      </c>
      <c r="V5" s="3138"/>
    </row>
    <row r="6" spans="1:22" s="3137" customFormat="1" ht="13.15" customHeight="1" thickBot="1">
      <c r="A6" s="3553" t="s">
        <v>3448</v>
      </c>
      <c r="B6" s="3554"/>
      <c r="C6" s="3555"/>
      <c r="D6" s="3158">
        <f>酒店收入计算!C27+温泉乐园收入计算!C27</f>
        <v>7388</v>
      </c>
      <c r="E6" s="3159"/>
      <c r="F6" s="3160"/>
      <c r="G6" s="3161"/>
      <c r="I6" s="3138"/>
      <c r="J6" s="3539">
        <v>1</v>
      </c>
      <c r="K6" s="3540" t="s">
        <v>3449</v>
      </c>
      <c r="L6" s="3162" t="s">
        <v>3450</v>
      </c>
      <c r="M6" s="3163" t="s">
        <v>3451</v>
      </c>
      <c r="N6" s="3163" t="s">
        <v>3452</v>
      </c>
      <c r="O6" s="3163" t="s">
        <v>3453</v>
      </c>
      <c r="P6" s="3163" t="s">
        <v>3454</v>
      </c>
      <c r="Q6" s="3163" t="s">
        <v>3455</v>
      </c>
      <c r="R6" s="3146" t="s">
        <v>3456</v>
      </c>
      <c r="S6" s="3131"/>
      <c r="T6" s="3131" t="s">
        <v>3457</v>
      </c>
      <c r="U6" s="3131"/>
      <c r="V6" s="3138"/>
    </row>
    <row r="7" spans="1:22" s="3137" customFormat="1" ht="13.15" customHeight="1">
      <c r="A7" s="3164" t="s">
        <v>3458</v>
      </c>
      <c r="B7" s="3165"/>
      <c r="C7" s="3166"/>
      <c r="D7" s="3167">
        <f>SUM(D9,D10,D11,D17,0)</f>
        <v>406</v>
      </c>
      <c r="E7" s="3168">
        <f>E9+E10+E11+E17</f>
        <v>5.4953979426096373E-2</v>
      </c>
      <c r="F7" s="3169"/>
      <c r="G7" s="3170"/>
      <c r="I7" s="3138"/>
      <c r="J7" s="3539"/>
      <c r="K7" s="3541"/>
      <c r="L7" s="3171" t="s">
        <v>3459</v>
      </c>
      <c r="M7" s="3172">
        <v>1</v>
      </c>
      <c r="N7" s="3148">
        <v>8000</v>
      </c>
      <c r="O7" s="3173">
        <v>0.5</v>
      </c>
      <c r="P7" s="3173">
        <v>0.6</v>
      </c>
      <c r="Q7" s="3174">
        <v>365</v>
      </c>
      <c r="R7" s="3175">
        <f>ROUND(M7*N7*O7*P7*Q7/10000,0)</f>
        <v>88</v>
      </c>
      <c r="S7" s="3131"/>
      <c r="T7" s="3131" t="s">
        <v>3460</v>
      </c>
      <c r="U7" s="3131"/>
      <c r="V7" s="3138"/>
    </row>
    <row r="8" spans="1:22" s="3137" customFormat="1" ht="13.15" customHeight="1">
      <c r="A8" s="3176" t="s">
        <v>3461</v>
      </c>
      <c r="B8" s="3556" t="s">
        <v>3462</v>
      </c>
      <c r="C8" s="3548"/>
      <c r="D8" s="3177" t="s">
        <v>3463</v>
      </c>
      <c r="E8" s="3178" t="s">
        <v>3464</v>
      </c>
      <c r="F8" s="3141" t="s">
        <v>3465</v>
      </c>
      <c r="G8" s="3179"/>
      <c r="I8" s="3138"/>
      <c r="J8" s="3539"/>
      <c r="K8" s="3541"/>
      <c r="L8" s="3171" t="s">
        <v>3466</v>
      </c>
      <c r="M8" s="3172">
        <v>12</v>
      </c>
      <c r="N8" s="3148">
        <v>3200</v>
      </c>
      <c r="O8" s="3173">
        <v>0.5</v>
      </c>
      <c r="P8" s="3173">
        <v>0.6</v>
      </c>
      <c r="Q8" s="3174">
        <v>365</v>
      </c>
      <c r="R8" s="3175">
        <f t="shared" ref="R8:R13" si="0">ROUND(M8*N8*O8*P8*Q8/10000,0)</f>
        <v>420</v>
      </c>
      <c r="S8" s="3131"/>
      <c r="T8" s="3131" t="s">
        <v>3467</v>
      </c>
      <c r="U8" s="3131"/>
      <c r="V8" s="3138"/>
    </row>
    <row r="9" spans="1:22" s="3137" customFormat="1" ht="13.15" customHeight="1">
      <c r="A9" s="3176">
        <v>1</v>
      </c>
      <c r="B9" s="3556" t="s">
        <v>3468</v>
      </c>
      <c r="C9" s="3548"/>
      <c r="D9" s="3177">
        <f>ROUND(D6*E9,0)</f>
        <v>0</v>
      </c>
      <c r="E9" s="3180"/>
      <c r="F9" s="3181" t="s">
        <v>3469</v>
      </c>
      <c r="G9" s="3161"/>
      <c r="I9" s="3138"/>
      <c r="J9" s="3539"/>
      <c r="K9" s="3541"/>
      <c r="L9" s="3171" t="s">
        <v>3470</v>
      </c>
      <c r="M9" s="3172">
        <v>45</v>
      </c>
      <c r="N9" s="3148">
        <v>2700</v>
      </c>
      <c r="O9" s="3173">
        <v>0.5</v>
      </c>
      <c r="P9" s="3173">
        <v>0.6</v>
      </c>
      <c r="Q9" s="3174">
        <v>365</v>
      </c>
      <c r="R9" s="3175">
        <f t="shared" si="0"/>
        <v>1330</v>
      </c>
      <c r="S9" s="3131"/>
      <c r="T9" s="3131"/>
      <c r="U9" s="3131"/>
      <c r="V9" s="3138"/>
    </row>
    <row r="10" spans="1:22" s="3137" customFormat="1" ht="13.15" customHeight="1">
      <c r="A10" s="3176">
        <v>2</v>
      </c>
      <c r="B10" s="3556" t="s">
        <v>3471</v>
      </c>
      <c r="C10" s="3548"/>
      <c r="D10" s="3177">
        <f>ROUND(D6*E10,0)</f>
        <v>0</v>
      </c>
      <c r="E10" s="3180"/>
      <c r="F10" s="3181" t="s">
        <v>3472</v>
      </c>
      <c r="G10" s="3161"/>
      <c r="I10" s="3138"/>
      <c r="J10" s="3539"/>
      <c r="K10" s="3541"/>
      <c r="L10" s="3171" t="s">
        <v>3473</v>
      </c>
      <c r="M10" s="3172">
        <v>368</v>
      </c>
      <c r="N10" s="3148">
        <v>1500</v>
      </c>
      <c r="O10" s="3173">
        <v>0.5</v>
      </c>
      <c r="P10" s="3173">
        <v>0.6</v>
      </c>
      <c r="Q10" s="3174">
        <v>365</v>
      </c>
      <c r="R10" s="3175">
        <f t="shared" si="0"/>
        <v>6044</v>
      </c>
      <c r="S10" s="3131"/>
      <c r="T10" s="3131"/>
      <c r="U10" s="3131"/>
      <c r="V10" s="3138"/>
    </row>
    <row r="11" spans="1:22" s="3137" customFormat="1" ht="13.15" customHeight="1">
      <c r="A11" s="3176">
        <v>3</v>
      </c>
      <c r="B11" s="3556" t="s">
        <v>3474</v>
      </c>
      <c r="C11" s="3548"/>
      <c r="D11" s="3177">
        <f>D12+D14+D15+D16</f>
        <v>406</v>
      </c>
      <c r="E11" s="3182">
        <f>D11/D6</f>
        <v>5.4953979426096373E-2</v>
      </c>
      <c r="F11" s="3141"/>
      <c r="G11" s="3179"/>
      <c r="I11" s="3138"/>
      <c r="J11" s="3539"/>
      <c r="K11" s="3541"/>
      <c r="L11" s="3171" t="s">
        <v>3475</v>
      </c>
      <c r="M11" s="3172">
        <v>50</v>
      </c>
      <c r="N11" s="3148">
        <v>2000</v>
      </c>
      <c r="O11" s="3173">
        <v>0.5</v>
      </c>
      <c r="P11" s="3173">
        <v>0.6</v>
      </c>
      <c r="Q11" s="3174">
        <v>365</v>
      </c>
      <c r="R11" s="3175">
        <f t="shared" si="0"/>
        <v>1095</v>
      </c>
      <c r="S11" s="3131"/>
      <c r="T11" s="3131"/>
      <c r="U11" s="3131"/>
      <c r="V11" s="3138"/>
    </row>
    <row r="12" spans="1:22" s="3137" customFormat="1" ht="13.15" customHeight="1">
      <c r="A12" s="3183" t="s">
        <v>3476</v>
      </c>
      <c r="B12" s="3549" t="s">
        <v>3477</v>
      </c>
      <c r="C12" s="3550"/>
      <c r="D12" s="3184">
        <f>ROUND(D13*1.2%*(1-30%),0)</f>
        <v>0</v>
      </c>
      <c r="E12" s="3185">
        <v>1.2E-2</v>
      </c>
      <c r="F12" s="3141" t="s">
        <v>3478</v>
      </c>
      <c r="G12" s="3179"/>
      <c r="I12" s="3138"/>
      <c r="J12" s="3539"/>
      <c r="K12" s="3541"/>
      <c r="L12" s="3171" t="s">
        <v>3479</v>
      </c>
      <c r="M12" s="3172">
        <v>36</v>
      </c>
      <c r="N12" s="3148">
        <v>2700</v>
      </c>
      <c r="O12" s="3173">
        <v>0.5</v>
      </c>
      <c r="P12" s="3173">
        <v>0.6</v>
      </c>
      <c r="Q12" s="3174">
        <v>365</v>
      </c>
      <c r="R12" s="3175">
        <f t="shared" si="0"/>
        <v>1064</v>
      </c>
      <c r="S12" s="3131"/>
      <c r="T12" s="3131"/>
      <c r="U12" s="3131"/>
      <c r="V12" s="3138"/>
    </row>
    <row r="13" spans="1:22" s="3137" customFormat="1" ht="13.15" customHeight="1">
      <c r="A13" s="3183"/>
      <c r="B13" s="3186"/>
      <c r="C13" s="3187" t="s">
        <v>3480</v>
      </c>
      <c r="D13" s="3188"/>
      <c r="E13" s="3189"/>
      <c r="F13" s="3141"/>
      <c r="G13" s="3179"/>
      <c r="I13" s="3138"/>
      <c r="J13" s="3539"/>
      <c r="K13" s="3541"/>
      <c r="L13" s="3171" t="s">
        <v>3481</v>
      </c>
      <c r="M13" s="3172">
        <v>15</v>
      </c>
      <c r="N13" s="3148">
        <v>3200</v>
      </c>
      <c r="O13" s="3173">
        <v>0.5</v>
      </c>
      <c r="P13" s="3173">
        <v>0.6</v>
      </c>
      <c r="Q13" s="3174">
        <v>365</v>
      </c>
      <c r="R13" s="3175">
        <f t="shared" si="0"/>
        <v>526</v>
      </c>
      <c r="S13" s="3131"/>
      <c r="T13" s="3131"/>
      <c r="U13" s="3131"/>
      <c r="V13" s="3138"/>
    </row>
    <row r="14" spans="1:22" s="3137" customFormat="1" ht="13.15" customHeight="1">
      <c r="A14" s="3183" t="s">
        <v>3482</v>
      </c>
      <c r="B14" s="3549" t="s">
        <v>3483</v>
      </c>
      <c r="C14" s="3550"/>
      <c r="D14" s="3184">
        <f>ROUND(E14*B5/10000,0)</f>
        <v>0</v>
      </c>
      <c r="E14" s="3174"/>
      <c r="F14" s="3141" t="s">
        <v>3484</v>
      </c>
      <c r="G14" s="3179"/>
      <c r="I14" s="3138"/>
      <c r="J14" s="3539"/>
      <c r="K14" s="3542"/>
      <c r="L14" s="3190" t="s">
        <v>3485</v>
      </c>
      <c r="M14" s="3191">
        <f>SUM(M7:M13)</f>
        <v>527</v>
      </c>
      <c r="N14" s="3191">
        <f>ROUND((N7*M7+N8*M8+N9*M9+N10*M10+N11*M11+N12*M12+N13*M13)/M14,0)</f>
        <v>1831</v>
      </c>
      <c r="O14" s="3192"/>
      <c r="P14" s="3192"/>
      <c r="Q14" s="3193"/>
      <c r="R14" s="3141">
        <f>SUM(R7:R13)</f>
        <v>10567</v>
      </c>
      <c r="S14" s="3131"/>
      <c r="T14" s="3131"/>
      <c r="U14" s="3131"/>
      <c r="V14" s="3138"/>
    </row>
    <row r="15" spans="1:22" s="3137" customFormat="1" ht="13.15" customHeight="1">
      <c r="A15" s="3183" t="s">
        <v>3486</v>
      </c>
      <c r="B15" s="3549" t="s">
        <v>3487</v>
      </c>
      <c r="C15" s="3550"/>
      <c r="D15" s="3184">
        <f>ROUND(D6*E15,0)</f>
        <v>406</v>
      </c>
      <c r="E15" s="3185">
        <v>5.5E-2</v>
      </c>
      <c r="F15" s="3141" t="s">
        <v>3488</v>
      </c>
      <c r="G15" s="3161"/>
      <c r="I15" s="3138"/>
      <c r="J15" s="3539">
        <v>2</v>
      </c>
      <c r="K15" s="3540" t="s">
        <v>3489</v>
      </c>
      <c r="L15" s="3171" t="s">
        <v>3490</v>
      </c>
      <c r="M15" s="3172" t="s">
        <v>3491</v>
      </c>
      <c r="N15" s="3172" t="s">
        <v>3492</v>
      </c>
      <c r="O15" s="3173" t="s">
        <v>3493</v>
      </c>
      <c r="P15" s="3173" t="s">
        <v>3494</v>
      </c>
      <c r="Q15" s="3148" t="s">
        <v>3495</v>
      </c>
      <c r="R15" s="3194" t="s">
        <v>3496</v>
      </c>
      <c r="S15" s="3131"/>
      <c r="T15" s="3131"/>
      <c r="U15" s="3131"/>
      <c r="V15" s="3138"/>
    </row>
    <row r="16" spans="1:22" s="3137" customFormat="1" ht="13.15" customHeight="1">
      <c r="A16" s="3183" t="s">
        <v>3497</v>
      </c>
      <c r="B16" s="3549" t="s">
        <v>3498</v>
      </c>
      <c r="C16" s="3550"/>
      <c r="D16" s="3195">
        <f>D6*E16</f>
        <v>0</v>
      </c>
      <c r="E16" s="3196"/>
      <c r="F16" s="3181" t="s">
        <v>3499</v>
      </c>
      <c r="G16" s="3161"/>
      <c r="I16" s="3138"/>
      <c r="J16" s="3539"/>
      <c r="K16" s="3541"/>
      <c r="L16" s="3171" t="s">
        <v>3500</v>
      </c>
      <c r="M16" s="3172">
        <v>100</v>
      </c>
      <c r="N16" s="3172">
        <v>100</v>
      </c>
      <c r="O16" s="3173">
        <v>1.2</v>
      </c>
      <c r="P16" s="3174">
        <v>365</v>
      </c>
      <c r="Q16" s="3148"/>
      <c r="R16" s="3194">
        <f>ROUND(M16*N16*O16*P16/10000,0)</f>
        <v>438</v>
      </c>
      <c r="S16" s="3131"/>
      <c r="T16" s="3131"/>
      <c r="U16" s="3131"/>
      <c r="V16" s="3138"/>
    </row>
    <row r="17" spans="1:22" s="3137" customFormat="1" ht="13.15" customHeight="1" thickBot="1">
      <c r="A17" s="3197">
        <v>4</v>
      </c>
      <c r="B17" s="3551" t="s">
        <v>3501</v>
      </c>
      <c r="C17" s="3552"/>
      <c r="D17" s="3198">
        <f>ROUND(D6*E17,0)</f>
        <v>0</v>
      </c>
      <c r="E17" s="3199"/>
      <c r="F17" s="3200" t="s">
        <v>3502</v>
      </c>
      <c r="G17" s="3161"/>
      <c r="I17" s="3138"/>
      <c r="J17" s="3539"/>
      <c r="K17" s="3541"/>
      <c r="L17" s="3171" t="s">
        <v>3503</v>
      </c>
      <c r="M17" s="3172">
        <v>200</v>
      </c>
      <c r="N17" s="3172">
        <v>200</v>
      </c>
      <c r="O17" s="3173">
        <v>2</v>
      </c>
      <c r="P17" s="3174">
        <v>365</v>
      </c>
      <c r="Q17" s="3148"/>
      <c r="R17" s="3194">
        <f>ROUND(M17*N17*O17*P17/10000,0)</f>
        <v>2920</v>
      </c>
      <c r="S17" s="3131"/>
      <c r="T17" s="3131"/>
      <c r="U17" s="3131"/>
      <c r="V17" s="3138"/>
    </row>
    <row r="18" spans="1:22" s="3137" customFormat="1" ht="13.15" customHeight="1" thickBot="1">
      <c r="A18" s="3164" t="s">
        <v>3504</v>
      </c>
      <c r="B18" s="3165"/>
      <c r="C18" s="3165"/>
      <c r="D18" s="3201">
        <f>ROUND(D6*E18,0)</f>
        <v>0</v>
      </c>
      <c r="E18" s="3202"/>
      <c r="F18" s="3203" t="s">
        <v>3505</v>
      </c>
      <c r="G18" s="3161"/>
      <c r="I18" s="3138"/>
      <c r="J18" s="3539"/>
      <c r="K18" s="3541"/>
      <c r="L18" s="3171" t="s">
        <v>3506</v>
      </c>
      <c r="M18" s="3172"/>
      <c r="N18" s="3172"/>
      <c r="O18" s="3173"/>
      <c r="P18" s="3174">
        <v>365</v>
      </c>
      <c r="Q18" s="3148"/>
      <c r="R18" s="3194">
        <f>ROUND(M18*N18*O18*P18/10000,0)</f>
        <v>0</v>
      </c>
      <c r="S18" s="3131"/>
      <c r="T18" s="3131"/>
      <c r="U18" s="3131"/>
      <c r="V18" s="3138"/>
    </row>
    <row r="19" spans="1:22" s="3137" customFormat="1" ht="13.15" customHeight="1" thickBot="1">
      <c r="A19" s="3204" t="s">
        <v>3507</v>
      </c>
      <c r="B19" s="3159"/>
      <c r="C19" s="3159"/>
      <c r="D19" s="3159"/>
      <c r="E19" s="3159"/>
      <c r="F19" s="3160"/>
      <c r="G19" s="3179"/>
      <c r="I19" s="3138"/>
      <c r="J19" s="3539"/>
      <c r="K19" s="3542"/>
      <c r="L19" s="3190" t="s">
        <v>3485</v>
      </c>
      <c r="M19" s="3191"/>
      <c r="N19" s="3191">
        <f>SUM(N16:N18)</f>
        <v>300</v>
      </c>
      <c r="O19" s="3192"/>
      <c r="P19" s="3205" t="s">
        <v>3508</v>
      </c>
      <c r="Q19" s="3173">
        <v>0.5</v>
      </c>
      <c r="R19" s="3206">
        <f>ROUND(IF(P19="按比例",R14*Q19,SUM(R16:R18)),0)</f>
        <v>5284</v>
      </c>
      <c r="S19" s="3131"/>
      <c r="T19" s="3131"/>
      <c r="U19" s="3131"/>
      <c r="V19" s="3138"/>
    </row>
    <row r="20" spans="1:22" s="3137" customFormat="1" ht="13.15" customHeight="1">
      <c r="A20" s="3164"/>
      <c r="B20" s="3165"/>
      <c r="C20" s="3165"/>
      <c r="D20" s="3165"/>
      <c r="E20" s="3165"/>
      <c r="F20" s="3207"/>
      <c r="G20" s="3179"/>
      <c r="I20" s="3138"/>
      <c r="J20" s="3539">
        <v>3</v>
      </c>
      <c r="K20" s="3540" t="s">
        <v>3509</v>
      </c>
      <c r="L20" s="3171" t="s">
        <v>3510</v>
      </c>
      <c r="M20" s="3172" t="s">
        <v>3511</v>
      </c>
      <c r="N20" s="3208" t="s">
        <v>3512</v>
      </c>
      <c r="O20" s="3173" t="s">
        <v>3513</v>
      </c>
      <c r="P20" s="3174" t="s">
        <v>3514</v>
      </c>
      <c r="Q20" s="3148" t="s">
        <v>3515</v>
      </c>
      <c r="R20" s="3194" t="s">
        <v>3516</v>
      </c>
      <c r="S20" s="3209"/>
      <c r="T20" s="3209"/>
      <c r="U20" s="3209"/>
      <c r="V20" s="3138"/>
    </row>
    <row r="21" spans="1:22" s="3137" customFormat="1" ht="13.15" customHeight="1">
      <c r="A21" s="3164"/>
      <c r="B21" s="3165"/>
      <c r="C21" s="3210" t="s">
        <v>3517</v>
      </c>
      <c r="D21" s="3211" t="s">
        <v>3518</v>
      </c>
      <c r="E21" s="3212" t="s">
        <v>3519</v>
      </c>
      <c r="F21" s="3207"/>
      <c r="G21" s="3179"/>
      <c r="I21" s="3138"/>
      <c r="J21" s="3539"/>
      <c r="K21" s="3541"/>
      <c r="L21" s="3171" t="s">
        <v>3520</v>
      </c>
      <c r="M21" s="3172">
        <v>2</v>
      </c>
      <c r="N21" s="3172">
        <v>3000</v>
      </c>
      <c r="O21" s="3173">
        <v>0.3</v>
      </c>
      <c r="P21" s="3174">
        <v>365</v>
      </c>
      <c r="Q21" s="3148"/>
      <c r="R21" s="3213">
        <f>ROUND(M21*N21*O21*P21/10000,0)</f>
        <v>66</v>
      </c>
      <c r="S21" s="3209"/>
      <c r="T21" s="3209"/>
      <c r="U21" s="3209"/>
      <c r="V21" s="3138"/>
    </row>
    <row r="22" spans="1:22" s="3137" customFormat="1" ht="13.15" customHeight="1">
      <c r="A22" s="3164"/>
      <c r="B22" s="3165"/>
      <c r="C22" s="3214" t="s">
        <v>3521</v>
      </c>
      <c r="D22" s="3215" t="s">
        <v>3522</v>
      </c>
      <c r="E22" s="3216" t="s">
        <v>3523</v>
      </c>
      <c r="F22" s="3207"/>
      <c r="G22" s="3217"/>
      <c r="I22" s="3138"/>
      <c r="J22" s="3539"/>
      <c r="K22" s="3541"/>
      <c r="L22" s="3171" t="s">
        <v>3524</v>
      </c>
      <c r="M22" s="3172">
        <v>5</v>
      </c>
      <c r="N22" s="3172">
        <v>1500</v>
      </c>
      <c r="O22" s="3173">
        <v>0.5</v>
      </c>
      <c r="P22" s="3174">
        <v>365</v>
      </c>
      <c r="Q22" s="3148"/>
      <c r="R22" s="3213">
        <f>ROUND(M22*N22*O22*P22/10000,0)</f>
        <v>137</v>
      </c>
      <c r="S22" s="3209"/>
      <c r="T22" s="3209"/>
      <c r="U22" s="3209"/>
      <c r="V22" s="3138"/>
    </row>
    <row r="23" spans="1:22" s="3137" customFormat="1" ht="13.15" customHeight="1">
      <c r="A23" s="3218">
        <v>1</v>
      </c>
      <c r="B23" s="3163" t="s">
        <v>3525</v>
      </c>
      <c r="C23" s="3219">
        <f>'测算过程 -酒店'!C23+'测算过程-温泉'!C23</f>
        <v>8772</v>
      </c>
      <c r="D23" s="3220">
        <f>C23*(1+D24)</f>
        <v>8772</v>
      </c>
      <c r="E23" s="3221">
        <f>D23*(1+E24)</f>
        <v>8772</v>
      </c>
      <c r="F23" s="3222"/>
      <c r="G23" s="3223"/>
      <c r="I23" s="3138"/>
      <c r="J23" s="3539"/>
      <c r="K23" s="3541"/>
      <c r="L23" s="3171" t="s">
        <v>3526</v>
      </c>
      <c r="M23" s="3172">
        <v>8</v>
      </c>
      <c r="N23" s="3172">
        <v>1000</v>
      </c>
      <c r="O23" s="3173">
        <v>0.6</v>
      </c>
      <c r="P23" s="3174">
        <v>365</v>
      </c>
      <c r="Q23" s="3148"/>
      <c r="R23" s="3213">
        <f>ROUND(M23*N23*O23*P23/10000,0)</f>
        <v>175</v>
      </c>
      <c r="S23" s="3131"/>
      <c r="T23" s="3131"/>
      <c r="U23" s="3131"/>
      <c r="V23" s="3138"/>
    </row>
    <row r="24" spans="1:22" s="3137" customFormat="1" ht="13.15" customHeight="1">
      <c r="A24" s="3224"/>
      <c r="B24" s="3225" t="s">
        <v>3527</v>
      </c>
      <c r="C24" s="3226"/>
      <c r="D24" s="3227"/>
      <c r="E24" s="3228"/>
      <c r="F24" s="3229"/>
      <c r="G24" s="3223"/>
      <c r="I24" s="3138"/>
      <c r="J24" s="3539"/>
      <c r="K24" s="3542"/>
      <c r="L24" s="3190" t="s">
        <v>3528</v>
      </c>
      <c r="M24" s="3191">
        <f>SUM(M21:M23)</f>
        <v>15</v>
      </c>
      <c r="N24" s="3191"/>
      <c r="O24" s="3192"/>
      <c r="P24" s="3205" t="s">
        <v>3508</v>
      </c>
      <c r="Q24" s="3173">
        <v>0.1</v>
      </c>
      <c r="R24" s="3206">
        <f>ROUND(IF(P24="按比例",R14*Q24,SUM(R21:R23)),0)</f>
        <v>1057</v>
      </c>
      <c r="S24" s="3131"/>
      <c r="T24" s="3131"/>
      <c r="U24" s="3131"/>
      <c r="V24" s="3138"/>
    </row>
    <row r="25" spans="1:22" s="3236" customFormat="1" ht="13.15" customHeight="1">
      <c r="A25" s="3224"/>
      <c r="B25" s="3225"/>
      <c r="C25" s="3226"/>
      <c r="D25" s="3227"/>
      <c r="E25" s="3228"/>
      <c r="F25" s="3229"/>
      <c r="G25" s="3217"/>
      <c r="H25" s="3137"/>
      <c r="I25" s="3138"/>
      <c r="J25" s="3230">
        <v>4</v>
      </c>
      <c r="K25" s="3231" t="s">
        <v>3529</v>
      </c>
      <c r="L25" s="3232"/>
      <c r="M25" s="3232"/>
      <c r="N25" s="3232"/>
      <c r="O25" s="3232"/>
      <c r="P25" s="3233"/>
      <c r="Q25" s="3234">
        <v>0.1</v>
      </c>
      <c r="R25" s="3206">
        <f>ROUND(R14*Q25,0)</f>
        <v>1057</v>
      </c>
      <c r="S25" s="3131"/>
      <c r="T25" s="3131"/>
      <c r="U25" s="3131"/>
      <c r="V25" s="3235"/>
    </row>
    <row r="26" spans="1:22" s="3236" customFormat="1" ht="13.15" customHeight="1">
      <c r="A26" s="3218">
        <v>2</v>
      </c>
      <c r="B26" s="3163" t="s">
        <v>3530</v>
      </c>
      <c r="C26" s="3219">
        <f ca="1">'测算过程 -酒店'!C26+'测算过程-温泉'!C26</f>
        <v>5854</v>
      </c>
      <c r="D26" s="3220">
        <f>D23*D27</f>
        <v>0</v>
      </c>
      <c r="E26" s="3221">
        <f>E23*E27</f>
        <v>0</v>
      </c>
      <c r="F26" s="3222"/>
      <c r="G26" s="3223"/>
      <c r="H26" s="3137"/>
      <c r="I26" s="3138"/>
      <c r="J26" s="3543">
        <v>5</v>
      </c>
      <c r="K26" s="3237" t="s">
        <v>3531</v>
      </c>
      <c r="L26" s="3238"/>
      <c r="M26" s="3239"/>
      <c r="N26" s="3240" t="s">
        <v>3532</v>
      </c>
      <c r="O26" s="3240" t="s">
        <v>3533</v>
      </c>
      <c r="P26" s="3241" t="s">
        <v>3534</v>
      </c>
      <c r="Q26" s="3241" t="s">
        <v>3535</v>
      </c>
      <c r="R26" s="3146" t="s">
        <v>3536</v>
      </c>
      <c r="S26" s="3242"/>
      <c r="T26" s="3242"/>
      <c r="U26" s="3242"/>
      <c r="V26" s="3235"/>
    </row>
    <row r="27" spans="1:22" s="3137" customFormat="1" ht="13.15" customHeight="1">
      <c r="A27" s="3224"/>
      <c r="B27" s="3225" t="s">
        <v>3537</v>
      </c>
      <c r="C27" s="3243">
        <f>E7</f>
        <v>5.4953979426096373E-2</v>
      </c>
      <c r="D27" s="3227"/>
      <c r="E27" s="3228"/>
      <c r="F27" s="3229"/>
      <c r="G27" s="3223"/>
      <c r="H27" s="3236"/>
      <c r="I27" s="3235"/>
      <c r="J27" s="3544"/>
      <c r="K27" s="3244"/>
      <c r="L27" s="3245"/>
      <c r="M27" s="3246"/>
      <c r="N27" s="3247"/>
      <c r="O27" s="3247"/>
      <c r="P27" s="3247"/>
      <c r="Q27" s="3248"/>
      <c r="R27" s="3206">
        <f>ROUND(O27*N27*P27*(1-Q27)/10000,0)</f>
        <v>0</v>
      </c>
      <c r="S27" s="3131"/>
      <c r="T27" s="3131"/>
      <c r="U27" s="3131"/>
      <c r="V27" s="3138"/>
    </row>
    <row r="28" spans="1:22" s="3236" customFormat="1" ht="13.15" customHeight="1" thickBot="1">
      <c r="A28" s="3224"/>
      <c r="B28" s="3225"/>
      <c r="C28" s="3243"/>
      <c r="D28" s="3227"/>
      <c r="E28" s="3228" t="s">
        <v>3538</v>
      </c>
      <c r="F28" s="3229"/>
      <c r="G28" s="3217"/>
      <c r="I28" s="3235"/>
      <c r="J28" s="3249">
        <v>6</v>
      </c>
      <c r="K28" s="3250" t="s">
        <v>3539</v>
      </c>
      <c r="L28" s="3251" t="s">
        <v>3540</v>
      </c>
      <c r="M28" s="3252"/>
      <c r="N28" s="3251" t="s">
        <v>3541</v>
      </c>
      <c r="O28" s="3253" t="s">
        <v>3542</v>
      </c>
      <c r="P28" s="3251" t="s">
        <v>3543</v>
      </c>
      <c r="Q28" s="3254">
        <v>1.4999999999999999E-2</v>
      </c>
      <c r="R28" s="3255"/>
      <c r="S28" s="3209"/>
      <c r="T28" s="3209"/>
      <c r="U28" s="3209"/>
      <c r="V28" s="3235"/>
    </row>
    <row r="29" spans="1:22" s="3236" customFormat="1" ht="13.15" customHeight="1">
      <c r="A29" s="3218">
        <v>3</v>
      </c>
      <c r="B29" s="3163" t="s">
        <v>3544</v>
      </c>
      <c r="C29" s="3219">
        <f>'测算过程 -酒店'!C29+'测算过程-温泉'!C29</f>
        <v>438.6</v>
      </c>
      <c r="D29" s="3220">
        <f>D23*C30</f>
        <v>0</v>
      </c>
      <c r="E29" s="3221">
        <f>E23*C30</f>
        <v>0</v>
      </c>
      <c r="F29" s="3222"/>
      <c r="G29" s="3223"/>
      <c r="H29" s="3137"/>
      <c r="I29" s="3138"/>
      <c r="J29" s="3209"/>
      <c r="K29" s="3209"/>
      <c r="L29" s="3209"/>
      <c r="M29" s="3209"/>
      <c r="N29" s="3209"/>
      <c r="O29" s="3209"/>
      <c r="P29" s="3209"/>
      <c r="Q29" s="3209"/>
      <c r="R29" s="3209"/>
      <c r="S29" s="3209"/>
      <c r="T29" s="3209"/>
      <c r="U29" s="3209"/>
      <c r="V29" s="3235"/>
    </row>
    <row r="30" spans="1:22" s="3137" customFormat="1" ht="13.15" customHeight="1" thickBot="1">
      <c r="A30" s="3224"/>
      <c r="B30" s="3225" t="s">
        <v>3537</v>
      </c>
      <c r="C30" s="3243">
        <f>E18</f>
        <v>0</v>
      </c>
      <c r="D30" s="3256"/>
      <c r="E30" s="3189"/>
      <c r="F30" s="3229"/>
      <c r="G30" s="3223"/>
      <c r="H30" s="3236"/>
      <c r="I30" s="3235"/>
      <c r="J30" s="3209"/>
      <c r="K30" s="3209"/>
      <c r="L30" s="3209"/>
      <c r="M30" s="3209"/>
      <c r="N30" s="3209"/>
      <c r="O30" s="3209"/>
      <c r="P30" s="3209"/>
      <c r="Q30" s="3209"/>
      <c r="R30" s="3209"/>
      <c r="S30" s="3209"/>
      <c r="T30" s="3209"/>
      <c r="U30" s="3131"/>
      <c r="V30" s="3138"/>
    </row>
    <row r="31" spans="1:22" s="3236" customFormat="1" ht="13.15" customHeight="1">
      <c r="A31" s="3224"/>
      <c r="B31" s="3225"/>
      <c r="C31" s="3257"/>
      <c r="D31" s="3256"/>
      <c r="E31" s="3189"/>
      <c r="F31" s="3229"/>
      <c r="G31" s="3217"/>
      <c r="I31" s="3235"/>
      <c r="J31" s="3128" t="s">
        <v>3545</v>
      </c>
      <c r="K31" s="3129"/>
      <c r="L31" s="3129"/>
      <c r="M31" s="3129"/>
      <c r="N31" s="3129"/>
      <c r="O31" s="3129"/>
      <c r="P31" s="3129"/>
      <c r="Q31" s="3129"/>
      <c r="R31" s="3130"/>
      <c r="S31" s="3209"/>
      <c r="T31" s="3131"/>
      <c r="U31" s="3131"/>
      <c r="V31" s="3235"/>
    </row>
    <row r="32" spans="1:22" s="3236" customFormat="1" ht="13.15" customHeight="1">
      <c r="A32" s="3218">
        <v>4</v>
      </c>
      <c r="B32" s="3163" t="s">
        <v>3546</v>
      </c>
      <c r="C32" s="3219">
        <f ca="1">C23-C26-C29</f>
        <v>2479.4</v>
      </c>
      <c r="D32" s="3220">
        <f>D23-D26-D29</f>
        <v>8772</v>
      </c>
      <c r="E32" s="3221">
        <f>E23-E26-E29</f>
        <v>8772</v>
      </c>
      <c r="F32" s="3222"/>
      <c r="G32" s="3217"/>
      <c r="H32" s="3137"/>
      <c r="I32" s="3138"/>
      <c r="J32" s="3545" t="s">
        <v>3547</v>
      </c>
      <c r="K32" s="3546"/>
      <c r="L32" s="3139" t="s">
        <v>3548</v>
      </c>
      <c r="M32" s="3139" t="s">
        <v>3434</v>
      </c>
      <c r="N32" s="3139" t="s">
        <v>3435</v>
      </c>
      <c r="O32" s="3139" t="s">
        <v>3436</v>
      </c>
      <c r="P32" s="3139" t="s">
        <v>3437</v>
      </c>
      <c r="Q32" s="3140" t="s">
        <v>3549</v>
      </c>
      <c r="R32" s="3178" t="s">
        <v>3550</v>
      </c>
      <c r="S32" s="3209"/>
      <c r="T32" s="3131"/>
      <c r="U32" s="3131"/>
      <c r="V32" s="3235"/>
    </row>
    <row r="33" spans="1:23" s="3137" customFormat="1" ht="13.15" customHeight="1">
      <c r="A33" s="3218"/>
      <c r="B33" s="3163"/>
      <c r="C33" s="3219"/>
      <c r="D33" s="3258"/>
      <c r="E33" s="3259"/>
      <c r="F33" s="3222"/>
      <c r="G33" s="3217"/>
      <c r="H33" s="3236"/>
      <c r="I33" s="3235"/>
      <c r="J33" s="3547" t="s">
        <v>3551</v>
      </c>
      <c r="K33" s="3548"/>
      <c r="L33" s="3144">
        <v>20000</v>
      </c>
      <c r="M33" s="3144">
        <v>500</v>
      </c>
      <c r="N33" s="3144">
        <v>500</v>
      </c>
      <c r="O33" s="3144">
        <v>10000</v>
      </c>
      <c r="P33" s="3144">
        <v>10000</v>
      </c>
      <c r="Q33" s="3145">
        <v>500</v>
      </c>
      <c r="R33" s="3260">
        <f>SUM(L33:Q33)</f>
        <v>41500</v>
      </c>
      <c r="S33" s="3209"/>
      <c r="T33" s="3131"/>
      <c r="U33" s="3131"/>
      <c r="V33" s="3138"/>
    </row>
    <row r="34" spans="1:23" s="3137" customFormat="1" ht="13.15" customHeight="1">
      <c r="A34" s="3218">
        <v>5</v>
      </c>
      <c r="B34" s="3163" t="s">
        <v>3552</v>
      </c>
      <c r="C34" s="3261">
        <f ca="1">'测算过程 -酒店'!C34</f>
        <v>5.5E-2</v>
      </c>
      <c r="D34" s="3262"/>
      <c r="E34" s="3263"/>
      <c r="F34" s="3222"/>
      <c r="G34" s="3217"/>
      <c r="H34" s="3236"/>
      <c r="I34" s="3235"/>
      <c r="J34" s="3547" t="s">
        <v>3553</v>
      </c>
      <c r="K34" s="3548"/>
      <c r="L34" s="3149">
        <v>6500</v>
      </c>
      <c r="M34" s="3149">
        <v>150</v>
      </c>
      <c r="N34" s="3149">
        <v>150</v>
      </c>
      <c r="O34" s="3149">
        <v>3500</v>
      </c>
      <c r="P34" s="3149">
        <v>3500</v>
      </c>
      <c r="Q34" s="3150">
        <v>150</v>
      </c>
      <c r="R34" s="3264">
        <f>SUM(L34:Q34)</f>
        <v>13950</v>
      </c>
      <c r="S34" s="3209"/>
      <c r="T34" s="3131"/>
      <c r="U34" s="3131">
        <f>ROUND(R35*10000/365/R33,1)</f>
        <v>7.3</v>
      </c>
      <c r="V34" s="3138"/>
    </row>
    <row r="35" spans="1:23" s="3137" customFormat="1" ht="13.15" customHeight="1">
      <c r="A35" s="3218">
        <v>6</v>
      </c>
      <c r="B35" s="3163" t="s">
        <v>3554</v>
      </c>
      <c r="C35" s="3265">
        <f ca="1">'测算过程 -酒店'!C35</f>
        <v>2.5000000000000001E-2</v>
      </c>
      <c r="D35" s="3266"/>
      <c r="E35" s="3267"/>
      <c r="F35" s="3222"/>
      <c r="G35" s="3268"/>
      <c r="I35" s="3235"/>
      <c r="J35" s="3155" t="s">
        <v>3555</v>
      </c>
      <c r="K35" s="3156"/>
      <c r="L35" s="3156"/>
      <c r="M35" s="3157"/>
      <c r="N35" s="3157"/>
      <c r="O35" s="3157"/>
      <c r="P35" s="3157"/>
      <c r="Q35" s="3157"/>
      <c r="R35" s="3210">
        <f>R40+R41+R43</f>
        <v>11078</v>
      </c>
      <c r="S35" s="3209"/>
      <c r="T35" s="3131" t="s">
        <v>3556</v>
      </c>
      <c r="U35" s="3131"/>
      <c r="V35" s="3138"/>
    </row>
    <row r="36" spans="1:23" s="3137" customFormat="1" ht="13.15" customHeight="1" thickBot="1">
      <c r="A36" s="3218">
        <v>7</v>
      </c>
      <c r="B36" s="3269" t="s">
        <v>3557</v>
      </c>
      <c r="C36" s="3270">
        <f ca="1">'测算过程 -酒店'!C36</f>
        <v>32.61</v>
      </c>
      <c r="D36" s="3271"/>
      <c r="E36" s="3272"/>
      <c r="F36" s="3273">
        <f ca="1">C36+D36+E36</f>
        <v>32.61</v>
      </c>
      <c r="G36" s="3217"/>
      <c r="I36" s="3138"/>
      <c r="J36" s="3539">
        <v>1</v>
      </c>
      <c r="K36" s="3540" t="s">
        <v>3558</v>
      </c>
      <c r="L36" s="3162"/>
      <c r="M36" s="3163"/>
      <c r="N36" s="3163"/>
      <c r="O36" s="3163"/>
      <c r="P36" s="3163"/>
      <c r="Q36" s="3163"/>
      <c r="R36" s="3146" t="s">
        <v>3496</v>
      </c>
      <c r="S36" s="3209"/>
      <c r="T36" s="3131" t="s">
        <v>3559</v>
      </c>
      <c r="U36" s="3131"/>
      <c r="V36" s="3138"/>
    </row>
    <row r="37" spans="1:23" s="3137" customFormat="1" ht="13.15" customHeight="1">
      <c r="A37" s="3218"/>
      <c r="B37" s="3163"/>
      <c r="C37" s="3163"/>
      <c r="D37" s="3163"/>
      <c r="E37" s="3163"/>
      <c r="F37" s="3222"/>
      <c r="G37" s="3217"/>
      <c r="I37" s="3138"/>
      <c r="J37" s="3539"/>
      <c r="K37" s="3541"/>
      <c r="L37" s="3171"/>
      <c r="M37" s="3172"/>
      <c r="N37" s="3148"/>
      <c r="O37" s="3173"/>
      <c r="P37" s="3173"/>
      <c r="Q37" s="3174"/>
      <c r="R37" s="3175">
        <v>10000</v>
      </c>
      <c r="S37" s="3209"/>
      <c r="T37" s="3131" t="s">
        <v>3560</v>
      </c>
      <c r="U37" s="3131"/>
      <c r="V37" s="3138"/>
    </row>
    <row r="38" spans="1:23" s="3137" customFormat="1" ht="13.15" customHeight="1">
      <c r="A38" s="3218">
        <v>8</v>
      </c>
      <c r="B38" s="3163"/>
      <c r="C38" s="3177">
        <f ca="1">ROUND(C32*(1-((1+C35)/(1+C34))^C36)/(C34-C35),0)</f>
        <v>50386</v>
      </c>
      <c r="D38" s="3177"/>
      <c r="E38" s="3177"/>
      <c r="F38" s="3222"/>
      <c r="G38" s="3217"/>
      <c r="I38" s="3138"/>
      <c r="J38" s="3539"/>
      <c r="K38" s="3541"/>
      <c r="L38" s="3171"/>
      <c r="M38" s="3172"/>
      <c r="N38" s="3148"/>
      <c r="O38" s="3173"/>
      <c r="P38" s="3173"/>
      <c r="Q38" s="3174"/>
      <c r="R38" s="3175"/>
      <c r="S38" s="3209"/>
      <c r="T38" s="3131" t="s">
        <v>3467</v>
      </c>
      <c r="U38" s="3131"/>
      <c r="V38" s="3138"/>
    </row>
    <row r="39" spans="1:23" s="3137" customFormat="1" ht="13.15" customHeight="1">
      <c r="A39" s="3218">
        <v>9</v>
      </c>
      <c r="B39" s="3163" t="s">
        <v>3561</v>
      </c>
      <c r="C39" s="3184">
        <f ca="1">C38</f>
        <v>50386</v>
      </c>
      <c r="D39" s="3163"/>
      <c r="E39" s="3163"/>
      <c r="F39" s="3222"/>
      <c r="G39" s="3274"/>
      <c r="I39" s="3138"/>
      <c r="J39" s="3539"/>
      <c r="K39" s="3541"/>
      <c r="L39" s="3171"/>
      <c r="M39" s="3172"/>
      <c r="N39" s="3148"/>
      <c r="O39" s="3173"/>
      <c r="P39" s="3173"/>
      <c r="Q39" s="3174"/>
      <c r="R39" s="3175"/>
      <c r="S39" s="3209"/>
      <c r="T39" s="3131"/>
      <c r="U39" s="3131"/>
      <c r="V39" s="3138"/>
    </row>
    <row r="40" spans="1:23" s="3137" customFormat="1" ht="13.15" customHeight="1">
      <c r="A40" s="3275">
        <v>10</v>
      </c>
      <c r="B40" s="3163" t="s">
        <v>3562</v>
      </c>
      <c r="C40" s="3276">
        <f ca="1">C39+D39+E39</f>
        <v>50386</v>
      </c>
      <c r="D40" s="3277"/>
      <c r="E40" s="3277"/>
      <c r="F40" s="3278"/>
      <c r="G40" s="3217"/>
      <c r="I40" s="3138"/>
      <c r="J40" s="3539"/>
      <c r="K40" s="3542"/>
      <c r="L40" s="3190" t="s">
        <v>3563</v>
      </c>
      <c r="M40" s="3191"/>
      <c r="N40" s="3191"/>
      <c r="O40" s="3192"/>
      <c r="P40" s="3192"/>
      <c r="Q40" s="3193"/>
      <c r="R40" s="3141">
        <f>SUM(R37:R39)</f>
        <v>10000</v>
      </c>
      <c r="S40" s="3209"/>
      <c r="T40" s="3131"/>
      <c r="U40" s="3131"/>
      <c r="V40" s="3138"/>
    </row>
    <row r="41" spans="1:23" s="3137" customFormat="1" ht="13.15" customHeight="1" thickBot="1">
      <c r="A41" s="3279">
        <v>11</v>
      </c>
      <c r="B41" s="3280" t="s">
        <v>3564</v>
      </c>
      <c r="C41" s="3280">
        <f ca="1">ROUND(C40*10000/B4,0)</f>
        <v>7572</v>
      </c>
      <c r="D41" s="3281"/>
      <c r="E41" s="3281"/>
      <c r="F41" s="3282"/>
      <c r="G41" s="3283"/>
      <c r="I41" s="3138"/>
      <c r="J41" s="3230">
        <v>2</v>
      </c>
      <c r="K41" s="3231" t="s">
        <v>3565</v>
      </c>
      <c r="L41" s="3232"/>
      <c r="M41" s="3232"/>
      <c r="N41" s="3232"/>
      <c r="O41" s="3232"/>
      <c r="P41" s="3233"/>
      <c r="Q41" s="3234">
        <v>0.1</v>
      </c>
      <c r="R41" s="3206">
        <f>ROUND(R40*Q41,0)</f>
        <v>1000</v>
      </c>
      <c r="S41" s="3209"/>
      <c r="T41" s="3131"/>
      <c r="U41" s="3242"/>
      <c r="V41" s="3138"/>
    </row>
    <row r="42" spans="1:23" s="3137" customFormat="1" ht="13.15" customHeight="1">
      <c r="G42" s="3283"/>
      <c r="I42" s="3138"/>
      <c r="J42" s="3543">
        <v>3</v>
      </c>
      <c r="K42" s="3237" t="s">
        <v>3566</v>
      </c>
      <c r="L42" s="3238"/>
      <c r="M42" s="3239"/>
      <c r="N42" s="3240" t="s">
        <v>3567</v>
      </c>
      <c r="O42" s="3240" t="s">
        <v>3568</v>
      </c>
      <c r="P42" s="3241" t="s">
        <v>3569</v>
      </c>
      <c r="Q42" s="3241" t="s">
        <v>3570</v>
      </c>
      <c r="R42" s="3146" t="s">
        <v>3571</v>
      </c>
      <c r="S42" s="3242"/>
      <c r="T42" s="3242"/>
      <c r="U42" s="3131"/>
      <c r="V42" s="3138"/>
    </row>
    <row r="43" spans="1:23" ht="13.15" customHeight="1">
      <c r="A43" s="3137"/>
      <c r="B43" s="3137"/>
      <c r="C43" s="3137"/>
      <c r="D43" s="3137"/>
      <c r="E43" s="3137"/>
      <c r="F43" s="3137"/>
      <c r="I43" s="3126"/>
      <c r="J43" s="3544"/>
      <c r="K43" s="3244"/>
      <c r="L43" s="3245"/>
      <c r="M43" s="3246"/>
      <c r="N43" s="3172">
        <f>Q33</f>
        <v>500</v>
      </c>
      <c r="O43" s="3172">
        <v>5</v>
      </c>
      <c r="P43" s="3172">
        <v>365</v>
      </c>
      <c r="Q43" s="3234">
        <v>0.15</v>
      </c>
      <c r="R43" s="3206">
        <f>ROUND(O43*N43*P43*(1-Q43)/10000,0)</f>
        <v>78</v>
      </c>
      <c r="S43" s="3209"/>
      <c r="T43" s="3131"/>
      <c r="V43" s="3285"/>
      <c r="W43" s="3127"/>
    </row>
    <row r="44" spans="1:23" ht="13.15" customHeight="1" thickBot="1">
      <c r="J44" s="3249">
        <v>6</v>
      </c>
      <c r="K44" s="3250" t="s">
        <v>3572</v>
      </c>
      <c r="L44" s="3286" t="s">
        <v>3573</v>
      </c>
      <c r="M44" s="3252"/>
      <c r="N44" s="3286" t="s">
        <v>3574</v>
      </c>
      <c r="O44" s="3252" t="s">
        <v>3575</v>
      </c>
      <c r="P44" s="3286" t="s">
        <v>3576</v>
      </c>
      <c r="Q44" s="3254">
        <v>1.4999999999999999E-2</v>
      </c>
      <c r="R44" s="3255"/>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Normal="100" workbookViewId="0">
      <selection activeCell="X51" sqref="X51"/>
    </sheetView>
  </sheetViews>
  <sheetFormatPr defaultRowHeight="13.15" customHeight="1"/>
  <cols>
    <col min="1" max="1" width="9.5" style="3126" customWidth="1"/>
    <col min="2" max="2" width="8.875" style="3126"/>
    <col min="3" max="5" width="12.875" style="3126" customWidth="1"/>
    <col min="6" max="6" width="47.5" style="3126" customWidth="1"/>
    <col min="7" max="7" width="13" style="3284" customWidth="1"/>
    <col min="8" max="8" width="8.875" style="3126"/>
    <col min="9" max="9" width="8.875" style="3127"/>
    <col min="10" max="10" width="5.75" style="3285" customWidth="1"/>
    <col min="11" max="11" width="11.75" style="3285" customWidth="1"/>
    <col min="12" max="13" width="10.75" style="3285" customWidth="1"/>
    <col min="14" max="14" width="10" style="3285" customWidth="1"/>
    <col min="15" max="16" width="10.5" style="3285" bestFit="1" customWidth="1"/>
    <col min="17" max="17" width="10" style="3285" customWidth="1"/>
    <col min="18" max="18" width="10.125" style="3285" customWidth="1"/>
    <col min="19" max="19" width="10" style="3285" customWidth="1"/>
    <col min="20" max="20" width="26.125" style="3285" customWidth="1"/>
    <col min="21" max="21" width="8.875" style="3285"/>
    <col min="22" max="22" width="8.875" style="3127"/>
    <col min="23" max="256" width="8.875" style="3126"/>
    <col min="257" max="257" width="9.5" style="3126" customWidth="1"/>
    <col min="258" max="258" width="8.875" style="3126"/>
    <col min="259" max="261" width="12.875" style="3126" customWidth="1"/>
    <col min="262" max="262" width="47.5" style="3126" customWidth="1"/>
    <col min="263" max="263" width="13" style="3126" customWidth="1"/>
    <col min="264" max="265" width="8.875" style="3126"/>
    <col min="266" max="266" width="5.75" style="3126" customWidth="1"/>
    <col min="267" max="267" width="11.75" style="3126" customWidth="1"/>
    <col min="268" max="269" width="10.75" style="3126" customWidth="1"/>
    <col min="270" max="270" width="10" style="3126" customWidth="1"/>
    <col min="271" max="272" width="10.5" style="3126" bestFit="1" customWidth="1"/>
    <col min="273" max="273" width="10" style="3126" customWidth="1"/>
    <col min="274" max="274" width="10.125" style="3126" customWidth="1"/>
    <col min="275" max="275" width="10" style="3126" customWidth="1"/>
    <col min="276" max="276" width="26.125" style="3126" customWidth="1"/>
    <col min="277" max="512" width="8.875" style="3126"/>
    <col min="513" max="513" width="9.5" style="3126" customWidth="1"/>
    <col min="514" max="514" width="8.875" style="3126"/>
    <col min="515" max="517" width="12.875" style="3126" customWidth="1"/>
    <col min="518" max="518" width="47.5" style="3126" customWidth="1"/>
    <col min="519" max="519" width="13" style="3126" customWidth="1"/>
    <col min="520" max="521" width="8.875" style="3126"/>
    <col min="522" max="522" width="5.75" style="3126" customWidth="1"/>
    <col min="523" max="523" width="11.75" style="3126" customWidth="1"/>
    <col min="524" max="525" width="10.75" style="3126" customWidth="1"/>
    <col min="526" max="526" width="10" style="3126" customWidth="1"/>
    <col min="527" max="528" width="10.5" style="3126" bestFit="1" customWidth="1"/>
    <col min="529" max="529" width="10" style="3126" customWidth="1"/>
    <col min="530" max="530" width="10.125" style="3126" customWidth="1"/>
    <col min="531" max="531" width="10" style="3126" customWidth="1"/>
    <col min="532" max="532" width="26.125" style="3126" customWidth="1"/>
    <col min="533" max="768" width="8.875" style="3126"/>
    <col min="769" max="769" width="9.5" style="3126" customWidth="1"/>
    <col min="770" max="770" width="8.875" style="3126"/>
    <col min="771" max="773" width="12.875" style="3126" customWidth="1"/>
    <col min="774" max="774" width="47.5" style="3126" customWidth="1"/>
    <col min="775" max="775" width="13" style="3126" customWidth="1"/>
    <col min="776" max="777" width="8.875" style="3126"/>
    <col min="778" max="778" width="5.75" style="3126" customWidth="1"/>
    <col min="779" max="779" width="11.75" style="3126" customWidth="1"/>
    <col min="780" max="781" width="10.75" style="3126" customWidth="1"/>
    <col min="782" max="782" width="10" style="3126" customWidth="1"/>
    <col min="783" max="784" width="10.5" style="3126" bestFit="1" customWidth="1"/>
    <col min="785" max="785" width="10" style="3126" customWidth="1"/>
    <col min="786" max="786" width="10.125" style="3126" customWidth="1"/>
    <col min="787" max="787" width="10" style="3126" customWidth="1"/>
    <col min="788" max="788" width="26.125" style="3126" customWidth="1"/>
    <col min="789" max="1024" width="8.875" style="3126"/>
    <col min="1025" max="1025" width="9.5" style="3126" customWidth="1"/>
    <col min="1026" max="1026" width="8.875" style="3126"/>
    <col min="1027" max="1029" width="12.875" style="3126" customWidth="1"/>
    <col min="1030" max="1030" width="47.5" style="3126" customWidth="1"/>
    <col min="1031" max="1031" width="13" style="3126" customWidth="1"/>
    <col min="1032" max="1033" width="8.875" style="3126"/>
    <col min="1034" max="1034" width="5.75" style="3126" customWidth="1"/>
    <col min="1035" max="1035" width="11.75" style="3126" customWidth="1"/>
    <col min="1036" max="1037" width="10.75" style="3126" customWidth="1"/>
    <col min="1038" max="1038" width="10" style="3126" customWidth="1"/>
    <col min="1039" max="1040" width="10.5" style="3126" bestFit="1" customWidth="1"/>
    <col min="1041" max="1041" width="10" style="3126" customWidth="1"/>
    <col min="1042" max="1042" width="10.125" style="3126" customWidth="1"/>
    <col min="1043" max="1043" width="10" style="3126" customWidth="1"/>
    <col min="1044" max="1044" width="26.125" style="3126" customWidth="1"/>
    <col min="1045" max="1280" width="8.875" style="3126"/>
    <col min="1281" max="1281" width="9.5" style="3126" customWidth="1"/>
    <col min="1282" max="1282" width="8.875" style="3126"/>
    <col min="1283" max="1285" width="12.875" style="3126" customWidth="1"/>
    <col min="1286" max="1286" width="47.5" style="3126" customWidth="1"/>
    <col min="1287" max="1287" width="13" style="3126" customWidth="1"/>
    <col min="1288" max="1289" width="8.875" style="3126"/>
    <col min="1290" max="1290" width="5.75" style="3126" customWidth="1"/>
    <col min="1291" max="1291" width="11.75" style="3126" customWidth="1"/>
    <col min="1292" max="1293" width="10.75" style="3126" customWidth="1"/>
    <col min="1294" max="1294" width="10" style="3126" customWidth="1"/>
    <col min="1295" max="1296" width="10.5" style="3126" bestFit="1" customWidth="1"/>
    <col min="1297" max="1297" width="10" style="3126" customWidth="1"/>
    <col min="1298" max="1298" width="10.125" style="3126" customWidth="1"/>
    <col min="1299" max="1299" width="10" style="3126" customWidth="1"/>
    <col min="1300" max="1300" width="26.125" style="3126" customWidth="1"/>
    <col min="1301" max="1536" width="8.875" style="3126"/>
    <col min="1537" max="1537" width="9.5" style="3126" customWidth="1"/>
    <col min="1538" max="1538" width="8.875" style="3126"/>
    <col min="1539" max="1541" width="12.875" style="3126" customWidth="1"/>
    <col min="1542" max="1542" width="47.5" style="3126" customWidth="1"/>
    <col min="1543" max="1543" width="13" style="3126" customWidth="1"/>
    <col min="1544" max="1545" width="8.875" style="3126"/>
    <col min="1546" max="1546" width="5.75" style="3126" customWidth="1"/>
    <col min="1547" max="1547" width="11.75" style="3126" customWidth="1"/>
    <col min="1548" max="1549" width="10.75" style="3126" customWidth="1"/>
    <col min="1550" max="1550" width="10" style="3126" customWidth="1"/>
    <col min="1551" max="1552" width="10.5" style="3126" bestFit="1" customWidth="1"/>
    <col min="1553" max="1553" width="10" style="3126" customWidth="1"/>
    <col min="1554" max="1554" width="10.125" style="3126" customWidth="1"/>
    <col min="1555" max="1555" width="10" style="3126" customWidth="1"/>
    <col min="1556" max="1556" width="26.125" style="3126" customWidth="1"/>
    <col min="1557" max="1792" width="8.875" style="3126"/>
    <col min="1793" max="1793" width="9.5" style="3126" customWidth="1"/>
    <col min="1794" max="1794" width="8.875" style="3126"/>
    <col min="1795" max="1797" width="12.875" style="3126" customWidth="1"/>
    <col min="1798" max="1798" width="47.5" style="3126" customWidth="1"/>
    <col min="1799" max="1799" width="13" style="3126" customWidth="1"/>
    <col min="1800" max="1801" width="8.875" style="3126"/>
    <col min="1802" max="1802" width="5.75" style="3126" customWidth="1"/>
    <col min="1803" max="1803" width="11.75" style="3126" customWidth="1"/>
    <col min="1804" max="1805" width="10.75" style="3126" customWidth="1"/>
    <col min="1806" max="1806" width="10" style="3126" customWidth="1"/>
    <col min="1807" max="1808" width="10.5" style="3126" bestFit="1" customWidth="1"/>
    <col min="1809" max="1809" width="10" style="3126" customWidth="1"/>
    <col min="1810" max="1810" width="10.125" style="3126" customWidth="1"/>
    <col min="1811" max="1811" width="10" style="3126" customWidth="1"/>
    <col min="1812" max="1812" width="26.125" style="3126" customWidth="1"/>
    <col min="1813" max="2048" width="8.875" style="3126"/>
    <col min="2049" max="2049" width="9.5" style="3126" customWidth="1"/>
    <col min="2050" max="2050" width="8.875" style="3126"/>
    <col min="2051" max="2053" width="12.875" style="3126" customWidth="1"/>
    <col min="2054" max="2054" width="47.5" style="3126" customWidth="1"/>
    <col min="2055" max="2055" width="13" style="3126" customWidth="1"/>
    <col min="2056" max="2057" width="8.875" style="3126"/>
    <col min="2058" max="2058" width="5.75" style="3126" customWidth="1"/>
    <col min="2059" max="2059" width="11.75" style="3126" customWidth="1"/>
    <col min="2060" max="2061" width="10.75" style="3126" customWidth="1"/>
    <col min="2062" max="2062" width="10" style="3126" customWidth="1"/>
    <col min="2063" max="2064" width="10.5" style="3126" bestFit="1" customWidth="1"/>
    <col min="2065" max="2065" width="10" style="3126" customWidth="1"/>
    <col min="2066" max="2066" width="10.125" style="3126" customWidth="1"/>
    <col min="2067" max="2067" width="10" style="3126" customWidth="1"/>
    <col min="2068" max="2068" width="26.125" style="3126" customWidth="1"/>
    <col min="2069" max="2304" width="8.875" style="3126"/>
    <col min="2305" max="2305" width="9.5" style="3126" customWidth="1"/>
    <col min="2306" max="2306" width="8.875" style="3126"/>
    <col min="2307" max="2309" width="12.875" style="3126" customWidth="1"/>
    <col min="2310" max="2310" width="47.5" style="3126" customWidth="1"/>
    <col min="2311" max="2311" width="13" style="3126" customWidth="1"/>
    <col min="2312" max="2313" width="8.875" style="3126"/>
    <col min="2314" max="2314" width="5.75" style="3126" customWidth="1"/>
    <col min="2315" max="2315" width="11.75" style="3126" customWidth="1"/>
    <col min="2316" max="2317" width="10.75" style="3126" customWidth="1"/>
    <col min="2318" max="2318" width="10" style="3126" customWidth="1"/>
    <col min="2319" max="2320" width="10.5" style="3126" bestFit="1" customWidth="1"/>
    <col min="2321" max="2321" width="10" style="3126" customWidth="1"/>
    <col min="2322" max="2322" width="10.125" style="3126" customWidth="1"/>
    <col min="2323" max="2323" width="10" style="3126" customWidth="1"/>
    <col min="2324" max="2324" width="26.125" style="3126" customWidth="1"/>
    <col min="2325" max="2560" width="8.875" style="3126"/>
    <col min="2561" max="2561" width="9.5" style="3126" customWidth="1"/>
    <col min="2562" max="2562" width="8.875" style="3126"/>
    <col min="2563" max="2565" width="12.875" style="3126" customWidth="1"/>
    <col min="2566" max="2566" width="47.5" style="3126" customWidth="1"/>
    <col min="2567" max="2567" width="13" style="3126" customWidth="1"/>
    <col min="2568" max="2569" width="8.875" style="3126"/>
    <col min="2570" max="2570" width="5.75" style="3126" customWidth="1"/>
    <col min="2571" max="2571" width="11.75" style="3126" customWidth="1"/>
    <col min="2572" max="2573" width="10.75" style="3126" customWidth="1"/>
    <col min="2574" max="2574" width="10" style="3126" customWidth="1"/>
    <col min="2575" max="2576" width="10.5" style="3126" bestFit="1" customWidth="1"/>
    <col min="2577" max="2577" width="10" style="3126" customWidth="1"/>
    <col min="2578" max="2578" width="10.125" style="3126" customWidth="1"/>
    <col min="2579" max="2579" width="10" style="3126" customWidth="1"/>
    <col min="2580" max="2580" width="26.125" style="3126" customWidth="1"/>
    <col min="2581" max="2816" width="8.875" style="3126"/>
    <col min="2817" max="2817" width="9.5" style="3126" customWidth="1"/>
    <col min="2818" max="2818" width="8.875" style="3126"/>
    <col min="2819" max="2821" width="12.875" style="3126" customWidth="1"/>
    <col min="2822" max="2822" width="47.5" style="3126" customWidth="1"/>
    <col min="2823" max="2823" width="13" style="3126" customWidth="1"/>
    <col min="2824" max="2825" width="8.875" style="3126"/>
    <col min="2826" max="2826" width="5.75" style="3126" customWidth="1"/>
    <col min="2827" max="2827" width="11.75" style="3126" customWidth="1"/>
    <col min="2828" max="2829" width="10.75" style="3126" customWidth="1"/>
    <col min="2830" max="2830" width="10" style="3126" customWidth="1"/>
    <col min="2831" max="2832" width="10.5" style="3126" bestFit="1" customWidth="1"/>
    <col min="2833" max="2833" width="10" style="3126" customWidth="1"/>
    <col min="2834" max="2834" width="10.125" style="3126" customWidth="1"/>
    <col min="2835" max="2835" width="10" style="3126" customWidth="1"/>
    <col min="2836" max="2836" width="26.125" style="3126" customWidth="1"/>
    <col min="2837" max="3072" width="8.875" style="3126"/>
    <col min="3073" max="3073" width="9.5" style="3126" customWidth="1"/>
    <col min="3074" max="3074" width="8.875" style="3126"/>
    <col min="3075" max="3077" width="12.875" style="3126" customWidth="1"/>
    <col min="3078" max="3078" width="47.5" style="3126" customWidth="1"/>
    <col min="3079" max="3079" width="13" style="3126" customWidth="1"/>
    <col min="3080" max="3081" width="8.875" style="3126"/>
    <col min="3082" max="3082" width="5.75" style="3126" customWidth="1"/>
    <col min="3083" max="3083" width="11.75" style="3126" customWidth="1"/>
    <col min="3084" max="3085" width="10.75" style="3126" customWidth="1"/>
    <col min="3086" max="3086" width="10" style="3126" customWidth="1"/>
    <col min="3087" max="3088" width="10.5" style="3126" bestFit="1" customWidth="1"/>
    <col min="3089" max="3089" width="10" style="3126" customWidth="1"/>
    <col min="3090" max="3090" width="10.125" style="3126" customWidth="1"/>
    <col min="3091" max="3091" width="10" style="3126" customWidth="1"/>
    <col min="3092" max="3092" width="26.125" style="3126" customWidth="1"/>
    <col min="3093" max="3328" width="8.875" style="3126"/>
    <col min="3329" max="3329" width="9.5" style="3126" customWidth="1"/>
    <col min="3330" max="3330" width="8.875" style="3126"/>
    <col min="3331" max="3333" width="12.875" style="3126" customWidth="1"/>
    <col min="3334" max="3334" width="47.5" style="3126" customWidth="1"/>
    <col min="3335" max="3335" width="13" style="3126" customWidth="1"/>
    <col min="3336" max="3337" width="8.875" style="3126"/>
    <col min="3338" max="3338" width="5.75" style="3126" customWidth="1"/>
    <col min="3339" max="3339" width="11.75" style="3126" customWidth="1"/>
    <col min="3340" max="3341" width="10.75" style="3126" customWidth="1"/>
    <col min="3342" max="3342" width="10" style="3126" customWidth="1"/>
    <col min="3343" max="3344" width="10.5" style="3126" bestFit="1" customWidth="1"/>
    <col min="3345" max="3345" width="10" style="3126" customWidth="1"/>
    <col min="3346" max="3346" width="10.125" style="3126" customWidth="1"/>
    <col min="3347" max="3347" width="10" style="3126" customWidth="1"/>
    <col min="3348" max="3348" width="26.125" style="3126" customWidth="1"/>
    <col min="3349" max="3584" width="8.875" style="3126"/>
    <col min="3585" max="3585" width="9.5" style="3126" customWidth="1"/>
    <col min="3586" max="3586" width="8.875" style="3126"/>
    <col min="3587" max="3589" width="12.875" style="3126" customWidth="1"/>
    <col min="3590" max="3590" width="47.5" style="3126" customWidth="1"/>
    <col min="3591" max="3591" width="13" style="3126" customWidth="1"/>
    <col min="3592" max="3593" width="8.875" style="3126"/>
    <col min="3594" max="3594" width="5.75" style="3126" customWidth="1"/>
    <col min="3595" max="3595" width="11.75" style="3126" customWidth="1"/>
    <col min="3596" max="3597" width="10.75" style="3126" customWidth="1"/>
    <col min="3598" max="3598" width="10" style="3126" customWidth="1"/>
    <col min="3599" max="3600" width="10.5" style="3126" bestFit="1" customWidth="1"/>
    <col min="3601" max="3601" width="10" style="3126" customWidth="1"/>
    <col min="3602" max="3602" width="10.125" style="3126" customWidth="1"/>
    <col min="3603" max="3603" width="10" style="3126" customWidth="1"/>
    <col min="3604" max="3604" width="26.125" style="3126" customWidth="1"/>
    <col min="3605" max="3840" width="8.875" style="3126"/>
    <col min="3841" max="3841" width="9.5" style="3126" customWidth="1"/>
    <col min="3842" max="3842" width="8.875" style="3126"/>
    <col min="3843" max="3845" width="12.875" style="3126" customWidth="1"/>
    <col min="3846" max="3846" width="47.5" style="3126" customWidth="1"/>
    <col min="3847" max="3847" width="13" style="3126" customWidth="1"/>
    <col min="3848" max="3849" width="8.875" style="3126"/>
    <col min="3850" max="3850" width="5.75" style="3126" customWidth="1"/>
    <col min="3851" max="3851" width="11.75" style="3126" customWidth="1"/>
    <col min="3852" max="3853" width="10.75" style="3126" customWidth="1"/>
    <col min="3854" max="3854" width="10" style="3126" customWidth="1"/>
    <col min="3855" max="3856" width="10.5" style="3126" bestFit="1" customWidth="1"/>
    <col min="3857" max="3857" width="10" style="3126" customWidth="1"/>
    <col min="3858" max="3858" width="10.125" style="3126" customWidth="1"/>
    <col min="3859" max="3859" width="10" style="3126" customWidth="1"/>
    <col min="3860" max="3860" width="26.125" style="3126" customWidth="1"/>
    <col min="3861" max="4096" width="8.875" style="3126"/>
    <col min="4097" max="4097" width="9.5" style="3126" customWidth="1"/>
    <col min="4098" max="4098" width="8.875" style="3126"/>
    <col min="4099" max="4101" width="12.875" style="3126" customWidth="1"/>
    <col min="4102" max="4102" width="47.5" style="3126" customWidth="1"/>
    <col min="4103" max="4103" width="13" style="3126" customWidth="1"/>
    <col min="4104" max="4105" width="8.875" style="3126"/>
    <col min="4106" max="4106" width="5.75" style="3126" customWidth="1"/>
    <col min="4107" max="4107" width="11.75" style="3126" customWidth="1"/>
    <col min="4108" max="4109" width="10.75" style="3126" customWidth="1"/>
    <col min="4110" max="4110" width="10" style="3126" customWidth="1"/>
    <col min="4111" max="4112" width="10.5" style="3126" bestFit="1" customWidth="1"/>
    <col min="4113" max="4113" width="10" style="3126" customWidth="1"/>
    <col min="4114" max="4114" width="10.125" style="3126" customWidth="1"/>
    <col min="4115" max="4115" width="10" style="3126" customWidth="1"/>
    <col min="4116" max="4116" width="26.125" style="3126" customWidth="1"/>
    <col min="4117" max="4352" width="8.875" style="3126"/>
    <col min="4353" max="4353" width="9.5" style="3126" customWidth="1"/>
    <col min="4354" max="4354" width="8.875" style="3126"/>
    <col min="4355" max="4357" width="12.875" style="3126" customWidth="1"/>
    <col min="4358" max="4358" width="47.5" style="3126" customWidth="1"/>
    <col min="4359" max="4359" width="13" style="3126" customWidth="1"/>
    <col min="4360" max="4361" width="8.875" style="3126"/>
    <col min="4362" max="4362" width="5.75" style="3126" customWidth="1"/>
    <col min="4363" max="4363" width="11.75" style="3126" customWidth="1"/>
    <col min="4364" max="4365" width="10.75" style="3126" customWidth="1"/>
    <col min="4366" max="4366" width="10" style="3126" customWidth="1"/>
    <col min="4367" max="4368" width="10.5" style="3126" bestFit="1" customWidth="1"/>
    <col min="4369" max="4369" width="10" style="3126" customWidth="1"/>
    <col min="4370" max="4370" width="10.125" style="3126" customWidth="1"/>
    <col min="4371" max="4371" width="10" style="3126" customWidth="1"/>
    <col min="4372" max="4372" width="26.125" style="3126" customWidth="1"/>
    <col min="4373" max="4608" width="8.875" style="3126"/>
    <col min="4609" max="4609" width="9.5" style="3126" customWidth="1"/>
    <col min="4610" max="4610" width="8.875" style="3126"/>
    <col min="4611" max="4613" width="12.875" style="3126" customWidth="1"/>
    <col min="4614" max="4614" width="47.5" style="3126" customWidth="1"/>
    <col min="4615" max="4615" width="13" style="3126" customWidth="1"/>
    <col min="4616" max="4617" width="8.875" style="3126"/>
    <col min="4618" max="4618" width="5.75" style="3126" customWidth="1"/>
    <col min="4619" max="4619" width="11.75" style="3126" customWidth="1"/>
    <col min="4620" max="4621" width="10.75" style="3126" customWidth="1"/>
    <col min="4622" max="4622" width="10" style="3126" customWidth="1"/>
    <col min="4623" max="4624" width="10.5" style="3126" bestFit="1" customWidth="1"/>
    <col min="4625" max="4625" width="10" style="3126" customWidth="1"/>
    <col min="4626" max="4626" width="10.125" style="3126" customWidth="1"/>
    <col min="4627" max="4627" width="10" style="3126" customWidth="1"/>
    <col min="4628" max="4628" width="26.125" style="3126" customWidth="1"/>
    <col min="4629" max="4864" width="8.875" style="3126"/>
    <col min="4865" max="4865" width="9.5" style="3126" customWidth="1"/>
    <col min="4866" max="4866" width="8.875" style="3126"/>
    <col min="4867" max="4869" width="12.875" style="3126" customWidth="1"/>
    <col min="4870" max="4870" width="47.5" style="3126" customWidth="1"/>
    <col min="4871" max="4871" width="13" style="3126" customWidth="1"/>
    <col min="4872" max="4873" width="8.875" style="3126"/>
    <col min="4874" max="4874" width="5.75" style="3126" customWidth="1"/>
    <col min="4875" max="4875" width="11.75" style="3126" customWidth="1"/>
    <col min="4876" max="4877" width="10.75" style="3126" customWidth="1"/>
    <col min="4878" max="4878" width="10" style="3126" customWidth="1"/>
    <col min="4879" max="4880" width="10.5" style="3126" bestFit="1" customWidth="1"/>
    <col min="4881" max="4881" width="10" style="3126" customWidth="1"/>
    <col min="4882" max="4882" width="10.125" style="3126" customWidth="1"/>
    <col min="4883" max="4883" width="10" style="3126" customWidth="1"/>
    <col min="4884" max="4884" width="26.125" style="3126" customWidth="1"/>
    <col min="4885" max="5120" width="8.875" style="3126"/>
    <col min="5121" max="5121" width="9.5" style="3126" customWidth="1"/>
    <col min="5122" max="5122" width="8.875" style="3126"/>
    <col min="5123" max="5125" width="12.875" style="3126" customWidth="1"/>
    <col min="5126" max="5126" width="47.5" style="3126" customWidth="1"/>
    <col min="5127" max="5127" width="13" style="3126" customWidth="1"/>
    <col min="5128" max="5129" width="8.875" style="3126"/>
    <col min="5130" max="5130" width="5.75" style="3126" customWidth="1"/>
    <col min="5131" max="5131" width="11.75" style="3126" customWidth="1"/>
    <col min="5132" max="5133" width="10.75" style="3126" customWidth="1"/>
    <col min="5134" max="5134" width="10" style="3126" customWidth="1"/>
    <col min="5135" max="5136" width="10.5" style="3126" bestFit="1" customWidth="1"/>
    <col min="5137" max="5137" width="10" style="3126" customWidth="1"/>
    <col min="5138" max="5138" width="10.125" style="3126" customWidth="1"/>
    <col min="5139" max="5139" width="10" style="3126" customWidth="1"/>
    <col min="5140" max="5140" width="26.125" style="3126" customWidth="1"/>
    <col min="5141" max="5376" width="8.875" style="3126"/>
    <col min="5377" max="5377" width="9.5" style="3126" customWidth="1"/>
    <col min="5378" max="5378" width="8.875" style="3126"/>
    <col min="5379" max="5381" width="12.875" style="3126" customWidth="1"/>
    <col min="5382" max="5382" width="47.5" style="3126" customWidth="1"/>
    <col min="5383" max="5383" width="13" style="3126" customWidth="1"/>
    <col min="5384" max="5385" width="8.875" style="3126"/>
    <col min="5386" max="5386" width="5.75" style="3126" customWidth="1"/>
    <col min="5387" max="5387" width="11.75" style="3126" customWidth="1"/>
    <col min="5388" max="5389" width="10.75" style="3126" customWidth="1"/>
    <col min="5390" max="5390" width="10" style="3126" customWidth="1"/>
    <col min="5391" max="5392" width="10.5" style="3126" bestFit="1" customWidth="1"/>
    <col min="5393" max="5393" width="10" style="3126" customWidth="1"/>
    <col min="5394" max="5394" width="10.125" style="3126" customWidth="1"/>
    <col min="5395" max="5395" width="10" style="3126" customWidth="1"/>
    <col min="5396" max="5396" width="26.125" style="3126" customWidth="1"/>
    <col min="5397" max="5632" width="8.875" style="3126"/>
    <col min="5633" max="5633" width="9.5" style="3126" customWidth="1"/>
    <col min="5634" max="5634" width="8.875" style="3126"/>
    <col min="5635" max="5637" width="12.875" style="3126" customWidth="1"/>
    <col min="5638" max="5638" width="47.5" style="3126" customWidth="1"/>
    <col min="5639" max="5639" width="13" style="3126" customWidth="1"/>
    <col min="5640" max="5641" width="8.875" style="3126"/>
    <col min="5642" max="5642" width="5.75" style="3126" customWidth="1"/>
    <col min="5643" max="5643" width="11.75" style="3126" customWidth="1"/>
    <col min="5644" max="5645" width="10.75" style="3126" customWidth="1"/>
    <col min="5646" max="5646" width="10" style="3126" customWidth="1"/>
    <col min="5647" max="5648" width="10.5" style="3126" bestFit="1" customWidth="1"/>
    <col min="5649" max="5649" width="10" style="3126" customWidth="1"/>
    <col min="5650" max="5650" width="10.125" style="3126" customWidth="1"/>
    <col min="5651" max="5651" width="10" style="3126" customWidth="1"/>
    <col min="5652" max="5652" width="26.125" style="3126" customWidth="1"/>
    <col min="5653" max="5888" width="8.875" style="3126"/>
    <col min="5889" max="5889" width="9.5" style="3126" customWidth="1"/>
    <col min="5890" max="5890" width="8.875" style="3126"/>
    <col min="5891" max="5893" width="12.875" style="3126" customWidth="1"/>
    <col min="5894" max="5894" width="47.5" style="3126" customWidth="1"/>
    <col min="5895" max="5895" width="13" style="3126" customWidth="1"/>
    <col min="5896" max="5897" width="8.875" style="3126"/>
    <col min="5898" max="5898" width="5.75" style="3126" customWidth="1"/>
    <col min="5899" max="5899" width="11.75" style="3126" customWidth="1"/>
    <col min="5900" max="5901" width="10.75" style="3126" customWidth="1"/>
    <col min="5902" max="5902" width="10" style="3126" customWidth="1"/>
    <col min="5903" max="5904" width="10.5" style="3126" bestFit="1" customWidth="1"/>
    <col min="5905" max="5905" width="10" style="3126" customWidth="1"/>
    <col min="5906" max="5906" width="10.125" style="3126" customWidth="1"/>
    <col min="5907" max="5907" width="10" style="3126" customWidth="1"/>
    <col min="5908" max="5908" width="26.125" style="3126" customWidth="1"/>
    <col min="5909" max="6144" width="8.875" style="3126"/>
    <col min="6145" max="6145" width="9.5" style="3126" customWidth="1"/>
    <col min="6146" max="6146" width="8.875" style="3126"/>
    <col min="6147" max="6149" width="12.875" style="3126" customWidth="1"/>
    <col min="6150" max="6150" width="47.5" style="3126" customWidth="1"/>
    <col min="6151" max="6151" width="13" style="3126" customWidth="1"/>
    <col min="6152" max="6153" width="8.875" style="3126"/>
    <col min="6154" max="6154" width="5.75" style="3126" customWidth="1"/>
    <col min="6155" max="6155" width="11.75" style="3126" customWidth="1"/>
    <col min="6156" max="6157" width="10.75" style="3126" customWidth="1"/>
    <col min="6158" max="6158" width="10" style="3126" customWidth="1"/>
    <col min="6159" max="6160" width="10.5" style="3126" bestFit="1" customWidth="1"/>
    <col min="6161" max="6161" width="10" style="3126" customWidth="1"/>
    <col min="6162" max="6162" width="10.125" style="3126" customWidth="1"/>
    <col min="6163" max="6163" width="10" style="3126" customWidth="1"/>
    <col min="6164" max="6164" width="26.125" style="3126" customWidth="1"/>
    <col min="6165" max="6400" width="8.875" style="3126"/>
    <col min="6401" max="6401" width="9.5" style="3126" customWidth="1"/>
    <col min="6402" max="6402" width="8.875" style="3126"/>
    <col min="6403" max="6405" width="12.875" style="3126" customWidth="1"/>
    <col min="6406" max="6406" width="47.5" style="3126" customWidth="1"/>
    <col min="6407" max="6407" width="13" style="3126" customWidth="1"/>
    <col min="6408" max="6409" width="8.875" style="3126"/>
    <col min="6410" max="6410" width="5.75" style="3126" customWidth="1"/>
    <col min="6411" max="6411" width="11.75" style="3126" customWidth="1"/>
    <col min="6412" max="6413" width="10.75" style="3126" customWidth="1"/>
    <col min="6414" max="6414" width="10" style="3126" customWidth="1"/>
    <col min="6415" max="6416" width="10.5" style="3126" bestFit="1" customWidth="1"/>
    <col min="6417" max="6417" width="10" style="3126" customWidth="1"/>
    <col min="6418" max="6418" width="10.125" style="3126" customWidth="1"/>
    <col min="6419" max="6419" width="10" style="3126" customWidth="1"/>
    <col min="6420" max="6420" width="26.125" style="3126" customWidth="1"/>
    <col min="6421" max="6656" width="8.875" style="3126"/>
    <col min="6657" max="6657" width="9.5" style="3126" customWidth="1"/>
    <col min="6658" max="6658" width="8.875" style="3126"/>
    <col min="6659" max="6661" width="12.875" style="3126" customWidth="1"/>
    <col min="6662" max="6662" width="47.5" style="3126" customWidth="1"/>
    <col min="6663" max="6663" width="13" style="3126" customWidth="1"/>
    <col min="6664" max="6665" width="8.875" style="3126"/>
    <col min="6666" max="6666" width="5.75" style="3126" customWidth="1"/>
    <col min="6667" max="6667" width="11.75" style="3126" customWidth="1"/>
    <col min="6668" max="6669" width="10.75" style="3126" customWidth="1"/>
    <col min="6670" max="6670" width="10" style="3126" customWidth="1"/>
    <col min="6671" max="6672" width="10.5" style="3126" bestFit="1" customWidth="1"/>
    <col min="6673" max="6673" width="10" style="3126" customWidth="1"/>
    <col min="6674" max="6674" width="10.125" style="3126" customWidth="1"/>
    <col min="6675" max="6675" width="10" style="3126" customWidth="1"/>
    <col min="6676" max="6676" width="26.125" style="3126" customWidth="1"/>
    <col min="6677" max="6912" width="8.875" style="3126"/>
    <col min="6913" max="6913" width="9.5" style="3126" customWidth="1"/>
    <col min="6914" max="6914" width="8.875" style="3126"/>
    <col min="6915" max="6917" width="12.875" style="3126" customWidth="1"/>
    <col min="6918" max="6918" width="47.5" style="3126" customWidth="1"/>
    <col min="6919" max="6919" width="13" style="3126" customWidth="1"/>
    <col min="6920" max="6921" width="8.875" style="3126"/>
    <col min="6922" max="6922" width="5.75" style="3126" customWidth="1"/>
    <col min="6923" max="6923" width="11.75" style="3126" customWidth="1"/>
    <col min="6924" max="6925" width="10.75" style="3126" customWidth="1"/>
    <col min="6926" max="6926" width="10" style="3126" customWidth="1"/>
    <col min="6927" max="6928" width="10.5" style="3126" bestFit="1" customWidth="1"/>
    <col min="6929" max="6929" width="10" style="3126" customWidth="1"/>
    <col min="6930" max="6930" width="10.125" style="3126" customWidth="1"/>
    <col min="6931" max="6931" width="10" style="3126" customWidth="1"/>
    <col min="6932" max="6932" width="26.125" style="3126" customWidth="1"/>
    <col min="6933" max="7168" width="8.875" style="3126"/>
    <col min="7169" max="7169" width="9.5" style="3126" customWidth="1"/>
    <col min="7170" max="7170" width="8.875" style="3126"/>
    <col min="7171" max="7173" width="12.875" style="3126" customWidth="1"/>
    <col min="7174" max="7174" width="47.5" style="3126" customWidth="1"/>
    <col min="7175" max="7175" width="13" style="3126" customWidth="1"/>
    <col min="7176" max="7177" width="8.875" style="3126"/>
    <col min="7178" max="7178" width="5.75" style="3126" customWidth="1"/>
    <col min="7179" max="7179" width="11.75" style="3126" customWidth="1"/>
    <col min="7180" max="7181" width="10.75" style="3126" customWidth="1"/>
    <col min="7182" max="7182" width="10" style="3126" customWidth="1"/>
    <col min="7183" max="7184" width="10.5" style="3126" bestFit="1" customWidth="1"/>
    <col min="7185" max="7185" width="10" style="3126" customWidth="1"/>
    <col min="7186" max="7186" width="10.125" style="3126" customWidth="1"/>
    <col min="7187" max="7187" width="10" style="3126" customWidth="1"/>
    <col min="7188" max="7188" width="26.125" style="3126" customWidth="1"/>
    <col min="7189" max="7424" width="8.875" style="3126"/>
    <col min="7425" max="7425" width="9.5" style="3126" customWidth="1"/>
    <col min="7426" max="7426" width="8.875" style="3126"/>
    <col min="7427" max="7429" width="12.875" style="3126" customWidth="1"/>
    <col min="7430" max="7430" width="47.5" style="3126" customWidth="1"/>
    <col min="7431" max="7431" width="13" style="3126" customWidth="1"/>
    <col min="7432" max="7433" width="8.875" style="3126"/>
    <col min="7434" max="7434" width="5.75" style="3126" customWidth="1"/>
    <col min="7435" max="7435" width="11.75" style="3126" customWidth="1"/>
    <col min="7436" max="7437" width="10.75" style="3126" customWidth="1"/>
    <col min="7438" max="7438" width="10" style="3126" customWidth="1"/>
    <col min="7439" max="7440" width="10.5" style="3126" bestFit="1" customWidth="1"/>
    <col min="7441" max="7441" width="10" style="3126" customWidth="1"/>
    <col min="7442" max="7442" width="10.125" style="3126" customWidth="1"/>
    <col min="7443" max="7443" width="10" style="3126" customWidth="1"/>
    <col min="7444" max="7444" width="26.125" style="3126" customWidth="1"/>
    <col min="7445" max="7680" width="8.875" style="3126"/>
    <col min="7681" max="7681" width="9.5" style="3126" customWidth="1"/>
    <col min="7682" max="7682" width="8.875" style="3126"/>
    <col min="7683" max="7685" width="12.875" style="3126" customWidth="1"/>
    <col min="7686" max="7686" width="47.5" style="3126" customWidth="1"/>
    <col min="7687" max="7687" width="13" style="3126" customWidth="1"/>
    <col min="7688" max="7689" width="8.875" style="3126"/>
    <col min="7690" max="7690" width="5.75" style="3126" customWidth="1"/>
    <col min="7691" max="7691" width="11.75" style="3126" customWidth="1"/>
    <col min="7692" max="7693" width="10.75" style="3126" customWidth="1"/>
    <col min="7694" max="7694" width="10" style="3126" customWidth="1"/>
    <col min="7695" max="7696" width="10.5" style="3126" bestFit="1" customWidth="1"/>
    <col min="7697" max="7697" width="10" style="3126" customWidth="1"/>
    <col min="7698" max="7698" width="10.125" style="3126" customWidth="1"/>
    <col min="7699" max="7699" width="10" style="3126" customWidth="1"/>
    <col min="7700" max="7700" width="26.125" style="3126" customWidth="1"/>
    <col min="7701" max="7936" width="8.875" style="3126"/>
    <col min="7937" max="7937" width="9.5" style="3126" customWidth="1"/>
    <col min="7938" max="7938" width="8.875" style="3126"/>
    <col min="7939" max="7941" width="12.875" style="3126" customWidth="1"/>
    <col min="7942" max="7942" width="47.5" style="3126" customWidth="1"/>
    <col min="7943" max="7943" width="13" style="3126" customWidth="1"/>
    <col min="7944" max="7945" width="8.875" style="3126"/>
    <col min="7946" max="7946" width="5.75" style="3126" customWidth="1"/>
    <col min="7947" max="7947" width="11.75" style="3126" customWidth="1"/>
    <col min="7948" max="7949" width="10.75" style="3126" customWidth="1"/>
    <col min="7950" max="7950" width="10" style="3126" customWidth="1"/>
    <col min="7951" max="7952" width="10.5" style="3126" bestFit="1" customWidth="1"/>
    <col min="7953" max="7953" width="10" style="3126" customWidth="1"/>
    <col min="7954" max="7954" width="10.125" style="3126" customWidth="1"/>
    <col min="7955" max="7955" width="10" style="3126" customWidth="1"/>
    <col min="7956" max="7956" width="26.125" style="3126" customWidth="1"/>
    <col min="7957" max="8192" width="8.875" style="3126"/>
    <col min="8193" max="8193" width="9.5" style="3126" customWidth="1"/>
    <col min="8194" max="8194" width="8.875" style="3126"/>
    <col min="8195" max="8197" width="12.875" style="3126" customWidth="1"/>
    <col min="8198" max="8198" width="47.5" style="3126" customWidth="1"/>
    <col min="8199" max="8199" width="13" style="3126" customWidth="1"/>
    <col min="8200" max="8201" width="8.875" style="3126"/>
    <col min="8202" max="8202" width="5.75" style="3126" customWidth="1"/>
    <col min="8203" max="8203" width="11.75" style="3126" customWidth="1"/>
    <col min="8204" max="8205" width="10.75" style="3126" customWidth="1"/>
    <col min="8206" max="8206" width="10" style="3126" customWidth="1"/>
    <col min="8207" max="8208" width="10.5" style="3126" bestFit="1" customWidth="1"/>
    <col min="8209" max="8209" width="10" style="3126" customWidth="1"/>
    <col min="8210" max="8210" width="10.125" style="3126" customWidth="1"/>
    <col min="8211" max="8211" width="10" style="3126" customWidth="1"/>
    <col min="8212" max="8212" width="26.125" style="3126" customWidth="1"/>
    <col min="8213" max="8448" width="8.875" style="3126"/>
    <col min="8449" max="8449" width="9.5" style="3126" customWidth="1"/>
    <col min="8450" max="8450" width="8.875" style="3126"/>
    <col min="8451" max="8453" width="12.875" style="3126" customWidth="1"/>
    <col min="8454" max="8454" width="47.5" style="3126" customWidth="1"/>
    <col min="8455" max="8455" width="13" style="3126" customWidth="1"/>
    <col min="8456" max="8457" width="8.875" style="3126"/>
    <col min="8458" max="8458" width="5.75" style="3126" customWidth="1"/>
    <col min="8459" max="8459" width="11.75" style="3126" customWidth="1"/>
    <col min="8460" max="8461" width="10.75" style="3126" customWidth="1"/>
    <col min="8462" max="8462" width="10" style="3126" customWidth="1"/>
    <col min="8463" max="8464" width="10.5" style="3126" bestFit="1" customWidth="1"/>
    <col min="8465" max="8465" width="10" style="3126" customWidth="1"/>
    <col min="8466" max="8466" width="10.125" style="3126" customWidth="1"/>
    <col min="8467" max="8467" width="10" style="3126" customWidth="1"/>
    <col min="8468" max="8468" width="26.125" style="3126" customWidth="1"/>
    <col min="8469" max="8704" width="8.875" style="3126"/>
    <col min="8705" max="8705" width="9.5" style="3126" customWidth="1"/>
    <col min="8706" max="8706" width="8.875" style="3126"/>
    <col min="8707" max="8709" width="12.875" style="3126" customWidth="1"/>
    <col min="8710" max="8710" width="47.5" style="3126" customWidth="1"/>
    <col min="8711" max="8711" width="13" style="3126" customWidth="1"/>
    <col min="8712" max="8713" width="8.875" style="3126"/>
    <col min="8714" max="8714" width="5.75" style="3126" customWidth="1"/>
    <col min="8715" max="8715" width="11.75" style="3126" customWidth="1"/>
    <col min="8716" max="8717" width="10.75" style="3126" customWidth="1"/>
    <col min="8718" max="8718" width="10" style="3126" customWidth="1"/>
    <col min="8719" max="8720" width="10.5" style="3126" bestFit="1" customWidth="1"/>
    <col min="8721" max="8721" width="10" style="3126" customWidth="1"/>
    <col min="8722" max="8722" width="10.125" style="3126" customWidth="1"/>
    <col min="8723" max="8723" width="10" style="3126" customWidth="1"/>
    <col min="8724" max="8724" width="26.125" style="3126" customWidth="1"/>
    <col min="8725" max="8960" width="8.875" style="3126"/>
    <col min="8961" max="8961" width="9.5" style="3126" customWidth="1"/>
    <col min="8962" max="8962" width="8.875" style="3126"/>
    <col min="8963" max="8965" width="12.875" style="3126" customWidth="1"/>
    <col min="8966" max="8966" width="47.5" style="3126" customWidth="1"/>
    <col min="8967" max="8967" width="13" style="3126" customWidth="1"/>
    <col min="8968" max="8969" width="8.875" style="3126"/>
    <col min="8970" max="8970" width="5.75" style="3126" customWidth="1"/>
    <col min="8971" max="8971" width="11.75" style="3126" customWidth="1"/>
    <col min="8972" max="8973" width="10.75" style="3126" customWidth="1"/>
    <col min="8974" max="8974" width="10" style="3126" customWidth="1"/>
    <col min="8975" max="8976" width="10.5" style="3126" bestFit="1" customWidth="1"/>
    <col min="8977" max="8977" width="10" style="3126" customWidth="1"/>
    <col min="8978" max="8978" width="10.125" style="3126" customWidth="1"/>
    <col min="8979" max="8979" width="10" style="3126" customWidth="1"/>
    <col min="8980" max="8980" width="26.125" style="3126" customWidth="1"/>
    <col min="8981" max="9216" width="8.875" style="3126"/>
    <col min="9217" max="9217" width="9.5" style="3126" customWidth="1"/>
    <col min="9218" max="9218" width="8.875" style="3126"/>
    <col min="9219" max="9221" width="12.875" style="3126" customWidth="1"/>
    <col min="9222" max="9222" width="47.5" style="3126" customWidth="1"/>
    <col min="9223" max="9223" width="13" style="3126" customWidth="1"/>
    <col min="9224" max="9225" width="8.875" style="3126"/>
    <col min="9226" max="9226" width="5.75" style="3126" customWidth="1"/>
    <col min="9227" max="9227" width="11.75" style="3126" customWidth="1"/>
    <col min="9228" max="9229" width="10.75" style="3126" customWidth="1"/>
    <col min="9230" max="9230" width="10" style="3126" customWidth="1"/>
    <col min="9231" max="9232" width="10.5" style="3126" bestFit="1" customWidth="1"/>
    <col min="9233" max="9233" width="10" style="3126" customWidth="1"/>
    <col min="9234" max="9234" width="10.125" style="3126" customWidth="1"/>
    <col min="9235" max="9235" width="10" style="3126" customWidth="1"/>
    <col min="9236" max="9236" width="26.125" style="3126" customWidth="1"/>
    <col min="9237" max="9472" width="8.875" style="3126"/>
    <col min="9473" max="9473" width="9.5" style="3126" customWidth="1"/>
    <col min="9474" max="9474" width="8.875" style="3126"/>
    <col min="9475" max="9477" width="12.875" style="3126" customWidth="1"/>
    <col min="9478" max="9478" width="47.5" style="3126" customWidth="1"/>
    <col min="9479" max="9479" width="13" style="3126" customWidth="1"/>
    <col min="9480" max="9481" width="8.875" style="3126"/>
    <col min="9482" max="9482" width="5.75" style="3126" customWidth="1"/>
    <col min="9483" max="9483" width="11.75" style="3126" customWidth="1"/>
    <col min="9484" max="9485" width="10.75" style="3126" customWidth="1"/>
    <col min="9486" max="9486" width="10" style="3126" customWidth="1"/>
    <col min="9487" max="9488" width="10.5" style="3126" bestFit="1" customWidth="1"/>
    <col min="9489" max="9489" width="10" style="3126" customWidth="1"/>
    <col min="9490" max="9490" width="10.125" style="3126" customWidth="1"/>
    <col min="9491" max="9491" width="10" style="3126" customWidth="1"/>
    <col min="9492" max="9492" width="26.125" style="3126" customWidth="1"/>
    <col min="9493" max="9728" width="8.875" style="3126"/>
    <col min="9729" max="9729" width="9.5" style="3126" customWidth="1"/>
    <col min="9730" max="9730" width="8.875" style="3126"/>
    <col min="9731" max="9733" width="12.875" style="3126" customWidth="1"/>
    <col min="9734" max="9734" width="47.5" style="3126" customWidth="1"/>
    <col min="9735" max="9735" width="13" style="3126" customWidth="1"/>
    <col min="9736" max="9737" width="8.875" style="3126"/>
    <col min="9738" max="9738" width="5.75" style="3126" customWidth="1"/>
    <col min="9739" max="9739" width="11.75" style="3126" customWidth="1"/>
    <col min="9740" max="9741" width="10.75" style="3126" customWidth="1"/>
    <col min="9742" max="9742" width="10" style="3126" customWidth="1"/>
    <col min="9743" max="9744" width="10.5" style="3126" bestFit="1" customWidth="1"/>
    <col min="9745" max="9745" width="10" style="3126" customWidth="1"/>
    <col min="9746" max="9746" width="10.125" style="3126" customWidth="1"/>
    <col min="9747" max="9747" width="10" style="3126" customWidth="1"/>
    <col min="9748" max="9748" width="26.125" style="3126" customWidth="1"/>
    <col min="9749" max="9984" width="8.875" style="3126"/>
    <col min="9985" max="9985" width="9.5" style="3126" customWidth="1"/>
    <col min="9986" max="9986" width="8.875" style="3126"/>
    <col min="9987" max="9989" width="12.875" style="3126" customWidth="1"/>
    <col min="9990" max="9990" width="47.5" style="3126" customWidth="1"/>
    <col min="9991" max="9991" width="13" style="3126" customWidth="1"/>
    <col min="9992" max="9993" width="8.875" style="3126"/>
    <col min="9994" max="9994" width="5.75" style="3126" customWidth="1"/>
    <col min="9995" max="9995" width="11.75" style="3126" customWidth="1"/>
    <col min="9996" max="9997" width="10.75" style="3126" customWidth="1"/>
    <col min="9998" max="9998" width="10" style="3126" customWidth="1"/>
    <col min="9999" max="10000" width="10.5" style="3126" bestFit="1" customWidth="1"/>
    <col min="10001" max="10001" width="10" style="3126" customWidth="1"/>
    <col min="10002" max="10002" width="10.125" style="3126" customWidth="1"/>
    <col min="10003" max="10003" width="10" style="3126" customWidth="1"/>
    <col min="10004" max="10004" width="26.125" style="3126" customWidth="1"/>
    <col min="10005" max="10240" width="8.875" style="3126"/>
    <col min="10241" max="10241" width="9.5" style="3126" customWidth="1"/>
    <col min="10242" max="10242" width="8.875" style="3126"/>
    <col min="10243" max="10245" width="12.875" style="3126" customWidth="1"/>
    <col min="10246" max="10246" width="47.5" style="3126" customWidth="1"/>
    <col min="10247" max="10247" width="13" style="3126" customWidth="1"/>
    <col min="10248" max="10249" width="8.875" style="3126"/>
    <col min="10250" max="10250" width="5.75" style="3126" customWidth="1"/>
    <col min="10251" max="10251" width="11.75" style="3126" customWidth="1"/>
    <col min="10252" max="10253" width="10.75" style="3126" customWidth="1"/>
    <col min="10254" max="10254" width="10" style="3126" customWidth="1"/>
    <col min="10255" max="10256" width="10.5" style="3126" bestFit="1" customWidth="1"/>
    <col min="10257" max="10257" width="10" style="3126" customWidth="1"/>
    <col min="10258" max="10258" width="10.125" style="3126" customWidth="1"/>
    <col min="10259" max="10259" width="10" style="3126" customWidth="1"/>
    <col min="10260" max="10260" width="26.125" style="3126" customWidth="1"/>
    <col min="10261" max="10496" width="8.875" style="3126"/>
    <col min="10497" max="10497" width="9.5" style="3126" customWidth="1"/>
    <col min="10498" max="10498" width="8.875" style="3126"/>
    <col min="10499" max="10501" width="12.875" style="3126" customWidth="1"/>
    <col min="10502" max="10502" width="47.5" style="3126" customWidth="1"/>
    <col min="10503" max="10503" width="13" style="3126" customWidth="1"/>
    <col min="10504" max="10505" width="8.875" style="3126"/>
    <col min="10506" max="10506" width="5.75" style="3126" customWidth="1"/>
    <col min="10507" max="10507" width="11.75" style="3126" customWidth="1"/>
    <col min="10508" max="10509" width="10.75" style="3126" customWidth="1"/>
    <col min="10510" max="10510" width="10" style="3126" customWidth="1"/>
    <col min="10511" max="10512" width="10.5" style="3126" bestFit="1" customWidth="1"/>
    <col min="10513" max="10513" width="10" style="3126" customWidth="1"/>
    <col min="10514" max="10514" width="10.125" style="3126" customWidth="1"/>
    <col min="10515" max="10515" width="10" style="3126" customWidth="1"/>
    <col min="10516" max="10516" width="26.125" style="3126" customWidth="1"/>
    <col min="10517" max="10752" width="8.875" style="3126"/>
    <col min="10753" max="10753" width="9.5" style="3126" customWidth="1"/>
    <col min="10754" max="10754" width="8.875" style="3126"/>
    <col min="10755" max="10757" width="12.875" style="3126" customWidth="1"/>
    <col min="10758" max="10758" width="47.5" style="3126" customWidth="1"/>
    <col min="10759" max="10759" width="13" style="3126" customWidth="1"/>
    <col min="10760" max="10761" width="8.875" style="3126"/>
    <col min="10762" max="10762" width="5.75" style="3126" customWidth="1"/>
    <col min="10763" max="10763" width="11.75" style="3126" customWidth="1"/>
    <col min="10764" max="10765" width="10.75" style="3126" customWidth="1"/>
    <col min="10766" max="10766" width="10" style="3126" customWidth="1"/>
    <col min="10767" max="10768" width="10.5" style="3126" bestFit="1" customWidth="1"/>
    <col min="10769" max="10769" width="10" style="3126" customWidth="1"/>
    <col min="10770" max="10770" width="10.125" style="3126" customWidth="1"/>
    <col min="10771" max="10771" width="10" style="3126" customWidth="1"/>
    <col min="10772" max="10772" width="26.125" style="3126" customWidth="1"/>
    <col min="10773" max="11008" width="8.875" style="3126"/>
    <col min="11009" max="11009" width="9.5" style="3126" customWidth="1"/>
    <col min="11010" max="11010" width="8.875" style="3126"/>
    <col min="11011" max="11013" width="12.875" style="3126" customWidth="1"/>
    <col min="11014" max="11014" width="47.5" style="3126" customWidth="1"/>
    <col min="11015" max="11015" width="13" style="3126" customWidth="1"/>
    <col min="11016" max="11017" width="8.875" style="3126"/>
    <col min="11018" max="11018" width="5.75" style="3126" customWidth="1"/>
    <col min="11019" max="11019" width="11.75" style="3126" customWidth="1"/>
    <col min="11020" max="11021" width="10.75" style="3126" customWidth="1"/>
    <col min="11022" max="11022" width="10" style="3126" customWidth="1"/>
    <col min="11023" max="11024" width="10.5" style="3126" bestFit="1" customWidth="1"/>
    <col min="11025" max="11025" width="10" style="3126" customWidth="1"/>
    <col min="11026" max="11026" width="10.125" style="3126" customWidth="1"/>
    <col min="11027" max="11027" width="10" style="3126" customWidth="1"/>
    <col min="11028" max="11028" width="26.125" style="3126" customWidth="1"/>
    <col min="11029" max="11264" width="8.875" style="3126"/>
    <col min="11265" max="11265" width="9.5" style="3126" customWidth="1"/>
    <col min="11266" max="11266" width="8.875" style="3126"/>
    <col min="11267" max="11269" width="12.875" style="3126" customWidth="1"/>
    <col min="11270" max="11270" width="47.5" style="3126" customWidth="1"/>
    <col min="11271" max="11271" width="13" style="3126" customWidth="1"/>
    <col min="11272" max="11273" width="8.875" style="3126"/>
    <col min="11274" max="11274" width="5.75" style="3126" customWidth="1"/>
    <col min="11275" max="11275" width="11.75" style="3126" customWidth="1"/>
    <col min="11276" max="11277" width="10.75" style="3126" customWidth="1"/>
    <col min="11278" max="11278" width="10" style="3126" customWidth="1"/>
    <col min="11279" max="11280" width="10.5" style="3126" bestFit="1" customWidth="1"/>
    <col min="11281" max="11281" width="10" style="3126" customWidth="1"/>
    <col min="11282" max="11282" width="10.125" style="3126" customWidth="1"/>
    <col min="11283" max="11283" width="10" style="3126" customWidth="1"/>
    <col min="11284" max="11284" width="26.125" style="3126" customWidth="1"/>
    <col min="11285" max="11520" width="8.875" style="3126"/>
    <col min="11521" max="11521" width="9.5" style="3126" customWidth="1"/>
    <col min="11522" max="11522" width="8.875" style="3126"/>
    <col min="11523" max="11525" width="12.875" style="3126" customWidth="1"/>
    <col min="11526" max="11526" width="47.5" style="3126" customWidth="1"/>
    <col min="11527" max="11527" width="13" style="3126" customWidth="1"/>
    <col min="11528" max="11529" width="8.875" style="3126"/>
    <col min="11530" max="11530" width="5.75" style="3126" customWidth="1"/>
    <col min="11531" max="11531" width="11.75" style="3126" customWidth="1"/>
    <col min="11532" max="11533" width="10.75" style="3126" customWidth="1"/>
    <col min="11534" max="11534" width="10" style="3126" customWidth="1"/>
    <col min="11535" max="11536" width="10.5" style="3126" bestFit="1" customWidth="1"/>
    <col min="11537" max="11537" width="10" style="3126" customWidth="1"/>
    <col min="11538" max="11538" width="10.125" style="3126" customWidth="1"/>
    <col min="11539" max="11539" width="10" style="3126" customWidth="1"/>
    <col min="11540" max="11540" width="26.125" style="3126" customWidth="1"/>
    <col min="11541" max="11776" width="8.875" style="3126"/>
    <col min="11777" max="11777" width="9.5" style="3126" customWidth="1"/>
    <col min="11778" max="11778" width="8.875" style="3126"/>
    <col min="11779" max="11781" width="12.875" style="3126" customWidth="1"/>
    <col min="11782" max="11782" width="47.5" style="3126" customWidth="1"/>
    <col min="11783" max="11783" width="13" style="3126" customWidth="1"/>
    <col min="11784" max="11785" width="8.875" style="3126"/>
    <col min="11786" max="11786" width="5.75" style="3126" customWidth="1"/>
    <col min="11787" max="11787" width="11.75" style="3126" customWidth="1"/>
    <col min="11788" max="11789" width="10.75" style="3126" customWidth="1"/>
    <col min="11790" max="11790" width="10" style="3126" customWidth="1"/>
    <col min="11791" max="11792" width="10.5" style="3126" bestFit="1" customWidth="1"/>
    <col min="11793" max="11793" width="10" style="3126" customWidth="1"/>
    <col min="11794" max="11794" width="10.125" style="3126" customWidth="1"/>
    <col min="11795" max="11795" width="10" style="3126" customWidth="1"/>
    <col min="11796" max="11796" width="26.125" style="3126" customWidth="1"/>
    <col min="11797" max="12032" width="8.875" style="3126"/>
    <col min="12033" max="12033" width="9.5" style="3126" customWidth="1"/>
    <col min="12034" max="12034" width="8.875" style="3126"/>
    <col min="12035" max="12037" width="12.875" style="3126" customWidth="1"/>
    <col min="12038" max="12038" width="47.5" style="3126" customWidth="1"/>
    <col min="12039" max="12039" width="13" style="3126" customWidth="1"/>
    <col min="12040" max="12041" width="8.875" style="3126"/>
    <col min="12042" max="12042" width="5.75" style="3126" customWidth="1"/>
    <col min="12043" max="12043" width="11.75" style="3126" customWidth="1"/>
    <col min="12044" max="12045" width="10.75" style="3126" customWidth="1"/>
    <col min="12046" max="12046" width="10" style="3126" customWidth="1"/>
    <col min="12047" max="12048" width="10.5" style="3126" bestFit="1" customWidth="1"/>
    <col min="12049" max="12049" width="10" style="3126" customWidth="1"/>
    <col min="12050" max="12050" width="10.125" style="3126" customWidth="1"/>
    <col min="12051" max="12051" width="10" style="3126" customWidth="1"/>
    <col min="12052" max="12052" width="26.125" style="3126" customWidth="1"/>
    <col min="12053" max="12288" width="8.875" style="3126"/>
    <col min="12289" max="12289" width="9.5" style="3126" customWidth="1"/>
    <col min="12290" max="12290" width="8.875" style="3126"/>
    <col min="12291" max="12293" width="12.875" style="3126" customWidth="1"/>
    <col min="12294" max="12294" width="47.5" style="3126" customWidth="1"/>
    <col min="12295" max="12295" width="13" style="3126" customWidth="1"/>
    <col min="12296" max="12297" width="8.875" style="3126"/>
    <col min="12298" max="12298" width="5.75" style="3126" customWidth="1"/>
    <col min="12299" max="12299" width="11.75" style="3126" customWidth="1"/>
    <col min="12300" max="12301" width="10.75" style="3126" customWidth="1"/>
    <col min="12302" max="12302" width="10" style="3126" customWidth="1"/>
    <col min="12303" max="12304" width="10.5" style="3126" bestFit="1" customWidth="1"/>
    <col min="12305" max="12305" width="10" style="3126" customWidth="1"/>
    <col min="12306" max="12306" width="10.125" style="3126" customWidth="1"/>
    <col min="12307" max="12307" width="10" style="3126" customWidth="1"/>
    <col min="12308" max="12308" width="26.125" style="3126" customWidth="1"/>
    <col min="12309" max="12544" width="8.875" style="3126"/>
    <col min="12545" max="12545" width="9.5" style="3126" customWidth="1"/>
    <col min="12546" max="12546" width="8.875" style="3126"/>
    <col min="12547" max="12549" width="12.875" style="3126" customWidth="1"/>
    <col min="12550" max="12550" width="47.5" style="3126" customWidth="1"/>
    <col min="12551" max="12551" width="13" style="3126" customWidth="1"/>
    <col min="12552" max="12553" width="8.875" style="3126"/>
    <col min="12554" max="12554" width="5.75" style="3126" customWidth="1"/>
    <col min="12555" max="12555" width="11.75" style="3126" customWidth="1"/>
    <col min="12556" max="12557" width="10.75" style="3126" customWidth="1"/>
    <col min="12558" max="12558" width="10" style="3126" customWidth="1"/>
    <col min="12559" max="12560" width="10.5" style="3126" bestFit="1" customWidth="1"/>
    <col min="12561" max="12561" width="10" style="3126" customWidth="1"/>
    <col min="12562" max="12562" width="10.125" style="3126" customWidth="1"/>
    <col min="12563" max="12563" width="10" style="3126" customWidth="1"/>
    <col min="12564" max="12564" width="26.125" style="3126" customWidth="1"/>
    <col min="12565" max="12800" width="8.875" style="3126"/>
    <col min="12801" max="12801" width="9.5" style="3126" customWidth="1"/>
    <col min="12802" max="12802" width="8.875" style="3126"/>
    <col min="12803" max="12805" width="12.875" style="3126" customWidth="1"/>
    <col min="12806" max="12806" width="47.5" style="3126" customWidth="1"/>
    <col min="12807" max="12807" width="13" style="3126" customWidth="1"/>
    <col min="12808" max="12809" width="8.875" style="3126"/>
    <col min="12810" max="12810" width="5.75" style="3126" customWidth="1"/>
    <col min="12811" max="12811" width="11.75" style="3126" customWidth="1"/>
    <col min="12812" max="12813" width="10.75" style="3126" customWidth="1"/>
    <col min="12814" max="12814" width="10" style="3126" customWidth="1"/>
    <col min="12815" max="12816" width="10.5" style="3126" bestFit="1" customWidth="1"/>
    <col min="12817" max="12817" width="10" style="3126" customWidth="1"/>
    <col min="12818" max="12818" width="10.125" style="3126" customWidth="1"/>
    <col min="12819" max="12819" width="10" style="3126" customWidth="1"/>
    <col min="12820" max="12820" width="26.125" style="3126" customWidth="1"/>
    <col min="12821" max="13056" width="8.875" style="3126"/>
    <col min="13057" max="13057" width="9.5" style="3126" customWidth="1"/>
    <col min="13058" max="13058" width="8.875" style="3126"/>
    <col min="13059" max="13061" width="12.875" style="3126" customWidth="1"/>
    <col min="13062" max="13062" width="47.5" style="3126" customWidth="1"/>
    <col min="13063" max="13063" width="13" style="3126" customWidth="1"/>
    <col min="13064" max="13065" width="8.875" style="3126"/>
    <col min="13066" max="13066" width="5.75" style="3126" customWidth="1"/>
    <col min="13067" max="13067" width="11.75" style="3126" customWidth="1"/>
    <col min="13068" max="13069" width="10.75" style="3126" customWidth="1"/>
    <col min="13070" max="13070" width="10" style="3126" customWidth="1"/>
    <col min="13071" max="13072" width="10.5" style="3126" bestFit="1" customWidth="1"/>
    <col min="13073" max="13073" width="10" style="3126" customWidth="1"/>
    <col min="13074" max="13074" width="10.125" style="3126" customWidth="1"/>
    <col min="13075" max="13075" width="10" style="3126" customWidth="1"/>
    <col min="13076" max="13076" width="26.125" style="3126" customWidth="1"/>
    <col min="13077" max="13312" width="8.875" style="3126"/>
    <col min="13313" max="13313" width="9.5" style="3126" customWidth="1"/>
    <col min="13314" max="13314" width="8.875" style="3126"/>
    <col min="13315" max="13317" width="12.875" style="3126" customWidth="1"/>
    <col min="13318" max="13318" width="47.5" style="3126" customWidth="1"/>
    <col min="13319" max="13319" width="13" style="3126" customWidth="1"/>
    <col min="13320" max="13321" width="8.875" style="3126"/>
    <col min="13322" max="13322" width="5.75" style="3126" customWidth="1"/>
    <col min="13323" max="13323" width="11.75" style="3126" customWidth="1"/>
    <col min="13324" max="13325" width="10.75" style="3126" customWidth="1"/>
    <col min="13326" max="13326" width="10" style="3126" customWidth="1"/>
    <col min="13327" max="13328" width="10.5" style="3126" bestFit="1" customWidth="1"/>
    <col min="13329" max="13329" width="10" style="3126" customWidth="1"/>
    <col min="13330" max="13330" width="10.125" style="3126" customWidth="1"/>
    <col min="13331" max="13331" width="10" style="3126" customWidth="1"/>
    <col min="13332" max="13332" width="26.125" style="3126" customWidth="1"/>
    <col min="13333" max="13568" width="8.875" style="3126"/>
    <col min="13569" max="13569" width="9.5" style="3126" customWidth="1"/>
    <col min="13570" max="13570" width="8.875" style="3126"/>
    <col min="13571" max="13573" width="12.875" style="3126" customWidth="1"/>
    <col min="13574" max="13574" width="47.5" style="3126" customWidth="1"/>
    <col min="13575" max="13575" width="13" style="3126" customWidth="1"/>
    <col min="13576" max="13577" width="8.875" style="3126"/>
    <col min="13578" max="13578" width="5.75" style="3126" customWidth="1"/>
    <col min="13579" max="13579" width="11.75" style="3126" customWidth="1"/>
    <col min="13580" max="13581" width="10.75" style="3126" customWidth="1"/>
    <col min="13582" max="13582" width="10" style="3126" customWidth="1"/>
    <col min="13583" max="13584" width="10.5" style="3126" bestFit="1" customWidth="1"/>
    <col min="13585" max="13585" width="10" style="3126" customWidth="1"/>
    <col min="13586" max="13586" width="10.125" style="3126" customWidth="1"/>
    <col min="13587" max="13587" width="10" style="3126" customWidth="1"/>
    <col min="13588" max="13588" width="26.125" style="3126" customWidth="1"/>
    <col min="13589" max="13824" width="8.875" style="3126"/>
    <col min="13825" max="13825" width="9.5" style="3126" customWidth="1"/>
    <col min="13826" max="13826" width="8.875" style="3126"/>
    <col min="13827" max="13829" width="12.875" style="3126" customWidth="1"/>
    <col min="13830" max="13830" width="47.5" style="3126" customWidth="1"/>
    <col min="13831" max="13831" width="13" style="3126" customWidth="1"/>
    <col min="13832" max="13833" width="8.875" style="3126"/>
    <col min="13834" max="13834" width="5.75" style="3126" customWidth="1"/>
    <col min="13835" max="13835" width="11.75" style="3126" customWidth="1"/>
    <col min="13836" max="13837" width="10.75" style="3126" customWidth="1"/>
    <col min="13838" max="13838" width="10" style="3126" customWidth="1"/>
    <col min="13839" max="13840" width="10.5" style="3126" bestFit="1" customWidth="1"/>
    <col min="13841" max="13841" width="10" style="3126" customWidth="1"/>
    <col min="13842" max="13842" width="10.125" style="3126" customWidth="1"/>
    <col min="13843" max="13843" width="10" style="3126" customWidth="1"/>
    <col min="13844" max="13844" width="26.125" style="3126" customWidth="1"/>
    <col min="13845" max="14080" width="8.875" style="3126"/>
    <col min="14081" max="14081" width="9.5" style="3126" customWidth="1"/>
    <col min="14082" max="14082" width="8.875" style="3126"/>
    <col min="14083" max="14085" width="12.875" style="3126" customWidth="1"/>
    <col min="14086" max="14086" width="47.5" style="3126" customWidth="1"/>
    <col min="14087" max="14087" width="13" style="3126" customWidth="1"/>
    <col min="14088" max="14089" width="8.875" style="3126"/>
    <col min="14090" max="14090" width="5.75" style="3126" customWidth="1"/>
    <col min="14091" max="14091" width="11.75" style="3126" customWidth="1"/>
    <col min="14092" max="14093" width="10.75" style="3126" customWidth="1"/>
    <col min="14094" max="14094" width="10" style="3126" customWidth="1"/>
    <col min="14095" max="14096" width="10.5" style="3126" bestFit="1" customWidth="1"/>
    <col min="14097" max="14097" width="10" style="3126" customWidth="1"/>
    <col min="14098" max="14098" width="10.125" style="3126" customWidth="1"/>
    <col min="14099" max="14099" width="10" style="3126" customWidth="1"/>
    <col min="14100" max="14100" width="26.125" style="3126" customWidth="1"/>
    <col min="14101" max="14336" width="8.875" style="3126"/>
    <col min="14337" max="14337" width="9.5" style="3126" customWidth="1"/>
    <col min="14338" max="14338" width="8.875" style="3126"/>
    <col min="14339" max="14341" width="12.875" style="3126" customWidth="1"/>
    <col min="14342" max="14342" width="47.5" style="3126" customWidth="1"/>
    <col min="14343" max="14343" width="13" style="3126" customWidth="1"/>
    <col min="14344" max="14345" width="8.875" style="3126"/>
    <col min="14346" max="14346" width="5.75" style="3126" customWidth="1"/>
    <col min="14347" max="14347" width="11.75" style="3126" customWidth="1"/>
    <col min="14348" max="14349" width="10.75" style="3126" customWidth="1"/>
    <col min="14350" max="14350" width="10" style="3126" customWidth="1"/>
    <col min="14351" max="14352" width="10.5" style="3126" bestFit="1" customWidth="1"/>
    <col min="14353" max="14353" width="10" style="3126" customWidth="1"/>
    <col min="14354" max="14354" width="10.125" style="3126" customWidth="1"/>
    <col min="14355" max="14355" width="10" style="3126" customWidth="1"/>
    <col min="14356" max="14356" width="26.125" style="3126" customWidth="1"/>
    <col min="14357" max="14592" width="8.875" style="3126"/>
    <col min="14593" max="14593" width="9.5" style="3126" customWidth="1"/>
    <col min="14594" max="14594" width="8.875" style="3126"/>
    <col min="14595" max="14597" width="12.875" style="3126" customWidth="1"/>
    <col min="14598" max="14598" width="47.5" style="3126" customWidth="1"/>
    <col min="14599" max="14599" width="13" style="3126" customWidth="1"/>
    <col min="14600" max="14601" width="8.875" style="3126"/>
    <col min="14602" max="14602" width="5.75" style="3126" customWidth="1"/>
    <col min="14603" max="14603" width="11.75" style="3126" customWidth="1"/>
    <col min="14604" max="14605" width="10.75" style="3126" customWidth="1"/>
    <col min="14606" max="14606" width="10" style="3126" customWidth="1"/>
    <col min="14607" max="14608" width="10.5" style="3126" bestFit="1" customWidth="1"/>
    <col min="14609" max="14609" width="10" style="3126" customWidth="1"/>
    <col min="14610" max="14610" width="10.125" style="3126" customWidth="1"/>
    <col min="14611" max="14611" width="10" style="3126" customWidth="1"/>
    <col min="14612" max="14612" width="26.125" style="3126" customWidth="1"/>
    <col min="14613" max="14848" width="8.875" style="3126"/>
    <col min="14849" max="14849" width="9.5" style="3126" customWidth="1"/>
    <col min="14850" max="14850" width="8.875" style="3126"/>
    <col min="14851" max="14853" width="12.875" style="3126" customWidth="1"/>
    <col min="14854" max="14854" width="47.5" style="3126" customWidth="1"/>
    <col min="14855" max="14855" width="13" style="3126" customWidth="1"/>
    <col min="14856" max="14857" width="8.875" style="3126"/>
    <col min="14858" max="14858" width="5.75" style="3126" customWidth="1"/>
    <col min="14859" max="14859" width="11.75" style="3126" customWidth="1"/>
    <col min="14860" max="14861" width="10.75" style="3126" customWidth="1"/>
    <col min="14862" max="14862" width="10" style="3126" customWidth="1"/>
    <col min="14863" max="14864" width="10.5" style="3126" bestFit="1" customWidth="1"/>
    <col min="14865" max="14865" width="10" style="3126" customWidth="1"/>
    <col min="14866" max="14866" width="10.125" style="3126" customWidth="1"/>
    <col min="14867" max="14867" width="10" style="3126" customWidth="1"/>
    <col min="14868" max="14868" width="26.125" style="3126" customWidth="1"/>
    <col min="14869" max="15104" width="8.875" style="3126"/>
    <col min="15105" max="15105" width="9.5" style="3126" customWidth="1"/>
    <col min="15106" max="15106" width="8.875" style="3126"/>
    <col min="15107" max="15109" width="12.875" style="3126" customWidth="1"/>
    <col min="15110" max="15110" width="47.5" style="3126" customWidth="1"/>
    <col min="15111" max="15111" width="13" style="3126" customWidth="1"/>
    <col min="15112" max="15113" width="8.875" style="3126"/>
    <col min="15114" max="15114" width="5.75" style="3126" customWidth="1"/>
    <col min="15115" max="15115" width="11.75" style="3126" customWidth="1"/>
    <col min="15116" max="15117" width="10.75" style="3126" customWidth="1"/>
    <col min="15118" max="15118" width="10" style="3126" customWidth="1"/>
    <col min="15119" max="15120" width="10.5" style="3126" bestFit="1" customWidth="1"/>
    <col min="15121" max="15121" width="10" style="3126" customWidth="1"/>
    <col min="15122" max="15122" width="10.125" style="3126" customWidth="1"/>
    <col min="15123" max="15123" width="10" style="3126" customWidth="1"/>
    <col min="15124" max="15124" width="26.125" style="3126" customWidth="1"/>
    <col min="15125" max="15360" width="8.875" style="3126"/>
    <col min="15361" max="15361" width="9.5" style="3126" customWidth="1"/>
    <col min="15362" max="15362" width="8.875" style="3126"/>
    <col min="15363" max="15365" width="12.875" style="3126" customWidth="1"/>
    <col min="15366" max="15366" width="47.5" style="3126" customWidth="1"/>
    <col min="15367" max="15367" width="13" style="3126" customWidth="1"/>
    <col min="15368" max="15369" width="8.875" style="3126"/>
    <col min="15370" max="15370" width="5.75" style="3126" customWidth="1"/>
    <col min="15371" max="15371" width="11.75" style="3126" customWidth="1"/>
    <col min="15372" max="15373" width="10.75" style="3126" customWidth="1"/>
    <col min="15374" max="15374" width="10" style="3126" customWidth="1"/>
    <col min="15375" max="15376" width="10.5" style="3126" bestFit="1" customWidth="1"/>
    <col min="15377" max="15377" width="10" style="3126" customWidth="1"/>
    <col min="15378" max="15378" width="10.125" style="3126" customWidth="1"/>
    <col min="15379" max="15379" width="10" style="3126" customWidth="1"/>
    <col min="15380" max="15380" width="26.125" style="3126" customWidth="1"/>
    <col min="15381" max="15616" width="8.875" style="3126"/>
    <col min="15617" max="15617" width="9.5" style="3126" customWidth="1"/>
    <col min="15618" max="15618" width="8.875" style="3126"/>
    <col min="15619" max="15621" width="12.875" style="3126" customWidth="1"/>
    <col min="15622" max="15622" width="47.5" style="3126" customWidth="1"/>
    <col min="15623" max="15623" width="13" style="3126" customWidth="1"/>
    <col min="15624" max="15625" width="8.875" style="3126"/>
    <col min="15626" max="15626" width="5.75" style="3126" customWidth="1"/>
    <col min="15627" max="15627" width="11.75" style="3126" customWidth="1"/>
    <col min="15628" max="15629" width="10.75" style="3126" customWidth="1"/>
    <col min="15630" max="15630" width="10" style="3126" customWidth="1"/>
    <col min="15631" max="15632" width="10.5" style="3126" bestFit="1" customWidth="1"/>
    <col min="15633" max="15633" width="10" style="3126" customWidth="1"/>
    <col min="15634" max="15634" width="10.125" style="3126" customWidth="1"/>
    <col min="15635" max="15635" width="10" style="3126" customWidth="1"/>
    <col min="15636" max="15636" width="26.125" style="3126" customWidth="1"/>
    <col min="15637" max="15872" width="8.875" style="3126"/>
    <col min="15873" max="15873" width="9.5" style="3126" customWidth="1"/>
    <col min="15874" max="15874" width="8.875" style="3126"/>
    <col min="15875" max="15877" width="12.875" style="3126" customWidth="1"/>
    <col min="15878" max="15878" width="47.5" style="3126" customWidth="1"/>
    <col min="15879" max="15879" width="13" style="3126" customWidth="1"/>
    <col min="15880" max="15881" width="8.875" style="3126"/>
    <col min="15882" max="15882" width="5.75" style="3126" customWidth="1"/>
    <col min="15883" max="15883" width="11.75" style="3126" customWidth="1"/>
    <col min="15884" max="15885" width="10.75" style="3126" customWidth="1"/>
    <col min="15886" max="15886" width="10" style="3126" customWidth="1"/>
    <col min="15887" max="15888" width="10.5" style="3126" bestFit="1" customWidth="1"/>
    <col min="15889" max="15889" width="10" style="3126" customWidth="1"/>
    <col min="15890" max="15890" width="10.125" style="3126" customWidth="1"/>
    <col min="15891" max="15891" width="10" style="3126" customWidth="1"/>
    <col min="15892" max="15892" width="26.125" style="3126" customWidth="1"/>
    <col min="15893" max="16128" width="8.875" style="3126"/>
    <col min="16129" max="16129" width="9.5" style="3126" customWidth="1"/>
    <col min="16130" max="16130" width="8.875" style="3126"/>
    <col min="16131" max="16133" width="12.875" style="3126" customWidth="1"/>
    <col min="16134" max="16134" width="47.5" style="3126" customWidth="1"/>
    <col min="16135" max="16135" width="13" style="3126" customWidth="1"/>
    <col min="16136" max="16137" width="8.875" style="3126"/>
    <col min="16138" max="16138" width="5.75" style="3126" customWidth="1"/>
    <col min="16139" max="16139" width="11.75" style="3126" customWidth="1"/>
    <col min="16140" max="16141" width="10.75" style="3126" customWidth="1"/>
    <col min="16142" max="16142" width="10" style="3126" customWidth="1"/>
    <col min="16143" max="16144" width="10.5" style="3126" bestFit="1" customWidth="1"/>
    <col min="16145" max="16145" width="10" style="3126" customWidth="1"/>
    <col min="16146" max="16146" width="10.125" style="3126" customWidth="1"/>
    <col min="16147" max="16147" width="10" style="3126" customWidth="1"/>
    <col min="16148" max="16148" width="26.125" style="3126" customWidth="1"/>
    <col min="16149" max="16384" width="8.875" style="3126"/>
  </cols>
  <sheetData>
    <row r="1" spans="1:22" ht="21" customHeight="1">
      <c r="A1" s="3119" t="s">
        <v>3427</v>
      </c>
      <c r="B1" s="3120"/>
      <c r="C1" s="3121"/>
      <c r="D1" s="3122"/>
      <c r="E1" s="3123" t="s">
        <v>3428</v>
      </c>
      <c r="F1" s="3124" t="e">
        <f>#REF!</f>
        <v>#REF!</v>
      </c>
      <c r="G1" s="3125"/>
      <c r="J1" s="3128" t="s">
        <v>3429</v>
      </c>
      <c r="K1" s="3129"/>
      <c r="L1" s="3129"/>
      <c r="M1" s="3129"/>
      <c r="N1" s="3129"/>
      <c r="O1" s="3129"/>
      <c r="P1" s="3129"/>
      <c r="Q1" s="3129"/>
      <c r="R1" s="3130"/>
      <c r="S1" s="3131"/>
      <c r="T1" s="3131"/>
      <c r="U1" s="3131"/>
    </row>
    <row r="2" spans="1:22" s="3137" customFormat="1" ht="13.15" customHeight="1">
      <c r="A2" s="1566" t="s">
        <v>3430</v>
      </c>
      <c r="B2" s="3132">
        <f ca="1">C40</f>
        <v>25309</v>
      </c>
      <c r="C2" s="3133" t="s">
        <v>3431</v>
      </c>
      <c r="D2" s="3133"/>
      <c r="E2" s="3134"/>
      <c r="F2" s="3135"/>
      <c r="G2" s="3136"/>
      <c r="I2" s="3138"/>
      <c r="J2" s="3545" t="s">
        <v>3432</v>
      </c>
      <c r="K2" s="3546"/>
      <c r="L2" s="3139" t="s">
        <v>3433</v>
      </c>
      <c r="M2" s="3139" t="s">
        <v>3434</v>
      </c>
      <c r="N2" s="3139" t="s">
        <v>3435</v>
      </c>
      <c r="O2" s="3139" t="s">
        <v>3436</v>
      </c>
      <c r="P2" s="3139" t="s">
        <v>3437</v>
      </c>
      <c r="Q2" s="3140" t="s">
        <v>3438</v>
      </c>
      <c r="R2" s="3141" t="s">
        <v>3439</v>
      </c>
      <c r="S2" s="3131"/>
      <c r="T2" s="3131"/>
      <c r="U2" s="3131"/>
      <c r="V2" s="3138"/>
    </row>
    <row r="3" spans="1:22" s="3137" customFormat="1" ht="13.15" customHeight="1">
      <c r="A3" s="3142" t="s">
        <v>3440</v>
      </c>
      <c r="B3" s="3143">
        <f ca="1">ROUND(B2*10000/B4,0)</f>
        <v>7812</v>
      </c>
      <c r="C3" s="3133" t="s">
        <v>3441</v>
      </c>
      <c r="D3" s="3133"/>
      <c r="E3" s="3134"/>
      <c r="F3" s="3135"/>
      <c r="G3" s="3136"/>
      <c r="I3" s="3138"/>
      <c r="J3" s="3547" t="s">
        <v>3442</v>
      </c>
      <c r="K3" s="3548"/>
      <c r="L3" s="3144">
        <v>20000</v>
      </c>
      <c r="M3" s="3144">
        <v>500</v>
      </c>
      <c r="N3" s="3144">
        <v>500</v>
      </c>
      <c r="O3" s="3144">
        <v>10000</v>
      </c>
      <c r="P3" s="3144">
        <v>10000</v>
      </c>
      <c r="Q3" s="3145">
        <v>500</v>
      </c>
      <c r="R3" s="3146">
        <f>SUM(L3:Q3)</f>
        <v>41500</v>
      </c>
      <c r="S3" s="3131"/>
      <c r="T3" s="3131"/>
      <c r="U3" s="3131"/>
      <c r="V3" s="3138"/>
    </row>
    <row r="4" spans="1:22" s="3137" customFormat="1" ht="13.15" customHeight="1">
      <c r="A4" s="3147" t="s">
        <v>3443</v>
      </c>
      <c r="B4" s="3148">
        <f>'数据-基础表'!I13</f>
        <v>32395.93</v>
      </c>
      <c r="C4" s="3133"/>
      <c r="D4" s="3133"/>
      <c r="E4" s="3134"/>
      <c r="F4" s="3135"/>
      <c r="G4" s="3136"/>
      <c r="I4" s="3138"/>
      <c r="J4" s="3547" t="s">
        <v>3444</v>
      </c>
      <c r="K4" s="3548"/>
      <c r="L4" s="3149">
        <v>6500</v>
      </c>
      <c r="M4" s="3149">
        <v>150</v>
      </c>
      <c r="N4" s="3149">
        <v>150</v>
      </c>
      <c r="O4" s="3149">
        <v>3500</v>
      </c>
      <c r="P4" s="3149">
        <v>3500</v>
      </c>
      <c r="Q4" s="3150">
        <v>150</v>
      </c>
      <c r="R4" s="3151">
        <f>SUM(L4:Q4)</f>
        <v>13950</v>
      </c>
      <c r="S4" s="3131"/>
      <c r="T4" s="3131"/>
      <c r="U4" s="3131"/>
      <c r="V4" s="3138"/>
    </row>
    <row r="5" spans="1:22" s="3137" customFormat="1" ht="13.15" customHeight="1" thickBot="1">
      <c r="A5" s="3152" t="s">
        <v>3445</v>
      </c>
      <c r="B5" s="3153">
        <f>ROUND('数据-汇总表'!D3*B4/'数据-汇总表'!E3,2)</f>
        <v>30293.31</v>
      </c>
      <c r="C5" s="3133"/>
      <c r="D5" s="3154"/>
      <c r="E5" s="3135"/>
      <c r="F5" s="3135"/>
      <c r="G5" s="3136"/>
      <c r="I5" s="3138"/>
      <c r="J5" s="3155" t="s">
        <v>3446</v>
      </c>
      <c r="K5" s="3156"/>
      <c r="L5" s="3156"/>
      <c r="M5" s="3157"/>
      <c r="N5" s="3157"/>
      <c r="O5" s="3157"/>
      <c r="P5" s="3157"/>
      <c r="Q5" s="3157"/>
      <c r="R5" s="3141">
        <f>SUM(R14,R19,R24,R25,R27,R28)</f>
        <v>4272</v>
      </c>
      <c r="S5" s="3131"/>
      <c r="T5" s="3131" t="s">
        <v>3447</v>
      </c>
      <c r="U5" s="3131">
        <f>ROUND(R5*10000/365/R3,1)</f>
        <v>2.8</v>
      </c>
      <c r="V5" s="3138"/>
    </row>
    <row r="6" spans="1:22" s="3137" customFormat="1" ht="13.15" customHeight="1" thickBot="1">
      <c r="A6" s="3553" t="s">
        <v>3448</v>
      </c>
      <c r="B6" s="3554"/>
      <c r="C6" s="3555"/>
      <c r="D6" s="3158">
        <f>R5</f>
        <v>4272</v>
      </c>
      <c r="E6" s="3159"/>
      <c r="F6" s="3160"/>
      <c r="G6" s="3161">
        <f>D6*10000/365/B4</f>
        <v>3.6128333371016348</v>
      </c>
      <c r="I6" s="3138"/>
      <c r="J6" s="3539">
        <v>1</v>
      </c>
      <c r="K6" s="3540" t="s">
        <v>3449</v>
      </c>
      <c r="L6" s="3162" t="s">
        <v>3450</v>
      </c>
      <c r="M6" s="3163" t="s">
        <v>3451</v>
      </c>
      <c r="N6" s="3163" t="s">
        <v>3452</v>
      </c>
      <c r="O6" s="3163" t="s">
        <v>3453</v>
      </c>
      <c r="P6" s="3163" t="s">
        <v>3454</v>
      </c>
      <c r="Q6" s="3163" t="s">
        <v>3455</v>
      </c>
      <c r="R6" s="3146" t="s">
        <v>3456</v>
      </c>
      <c r="S6" s="3131"/>
      <c r="T6" s="3131" t="s">
        <v>3457</v>
      </c>
      <c r="U6" s="3131"/>
      <c r="V6" s="3138"/>
    </row>
    <row r="7" spans="1:22" s="3137" customFormat="1" ht="13.15" customHeight="1" thickBot="1">
      <c r="A7" s="3164" t="s">
        <v>3458</v>
      </c>
      <c r="B7" s="3165"/>
      <c r="C7" s="3166"/>
      <c r="D7" s="3167">
        <f ca="1">SUM(D9,D10,D11,D17,0)</f>
        <v>2813</v>
      </c>
      <c r="E7" s="3168">
        <f ca="1">E9+E10+E11+E17</f>
        <v>0.6586142322097378</v>
      </c>
      <c r="F7" s="3169"/>
      <c r="G7" s="3170"/>
      <c r="I7" s="3138"/>
      <c r="J7" s="3539"/>
      <c r="K7" s="3541"/>
      <c r="L7" s="1211"/>
      <c r="M7" s="1211">
        <v>12</v>
      </c>
      <c r="N7" s="3090">
        <v>900</v>
      </c>
      <c r="O7" s="1212">
        <v>1</v>
      </c>
      <c r="P7" s="3100">
        <v>0.4</v>
      </c>
      <c r="Q7" s="3174">
        <v>365</v>
      </c>
      <c r="R7" s="3175">
        <f>ROUND(M7*N7*O7*P7*Q7/10000,0)</f>
        <v>158</v>
      </c>
      <c r="S7" s="3131"/>
      <c r="T7" s="3131" t="s">
        <v>3460</v>
      </c>
      <c r="U7" s="3131"/>
      <c r="V7" s="3138"/>
    </row>
    <row r="8" spans="1:22" s="3137" customFormat="1" ht="13.15" customHeight="1" thickBot="1">
      <c r="A8" s="3176" t="s">
        <v>3461</v>
      </c>
      <c r="B8" s="3556" t="s">
        <v>3462</v>
      </c>
      <c r="C8" s="3548"/>
      <c r="D8" s="3177" t="s">
        <v>3463</v>
      </c>
      <c r="E8" s="3178" t="s">
        <v>3464</v>
      </c>
      <c r="F8" s="3141" t="s">
        <v>3465</v>
      </c>
      <c r="G8" s="3179"/>
      <c r="I8" s="3138"/>
      <c r="J8" s="3539"/>
      <c r="K8" s="3541"/>
      <c r="L8" s="1211"/>
      <c r="M8" s="1211">
        <v>3</v>
      </c>
      <c r="N8" s="3090">
        <v>1200</v>
      </c>
      <c r="O8" s="1212">
        <f>O7</f>
        <v>1</v>
      </c>
      <c r="P8" s="3100">
        <v>0.15</v>
      </c>
      <c r="Q8" s="3174">
        <v>365</v>
      </c>
      <c r="R8" s="3175">
        <f t="shared" ref="R8:R13" si="0">ROUND(M8*N8*O8*P8*Q8/10000,0)</f>
        <v>20</v>
      </c>
      <c r="S8" s="3131"/>
      <c r="T8" s="3131" t="s">
        <v>3467</v>
      </c>
      <c r="U8" s="3131"/>
      <c r="V8" s="3138"/>
    </row>
    <row r="9" spans="1:22" s="3137" customFormat="1" ht="13.15" customHeight="1" thickBot="1">
      <c r="A9" s="3176">
        <v>1</v>
      </c>
      <c r="B9" s="3556" t="s">
        <v>3468</v>
      </c>
      <c r="C9" s="3548"/>
      <c r="D9" s="3177">
        <f>ROUND(D6*E9,0)</f>
        <v>1068</v>
      </c>
      <c r="E9" s="3180">
        <v>0.25</v>
      </c>
      <c r="F9" s="3181" t="s">
        <v>3469</v>
      </c>
      <c r="G9" s="3161"/>
      <c r="I9" s="3138"/>
      <c r="J9" s="3539"/>
      <c r="K9" s="3541"/>
      <c r="L9" s="1211"/>
      <c r="M9" s="1211">
        <v>300</v>
      </c>
      <c r="N9" s="3090">
        <v>450</v>
      </c>
      <c r="O9" s="1212">
        <f>O7</f>
        <v>1</v>
      </c>
      <c r="P9" s="3100">
        <v>0.55000000000000004</v>
      </c>
      <c r="Q9" s="3174">
        <v>365</v>
      </c>
      <c r="R9" s="3175">
        <f t="shared" si="0"/>
        <v>2710</v>
      </c>
      <c r="S9" s="3131"/>
      <c r="T9" s="3131"/>
      <c r="U9" s="3131"/>
      <c r="V9" s="3138"/>
    </row>
    <row r="10" spans="1:22" s="3137" customFormat="1" ht="13.15" customHeight="1">
      <c r="A10" s="3176">
        <v>2</v>
      </c>
      <c r="B10" s="3556" t="s">
        <v>3471</v>
      </c>
      <c r="C10" s="3548"/>
      <c r="D10" s="3177">
        <f>ROUND(D6*E10,0)</f>
        <v>854</v>
      </c>
      <c r="E10" s="3180">
        <v>0.2</v>
      </c>
      <c r="F10" s="3181" t="s">
        <v>3472</v>
      </c>
      <c r="G10" s="3161"/>
      <c r="I10" s="3138"/>
      <c r="J10" s="3539"/>
      <c r="K10" s="3541"/>
      <c r="L10" s="3171"/>
      <c r="M10" s="3172"/>
      <c r="N10" s="3148"/>
      <c r="O10" s="3173"/>
      <c r="P10" s="3173"/>
      <c r="Q10" s="3174">
        <v>365</v>
      </c>
      <c r="R10" s="3175">
        <f t="shared" si="0"/>
        <v>0</v>
      </c>
      <c r="S10" s="3131"/>
      <c r="T10" s="3131"/>
      <c r="U10" s="3131"/>
      <c r="V10" s="3138"/>
    </row>
    <row r="11" spans="1:22" s="3137" customFormat="1" ht="13.15" customHeight="1">
      <c r="A11" s="3176">
        <v>3</v>
      </c>
      <c r="B11" s="3556" t="s">
        <v>3474</v>
      </c>
      <c r="C11" s="3548"/>
      <c r="D11" s="3177">
        <f ca="1">D12+D14+D15+D16</f>
        <v>464</v>
      </c>
      <c r="E11" s="3182">
        <f ca="1">D11/D6</f>
        <v>0.10861423220973783</v>
      </c>
      <c r="F11" s="3141"/>
      <c r="G11" s="3179"/>
      <c r="I11" s="3138"/>
      <c r="J11" s="3539"/>
      <c r="K11" s="3541"/>
      <c r="L11" s="3171"/>
      <c r="M11" s="3172"/>
      <c r="N11" s="3148"/>
      <c r="O11" s="3173"/>
      <c r="P11" s="3173"/>
      <c r="Q11" s="3174">
        <v>365</v>
      </c>
      <c r="R11" s="3175">
        <f t="shared" si="0"/>
        <v>0</v>
      </c>
      <c r="S11" s="3131"/>
      <c r="T11" s="3131"/>
      <c r="U11" s="3131"/>
      <c r="V11" s="3138"/>
    </row>
    <row r="12" spans="1:22" s="3137" customFormat="1" ht="13.15" customHeight="1">
      <c r="A12" s="3183" t="s">
        <v>3476</v>
      </c>
      <c r="B12" s="3549" t="s">
        <v>3477</v>
      </c>
      <c r="C12" s="3550"/>
      <c r="D12" s="3184">
        <f ca="1">ROUND(D13*1.2%*(1-30%),0)</f>
        <v>199</v>
      </c>
      <c r="E12" s="3185">
        <v>1.2E-2</v>
      </c>
      <c r="F12" s="3141" t="s">
        <v>3478</v>
      </c>
      <c r="G12" s="3179"/>
      <c r="I12" s="3138"/>
      <c r="J12" s="3539"/>
      <c r="K12" s="3541"/>
      <c r="L12" s="3171"/>
      <c r="M12" s="3172"/>
      <c r="N12" s="3148"/>
      <c r="O12" s="3173"/>
      <c r="P12" s="3173"/>
      <c r="Q12" s="3174">
        <v>365</v>
      </c>
      <c r="R12" s="3175">
        <f t="shared" si="0"/>
        <v>0</v>
      </c>
      <c r="S12" s="3131"/>
      <c r="T12" s="3131"/>
      <c r="U12" s="3131"/>
      <c r="V12" s="3138"/>
    </row>
    <row r="13" spans="1:22" s="3137" customFormat="1" ht="13.15" customHeight="1">
      <c r="A13" s="3183"/>
      <c r="B13" s="3186"/>
      <c r="C13" s="3187" t="s">
        <v>3480</v>
      </c>
      <c r="D13" s="3188">
        <f ca="1">收益法!C29</f>
        <v>23739</v>
      </c>
      <c r="E13" s="3189"/>
      <c r="F13" s="3141"/>
      <c r="G13" s="3179"/>
      <c r="I13" s="3138"/>
      <c r="J13" s="3539"/>
      <c r="K13" s="3541"/>
      <c r="L13" s="3171"/>
      <c r="M13" s="3172"/>
      <c r="N13" s="3148"/>
      <c r="O13" s="3173"/>
      <c r="P13" s="3173"/>
      <c r="Q13" s="3174">
        <v>365</v>
      </c>
      <c r="R13" s="3175">
        <f t="shared" si="0"/>
        <v>0</v>
      </c>
      <c r="S13" s="3131"/>
      <c r="T13" s="3131"/>
      <c r="U13" s="3131"/>
      <c r="V13" s="3138"/>
    </row>
    <row r="14" spans="1:22" s="3137" customFormat="1" ht="13.15" customHeight="1">
      <c r="A14" s="3183" t="s">
        <v>3482</v>
      </c>
      <c r="B14" s="3549" t="s">
        <v>3483</v>
      </c>
      <c r="C14" s="3550"/>
      <c r="D14" s="3184">
        <f>ROUND(E14*B5/10000,0)</f>
        <v>30</v>
      </c>
      <c r="E14" s="3174">
        <f>收益法!F34</f>
        <v>10</v>
      </c>
      <c r="F14" s="3141" t="s">
        <v>3484</v>
      </c>
      <c r="G14" s="3179"/>
      <c r="I14" s="3138"/>
      <c r="J14" s="3539"/>
      <c r="K14" s="3542"/>
      <c r="L14" s="3190" t="s">
        <v>3485</v>
      </c>
      <c r="M14" s="3191">
        <f>SUM(M7:M13)</f>
        <v>315</v>
      </c>
      <c r="N14" s="3191">
        <f>ROUND((N7*M7+N8*M8+N9*M9+N10*M10+N11*M11+N12*M12+N13*M13)/M14,0)</f>
        <v>474</v>
      </c>
      <c r="O14" s="3192"/>
      <c r="P14" s="3192"/>
      <c r="Q14" s="3193"/>
      <c r="R14" s="3141">
        <f>SUM(R7:R13)</f>
        <v>2888</v>
      </c>
      <c r="S14" s="3131"/>
      <c r="T14" s="3131"/>
      <c r="U14" s="3131"/>
      <c r="V14" s="3138"/>
    </row>
    <row r="15" spans="1:22" s="3137" customFormat="1" ht="13.15" customHeight="1">
      <c r="A15" s="3183" t="s">
        <v>3486</v>
      </c>
      <c r="B15" s="3549" t="s">
        <v>3487</v>
      </c>
      <c r="C15" s="3550"/>
      <c r="D15" s="3184">
        <f>ROUND(D6*E15,0)</f>
        <v>235</v>
      </c>
      <c r="E15" s="3185">
        <v>5.5E-2</v>
      </c>
      <c r="F15" s="3141" t="s">
        <v>3488</v>
      </c>
      <c r="G15" s="3161"/>
      <c r="I15" s="3138"/>
      <c r="J15" s="3539">
        <v>2</v>
      </c>
      <c r="K15" s="3540" t="s">
        <v>3489</v>
      </c>
      <c r="L15" s="3171" t="s">
        <v>3490</v>
      </c>
      <c r="M15" s="3172" t="s">
        <v>3491</v>
      </c>
      <c r="N15" s="3172" t="s">
        <v>3492</v>
      </c>
      <c r="O15" s="3173" t="s">
        <v>3493</v>
      </c>
      <c r="P15" s="3173" t="s">
        <v>3494</v>
      </c>
      <c r="Q15" s="3148" t="s">
        <v>3495</v>
      </c>
      <c r="R15" s="3194" t="s">
        <v>3496</v>
      </c>
      <c r="S15" s="3131"/>
      <c r="T15" s="3131"/>
      <c r="U15" s="3131"/>
      <c r="V15" s="3138"/>
    </row>
    <row r="16" spans="1:22" s="3137" customFormat="1" ht="13.15" customHeight="1">
      <c r="A16" s="3183" t="s">
        <v>3497</v>
      </c>
      <c r="B16" s="3549" t="s">
        <v>3498</v>
      </c>
      <c r="C16" s="3550"/>
      <c r="D16" s="3195">
        <f>D6*E16</f>
        <v>0</v>
      </c>
      <c r="E16" s="3196"/>
      <c r="F16" s="3181" t="s">
        <v>3499</v>
      </c>
      <c r="G16" s="3161"/>
      <c r="I16" s="3138"/>
      <c r="J16" s="3539"/>
      <c r="K16" s="3541"/>
      <c r="L16" s="3171" t="s">
        <v>3500</v>
      </c>
      <c r="M16" s="3172"/>
      <c r="N16" s="1211">
        <v>223</v>
      </c>
      <c r="O16" s="3173"/>
      <c r="P16" s="3174"/>
      <c r="Q16" s="3148"/>
      <c r="R16" s="1210">
        <v>575</v>
      </c>
      <c r="S16" s="3131"/>
      <c r="T16" s="3131"/>
      <c r="U16" s="3131"/>
      <c r="V16" s="3138"/>
    </row>
    <row r="17" spans="1:22" s="3137" customFormat="1" ht="13.15" customHeight="1" thickBot="1">
      <c r="A17" s="3197">
        <v>4</v>
      </c>
      <c r="B17" s="3551" t="s">
        <v>3501</v>
      </c>
      <c r="C17" s="3552"/>
      <c r="D17" s="3198">
        <f>ROUND(D6*E17,0)</f>
        <v>427</v>
      </c>
      <c r="E17" s="3199">
        <v>0.1</v>
      </c>
      <c r="F17" s="3200" t="s">
        <v>3502</v>
      </c>
      <c r="G17" s="3161"/>
      <c r="I17" s="3138"/>
      <c r="J17" s="3539"/>
      <c r="K17" s="3541"/>
      <c r="L17" s="3171" t="s">
        <v>3503</v>
      </c>
      <c r="M17" s="3172"/>
      <c r="N17" s="1211">
        <v>145</v>
      </c>
      <c r="O17" s="3173"/>
      <c r="P17" s="3174"/>
      <c r="Q17" s="3148"/>
      <c r="R17" s="1210">
        <v>395</v>
      </c>
      <c r="S17" s="3131"/>
      <c r="T17" s="3131"/>
      <c r="U17" s="3131"/>
      <c r="V17" s="3138"/>
    </row>
    <row r="18" spans="1:22" s="3137" customFormat="1" ht="13.15" customHeight="1" thickBot="1">
      <c r="A18" s="3164" t="s">
        <v>3504</v>
      </c>
      <c r="B18" s="3165"/>
      <c r="C18" s="3165"/>
      <c r="D18" s="3201">
        <f>ROUND(D6*E18,0)</f>
        <v>214</v>
      </c>
      <c r="E18" s="3202">
        <v>0.05</v>
      </c>
      <c r="F18" s="3203" t="s">
        <v>3505</v>
      </c>
      <c r="G18" s="3161"/>
      <c r="I18" s="3138"/>
      <c r="J18" s="3539"/>
      <c r="K18" s="3541"/>
      <c r="L18" s="3171" t="s">
        <v>3506</v>
      </c>
      <c r="M18" s="3172"/>
      <c r="N18" s="1211">
        <v>110</v>
      </c>
      <c r="O18" s="3173"/>
      <c r="P18" s="3174"/>
      <c r="Q18" s="3148"/>
      <c r="R18" s="1210">
        <v>10</v>
      </c>
      <c r="S18" s="3131"/>
      <c r="T18" s="3131"/>
      <c r="U18" s="3131"/>
      <c r="V18" s="3138"/>
    </row>
    <row r="19" spans="1:22" s="3137" customFormat="1" ht="13.15" customHeight="1" thickBot="1">
      <c r="A19" s="3204" t="s">
        <v>3507</v>
      </c>
      <c r="B19" s="3159"/>
      <c r="C19" s="3159"/>
      <c r="D19" s="3159"/>
      <c r="E19" s="3159"/>
      <c r="F19" s="3160"/>
      <c r="G19" s="3179"/>
      <c r="I19" s="3138"/>
      <c r="J19" s="3539"/>
      <c r="K19" s="3542"/>
      <c r="L19" s="3190" t="s">
        <v>3485</v>
      </c>
      <c r="M19" s="3191"/>
      <c r="N19" s="3191">
        <f>SUM(N16:N18)</f>
        <v>478</v>
      </c>
      <c r="O19" s="3192"/>
      <c r="P19" s="3205" t="s">
        <v>3581</v>
      </c>
      <c r="Q19" s="3173"/>
      <c r="R19" s="3206">
        <f>ROUND(IF(P19="按比例",R14*Q19,SUM(R16:R18)),0)</f>
        <v>980</v>
      </c>
      <c r="S19" s="3131"/>
      <c r="T19" s="3131"/>
      <c r="U19" s="3131"/>
      <c r="V19" s="3138"/>
    </row>
    <row r="20" spans="1:22" s="3137" customFormat="1" ht="13.15" customHeight="1">
      <c r="A20" s="3164"/>
      <c r="B20" s="3165"/>
      <c r="C20" s="3165"/>
      <c r="D20" s="3165"/>
      <c r="E20" s="3165"/>
      <c r="F20" s="3207"/>
      <c r="G20" s="3179"/>
      <c r="I20" s="3138"/>
      <c r="J20" s="3539">
        <v>3</v>
      </c>
      <c r="K20" s="3540" t="s">
        <v>3509</v>
      </c>
      <c r="L20" s="3171" t="s">
        <v>3510</v>
      </c>
      <c r="M20" s="3172" t="s">
        <v>3511</v>
      </c>
      <c r="N20" s="3208" t="s">
        <v>3512</v>
      </c>
      <c r="O20" s="3173" t="s">
        <v>3513</v>
      </c>
      <c r="P20" s="3174" t="s">
        <v>3514</v>
      </c>
      <c r="Q20" s="3148" t="s">
        <v>3515</v>
      </c>
      <c r="R20" s="3194" t="s">
        <v>3516</v>
      </c>
      <c r="S20" s="3209"/>
      <c r="T20" s="3209"/>
      <c r="U20" s="3209"/>
      <c r="V20" s="3138"/>
    </row>
    <row r="21" spans="1:22" s="3137" customFormat="1" ht="13.15" customHeight="1">
      <c r="A21" s="3164"/>
      <c r="B21" s="3165"/>
      <c r="C21" s="3210" t="s">
        <v>3517</v>
      </c>
      <c r="D21" s="3211" t="s">
        <v>3518</v>
      </c>
      <c r="E21" s="3212" t="s">
        <v>3519</v>
      </c>
      <c r="F21" s="3207"/>
      <c r="G21" s="3179"/>
      <c r="I21" s="3138"/>
      <c r="J21" s="3539"/>
      <c r="K21" s="3541"/>
      <c r="L21" s="3288" t="s">
        <v>3353</v>
      </c>
      <c r="M21" s="3172">
        <v>1</v>
      </c>
      <c r="N21" s="1211">
        <v>15000</v>
      </c>
      <c r="O21" s="3173">
        <v>0.2</v>
      </c>
      <c r="P21" s="3174">
        <v>365</v>
      </c>
      <c r="Q21" s="3148"/>
      <c r="R21" s="3213">
        <f>ROUND(M21*N21*O21*P21/10000,0)</f>
        <v>110</v>
      </c>
      <c r="S21" s="3209"/>
      <c r="T21" s="3209"/>
      <c r="U21" s="3209"/>
      <c r="V21" s="3138"/>
    </row>
    <row r="22" spans="1:22" s="3137" customFormat="1" ht="13.15" customHeight="1">
      <c r="A22" s="3164"/>
      <c r="B22" s="3165"/>
      <c r="C22" s="3214" t="s">
        <v>3521</v>
      </c>
      <c r="D22" s="3215" t="s">
        <v>3522</v>
      </c>
      <c r="E22" s="3216" t="s">
        <v>3523</v>
      </c>
      <c r="F22" s="3207"/>
      <c r="G22" s="3217"/>
      <c r="I22" s="3138"/>
      <c r="J22" s="3539"/>
      <c r="K22" s="3541"/>
      <c r="L22" s="3288" t="s">
        <v>1067</v>
      </c>
      <c r="M22" s="3172">
        <v>4</v>
      </c>
      <c r="N22" s="1211">
        <v>6000</v>
      </c>
      <c r="O22" s="3173">
        <v>0.3</v>
      </c>
      <c r="P22" s="3174">
        <v>365</v>
      </c>
      <c r="Q22" s="3148"/>
      <c r="R22" s="3213">
        <f>ROUND(M22*N22*O22*P22/10000,0)</f>
        <v>263</v>
      </c>
      <c r="S22" s="3209"/>
      <c r="T22" s="3209"/>
      <c r="U22" s="3209"/>
      <c r="V22" s="3138"/>
    </row>
    <row r="23" spans="1:22" s="3137" customFormat="1" ht="13.15" customHeight="1">
      <c r="A23" s="3218">
        <v>1</v>
      </c>
      <c r="B23" s="3163" t="s">
        <v>3525</v>
      </c>
      <c r="C23" s="3219">
        <f>D6</f>
        <v>4272</v>
      </c>
      <c r="D23" s="3220">
        <f>C23*(1+D24)</f>
        <v>4272</v>
      </c>
      <c r="E23" s="3221">
        <f>D23*(1+E24)</f>
        <v>4272</v>
      </c>
      <c r="F23" s="3222"/>
      <c r="G23" s="3223"/>
      <c r="I23" s="3138"/>
      <c r="J23" s="3539"/>
      <c r="K23" s="3541"/>
      <c r="L23" s="3171"/>
      <c r="M23" s="3172"/>
      <c r="N23" s="3172"/>
      <c r="O23" s="3173"/>
      <c r="P23" s="3174"/>
      <c r="Q23" s="3148"/>
      <c r="R23" s="3213">
        <f>ROUND(M23*N23*O23*P23/10000,0)</f>
        <v>0</v>
      </c>
      <c r="S23" s="3131"/>
      <c r="T23" s="3131"/>
      <c r="U23" s="3131"/>
      <c r="V23" s="3138"/>
    </row>
    <row r="24" spans="1:22" s="3137" customFormat="1" ht="13.15" customHeight="1">
      <c r="A24" s="3224"/>
      <c r="B24" s="3225" t="s">
        <v>3527</v>
      </c>
      <c r="C24" s="3226"/>
      <c r="D24" s="3227"/>
      <c r="E24" s="3228"/>
      <c r="F24" s="3229"/>
      <c r="G24" s="3223"/>
      <c r="I24" s="3138"/>
      <c r="J24" s="3539"/>
      <c r="K24" s="3542"/>
      <c r="L24" s="3190" t="s">
        <v>3528</v>
      </c>
      <c r="M24" s="3191">
        <f>SUM(M21:M23)</f>
        <v>5</v>
      </c>
      <c r="N24" s="3191"/>
      <c r="O24" s="3192"/>
      <c r="P24" s="3205" t="s">
        <v>3581</v>
      </c>
      <c r="Q24" s="3173"/>
      <c r="R24" s="3206">
        <f>ROUND(IF(P24="按比例",R14*Q24,SUM(R21:R23)),0)</f>
        <v>373</v>
      </c>
      <c r="S24" s="3131"/>
      <c r="T24" s="3131"/>
      <c r="U24" s="3131"/>
      <c r="V24" s="3138"/>
    </row>
    <row r="25" spans="1:22" s="3236" customFormat="1" ht="13.15" customHeight="1">
      <c r="A25" s="3224"/>
      <c r="B25" s="3225"/>
      <c r="C25" s="3226"/>
      <c r="D25" s="3227"/>
      <c r="E25" s="3228"/>
      <c r="F25" s="3229"/>
      <c r="G25" s="3217"/>
      <c r="H25" s="3137"/>
      <c r="I25" s="3138"/>
      <c r="J25" s="3230">
        <v>4</v>
      </c>
      <c r="K25" s="3231" t="s">
        <v>3529</v>
      </c>
      <c r="L25" s="3232"/>
      <c r="M25" s="3232"/>
      <c r="N25" s="3232"/>
      <c r="O25" s="3232"/>
      <c r="P25" s="3233"/>
      <c r="Q25" s="3234"/>
      <c r="R25" s="3206">
        <f>ROUND(R14*Q25,0)</f>
        <v>0</v>
      </c>
      <c r="S25" s="3131"/>
      <c r="T25" s="3131"/>
      <c r="U25" s="3131"/>
      <c r="V25" s="3235"/>
    </row>
    <row r="26" spans="1:22" s="3236" customFormat="1" ht="13.15" customHeight="1">
      <c r="A26" s="3218">
        <v>2</v>
      </c>
      <c r="B26" s="3163" t="s">
        <v>3530</v>
      </c>
      <c r="C26" s="3219">
        <f ca="1">D7</f>
        <v>2813</v>
      </c>
      <c r="D26" s="3220">
        <f>D23*D27</f>
        <v>0</v>
      </c>
      <c r="E26" s="3221">
        <f>E23*E27</f>
        <v>0</v>
      </c>
      <c r="F26" s="3222"/>
      <c r="G26" s="3223"/>
      <c r="H26" s="3137"/>
      <c r="I26" s="3138"/>
      <c r="J26" s="3543">
        <v>5</v>
      </c>
      <c r="K26" s="3237" t="s">
        <v>3531</v>
      </c>
      <c r="L26" s="3238"/>
      <c r="M26" s="3239"/>
      <c r="N26" s="3240" t="s">
        <v>3532</v>
      </c>
      <c r="O26" s="3240" t="s">
        <v>3533</v>
      </c>
      <c r="P26" s="3241" t="s">
        <v>3534</v>
      </c>
      <c r="Q26" s="3241" t="s">
        <v>3535</v>
      </c>
      <c r="R26" s="3146" t="s">
        <v>3536</v>
      </c>
      <c r="S26" s="3242"/>
      <c r="T26" s="3242"/>
      <c r="U26" s="3242"/>
      <c r="V26" s="3235"/>
    </row>
    <row r="27" spans="1:22" s="3137" customFormat="1" ht="13.15" customHeight="1">
      <c r="A27" s="3224"/>
      <c r="B27" s="3225" t="s">
        <v>3537</v>
      </c>
      <c r="C27" s="3243">
        <f ca="1">E7</f>
        <v>0.6586142322097378</v>
      </c>
      <c r="D27" s="3227"/>
      <c r="E27" s="3228"/>
      <c r="F27" s="3229"/>
      <c r="G27" s="3223"/>
      <c r="H27" s="3236"/>
      <c r="I27" s="3235"/>
      <c r="J27" s="3544"/>
      <c r="K27" s="3244"/>
      <c r="L27" s="3245"/>
      <c r="M27" s="3246"/>
      <c r="N27" s="3247"/>
      <c r="O27" s="3247"/>
      <c r="P27" s="3247"/>
      <c r="Q27" s="3248"/>
      <c r="R27" s="3206">
        <f>ROUND(O27*N27*P27*(1-Q27)/10000,0)</f>
        <v>0</v>
      </c>
      <c r="S27" s="3131"/>
      <c r="T27" s="3131"/>
      <c r="U27" s="3131"/>
      <c r="V27" s="3138"/>
    </row>
    <row r="28" spans="1:22" s="3236" customFormat="1" ht="13.15" customHeight="1" thickBot="1">
      <c r="A28" s="3224"/>
      <c r="B28" s="3225"/>
      <c r="C28" s="3243"/>
      <c r="D28" s="3227"/>
      <c r="E28" s="3228" t="s">
        <v>3538</v>
      </c>
      <c r="F28" s="3229"/>
      <c r="G28" s="3217"/>
      <c r="I28" s="3235"/>
      <c r="J28" s="3249">
        <v>6</v>
      </c>
      <c r="K28" s="3250" t="s">
        <v>3539</v>
      </c>
      <c r="L28" s="3251" t="s">
        <v>3540</v>
      </c>
      <c r="M28" s="3252"/>
      <c r="N28" s="3251" t="s">
        <v>3541</v>
      </c>
      <c r="O28" s="3253" t="s">
        <v>3542</v>
      </c>
      <c r="P28" s="3251" t="s">
        <v>3543</v>
      </c>
      <c r="Q28" s="3254">
        <v>1.4999999999999999E-2</v>
      </c>
      <c r="R28" s="3255">
        <f>T68</f>
        <v>31</v>
      </c>
      <c r="S28" s="3209">
        <f>R19+R24+R28</f>
        <v>1384</v>
      </c>
      <c r="T28" s="3209"/>
      <c r="U28" s="3209"/>
      <c r="V28" s="3235"/>
    </row>
    <row r="29" spans="1:22" s="3236" customFormat="1" ht="13.15" customHeight="1">
      <c r="A29" s="3218">
        <v>3</v>
      </c>
      <c r="B29" s="3163" t="s">
        <v>3544</v>
      </c>
      <c r="C29" s="3219">
        <f>C23*C30</f>
        <v>213.60000000000002</v>
      </c>
      <c r="D29" s="3220">
        <f>D23*C30</f>
        <v>213.60000000000002</v>
      </c>
      <c r="E29" s="3221">
        <f>E23*C30</f>
        <v>213.60000000000002</v>
      </c>
      <c r="F29" s="3222"/>
      <c r="G29" s="3223"/>
      <c r="H29" s="3137"/>
      <c r="I29" s="3138"/>
      <c r="J29" s="3209"/>
      <c r="K29" s="3209"/>
      <c r="L29" s="3209"/>
      <c r="M29" s="3209"/>
      <c r="N29" s="3209"/>
      <c r="O29" s="3209"/>
      <c r="P29" s="3209"/>
      <c r="Q29" s="3209"/>
      <c r="R29" s="3209"/>
      <c r="S29" s="3209">
        <f>S28/R14</f>
        <v>0.47922437673130192</v>
      </c>
      <c r="T29" s="3209"/>
      <c r="U29" s="3209"/>
      <c r="V29" s="3235"/>
    </row>
    <row r="30" spans="1:22" s="3137" customFormat="1" ht="13.15" customHeight="1" thickBot="1">
      <c r="A30" s="3224"/>
      <c r="B30" s="3225" t="s">
        <v>3537</v>
      </c>
      <c r="C30" s="3243">
        <f>E18</f>
        <v>0.05</v>
      </c>
      <c r="D30" s="3256"/>
      <c r="E30" s="3189"/>
      <c r="F30" s="3229"/>
      <c r="G30" s="3223"/>
      <c r="H30" s="3236"/>
      <c r="I30" s="3235"/>
      <c r="J30" s="3209"/>
      <c r="K30" s="3209"/>
      <c r="L30" s="3209"/>
      <c r="M30" s="3209"/>
      <c r="N30" s="3209"/>
      <c r="O30" s="3209"/>
      <c r="P30" s="3209"/>
      <c r="Q30" s="3209"/>
      <c r="R30" s="3209"/>
      <c r="S30" s="3209"/>
      <c r="T30" s="3209"/>
      <c r="U30" s="3131"/>
      <c r="V30" s="3138"/>
    </row>
    <row r="31" spans="1:22" s="3236" customFormat="1" ht="13.15" customHeight="1">
      <c r="A31" s="3224"/>
      <c r="B31" s="3225"/>
      <c r="C31" s="3257"/>
      <c r="D31" s="3256"/>
      <c r="E31" s="3189"/>
      <c r="F31" s="3229"/>
      <c r="G31" s="3217"/>
      <c r="I31" s="3235"/>
      <c r="J31" s="3128" t="s">
        <v>3545</v>
      </c>
      <c r="K31" s="3129"/>
      <c r="L31" s="3129"/>
      <c r="M31" s="3129"/>
      <c r="N31" s="3129"/>
      <c r="O31" s="3129"/>
      <c r="P31" s="3129"/>
      <c r="Q31" s="3129"/>
      <c r="R31" s="3130"/>
      <c r="S31" s="3209"/>
      <c r="T31" s="3131"/>
      <c r="U31" s="3131"/>
      <c r="V31" s="3235"/>
    </row>
    <row r="32" spans="1:22" s="3236" customFormat="1" ht="13.15" customHeight="1">
      <c r="A32" s="3218">
        <v>4</v>
      </c>
      <c r="B32" s="3163" t="s">
        <v>3546</v>
      </c>
      <c r="C32" s="3219">
        <f ca="1">C23-C26-C29</f>
        <v>1245.4000000000001</v>
      </c>
      <c r="D32" s="3220">
        <f>D23-D26-D29</f>
        <v>4058.4</v>
      </c>
      <c r="E32" s="3221">
        <f>E23-E26-E29</f>
        <v>4058.4</v>
      </c>
      <c r="F32" s="3222"/>
      <c r="G32" s="3217"/>
      <c r="H32" s="3137"/>
      <c r="I32" s="3138"/>
      <c r="J32" s="3545" t="s">
        <v>3547</v>
      </c>
      <c r="K32" s="3546"/>
      <c r="L32" s="3139" t="s">
        <v>3548</v>
      </c>
      <c r="M32" s="3139" t="s">
        <v>3434</v>
      </c>
      <c r="N32" s="3139" t="s">
        <v>3435</v>
      </c>
      <c r="O32" s="3139" t="s">
        <v>3436</v>
      </c>
      <c r="P32" s="3139" t="s">
        <v>3437</v>
      </c>
      <c r="Q32" s="3140" t="s">
        <v>3549</v>
      </c>
      <c r="R32" s="3178" t="s">
        <v>3550</v>
      </c>
      <c r="S32" s="3209"/>
      <c r="T32" s="3131"/>
      <c r="U32" s="3131"/>
      <c r="V32" s="3235"/>
    </row>
    <row r="33" spans="1:23" s="3137" customFormat="1" ht="13.15" customHeight="1">
      <c r="A33" s="3218"/>
      <c r="B33" s="3163"/>
      <c r="C33" s="3219"/>
      <c r="D33" s="3258"/>
      <c r="E33" s="3259"/>
      <c r="F33" s="3222"/>
      <c r="G33" s="3217"/>
      <c r="H33" s="3236"/>
      <c r="I33" s="3235"/>
      <c r="J33" s="3547" t="s">
        <v>3551</v>
      </c>
      <c r="K33" s="3548"/>
      <c r="L33" s="3144">
        <v>20000</v>
      </c>
      <c r="M33" s="3144">
        <v>500</v>
      </c>
      <c r="N33" s="3144">
        <v>500</v>
      </c>
      <c r="O33" s="3144">
        <v>10000</v>
      </c>
      <c r="P33" s="3144">
        <v>10000</v>
      </c>
      <c r="Q33" s="3145">
        <v>500</v>
      </c>
      <c r="R33" s="3260">
        <f>SUM(L33:Q33)</f>
        <v>41500</v>
      </c>
      <c r="S33" s="3209"/>
      <c r="T33" s="3131"/>
      <c r="U33" s="3131"/>
      <c r="V33" s="3138"/>
    </row>
    <row r="34" spans="1:23" s="3137" customFormat="1" ht="13.15" customHeight="1">
      <c r="A34" s="3218">
        <v>5</v>
      </c>
      <c r="B34" s="3163" t="s">
        <v>3552</v>
      </c>
      <c r="C34" s="3261">
        <f ca="1">收益法!F40</f>
        <v>5.5E-2</v>
      </c>
      <c r="D34" s="3262"/>
      <c r="E34" s="3263"/>
      <c r="F34" s="3222"/>
      <c r="G34" s="3217"/>
      <c r="H34" s="3236"/>
      <c r="I34" s="3235"/>
      <c r="J34" s="3547" t="s">
        <v>3553</v>
      </c>
      <c r="K34" s="3548"/>
      <c r="L34" s="3149">
        <v>6500</v>
      </c>
      <c r="M34" s="3149">
        <v>150</v>
      </c>
      <c r="N34" s="3149">
        <v>150</v>
      </c>
      <c r="O34" s="3149">
        <v>3500</v>
      </c>
      <c r="P34" s="3149">
        <v>3500</v>
      </c>
      <c r="Q34" s="3150">
        <v>150</v>
      </c>
      <c r="R34" s="3264">
        <f>SUM(L34:Q34)</f>
        <v>13950</v>
      </c>
      <c r="S34" s="3209"/>
      <c r="T34" s="3131"/>
      <c r="U34" s="3131">
        <f>ROUND(R35*10000/365/R33,1)</f>
        <v>7.3</v>
      </c>
      <c r="V34" s="3138"/>
    </row>
    <row r="35" spans="1:23" s="3137" customFormat="1" ht="13.15" customHeight="1">
      <c r="A35" s="3218">
        <v>6</v>
      </c>
      <c r="B35" s="3163" t="s">
        <v>3554</v>
      </c>
      <c r="C35" s="3265">
        <f ca="1">收益法!F42</f>
        <v>2.5000000000000001E-2</v>
      </c>
      <c r="D35" s="3266"/>
      <c r="E35" s="3267"/>
      <c r="F35" s="3222"/>
      <c r="G35" s="3268"/>
      <c r="I35" s="3235"/>
      <c r="J35" s="3155" t="s">
        <v>3555</v>
      </c>
      <c r="K35" s="3156"/>
      <c r="L35" s="3156"/>
      <c r="M35" s="3157"/>
      <c r="N35" s="3157"/>
      <c r="O35" s="3157"/>
      <c r="P35" s="3157"/>
      <c r="Q35" s="3157"/>
      <c r="R35" s="3210">
        <f>R40+R41+R43</f>
        <v>11078</v>
      </c>
      <c r="S35" s="3209"/>
      <c r="T35" s="3131" t="s">
        <v>3556</v>
      </c>
      <c r="U35" s="3131"/>
      <c r="V35" s="3138"/>
    </row>
    <row r="36" spans="1:23" s="3137" customFormat="1" ht="13.15" customHeight="1" thickBot="1">
      <c r="A36" s="3218">
        <v>7</v>
      </c>
      <c r="B36" s="3269" t="s">
        <v>3557</v>
      </c>
      <c r="C36" s="3270">
        <f ca="1">收益法!F41</f>
        <v>32.61</v>
      </c>
      <c r="D36" s="3271"/>
      <c r="E36" s="3272"/>
      <c r="F36" s="3273">
        <f ca="1">C36+D36+E36</f>
        <v>32.61</v>
      </c>
      <c r="G36" s="3217"/>
      <c r="I36" s="3138"/>
      <c r="J36" s="3539">
        <v>1</v>
      </c>
      <c r="K36" s="3540" t="s">
        <v>3558</v>
      </c>
      <c r="L36" s="3162"/>
      <c r="M36" s="3163"/>
      <c r="N36" s="3163"/>
      <c r="O36" s="3163"/>
      <c r="P36" s="3163"/>
      <c r="Q36" s="3163"/>
      <c r="R36" s="3146" t="s">
        <v>3496</v>
      </c>
      <c r="S36" s="3209"/>
      <c r="T36" s="3131" t="s">
        <v>3559</v>
      </c>
      <c r="U36" s="3131"/>
      <c r="V36" s="3138"/>
    </row>
    <row r="37" spans="1:23" s="3137" customFormat="1" ht="13.15" customHeight="1">
      <c r="A37" s="3218"/>
      <c r="B37" s="3163"/>
      <c r="C37" s="3163"/>
      <c r="D37" s="3163"/>
      <c r="E37" s="3163"/>
      <c r="F37" s="3222"/>
      <c r="G37" s="3217"/>
      <c r="I37" s="3138"/>
      <c r="J37" s="3539"/>
      <c r="K37" s="3541"/>
      <c r="L37" s="3171"/>
      <c r="M37" s="3172"/>
      <c r="N37" s="3148"/>
      <c r="O37" s="3173"/>
      <c r="P37" s="3173"/>
      <c r="Q37" s="3174"/>
      <c r="R37" s="3175">
        <v>10000</v>
      </c>
      <c r="S37" s="3209"/>
      <c r="T37" s="3131" t="s">
        <v>3560</v>
      </c>
      <c r="U37" s="3131"/>
      <c r="V37" s="3138"/>
    </row>
    <row r="38" spans="1:23" s="3137" customFormat="1" ht="13.15" customHeight="1">
      <c r="A38" s="3218">
        <v>8</v>
      </c>
      <c r="B38" s="3163"/>
      <c r="C38" s="3177">
        <f ca="1">ROUND(C32*(1-((1+C35)/(1+C34))^C36)/(C34-C35),0)</f>
        <v>25309</v>
      </c>
      <c r="D38" s="3177"/>
      <c r="E38" s="3177"/>
      <c r="F38" s="3222"/>
      <c r="G38" s="3217"/>
      <c r="I38" s="3138"/>
      <c r="J38" s="3539"/>
      <c r="K38" s="3541"/>
      <c r="L38" s="3171"/>
      <c r="M38" s="3172"/>
      <c r="N38" s="3148"/>
      <c r="O38" s="3173"/>
      <c r="P38" s="3173"/>
      <c r="Q38" s="3174"/>
      <c r="R38" s="3175"/>
      <c r="S38" s="3209"/>
      <c r="T38" s="3131" t="s">
        <v>3467</v>
      </c>
      <c r="U38" s="3131"/>
      <c r="V38" s="3138"/>
    </row>
    <row r="39" spans="1:23" s="3137" customFormat="1" ht="13.15" customHeight="1">
      <c r="A39" s="3218">
        <v>9</v>
      </c>
      <c r="B39" s="3163" t="s">
        <v>3561</v>
      </c>
      <c r="C39" s="3184">
        <f ca="1">C38</f>
        <v>25309</v>
      </c>
      <c r="D39" s="3163"/>
      <c r="E39" s="3163"/>
      <c r="F39" s="3222"/>
      <c r="G39" s="3274"/>
      <c r="I39" s="3138"/>
      <c r="J39" s="3539"/>
      <c r="K39" s="3541"/>
      <c r="L39" s="3171"/>
      <c r="M39" s="3172"/>
      <c r="N39" s="3148"/>
      <c r="O39" s="3173"/>
      <c r="P39" s="3173"/>
      <c r="Q39" s="3174"/>
      <c r="R39" s="3175"/>
      <c r="S39" s="3209"/>
      <c r="T39" s="3131"/>
      <c r="U39" s="3131"/>
      <c r="V39" s="3138"/>
    </row>
    <row r="40" spans="1:23" s="3137" customFormat="1" ht="13.15" customHeight="1">
      <c r="A40" s="3275">
        <v>10</v>
      </c>
      <c r="B40" s="3163" t="s">
        <v>3562</v>
      </c>
      <c r="C40" s="3276">
        <f ca="1">C39+D39+E39</f>
        <v>25309</v>
      </c>
      <c r="D40" s="3277"/>
      <c r="E40" s="3277"/>
      <c r="F40" s="3278"/>
      <c r="G40" s="3217"/>
      <c r="I40" s="3138"/>
      <c r="J40" s="3539"/>
      <c r="K40" s="3542"/>
      <c r="L40" s="3190" t="s">
        <v>3563</v>
      </c>
      <c r="M40" s="3191"/>
      <c r="N40" s="3191"/>
      <c r="O40" s="3192"/>
      <c r="P40" s="3192"/>
      <c r="Q40" s="3193"/>
      <c r="R40" s="3141">
        <f>SUM(R37:R39)</f>
        <v>10000</v>
      </c>
      <c r="S40" s="3209"/>
      <c r="T40" s="3131"/>
      <c r="U40" s="3131"/>
      <c r="V40" s="3138"/>
    </row>
    <row r="41" spans="1:23" s="3137" customFormat="1" ht="13.15" customHeight="1" thickBot="1">
      <c r="A41" s="3279">
        <v>11</v>
      </c>
      <c r="B41" s="3280" t="s">
        <v>3564</v>
      </c>
      <c r="C41" s="3280">
        <f ca="1">ROUND(C40*10000/B4,0)</f>
        <v>7812</v>
      </c>
      <c r="D41" s="3281"/>
      <c r="E41" s="3281"/>
      <c r="F41" s="3282"/>
      <c r="G41" s="3283"/>
      <c r="I41" s="3138"/>
      <c r="J41" s="3230">
        <v>2</v>
      </c>
      <c r="K41" s="3231" t="s">
        <v>3565</v>
      </c>
      <c r="L41" s="3232"/>
      <c r="M41" s="3232"/>
      <c r="N41" s="3232"/>
      <c r="O41" s="3232"/>
      <c r="P41" s="3233"/>
      <c r="Q41" s="3234">
        <v>0.1</v>
      </c>
      <c r="R41" s="3206">
        <f>ROUND(R40*Q41,0)</f>
        <v>1000</v>
      </c>
      <c r="S41" s="3209"/>
      <c r="T41" s="3131"/>
      <c r="U41" s="3242"/>
      <c r="V41" s="3138"/>
    </row>
    <row r="42" spans="1:23" s="3137" customFormat="1" ht="13.15" customHeight="1">
      <c r="G42" s="3283"/>
      <c r="I42" s="3138"/>
      <c r="J42" s="3543">
        <v>3</v>
      </c>
      <c r="K42" s="3237" t="s">
        <v>3566</v>
      </c>
      <c r="L42" s="3238"/>
      <c r="M42" s="3239"/>
      <c r="N42" s="3240" t="s">
        <v>3567</v>
      </c>
      <c r="O42" s="3240" t="s">
        <v>3568</v>
      </c>
      <c r="P42" s="3241" t="s">
        <v>3569</v>
      </c>
      <c r="Q42" s="3241" t="s">
        <v>3570</v>
      </c>
      <c r="R42" s="3146" t="s">
        <v>3571</v>
      </c>
      <c r="S42" s="3242"/>
      <c r="T42" s="3242"/>
      <c r="U42" s="3131"/>
      <c r="V42" s="3138"/>
    </row>
    <row r="43" spans="1:23" ht="13.15" customHeight="1">
      <c r="A43" s="3137"/>
      <c r="B43" s="3137"/>
      <c r="C43" s="3137"/>
      <c r="D43" s="3137"/>
      <c r="E43" s="3137"/>
      <c r="F43" s="3137"/>
      <c r="I43" s="3126"/>
      <c r="J43" s="3544"/>
      <c r="K43" s="3244"/>
      <c r="L43" s="3245"/>
      <c r="M43" s="3246"/>
      <c r="N43" s="3172">
        <f>Q33</f>
        <v>500</v>
      </c>
      <c r="O43" s="3172">
        <v>5</v>
      </c>
      <c r="P43" s="3172">
        <v>365</v>
      </c>
      <c r="Q43" s="3234">
        <v>0.15</v>
      </c>
      <c r="R43" s="3206">
        <f>ROUND(O43*N43*P43*(1-Q43)/10000,0)</f>
        <v>78</v>
      </c>
      <c r="S43" s="3209"/>
      <c r="T43" s="3131"/>
      <c r="V43" s="3285"/>
      <c r="W43" s="3127"/>
    </row>
    <row r="44" spans="1:23" ht="13.15" customHeight="1" thickBot="1">
      <c r="J44" s="3249">
        <v>6</v>
      </c>
      <c r="K44" s="3250" t="s">
        <v>3572</v>
      </c>
      <c r="L44" s="3286" t="s">
        <v>3573</v>
      </c>
      <c r="M44" s="3252"/>
      <c r="N44" s="3286" t="s">
        <v>3574</v>
      </c>
      <c r="O44" s="3252" t="s">
        <v>3575</v>
      </c>
      <c r="P44" s="3286" t="s">
        <v>3576</v>
      </c>
      <c r="Q44" s="3254">
        <v>1.4999999999999999E-2</v>
      </c>
      <c r="R44" s="3255"/>
    </row>
    <row r="47" spans="1:23" ht="13.15" customHeight="1" thickBot="1"/>
    <row r="48" spans="1:23" ht="13.15" customHeight="1" thickBot="1">
      <c r="J48" s="3557" t="s">
        <v>3355</v>
      </c>
      <c r="K48" s="3558"/>
      <c r="L48" s="3103" t="s">
        <v>3376</v>
      </c>
      <c r="M48" s="3103" t="s">
        <v>3377</v>
      </c>
      <c r="N48" s="3559" t="s">
        <v>3378</v>
      </c>
      <c r="O48" s="3560"/>
      <c r="P48" s="3118" t="s">
        <v>3379</v>
      </c>
      <c r="Q48"/>
      <c r="R48"/>
      <c r="S48"/>
      <c r="T48"/>
      <c r="U48"/>
      <c r="V48"/>
      <c r="W48"/>
    </row>
    <row r="49" spans="10:24" ht="13.15" customHeight="1" thickBot="1">
      <c r="J49" s="3561" t="s">
        <v>3380</v>
      </c>
      <c r="K49" s="3095" t="s">
        <v>3381</v>
      </c>
      <c r="L49" s="3095"/>
      <c r="M49" s="3095"/>
      <c r="N49" s="3559"/>
      <c r="O49" s="3560"/>
      <c r="P49" s="3101"/>
      <c r="Q49"/>
      <c r="R49"/>
      <c r="S49"/>
      <c r="T49"/>
      <c r="U49"/>
      <c r="V49"/>
      <c r="W49"/>
    </row>
    <row r="50" spans="10:24" ht="13.15" customHeight="1" thickBot="1">
      <c r="J50" s="3562"/>
      <c r="K50" s="3095" t="s">
        <v>3382</v>
      </c>
      <c r="L50" s="3101">
        <v>12</v>
      </c>
      <c r="M50" s="3101" t="s">
        <v>3383</v>
      </c>
      <c r="N50" s="3559">
        <v>900</v>
      </c>
      <c r="O50" s="3560"/>
      <c r="P50" s="3100">
        <v>0.4</v>
      </c>
      <c r="Q50"/>
      <c r="R50">
        <f>N50*L50*365*P50</f>
        <v>1576800</v>
      </c>
      <c r="S50"/>
      <c r="T50">
        <f>SUM(R50:R52)/10000</f>
        <v>2887.5150000000003</v>
      </c>
      <c r="U50">
        <f>T51+T55+T58+T68</f>
        <v>1527.6757499999999</v>
      </c>
      <c r="V50">
        <f>U50/T50</f>
        <v>0.52906244642884959</v>
      </c>
      <c r="W50"/>
      <c r="X50" s="3126">
        <v>2888</v>
      </c>
    </row>
    <row r="51" spans="10:24" ht="13.15" customHeight="1" thickBot="1">
      <c r="J51" s="3562"/>
      <c r="K51" s="3095" t="s">
        <v>3384</v>
      </c>
      <c r="L51" s="3101">
        <v>3</v>
      </c>
      <c r="M51" s="3101" t="s">
        <v>3385</v>
      </c>
      <c r="N51" s="3559">
        <v>1200</v>
      </c>
      <c r="O51" s="3560"/>
      <c r="P51" s="3100">
        <v>0.15</v>
      </c>
      <c r="Q51"/>
      <c r="R51">
        <f>N51*L51*365*P51</f>
        <v>197100</v>
      </c>
      <c r="S51" s="3104" t="s">
        <v>3422</v>
      </c>
      <c r="T51">
        <f>T50*S52</f>
        <v>144.37575000000001</v>
      </c>
      <c r="U51"/>
      <c r="V51">
        <f>T51/T50</f>
        <v>4.9999999999999996E-2</v>
      </c>
      <c r="W51"/>
    </row>
    <row r="52" spans="10:24" ht="13.15" customHeight="1" thickBot="1">
      <c r="J52" s="3562"/>
      <c r="K52" s="3095" t="s">
        <v>3386</v>
      </c>
      <c r="L52" s="3101">
        <v>300</v>
      </c>
      <c r="M52" s="3101" t="s">
        <v>3387</v>
      </c>
      <c r="N52" s="3559">
        <v>450</v>
      </c>
      <c r="O52" s="3560"/>
      <c r="P52" s="3100">
        <v>0.55000000000000004</v>
      </c>
      <c r="Q52"/>
      <c r="R52">
        <f>N52*L52*365*P52</f>
        <v>27101250.000000004</v>
      </c>
      <c r="S52" s="3099">
        <v>0.05</v>
      </c>
      <c r="T52"/>
      <c r="U52"/>
      <c r="V52"/>
      <c r="W52"/>
    </row>
    <row r="53" spans="10:24" ht="13.15" customHeight="1" thickBot="1">
      <c r="J53" s="3563"/>
      <c r="K53" s="3564" t="s">
        <v>3388</v>
      </c>
      <c r="L53" s="3565"/>
      <c r="M53" s="3565"/>
      <c r="N53" s="3565"/>
      <c r="O53" s="3565"/>
      <c r="P53" s="3566"/>
      <c r="Q53"/>
      <c r="R53"/>
      <c r="S53"/>
      <c r="T53"/>
      <c r="U53"/>
      <c r="V53"/>
      <c r="W53"/>
    </row>
    <row r="54" spans="10:24" ht="13.15" customHeight="1" thickBot="1">
      <c r="J54" s="3557" t="s">
        <v>3355</v>
      </c>
      <c r="K54" s="3558"/>
      <c r="L54" s="3559" t="s">
        <v>3376</v>
      </c>
      <c r="M54" s="3560"/>
      <c r="N54" s="3559" t="s">
        <v>3389</v>
      </c>
      <c r="O54" s="3560"/>
      <c r="P54" s="3101" t="s">
        <v>3390</v>
      </c>
      <c r="Q54"/>
      <c r="R54"/>
      <c r="S54"/>
      <c r="T54"/>
      <c r="U54"/>
      <c r="V54"/>
      <c r="W54"/>
    </row>
    <row r="55" spans="10:24" ht="13.15" customHeight="1" thickBot="1">
      <c r="J55" s="3561" t="s">
        <v>3391</v>
      </c>
      <c r="K55" s="3095" t="s">
        <v>3392</v>
      </c>
      <c r="L55" s="3559">
        <v>1</v>
      </c>
      <c r="M55" s="3560"/>
      <c r="N55" s="3559">
        <v>15000</v>
      </c>
      <c r="O55" s="3560"/>
      <c r="P55" s="3100">
        <v>0.2</v>
      </c>
      <c r="Q55"/>
      <c r="R55">
        <f>N55*365*P55*L55</f>
        <v>1095000</v>
      </c>
      <c r="S55"/>
      <c r="T55">
        <f>SUM(R55:R56)/10000</f>
        <v>372.3</v>
      </c>
      <c r="U55"/>
      <c r="V55">
        <f>T55/T50</f>
        <v>0.12893439514599922</v>
      </c>
      <c r="W55"/>
    </row>
    <row r="56" spans="10:24" ht="13.15" customHeight="1" thickBot="1">
      <c r="J56" s="3563"/>
      <c r="K56" s="3095" t="s">
        <v>3393</v>
      </c>
      <c r="L56" s="3559">
        <v>4</v>
      </c>
      <c r="M56" s="3560"/>
      <c r="N56" s="3559">
        <v>6000</v>
      </c>
      <c r="O56" s="3560"/>
      <c r="P56" s="3100">
        <v>0.3</v>
      </c>
      <c r="Q56"/>
      <c r="R56">
        <f>N56*365*P56*L56</f>
        <v>2628000</v>
      </c>
      <c r="S56"/>
      <c r="T56"/>
      <c r="U56"/>
      <c r="V56"/>
      <c r="W56"/>
    </row>
    <row r="57" spans="10:24" ht="13.15" customHeight="1" thickBot="1">
      <c r="J57" s="3557" t="s">
        <v>3355</v>
      </c>
      <c r="K57" s="3558"/>
      <c r="L57" s="3559" t="s">
        <v>3356</v>
      </c>
      <c r="M57" s="3560"/>
      <c r="N57" s="3559" t="s">
        <v>3357</v>
      </c>
      <c r="O57" s="3560"/>
      <c r="P57" s="3101" t="s">
        <v>3358</v>
      </c>
      <c r="Q57"/>
      <c r="R57"/>
      <c r="S57"/>
      <c r="T57"/>
      <c r="U57"/>
      <c r="V57"/>
      <c r="W57"/>
    </row>
    <row r="58" spans="10:24" ht="13.15" customHeight="1" thickBot="1">
      <c r="J58" s="3561" t="s">
        <v>3394</v>
      </c>
      <c r="K58" s="3095" t="s">
        <v>3395</v>
      </c>
      <c r="L58" s="3559">
        <v>110</v>
      </c>
      <c r="M58" s="3560"/>
      <c r="N58" s="3559">
        <v>10</v>
      </c>
      <c r="O58" s="3560"/>
      <c r="P58" s="3100">
        <v>0.38</v>
      </c>
      <c r="Q58"/>
      <c r="R58"/>
      <c r="S58"/>
      <c r="T58">
        <f>N58+N59+N60</f>
        <v>980</v>
      </c>
      <c r="U58"/>
      <c r="V58">
        <f>T58/T50</f>
        <v>0.33939217631769875</v>
      </c>
      <c r="W58"/>
    </row>
    <row r="59" spans="10:24" ht="13.15" customHeight="1" thickBot="1">
      <c r="J59" s="3562"/>
      <c r="K59" s="3095" t="s">
        <v>3396</v>
      </c>
      <c r="L59" s="3559">
        <v>223</v>
      </c>
      <c r="M59" s="3560"/>
      <c r="N59" s="3559">
        <v>575</v>
      </c>
      <c r="O59" s="3560"/>
      <c r="P59" s="3100">
        <v>0.4</v>
      </c>
      <c r="Q59"/>
      <c r="R59"/>
      <c r="S59"/>
      <c r="T59"/>
      <c r="U59"/>
      <c r="V59"/>
      <c r="W59"/>
    </row>
    <row r="60" spans="10:24" ht="13.15" customHeight="1" thickBot="1">
      <c r="J60" s="3562"/>
      <c r="K60" s="3095" t="s">
        <v>3397</v>
      </c>
      <c r="L60" s="3559">
        <v>145</v>
      </c>
      <c r="M60" s="3560"/>
      <c r="N60" s="3559">
        <v>395</v>
      </c>
      <c r="O60" s="3560"/>
      <c r="P60" s="3100">
        <v>0.5</v>
      </c>
      <c r="Q60"/>
      <c r="R60"/>
      <c r="S60"/>
      <c r="T60"/>
      <c r="U60"/>
      <c r="V60"/>
      <c r="W60"/>
    </row>
    <row r="61" spans="10:24" ht="13.15" customHeight="1" thickBot="1">
      <c r="J61" s="3563"/>
      <c r="K61" s="3095"/>
      <c r="L61" s="3559"/>
      <c r="M61" s="3560"/>
      <c r="N61" s="3559"/>
      <c r="O61" s="3560"/>
      <c r="P61" s="3101"/>
      <c r="Q61"/>
      <c r="R61"/>
      <c r="S61"/>
      <c r="T61"/>
      <c r="U61"/>
      <c r="V61"/>
      <c r="W61"/>
    </row>
    <row r="62" spans="10:24" ht="13.15" customHeight="1" thickBot="1">
      <c r="J62" s="3561" t="s">
        <v>3398</v>
      </c>
      <c r="K62" s="3095" t="s">
        <v>3399</v>
      </c>
      <c r="L62" s="3559"/>
      <c r="M62" s="3560"/>
      <c r="N62" s="3559"/>
      <c r="O62" s="3560"/>
      <c r="P62" s="3101"/>
      <c r="Q62"/>
      <c r="R62"/>
      <c r="S62"/>
      <c r="T62"/>
      <c r="U62"/>
      <c r="V62"/>
      <c r="W62"/>
    </row>
    <row r="63" spans="10:24" ht="13.15" customHeight="1" thickBot="1">
      <c r="J63" s="3562"/>
      <c r="K63" s="3095" t="s">
        <v>3400</v>
      </c>
      <c r="L63" s="3559"/>
      <c r="M63" s="3560"/>
      <c r="N63" s="3559"/>
      <c r="O63" s="3560"/>
      <c r="P63" s="3101"/>
      <c r="Q63"/>
      <c r="R63"/>
      <c r="S63"/>
      <c r="T63"/>
      <c r="U63"/>
      <c r="V63"/>
      <c r="W63"/>
    </row>
    <row r="64" spans="10:24" ht="13.15" customHeight="1" thickBot="1">
      <c r="J64" s="3562"/>
      <c r="K64" s="3095" t="s">
        <v>3401</v>
      </c>
      <c r="L64" s="3559"/>
      <c r="M64" s="3560"/>
      <c r="N64" s="3559"/>
      <c r="O64" s="3560"/>
      <c r="P64" s="3101"/>
      <c r="Q64"/>
      <c r="R64"/>
      <c r="S64"/>
      <c r="T64"/>
      <c r="U64"/>
      <c r="V64"/>
      <c r="W64"/>
    </row>
    <row r="65" spans="10:23" ht="13.15" customHeight="1" thickBot="1">
      <c r="J65" s="3562"/>
      <c r="K65" s="3095" t="s">
        <v>3402</v>
      </c>
      <c r="L65" s="3559"/>
      <c r="M65" s="3560"/>
      <c r="N65" s="3559"/>
      <c r="O65" s="3560"/>
      <c r="P65" s="3101"/>
      <c r="Q65"/>
      <c r="R65"/>
      <c r="S65"/>
      <c r="T65"/>
      <c r="U65"/>
      <c r="V65"/>
      <c r="W65"/>
    </row>
    <row r="66" spans="10:23" ht="13.15" customHeight="1" thickBot="1">
      <c r="J66" s="3563"/>
      <c r="K66" s="3095"/>
      <c r="L66" s="3559"/>
      <c r="M66" s="3560"/>
      <c r="N66" s="3559"/>
      <c r="O66" s="3560"/>
      <c r="P66" s="3101"/>
      <c r="Q66"/>
      <c r="R66"/>
      <c r="S66"/>
      <c r="T66"/>
      <c r="U66"/>
      <c r="V66"/>
      <c r="W66"/>
    </row>
    <row r="67" spans="10:23" ht="13.15" customHeight="1" thickBot="1">
      <c r="J67" s="3557" t="s">
        <v>3355</v>
      </c>
      <c r="K67" s="3558"/>
      <c r="L67" s="3559" t="s">
        <v>3403</v>
      </c>
      <c r="M67" s="3560"/>
      <c r="N67" s="3102" t="s">
        <v>3404</v>
      </c>
      <c r="O67" s="3102" t="s">
        <v>3405</v>
      </c>
      <c r="P67" s="3101" t="s">
        <v>3406</v>
      </c>
      <c r="Q67"/>
      <c r="R67"/>
      <c r="S67"/>
      <c r="T67"/>
      <c r="U67"/>
      <c r="V67"/>
      <c r="W67"/>
    </row>
    <row r="68" spans="10:23" ht="13.15" customHeight="1" thickBot="1">
      <c r="J68" s="3567" t="s">
        <v>3407</v>
      </c>
      <c r="K68" s="3095" t="s">
        <v>3408</v>
      </c>
      <c r="L68" s="3559" t="s">
        <v>3409</v>
      </c>
      <c r="M68" s="3560"/>
      <c r="N68" s="3101" t="s">
        <v>3410</v>
      </c>
      <c r="O68" s="3101"/>
      <c r="P68" s="3101" t="s">
        <v>3411</v>
      </c>
      <c r="Q68"/>
      <c r="R68">
        <f>ROUND(4.93*365*120/10000,0)</f>
        <v>22</v>
      </c>
      <c r="S68"/>
      <c r="T68">
        <f>R68+R69+R70</f>
        <v>31</v>
      </c>
      <c r="U68"/>
      <c r="V68">
        <f>T68/T50</f>
        <v>1.0735874965151696E-2</v>
      </c>
      <c r="W68"/>
    </row>
    <row r="69" spans="10:23" ht="13.15" customHeight="1" thickBot="1">
      <c r="J69" s="3568"/>
      <c r="K69" s="3095" t="s">
        <v>3412</v>
      </c>
      <c r="L69" s="3559" t="s">
        <v>3413</v>
      </c>
      <c r="M69" s="3560"/>
      <c r="N69" s="3101" t="s">
        <v>3410</v>
      </c>
      <c r="O69" s="3101"/>
      <c r="P69" s="3101" t="s">
        <v>3414</v>
      </c>
      <c r="Q69"/>
      <c r="R69">
        <f>ROUND(3.65*365*36/10000,0)</f>
        <v>5</v>
      </c>
      <c r="S69"/>
      <c r="T69"/>
      <c r="U69"/>
      <c r="V69"/>
      <c r="W69"/>
    </row>
    <row r="70" spans="10:23" ht="13.15" customHeight="1" thickBot="1">
      <c r="J70" s="3568"/>
      <c r="K70" s="3095" t="s">
        <v>3415</v>
      </c>
      <c r="L70" s="3559" t="s">
        <v>3416</v>
      </c>
      <c r="M70" s="3560"/>
      <c r="N70" s="3101" t="s">
        <v>3410</v>
      </c>
      <c r="O70" s="3101"/>
      <c r="P70" s="3101" t="s">
        <v>3417</v>
      </c>
      <c r="Q70"/>
      <c r="R70">
        <f>ROUND(7.04*365*14/10000,0)</f>
        <v>4</v>
      </c>
      <c r="S70"/>
      <c r="T70"/>
      <c r="U70"/>
      <c r="V70"/>
      <c r="W70"/>
    </row>
    <row r="71" spans="10:23" ht="13.15" customHeight="1" thickBot="1">
      <c r="J71" s="3569"/>
      <c r="K71" s="3095"/>
      <c r="L71" s="3559"/>
      <c r="M71" s="3560"/>
      <c r="N71" s="3101"/>
      <c r="O71" s="3101"/>
      <c r="P71" s="3101"/>
      <c r="Q71"/>
      <c r="R71"/>
      <c r="S71"/>
      <c r="T71"/>
      <c r="U71"/>
      <c r="V71"/>
      <c r="W71"/>
    </row>
    <row r="72" spans="10:23" ht="13.15" customHeight="1" thickBot="1">
      <c r="J72" s="3557" t="s">
        <v>3355</v>
      </c>
      <c r="K72" s="3558"/>
      <c r="L72" s="3559" t="s">
        <v>3418</v>
      </c>
      <c r="M72" s="3560"/>
      <c r="N72" s="3559" t="s">
        <v>3419</v>
      </c>
      <c r="O72" s="3560"/>
      <c r="P72" s="3101" t="s">
        <v>3420</v>
      </c>
      <c r="Q72"/>
      <c r="R72"/>
      <c r="S72"/>
      <c r="T72"/>
      <c r="U72"/>
      <c r="V72"/>
      <c r="W72"/>
    </row>
    <row r="73" spans="10:23" ht="13.15" customHeight="1" thickBot="1">
      <c r="J73" s="3557" t="s">
        <v>3421</v>
      </c>
      <c r="K73" s="3558"/>
      <c r="L73" s="3559">
        <v>71</v>
      </c>
      <c r="M73" s="3560"/>
      <c r="N73" s="3559">
        <v>0</v>
      </c>
      <c r="O73" s="3560"/>
      <c r="P73" s="3101">
        <v>0</v>
      </c>
      <c r="Q73"/>
      <c r="R73"/>
      <c r="S73"/>
      <c r="T73"/>
      <c r="U73"/>
      <c r="V73"/>
      <c r="W73"/>
    </row>
  </sheetData>
  <mergeCells count="78">
    <mergeCell ref="J72:K72"/>
    <mergeCell ref="L72:M72"/>
    <mergeCell ref="N72:O72"/>
    <mergeCell ref="J73:K73"/>
    <mergeCell ref="L73:M73"/>
    <mergeCell ref="N73:O73"/>
    <mergeCell ref="J67:K67"/>
    <mergeCell ref="L67:M67"/>
    <mergeCell ref="J68:J71"/>
    <mergeCell ref="L68:M68"/>
    <mergeCell ref="L69:M69"/>
    <mergeCell ref="L70:M70"/>
    <mergeCell ref="L71:M71"/>
    <mergeCell ref="J62:J66"/>
    <mergeCell ref="L62:M62"/>
    <mergeCell ref="N62:O62"/>
    <mergeCell ref="L63:M63"/>
    <mergeCell ref="N63:O63"/>
    <mergeCell ref="L64:M64"/>
    <mergeCell ref="N64:O64"/>
    <mergeCell ref="L65:M65"/>
    <mergeCell ref="N65:O65"/>
    <mergeCell ref="L66:M66"/>
    <mergeCell ref="N66:O66"/>
    <mergeCell ref="J57:K57"/>
    <mergeCell ref="L57:M57"/>
    <mergeCell ref="N57:O57"/>
    <mergeCell ref="J58:J61"/>
    <mergeCell ref="L58:M58"/>
    <mergeCell ref="N58:O58"/>
    <mergeCell ref="L59:M59"/>
    <mergeCell ref="N59:O59"/>
    <mergeCell ref="L60:M60"/>
    <mergeCell ref="N60:O60"/>
    <mergeCell ref="L61:M61"/>
    <mergeCell ref="N61:O61"/>
    <mergeCell ref="J54:K54"/>
    <mergeCell ref="L54:M54"/>
    <mergeCell ref="N54:O54"/>
    <mergeCell ref="J55:J56"/>
    <mergeCell ref="L55:M55"/>
    <mergeCell ref="N55:O55"/>
    <mergeCell ref="L56:M56"/>
    <mergeCell ref="N56:O56"/>
    <mergeCell ref="J48:K48"/>
    <mergeCell ref="N48:O48"/>
    <mergeCell ref="J49:J53"/>
    <mergeCell ref="N49:O49"/>
    <mergeCell ref="N50:O50"/>
    <mergeCell ref="N51:O51"/>
    <mergeCell ref="N52:O52"/>
    <mergeCell ref="K53:P53"/>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
  <sheetViews>
    <sheetView tabSelected="1" zoomScale="80" zoomScaleNormal="80" workbookViewId="0">
      <selection activeCell="G7" sqref="G7"/>
    </sheetView>
  </sheetViews>
  <sheetFormatPr defaultRowHeight="13.15" customHeight="1"/>
  <cols>
    <col min="1" max="1" width="9.5" style="3126" customWidth="1"/>
    <col min="2" max="2" width="8.875" style="3126"/>
    <col min="3" max="5" width="12.875" style="3126" customWidth="1"/>
    <col min="6" max="6" width="47.5" style="3126" customWidth="1"/>
    <col min="7" max="7" width="13" style="3284" customWidth="1"/>
    <col min="8" max="8" width="8.875" style="3126"/>
    <col min="9" max="9" width="8.875" style="3127"/>
    <col min="10" max="10" width="5.75" style="3285" customWidth="1"/>
    <col min="11" max="11" width="11.75" style="3285" customWidth="1"/>
    <col min="12" max="13" width="10.75" style="3285" customWidth="1"/>
    <col min="14" max="14" width="10" style="3285" customWidth="1"/>
    <col min="15" max="16" width="10.5" style="3285" bestFit="1" customWidth="1"/>
    <col min="17" max="17" width="10" style="3285" customWidth="1"/>
    <col min="18" max="18" width="10.125" style="3285" customWidth="1"/>
    <col min="19" max="19" width="10" style="3285" customWidth="1"/>
    <col min="20" max="20" width="26.125" style="3285" customWidth="1"/>
    <col min="21" max="21" width="8.875" style="3285"/>
    <col min="22" max="22" width="8.875" style="3127"/>
    <col min="23" max="256" width="8.875" style="3126"/>
    <col min="257" max="257" width="9.5" style="3126" customWidth="1"/>
    <col min="258" max="258" width="8.875" style="3126"/>
    <col min="259" max="261" width="12.875" style="3126" customWidth="1"/>
    <col min="262" max="262" width="47.5" style="3126" customWidth="1"/>
    <col min="263" max="263" width="13" style="3126" customWidth="1"/>
    <col min="264" max="265" width="8.875" style="3126"/>
    <col min="266" max="266" width="5.75" style="3126" customWidth="1"/>
    <col min="267" max="267" width="11.75" style="3126" customWidth="1"/>
    <col min="268" max="269" width="10.75" style="3126" customWidth="1"/>
    <col min="270" max="270" width="10" style="3126" customWidth="1"/>
    <col min="271" max="272" width="10.5" style="3126" bestFit="1" customWidth="1"/>
    <col min="273" max="273" width="10" style="3126" customWidth="1"/>
    <col min="274" max="274" width="10.125" style="3126" customWidth="1"/>
    <col min="275" max="275" width="10" style="3126" customWidth="1"/>
    <col min="276" max="276" width="26.125" style="3126" customWidth="1"/>
    <col min="277" max="512" width="8.875" style="3126"/>
    <col min="513" max="513" width="9.5" style="3126" customWidth="1"/>
    <col min="514" max="514" width="8.875" style="3126"/>
    <col min="515" max="517" width="12.875" style="3126" customWidth="1"/>
    <col min="518" max="518" width="47.5" style="3126" customWidth="1"/>
    <col min="519" max="519" width="13" style="3126" customWidth="1"/>
    <col min="520" max="521" width="8.875" style="3126"/>
    <col min="522" max="522" width="5.75" style="3126" customWidth="1"/>
    <col min="523" max="523" width="11.75" style="3126" customWidth="1"/>
    <col min="524" max="525" width="10.75" style="3126" customWidth="1"/>
    <col min="526" max="526" width="10" style="3126" customWidth="1"/>
    <col min="527" max="528" width="10.5" style="3126" bestFit="1" customWidth="1"/>
    <col min="529" max="529" width="10" style="3126" customWidth="1"/>
    <col min="530" max="530" width="10.125" style="3126" customWidth="1"/>
    <col min="531" max="531" width="10" style="3126" customWidth="1"/>
    <col min="532" max="532" width="26.125" style="3126" customWidth="1"/>
    <col min="533" max="768" width="8.875" style="3126"/>
    <col min="769" max="769" width="9.5" style="3126" customWidth="1"/>
    <col min="770" max="770" width="8.875" style="3126"/>
    <col min="771" max="773" width="12.875" style="3126" customWidth="1"/>
    <col min="774" max="774" width="47.5" style="3126" customWidth="1"/>
    <col min="775" max="775" width="13" style="3126" customWidth="1"/>
    <col min="776" max="777" width="8.875" style="3126"/>
    <col min="778" max="778" width="5.75" style="3126" customWidth="1"/>
    <col min="779" max="779" width="11.75" style="3126" customWidth="1"/>
    <col min="780" max="781" width="10.75" style="3126" customWidth="1"/>
    <col min="782" max="782" width="10" style="3126" customWidth="1"/>
    <col min="783" max="784" width="10.5" style="3126" bestFit="1" customWidth="1"/>
    <col min="785" max="785" width="10" style="3126" customWidth="1"/>
    <col min="786" max="786" width="10.125" style="3126" customWidth="1"/>
    <col min="787" max="787" width="10" style="3126" customWidth="1"/>
    <col min="788" max="788" width="26.125" style="3126" customWidth="1"/>
    <col min="789" max="1024" width="8.875" style="3126"/>
    <col min="1025" max="1025" width="9.5" style="3126" customWidth="1"/>
    <col min="1026" max="1026" width="8.875" style="3126"/>
    <col min="1027" max="1029" width="12.875" style="3126" customWidth="1"/>
    <col min="1030" max="1030" width="47.5" style="3126" customWidth="1"/>
    <col min="1031" max="1031" width="13" style="3126" customWidth="1"/>
    <col min="1032" max="1033" width="8.875" style="3126"/>
    <col min="1034" max="1034" width="5.75" style="3126" customWidth="1"/>
    <col min="1035" max="1035" width="11.75" style="3126" customWidth="1"/>
    <col min="1036" max="1037" width="10.75" style="3126" customWidth="1"/>
    <col min="1038" max="1038" width="10" style="3126" customWidth="1"/>
    <col min="1039" max="1040" width="10.5" style="3126" bestFit="1" customWidth="1"/>
    <col min="1041" max="1041" width="10" style="3126" customWidth="1"/>
    <col min="1042" max="1042" width="10.125" style="3126" customWidth="1"/>
    <col min="1043" max="1043" width="10" style="3126" customWidth="1"/>
    <col min="1044" max="1044" width="26.125" style="3126" customWidth="1"/>
    <col min="1045" max="1280" width="8.875" style="3126"/>
    <col min="1281" max="1281" width="9.5" style="3126" customWidth="1"/>
    <col min="1282" max="1282" width="8.875" style="3126"/>
    <col min="1283" max="1285" width="12.875" style="3126" customWidth="1"/>
    <col min="1286" max="1286" width="47.5" style="3126" customWidth="1"/>
    <col min="1287" max="1287" width="13" style="3126" customWidth="1"/>
    <col min="1288" max="1289" width="8.875" style="3126"/>
    <col min="1290" max="1290" width="5.75" style="3126" customWidth="1"/>
    <col min="1291" max="1291" width="11.75" style="3126" customWidth="1"/>
    <col min="1292" max="1293" width="10.75" style="3126" customWidth="1"/>
    <col min="1294" max="1294" width="10" style="3126" customWidth="1"/>
    <col min="1295" max="1296" width="10.5" style="3126" bestFit="1" customWidth="1"/>
    <col min="1297" max="1297" width="10" style="3126" customWidth="1"/>
    <col min="1298" max="1298" width="10.125" style="3126" customWidth="1"/>
    <col min="1299" max="1299" width="10" style="3126" customWidth="1"/>
    <col min="1300" max="1300" width="26.125" style="3126" customWidth="1"/>
    <col min="1301" max="1536" width="8.875" style="3126"/>
    <col min="1537" max="1537" width="9.5" style="3126" customWidth="1"/>
    <col min="1538" max="1538" width="8.875" style="3126"/>
    <col min="1539" max="1541" width="12.875" style="3126" customWidth="1"/>
    <col min="1542" max="1542" width="47.5" style="3126" customWidth="1"/>
    <col min="1543" max="1543" width="13" style="3126" customWidth="1"/>
    <col min="1544" max="1545" width="8.875" style="3126"/>
    <col min="1546" max="1546" width="5.75" style="3126" customWidth="1"/>
    <col min="1547" max="1547" width="11.75" style="3126" customWidth="1"/>
    <col min="1548" max="1549" width="10.75" style="3126" customWidth="1"/>
    <col min="1550" max="1550" width="10" style="3126" customWidth="1"/>
    <col min="1551" max="1552" width="10.5" style="3126" bestFit="1" customWidth="1"/>
    <col min="1553" max="1553" width="10" style="3126" customWidth="1"/>
    <col min="1554" max="1554" width="10.125" style="3126" customWidth="1"/>
    <col min="1555" max="1555" width="10" style="3126" customWidth="1"/>
    <col min="1556" max="1556" width="26.125" style="3126" customWidth="1"/>
    <col min="1557" max="1792" width="8.875" style="3126"/>
    <col min="1793" max="1793" width="9.5" style="3126" customWidth="1"/>
    <col min="1794" max="1794" width="8.875" style="3126"/>
    <col min="1795" max="1797" width="12.875" style="3126" customWidth="1"/>
    <col min="1798" max="1798" width="47.5" style="3126" customWidth="1"/>
    <col min="1799" max="1799" width="13" style="3126" customWidth="1"/>
    <col min="1800" max="1801" width="8.875" style="3126"/>
    <col min="1802" max="1802" width="5.75" style="3126" customWidth="1"/>
    <col min="1803" max="1803" width="11.75" style="3126" customWidth="1"/>
    <col min="1804" max="1805" width="10.75" style="3126" customWidth="1"/>
    <col min="1806" max="1806" width="10" style="3126" customWidth="1"/>
    <col min="1807" max="1808" width="10.5" style="3126" bestFit="1" customWidth="1"/>
    <col min="1809" max="1809" width="10" style="3126" customWidth="1"/>
    <col min="1810" max="1810" width="10.125" style="3126" customWidth="1"/>
    <col min="1811" max="1811" width="10" style="3126" customWidth="1"/>
    <col min="1812" max="1812" width="26.125" style="3126" customWidth="1"/>
    <col min="1813" max="2048" width="8.875" style="3126"/>
    <col min="2049" max="2049" width="9.5" style="3126" customWidth="1"/>
    <col min="2050" max="2050" width="8.875" style="3126"/>
    <col min="2051" max="2053" width="12.875" style="3126" customWidth="1"/>
    <col min="2054" max="2054" width="47.5" style="3126" customWidth="1"/>
    <col min="2055" max="2055" width="13" style="3126" customWidth="1"/>
    <col min="2056" max="2057" width="8.875" style="3126"/>
    <col min="2058" max="2058" width="5.75" style="3126" customWidth="1"/>
    <col min="2059" max="2059" width="11.75" style="3126" customWidth="1"/>
    <col min="2060" max="2061" width="10.75" style="3126" customWidth="1"/>
    <col min="2062" max="2062" width="10" style="3126" customWidth="1"/>
    <col min="2063" max="2064" width="10.5" style="3126" bestFit="1" customWidth="1"/>
    <col min="2065" max="2065" width="10" style="3126" customWidth="1"/>
    <col min="2066" max="2066" width="10.125" style="3126" customWidth="1"/>
    <col min="2067" max="2067" width="10" style="3126" customWidth="1"/>
    <col min="2068" max="2068" width="26.125" style="3126" customWidth="1"/>
    <col min="2069" max="2304" width="8.875" style="3126"/>
    <col min="2305" max="2305" width="9.5" style="3126" customWidth="1"/>
    <col min="2306" max="2306" width="8.875" style="3126"/>
    <col min="2307" max="2309" width="12.875" style="3126" customWidth="1"/>
    <col min="2310" max="2310" width="47.5" style="3126" customWidth="1"/>
    <col min="2311" max="2311" width="13" style="3126" customWidth="1"/>
    <col min="2312" max="2313" width="8.875" style="3126"/>
    <col min="2314" max="2314" width="5.75" style="3126" customWidth="1"/>
    <col min="2315" max="2315" width="11.75" style="3126" customWidth="1"/>
    <col min="2316" max="2317" width="10.75" style="3126" customWidth="1"/>
    <col min="2318" max="2318" width="10" style="3126" customWidth="1"/>
    <col min="2319" max="2320" width="10.5" style="3126" bestFit="1" customWidth="1"/>
    <col min="2321" max="2321" width="10" style="3126" customWidth="1"/>
    <col min="2322" max="2322" width="10.125" style="3126" customWidth="1"/>
    <col min="2323" max="2323" width="10" style="3126" customWidth="1"/>
    <col min="2324" max="2324" width="26.125" style="3126" customWidth="1"/>
    <col min="2325" max="2560" width="8.875" style="3126"/>
    <col min="2561" max="2561" width="9.5" style="3126" customWidth="1"/>
    <col min="2562" max="2562" width="8.875" style="3126"/>
    <col min="2563" max="2565" width="12.875" style="3126" customWidth="1"/>
    <col min="2566" max="2566" width="47.5" style="3126" customWidth="1"/>
    <col min="2567" max="2567" width="13" style="3126" customWidth="1"/>
    <col min="2568" max="2569" width="8.875" style="3126"/>
    <col min="2570" max="2570" width="5.75" style="3126" customWidth="1"/>
    <col min="2571" max="2571" width="11.75" style="3126" customWidth="1"/>
    <col min="2572" max="2573" width="10.75" style="3126" customWidth="1"/>
    <col min="2574" max="2574" width="10" style="3126" customWidth="1"/>
    <col min="2575" max="2576" width="10.5" style="3126" bestFit="1" customWidth="1"/>
    <col min="2577" max="2577" width="10" style="3126" customWidth="1"/>
    <col min="2578" max="2578" width="10.125" style="3126" customWidth="1"/>
    <col min="2579" max="2579" width="10" style="3126" customWidth="1"/>
    <col min="2580" max="2580" width="26.125" style="3126" customWidth="1"/>
    <col min="2581" max="2816" width="8.875" style="3126"/>
    <col min="2817" max="2817" width="9.5" style="3126" customWidth="1"/>
    <col min="2818" max="2818" width="8.875" style="3126"/>
    <col min="2819" max="2821" width="12.875" style="3126" customWidth="1"/>
    <col min="2822" max="2822" width="47.5" style="3126" customWidth="1"/>
    <col min="2823" max="2823" width="13" style="3126" customWidth="1"/>
    <col min="2824" max="2825" width="8.875" style="3126"/>
    <col min="2826" max="2826" width="5.75" style="3126" customWidth="1"/>
    <col min="2827" max="2827" width="11.75" style="3126" customWidth="1"/>
    <col min="2828" max="2829" width="10.75" style="3126" customWidth="1"/>
    <col min="2830" max="2830" width="10" style="3126" customWidth="1"/>
    <col min="2831" max="2832" width="10.5" style="3126" bestFit="1" customWidth="1"/>
    <col min="2833" max="2833" width="10" style="3126" customWidth="1"/>
    <col min="2834" max="2834" width="10.125" style="3126" customWidth="1"/>
    <col min="2835" max="2835" width="10" style="3126" customWidth="1"/>
    <col min="2836" max="2836" width="26.125" style="3126" customWidth="1"/>
    <col min="2837" max="3072" width="8.875" style="3126"/>
    <col min="3073" max="3073" width="9.5" style="3126" customWidth="1"/>
    <col min="3074" max="3074" width="8.875" style="3126"/>
    <col min="3075" max="3077" width="12.875" style="3126" customWidth="1"/>
    <col min="3078" max="3078" width="47.5" style="3126" customWidth="1"/>
    <col min="3079" max="3079" width="13" style="3126" customWidth="1"/>
    <col min="3080" max="3081" width="8.875" style="3126"/>
    <col min="3082" max="3082" width="5.75" style="3126" customWidth="1"/>
    <col min="3083" max="3083" width="11.75" style="3126" customWidth="1"/>
    <col min="3084" max="3085" width="10.75" style="3126" customWidth="1"/>
    <col min="3086" max="3086" width="10" style="3126" customWidth="1"/>
    <col min="3087" max="3088" width="10.5" style="3126" bestFit="1" customWidth="1"/>
    <col min="3089" max="3089" width="10" style="3126" customWidth="1"/>
    <col min="3090" max="3090" width="10.125" style="3126" customWidth="1"/>
    <col min="3091" max="3091" width="10" style="3126" customWidth="1"/>
    <col min="3092" max="3092" width="26.125" style="3126" customWidth="1"/>
    <col min="3093" max="3328" width="8.875" style="3126"/>
    <col min="3329" max="3329" width="9.5" style="3126" customWidth="1"/>
    <col min="3330" max="3330" width="8.875" style="3126"/>
    <col min="3331" max="3333" width="12.875" style="3126" customWidth="1"/>
    <col min="3334" max="3334" width="47.5" style="3126" customWidth="1"/>
    <col min="3335" max="3335" width="13" style="3126" customWidth="1"/>
    <col min="3336" max="3337" width="8.875" style="3126"/>
    <col min="3338" max="3338" width="5.75" style="3126" customWidth="1"/>
    <col min="3339" max="3339" width="11.75" style="3126" customWidth="1"/>
    <col min="3340" max="3341" width="10.75" style="3126" customWidth="1"/>
    <col min="3342" max="3342" width="10" style="3126" customWidth="1"/>
    <col min="3343" max="3344" width="10.5" style="3126" bestFit="1" customWidth="1"/>
    <col min="3345" max="3345" width="10" style="3126" customWidth="1"/>
    <col min="3346" max="3346" width="10.125" style="3126" customWidth="1"/>
    <col min="3347" max="3347" width="10" style="3126" customWidth="1"/>
    <col min="3348" max="3348" width="26.125" style="3126" customWidth="1"/>
    <col min="3349" max="3584" width="8.875" style="3126"/>
    <col min="3585" max="3585" width="9.5" style="3126" customWidth="1"/>
    <col min="3586" max="3586" width="8.875" style="3126"/>
    <col min="3587" max="3589" width="12.875" style="3126" customWidth="1"/>
    <col min="3590" max="3590" width="47.5" style="3126" customWidth="1"/>
    <col min="3591" max="3591" width="13" style="3126" customWidth="1"/>
    <col min="3592" max="3593" width="8.875" style="3126"/>
    <col min="3594" max="3594" width="5.75" style="3126" customWidth="1"/>
    <col min="3595" max="3595" width="11.75" style="3126" customWidth="1"/>
    <col min="3596" max="3597" width="10.75" style="3126" customWidth="1"/>
    <col min="3598" max="3598" width="10" style="3126" customWidth="1"/>
    <col min="3599" max="3600" width="10.5" style="3126" bestFit="1" customWidth="1"/>
    <col min="3601" max="3601" width="10" style="3126" customWidth="1"/>
    <col min="3602" max="3602" width="10.125" style="3126" customWidth="1"/>
    <col min="3603" max="3603" width="10" style="3126" customWidth="1"/>
    <col min="3604" max="3604" width="26.125" style="3126" customWidth="1"/>
    <col min="3605" max="3840" width="8.875" style="3126"/>
    <col min="3841" max="3841" width="9.5" style="3126" customWidth="1"/>
    <col min="3842" max="3842" width="8.875" style="3126"/>
    <col min="3843" max="3845" width="12.875" style="3126" customWidth="1"/>
    <col min="3846" max="3846" width="47.5" style="3126" customWidth="1"/>
    <col min="3847" max="3847" width="13" style="3126" customWidth="1"/>
    <col min="3848" max="3849" width="8.875" style="3126"/>
    <col min="3850" max="3850" width="5.75" style="3126" customWidth="1"/>
    <col min="3851" max="3851" width="11.75" style="3126" customWidth="1"/>
    <col min="3852" max="3853" width="10.75" style="3126" customWidth="1"/>
    <col min="3854" max="3854" width="10" style="3126" customWidth="1"/>
    <col min="3855" max="3856" width="10.5" style="3126" bestFit="1" customWidth="1"/>
    <col min="3857" max="3857" width="10" style="3126" customWidth="1"/>
    <col min="3858" max="3858" width="10.125" style="3126" customWidth="1"/>
    <col min="3859" max="3859" width="10" style="3126" customWidth="1"/>
    <col min="3860" max="3860" width="26.125" style="3126" customWidth="1"/>
    <col min="3861" max="4096" width="8.875" style="3126"/>
    <col min="4097" max="4097" width="9.5" style="3126" customWidth="1"/>
    <col min="4098" max="4098" width="8.875" style="3126"/>
    <col min="4099" max="4101" width="12.875" style="3126" customWidth="1"/>
    <col min="4102" max="4102" width="47.5" style="3126" customWidth="1"/>
    <col min="4103" max="4103" width="13" style="3126" customWidth="1"/>
    <col min="4104" max="4105" width="8.875" style="3126"/>
    <col min="4106" max="4106" width="5.75" style="3126" customWidth="1"/>
    <col min="4107" max="4107" width="11.75" style="3126" customWidth="1"/>
    <col min="4108" max="4109" width="10.75" style="3126" customWidth="1"/>
    <col min="4110" max="4110" width="10" style="3126" customWidth="1"/>
    <col min="4111" max="4112" width="10.5" style="3126" bestFit="1" customWidth="1"/>
    <col min="4113" max="4113" width="10" style="3126" customWidth="1"/>
    <col min="4114" max="4114" width="10.125" style="3126" customWidth="1"/>
    <col min="4115" max="4115" width="10" style="3126" customWidth="1"/>
    <col min="4116" max="4116" width="26.125" style="3126" customWidth="1"/>
    <col min="4117" max="4352" width="8.875" style="3126"/>
    <col min="4353" max="4353" width="9.5" style="3126" customWidth="1"/>
    <col min="4354" max="4354" width="8.875" style="3126"/>
    <col min="4355" max="4357" width="12.875" style="3126" customWidth="1"/>
    <col min="4358" max="4358" width="47.5" style="3126" customWidth="1"/>
    <col min="4359" max="4359" width="13" style="3126" customWidth="1"/>
    <col min="4360" max="4361" width="8.875" style="3126"/>
    <col min="4362" max="4362" width="5.75" style="3126" customWidth="1"/>
    <col min="4363" max="4363" width="11.75" style="3126" customWidth="1"/>
    <col min="4364" max="4365" width="10.75" style="3126" customWidth="1"/>
    <col min="4366" max="4366" width="10" style="3126" customWidth="1"/>
    <col min="4367" max="4368" width="10.5" style="3126" bestFit="1" customWidth="1"/>
    <col min="4369" max="4369" width="10" style="3126" customWidth="1"/>
    <col min="4370" max="4370" width="10.125" style="3126" customWidth="1"/>
    <col min="4371" max="4371" width="10" style="3126" customWidth="1"/>
    <col min="4372" max="4372" width="26.125" style="3126" customWidth="1"/>
    <col min="4373" max="4608" width="8.875" style="3126"/>
    <col min="4609" max="4609" width="9.5" style="3126" customWidth="1"/>
    <col min="4610" max="4610" width="8.875" style="3126"/>
    <col min="4611" max="4613" width="12.875" style="3126" customWidth="1"/>
    <col min="4614" max="4614" width="47.5" style="3126" customWidth="1"/>
    <col min="4615" max="4615" width="13" style="3126" customWidth="1"/>
    <col min="4616" max="4617" width="8.875" style="3126"/>
    <col min="4618" max="4618" width="5.75" style="3126" customWidth="1"/>
    <col min="4619" max="4619" width="11.75" style="3126" customWidth="1"/>
    <col min="4620" max="4621" width="10.75" style="3126" customWidth="1"/>
    <col min="4622" max="4622" width="10" style="3126" customWidth="1"/>
    <col min="4623" max="4624" width="10.5" style="3126" bestFit="1" customWidth="1"/>
    <col min="4625" max="4625" width="10" style="3126" customWidth="1"/>
    <col min="4626" max="4626" width="10.125" style="3126" customWidth="1"/>
    <col min="4627" max="4627" width="10" style="3126" customWidth="1"/>
    <col min="4628" max="4628" width="26.125" style="3126" customWidth="1"/>
    <col min="4629" max="4864" width="8.875" style="3126"/>
    <col min="4865" max="4865" width="9.5" style="3126" customWidth="1"/>
    <col min="4866" max="4866" width="8.875" style="3126"/>
    <col min="4867" max="4869" width="12.875" style="3126" customWidth="1"/>
    <col min="4870" max="4870" width="47.5" style="3126" customWidth="1"/>
    <col min="4871" max="4871" width="13" style="3126" customWidth="1"/>
    <col min="4872" max="4873" width="8.875" style="3126"/>
    <col min="4874" max="4874" width="5.75" style="3126" customWidth="1"/>
    <col min="4875" max="4875" width="11.75" style="3126" customWidth="1"/>
    <col min="4876" max="4877" width="10.75" style="3126" customWidth="1"/>
    <col min="4878" max="4878" width="10" style="3126" customWidth="1"/>
    <col min="4879" max="4880" width="10.5" style="3126" bestFit="1" customWidth="1"/>
    <col min="4881" max="4881" width="10" style="3126" customWidth="1"/>
    <col min="4882" max="4882" width="10.125" style="3126" customWidth="1"/>
    <col min="4883" max="4883" width="10" style="3126" customWidth="1"/>
    <col min="4884" max="4884" width="26.125" style="3126" customWidth="1"/>
    <col min="4885" max="5120" width="8.875" style="3126"/>
    <col min="5121" max="5121" width="9.5" style="3126" customWidth="1"/>
    <col min="5122" max="5122" width="8.875" style="3126"/>
    <col min="5123" max="5125" width="12.875" style="3126" customWidth="1"/>
    <col min="5126" max="5126" width="47.5" style="3126" customWidth="1"/>
    <col min="5127" max="5127" width="13" style="3126" customWidth="1"/>
    <col min="5128" max="5129" width="8.875" style="3126"/>
    <col min="5130" max="5130" width="5.75" style="3126" customWidth="1"/>
    <col min="5131" max="5131" width="11.75" style="3126" customWidth="1"/>
    <col min="5132" max="5133" width="10.75" style="3126" customWidth="1"/>
    <col min="5134" max="5134" width="10" style="3126" customWidth="1"/>
    <col min="5135" max="5136" width="10.5" style="3126" bestFit="1" customWidth="1"/>
    <col min="5137" max="5137" width="10" style="3126" customWidth="1"/>
    <col min="5138" max="5138" width="10.125" style="3126" customWidth="1"/>
    <col min="5139" max="5139" width="10" style="3126" customWidth="1"/>
    <col min="5140" max="5140" width="26.125" style="3126" customWidth="1"/>
    <col min="5141" max="5376" width="8.875" style="3126"/>
    <col min="5377" max="5377" width="9.5" style="3126" customWidth="1"/>
    <col min="5378" max="5378" width="8.875" style="3126"/>
    <col min="5379" max="5381" width="12.875" style="3126" customWidth="1"/>
    <col min="5382" max="5382" width="47.5" style="3126" customWidth="1"/>
    <col min="5383" max="5383" width="13" style="3126" customWidth="1"/>
    <col min="5384" max="5385" width="8.875" style="3126"/>
    <col min="5386" max="5386" width="5.75" style="3126" customWidth="1"/>
    <col min="5387" max="5387" width="11.75" style="3126" customWidth="1"/>
    <col min="5388" max="5389" width="10.75" style="3126" customWidth="1"/>
    <col min="5390" max="5390" width="10" style="3126" customWidth="1"/>
    <col min="5391" max="5392" width="10.5" style="3126" bestFit="1" customWidth="1"/>
    <col min="5393" max="5393" width="10" style="3126" customWidth="1"/>
    <col min="5394" max="5394" width="10.125" style="3126" customWidth="1"/>
    <col min="5395" max="5395" width="10" style="3126" customWidth="1"/>
    <col min="5396" max="5396" width="26.125" style="3126" customWidth="1"/>
    <col min="5397" max="5632" width="8.875" style="3126"/>
    <col min="5633" max="5633" width="9.5" style="3126" customWidth="1"/>
    <col min="5634" max="5634" width="8.875" style="3126"/>
    <col min="5635" max="5637" width="12.875" style="3126" customWidth="1"/>
    <col min="5638" max="5638" width="47.5" style="3126" customWidth="1"/>
    <col min="5639" max="5639" width="13" style="3126" customWidth="1"/>
    <col min="5640" max="5641" width="8.875" style="3126"/>
    <col min="5642" max="5642" width="5.75" style="3126" customWidth="1"/>
    <col min="5643" max="5643" width="11.75" style="3126" customWidth="1"/>
    <col min="5644" max="5645" width="10.75" style="3126" customWidth="1"/>
    <col min="5646" max="5646" width="10" style="3126" customWidth="1"/>
    <col min="5647" max="5648" width="10.5" style="3126" bestFit="1" customWidth="1"/>
    <col min="5649" max="5649" width="10" style="3126" customWidth="1"/>
    <col min="5650" max="5650" width="10.125" style="3126" customWidth="1"/>
    <col min="5651" max="5651" width="10" style="3126" customWidth="1"/>
    <col min="5652" max="5652" width="26.125" style="3126" customWidth="1"/>
    <col min="5653" max="5888" width="8.875" style="3126"/>
    <col min="5889" max="5889" width="9.5" style="3126" customWidth="1"/>
    <col min="5890" max="5890" width="8.875" style="3126"/>
    <col min="5891" max="5893" width="12.875" style="3126" customWidth="1"/>
    <col min="5894" max="5894" width="47.5" style="3126" customWidth="1"/>
    <col min="5895" max="5895" width="13" style="3126" customWidth="1"/>
    <col min="5896" max="5897" width="8.875" style="3126"/>
    <col min="5898" max="5898" width="5.75" style="3126" customWidth="1"/>
    <col min="5899" max="5899" width="11.75" style="3126" customWidth="1"/>
    <col min="5900" max="5901" width="10.75" style="3126" customWidth="1"/>
    <col min="5902" max="5902" width="10" style="3126" customWidth="1"/>
    <col min="5903" max="5904" width="10.5" style="3126" bestFit="1" customWidth="1"/>
    <col min="5905" max="5905" width="10" style="3126" customWidth="1"/>
    <col min="5906" max="5906" width="10.125" style="3126" customWidth="1"/>
    <col min="5907" max="5907" width="10" style="3126" customWidth="1"/>
    <col min="5908" max="5908" width="26.125" style="3126" customWidth="1"/>
    <col min="5909" max="6144" width="8.875" style="3126"/>
    <col min="6145" max="6145" width="9.5" style="3126" customWidth="1"/>
    <col min="6146" max="6146" width="8.875" style="3126"/>
    <col min="6147" max="6149" width="12.875" style="3126" customWidth="1"/>
    <col min="6150" max="6150" width="47.5" style="3126" customWidth="1"/>
    <col min="6151" max="6151" width="13" style="3126" customWidth="1"/>
    <col min="6152" max="6153" width="8.875" style="3126"/>
    <col min="6154" max="6154" width="5.75" style="3126" customWidth="1"/>
    <col min="6155" max="6155" width="11.75" style="3126" customWidth="1"/>
    <col min="6156" max="6157" width="10.75" style="3126" customWidth="1"/>
    <col min="6158" max="6158" width="10" style="3126" customWidth="1"/>
    <col min="6159" max="6160" width="10.5" style="3126" bestFit="1" customWidth="1"/>
    <col min="6161" max="6161" width="10" style="3126" customWidth="1"/>
    <col min="6162" max="6162" width="10.125" style="3126" customWidth="1"/>
    <col min="6163" max="6163" width="10" style="3126" customWidth="1"/>
    <col min="6164" max="6164" width="26.125" style="3126" customWidth="1"/>
    <col min="6165" max="6400" width="8.875" style="3126"/>
    <col min="6401" max="6401" width="9.5" style="3126" customWidth="1"/>
    <col min="6402" max="6402" width="8.875" style="3126"/>
    <col min="6403" max="6405" width="12.875" style="3126" customWidth="1"/>
    <col min="6406" max="6406" width="47.5" style="3126" customWidth="1"/>
    <col min="6407" max="6407" width="13" style="3126" customWidth="1"/>
    <col min="6408" max="6409" width="8.875" style="3126"/>
    <col min="6410" max="6410" width="5.75" style="3126" customWidth="1"/>
    <col min="6411" max="6411" width="11.75" style="3126" customWidth="1"/>
    <col min="6412" max="6413" width="10.75" style="3126" customWidth="1"/>
    <col min="6414" max="6414" width="10" style="3126" customWidth="1"/>
    <col min="6415" max="6416" width="10.5" style="3126" bestFit="1" customWidth="1"/>
    <col min="6417" max="6417" width="10" style="3126" customWidth="1"/>
    <col min="6418" max="6418" width="10.125" style="3126" customWidth="1"/>
    <col min="6419" max="6419" width="10" style="3126" customWidth="1"/>
    <col min="6420" max="6420" width="26.125" style="3126" customWidth="1"/>
    <col min="6421" max="6656" width="8.875" style="3126"/>
    <col min="6657" max="6657" width="9.5" style="3126" customWidth="1"/>
    <col min="6658" max="6658" width="8.875" style="3126"/>
    <col min="6659" max="6661" width="12.875" style="3126" customWidth="1"/>
    <col min="6662" max="6662" width="47.5" style="3126" customWidth="1"/>
    <col min="6663" max="6663" width="13" style="3126" customWidth="1"/>
    <col min="6664" max="6665" width="8.875" style="3126"/>
    <col min="6666" max="6666" width="5.75" style="3126" customWidth="1"/>
    <col min="6667" max="6667" width="11.75" style="3126" customWidth="1"/>
    <col min="6668" max="6669" width="10.75" style="3126" customWidth="1"/>
    <col min="6670" max="6670" width="10" style="3126" customWidth="1"/>
    <col min="6671" max="6672" width="10.5" style="3126" bestFit="1" customWidth="1"/>
    <col min="6673" max="6673" width="10" style="3126" customWidth="1"/>
    <col min="6674" max="6674" width="10.125" style="3126" customWidth="1"/>
    <col min="6675" max="6675" width="10" style="3126" customWidth="1"/>
    <col min="6676" max="6676" width="26.125" style="3126" customWidth="1"/>
    <col min="6677" max="6912" width="8.875" style="3126"/>
    <col min="6913" max="6913" width="9.5" style="3126" customWidth="1"/>
    <col min="6914" max="6914" width="8.875" style="3126"/>
    <col min="6915" max="6917" width="12.875" style="3126" customWidth="1"/>
    <col min="6918" max="6918" width="47.5" style="3126" customWidth="1"/>
    <col min="6919" max="6919" width="13" style="3126" customWidth="1"/>
    <col min="6920" max="6921" width="8.875" style="3126"/>
    <col min="6922" max="6922" width="5.75" style="3126" customWidth="1"/>
    <col min="6923" max="6923" width="11.75" style="3126" customWidth="1"/>
    <col min="6924" max="6925" width="10.75" style="3126" customWidth="1"/>
    <col min="6926" max="6926" width="10" style="3126" customWidth="1"/>
    <col min="6927" max="6928" width="10.5" style="3126" bestFit="1" customWidth="1"/>
    <col min="6929" max="6929" width="10" style="3126" customWidth="1"/>
    <col min="6930" max="6930" width="10.125" style="3126" customWidth="1"/>
    <col min="6931" max="6931" width="10" style="3126" customWidth="1"/>
    <col min="6932" max="6932" width="26.125" style="3126" customWidth="1"/>
    <col min="6933" max="7168" width="8.875" style="3126"/>
    <col min="7169" max="7169" width="9.5" style="3126" customWidth="1"/>
    <col min="7170" max="7170" width="8.875" style="3126"/>
    <col min="7171" max="7173" width="12.875" style="3126" customWidth="1"/>
    <col min="7174" max="7174" width="47.5" style="3126" customWidth="1"/>
    <col min="7175" max="7175" width="13" style="3126" customWidth="1"/>
    <col min="7176" max="7177" width="8.875" style="3126"/>
    <col min="7178" max="7178" width="5.75" style="3126" customWidth="1"/>
    <col min="7179" max="7179" width="11.75" style="3126" customWidth="1"/>
    <col min="7180" max="7181" width="10.75" style="3126" customWidth="1"/>
    <col min="7182" max="7182" width="10" style="3126" customWidth="1"/>
    <col min="7183" max="7184" width="10.5" style="3126" bestFit="1" customWidth="1"/>
    <col min="7185" max="7185" width="10" style="3126" customWidth="1"/>
    <col min="7186" max="7186" width="10.125" style="3126" customWidth="1"/>
    <col min="7187" max="7187" width="10" style="3126" customWidth="1"/>
    <col min="7188" max="7188" width="26.125" style="3126" customWidth="1"/>
    <col min="7189" max="7424" width="8.875" style="3126"/>
    <col min="7425" max="7425" width="9.5" style="3126" customWidth="1"/>
    <col min="7426" max="7426" width="8.875" style="3126"/>
    <col min="7427" max="7429" width="12.875" style="3126" customWidth="1"/>
    <col min="7430" max="7430" width="47.5" style="3126" customWidth="1"/>
    <col min="7431" max="7431" width="13" style="3126" customWidth="1"/>
    <col min="7432" max="7433" width="8.875" style="3126"/>
    <col min="7434" max="7434" width="5.75" style="3126" customWidth="1"/>
    <col min="7435" max="7435" width="11.75" style="3126" customWidth="1"/>
    <col min="7436" max="7437" width="10.75" style="3126" customWidth="1"/>
    <col min="7438" max="7438" width="10" style="3126" customWidth="1"/>
    <col min="7439" max="7440" width="10.5" style="3126" bestFit="1" customWidth="1"/>
    <col min="7441" max="7441" width="10" style="3126" customWidth="1"/>
    <col min="7442" max="7442" width="10.125" style="3126" customWidth="1"/>
    <col min="7443" max="7443" width="10" style="3126" customWidth="1"/>
    <col min="7444" max="7444" width="26.125" style="3126" customWidth="1"/>
    <col min="7445" max="7680" width="8.875" style="3126"/>
    <col min="7681" max="7681" width="9.5" style="3126" customWidth="1"/>
    <col min="7682" max="7682" width="8.875" style="3126"/>
    <col min="7683" max="7685" width="12.875" style="3126" customWidth="1"/>
    <col min="7686" max="7686" width="47.5" style="3126" customWidth="1"/>
    <col min="7687" max="7687" width="13" style="3126" customWidth="1"/>
    <col min="7688" max="7689" width="8.875" style="3126"/>
    <col min="7690" max="7690" width="5.75" style="3126" customWidth="1"/>
    <col min="7691" max="7691" width="11.75" style="3126" customWidth="1"/>
    <col min="7692" max="7693" width="10.75" style="3126" customWidth="1"/>
    <col min="7694" max="7694" width="10" style="3126" customWidth="1"/>
    <col min="7695" max="7696" width="10.5" style="3126" bestFit="1" customWidth="1"/>
    <col min="7697" max="7697" width="10" style="3126" customWidth="1"/>
    <col min="7698" max="7698" width="10.125" style="3126" customWidth="1"/>
    <col min="7699" max="7699" width="10" style="3126" customWidth="1"/>
    <col min="7700" max="7700" width="26.125" style="3126" customWidth="1"/>
    <col min="7701" max="7936" width="8.875" style="3126"/>
    <col min="7937" max="7937" width="9.5" style="3126" customWidth="1"/>
    <col min="7938" max="7938" width="8.875" style="3126"/>
    <col min="7939" max="7941" width="12.875" style="3126" customWidth="1"/>
    <col min="7942" max="7942" width="47.5" style="3126" customWidth="1"/>
    <col min="7943" max="7943" width="13" style="3126" customWidth="1"/>
    <col min="7944" max="7945" width="8.875" style="3126"/>
    <col min="7946" max="7946" width="5.75" style="3126" customWidth="1"/>
    <col min="7947" max="7947" width="11.75" style="3126" customWidth="1"/>
    <col min="7948" max="7949" width="10.75" style="3126" customWidth="1"/>
    <col min="7950" max="7950" width="10" style="3126" customWidth="1"/>
    <col min="7951" max="7952" width="10.5" style="3126" bestFit="1" customWidth="1"/>
    <col min="7953" max="7953" width="10" style="3126" customWidth="1"/>
    <col min="7954" max="7954" width="10.125" style="3126" customWidth="1"/>
    <col min="7955" max="7955" width="10" style="3126" customWidth="1"/>
    <col min="7956" max="7956" width="26.125" style="3126" customWidth="1"/>
    <col min="7957" max="8192" width="8.875" style="3126"/>
    <col min="8193" max="8193" width="9.5" style="3126" customWidth="1"/>
    <col min="8194" max="8194" width="8.875" style="3126"/>
    <col min="8195" max="8197" width="12.875" style="3126" customWidth="1"/>
    <col min="8198" max="8198" width="47.5" style="3126" customWidth="1"/>
    <col min="8199" max="8199" width="13" style="3126" customWidth="1"/>
    <col min="8200" max="8201" width="8.875" style="3126"/>
    <col min="8202" max="8202" width="5.75" style="3126" customWidth="1"/>
    <col min="8203" max="8203" width="11.75" style="3126" customWidth="1"/>
    <col min="8204" max="8205" width="10.75" style="3126" customWidth="1"/>
    <col min="8206" max="8206" width="10" style="3126" customWidth="1"/>
    <col min="8207" max="8208" width="10.5" style="3126" bestFit="1" customWidth="1"/>
    <col min="8209" max="8209" width="10" style="3126" customWidth="1"/>
    <col min="8210" max="8210" width="10.125" style="3126" customWidth="1"/>
    <col min="8211" max="8211" width="10" style="3126" customWidth="1"/>
    <col min="8212" max="8212" width="26.125" style="3126" customWidth="1"/>
    <col min="8213" max="8448" width="8.875" style="3126"/>
    <col min="8449" max="8449" width="9.5" style="3126" customWidth="1"/>
    <col min="8450" max="8450" width="8.875" style="3126"/>
    <col min="8451" max="8453" width="12.875" style="3126" customWidth="1"/>
    <col min="8454" max="8454" width="47.5" style="3126" customWidth="1"/>
    <col min="8455" max="8455" width="13" style="3126" customWidth="1"/>
    <col min="8456" max="8457" width="8.875" style="3126"/>
    <col min="8458" max="8458" width="5.75" style="3126" customWidth="1"/>
    <col min="8459" max="8459" width="11.75" style="3126" customWidth="1"/>
    <col min="8460" max="8461" width="10.75" style="3126" customWidth="1"/>
    <col min="8462" max="8462" width="10" style="3126" customWidth="1"/>
    <col min="8463" max="8464" width="10.5" style="3126" bestFit="1" customWidth="1"/>
    <col min="8465" max="8465" width="10" style="3126" customWidth="1"/>
    <col min="8466" max="8466" width="10.125" style="3126" customWidth="1"/>
    <col min="8467" max="8467" width="10" style="3126" customWidth="1"/>
    <col min="8468" max="8468" width="26.125" style="3126" customWidth="1"/>
    <col min="8469" max="8704" width="8.875" style="3126"/>
    <col min="8705" max="8705" width="9.5" style="3126" customWidth="1"/>
    <col min="8706" max="8706" width="8.875" style="3126"/>
    <col min="8707" max="8709" width="12.875" style="3126" customWidth="1"/>
    <col min="8710" max="8710" width="47.5" style="3126" customWidth="1"/>
    <col min="8711" max="8711" width="13" style="3126" customWidth="1"/>
    <col min="8712" max="8713" width="8.875" style="3126"/>
    <col min="8714" max="8714" width="5.75" style="3126" customWidth="1"/>
    <col min="8715" max="8715" width="11.75" style="3126" customWidth="1"/>
    <col min="8716" max="8717" width="10.75" style="3126" customWidth="1"/>
    <col min="8718" max="8718" width="10" style="3126" customWidth="1"/>
    <col min="8719" max="8720" width="10.5" style="3126" bestFit="1" customWidth="1"/>
    <col min="8721" max="8721" width="10" style="3126" customWidth="1"/>
    <col min="8722" max="8722" width="10.125" style="3126" customWidth="1"/>
    <col min="8723" max="8723" width="10" style="3126" customWidth="1"/>
    <col min="8724" max="8724" width="26.125" style="3126" customWidth="1"/>
    <col min="8725" max="8960" width="8.875" style="3126"/>
    <col min="8961" max="8961" width="9.5" style="3126" customWidth="1"/>
    <col min="8962" max="8962" width="8.875" style="3126"/>
    <col min="8963" max="8965" width="12.875" style="3126" customWidth="1"/>
    <col min="8966" max="8966" width="47.5" style="3126" customWidth="1"/>
    <col min="8967" max="8967" width="13" style="3126" customWidth="1"/>
    <col min="8968" max="8969" width="8.875" style="3126"/>
    <col min="8970" max="8970" width="5.75" style="3126" customWidth="1"/>
    <col min="8971" max="8971" width="11.75" style="3126" customWidth="1"/>
    <col min="8972" max="8973" width="10.75" style="3126" customWidth="1"/>
    <col min="8974" max="8974" width="10" style="3126" customWidth="1"/>
    <col min="8975" max="8976" width="10.5" style="3126" bestFit="1" customWidth="1"/>
    <col min="8977" max="8977" width="10" style="3126" customWidth="1"/>
    <col min="8978" max="8978" width="10.125" style="3126" customWidth="1"/>
    <col min="8979" max="8979" width="10" style="3126" customWidth="1"/>
    <col min="8980" max="8980" width="26.125" style="3126" customWidth="1"/>
    <col min="8981" max="9216" width="8.875" style="3126"/>
    <col min="9217" max="9217" width="9.5" style="3126" customWidth="1"/>
    <col min="9218" max="9218" width="8.875" style="3126"/>
    <col min="9219" max="9221" width="12.875" style="3126" customWidth="1"/>
    <col min="9222" max="9222" width="47.5" style="3126" customWidth="1"/>
    <col min="9223" max="9223" width="13" style="3126" customWidth="1"/>
    <col min="9224" max="9225" width="8.875" style="3126"/>
    <col min="9226" max="9226" width="5.75" style="3126" customWidth="1"/>
    <col min="9227" max="9227" width="11.75" style="3126" customWidth="1"/>
    <col min="9228" max="9229" width="10.75" style="3126" customWidth="1"/>
    <col min="9230" max="9230" width="10" style="3126" customWidth="1"/>
    <col min="9231" max="9232" width="10.5" style="3126" bestFit="1" customWidth="1"/>
    <col min="9233" max="9233" width="10" style="3126" customWidth="1"/>
    <col min="9234" max="9234" width="10.125" style="3126" customWidth="1"/>
    <col min="9235" max="9235" width="10" style="3126" customWidth="1"/>
    <col min="9236" max="9236" width="26.125" style="3126" customWidth="1"/>
    <col min="9237" max="9472" width="8.875" style="3126"/>
    <col min="9473" max="9473" width="9.5" style="3126" customWidth="1"/>
    <col min="9474" max="9474" width="8.875" style="3126"/>
    <col min="9475" max="9477" width="12.875" style="3126" customWidth="1"/>
    <col min="9478" max="9478" width="47.5" style="3126" customWidth="1"/>
    <col min="9479" max="9479" width="13" style="3126" customWidth="1"/>
    <col min="9480" max="9481" width="8.875" style="3126"/>
    <col min="9482" max="9482" width="5.75" style="3126" customWidth="1"/>
    <col min="9483" max="9483" width="11.75" style="3126" customWidth="1"/>
    <col min="9484" max="9485" width="10.75" style="3126" customWidth="1"/>
    <col min="9486" max="9486" width="10" style="3126" customWidth="1"/>
    <col min="9487" max="9488" width="10.5" style="3126" bestFit="1" customWidth="1"/>
    <col min="9489" max="9489" width="10" style="3126" customWidth="1"/>
    <col min="9490" max="9490" width="10.125" style="3126" customWidth="1"/>
    <col min="9491" max="9491" width="10" style="3126" customWidth="1"/>
    <col min="9492" max="9492" width="26.125" style="3126" customWidth="1"/>
    <col min="9493" max="9728" width="8.875" style="3126"/>
    <col min="9729" max="9729" width="9.5" style="3126" customWidth="1"/>
    <col min="9730" max="9730" width="8.875" style="3126"/>
    <col min="9731" max="9733" width="12.875" style="3126" customWidth="1"/>
    <col min="9734" max="9734" width="47.5" style="3126" customWidth="1"/>
    <col min="9735" max="9735" width="13" style="3126" customWidth="1"/>
    <col min="9736" max="9737" width="8.875" style="3126"/>
    <col min="9738" max="9738" width="5.75" style="3126" customWidth="1"/>
    <col min="9739" max="9739" width="11.75" style="3126" customWidth="1"/>
    <col min="9740" max="9741" width="10.75" style="3126" customWidth="1"/>
    <col min="9742" max="9742" width="10" style="3126" customWidth="1"/>
    <col min="9743" max="9744" width="10.5" style="3126" bestFit="1" customWidth="1"/>
    <col min="9745" max="9745" width="10" style="3126" customWidth="1"/>
    <col min="9746" max="9746" width="10.125" style="3126" customWidth="1"/>
    <col min="9747" max="9747" width="10" style="3126" customWidth="1"/>
    <col min="9748" max="9748" width="26.125" style="3126" customWidth="1"/>
    <col min="9749" max="9984" width="8.875" style="3126"/>
    <col min="9985" max="9985" width="9.5" style="3126" customWidth="1"/>
    <col min="9986" max="9986" width="8.875" style="3126"/>
    <col min="9987" max="9989" width="12.875" style="3126" customWidth="1"/>
    <col min="9990" max="9990" width="47.5" style="3126" customWidth="1"/>
    <col min="9991" max="9991" width="13" style="3126" customWidth="1"/>
    <col min="9992" max="9993" width="8.875" style="3126"/>
    <col min="9994" max="9994" width="5.75" style="3126" customWidth="1"/>
    <col min="9995" max="9995" width="11.75" style="3126" customWidth="1"/>
    <col min="9996" max="9997" width="10.75" style="3126" customWidth="1"/>
    <col min="9998" max="9998" width="10" style="3126" customWidth="1"/>
    <col min="9999" max="10000" width="10.5" style="3126" bestFit="1" customWidth="1"/>
    <col min="10001" max="10001" width="10" style="3126" customWidth="1"/>
    <col min="10002" max="10002" width="10.125" style="3126" customWidth="1"/>
    <col min="10003" max="10003" width="10" style="3126" customWidth="1"/>
    <col min="10004" max="10004" width="26.125" style="3126" customWidth="1"/>
    <col min="10005" max="10240" width="8.875" style="3126"/>
    <col min="10241" max="10241" width="9.5" style="3126" customWidth="1"/>
    <col min="10242" max="10242" width="8.875" style="3126"/>
    <col min="10243" max="10245" width="12.875" style="3126" customWidth="1"/>
    <col min="10246" max="10246" width="47.5" style="3126" customWidth="1"/>
    <col min="10247" max="10247" width="13" style="3126" customWidth="1"/>
    <col min="10248" max="10249" width="8.875" style="3126"/>
    <col min="10250" max="10250" width="5.75" style="3126" customWidth="1"/>
    <col min="10251" max="10251" width="11.75" style="3126" customWidth="1"/>
    <col min="10252" max="10253" width="10.75" style="3126" customWidth="1"/>
    <col min="10254" max="10254" width="10" style="3126" customWidth="1"/>
    <col min="10255" max="10256" width="10.5" style="3126" bestFit="1" customWidth="1"/>
    <col min="10257" max="10257" width="10" style="3126" customWidth="1"/>
    <col min="10258" max="10258" width="10.125" style="3126" customWidth="1"/>
    <col min="10259" max="10259" width="10" style="3126" customWidth="1"/>
    <col min="10260" max="10260" width="26.125" style="3126" customWidth="1"/>
    <col min="10261" max="10496" width="8.875" style="3126"/>
    <col min="10497" max="10497" width="9.5" style="3126" customWidth="1"/>
    <col min="10498" max="10498" width="8.875" style="3126"/>
    <col min="10499" max="10501" width="12.875" style="3126" customWidth="1"/>
    <col min="10502" max="10502" width="47.5" style="3126" customWidth="1"/>
    <col min="10503" max="10503" width="13" style="3126" customWidth="1"/>
    <col min="10504" max="10505" width="8.875" style="3126"/>
    <col min="10506" max="10506" width="5.75" style="3126" customWidth="1"/>
    <col min="10507" max="10507" width="11.75" style="3126" customWidth="1"/>
    <col min="10508" max="10509" width="10.75" style="3126" customWidth="1"/>
    <col min="10510" max="10510" width="10" style="3126" customWidth="1"/>
    <col min="10511" max="10512" width="10.5" style="3126" bestFit="1" customWidth="1"/>
    <col min="10513" max="10513" width="10" style="3126" customWidth="1"/>
    <col min="10514" max="10514" width="10.125" style="3126" customWidth="1"/>
    <col min="10515" max="10515" width="10" style="3126" customWidth="1"/>
    <col min="10516" max="10516" width="26.125" style="3126" customWidth="1"/>
    <col min="10517" max="10752" width="8.875" style="3126"/>
    <col min="10753" max="10753" width="9.5" style="3126" customWidth="1"/>
    <col min="10754" max="10754" width="8.875" style="3126"/>
    <col min="10755" max="10757" width="12.875" style="3126" customWidth="1"/>
    <col min="10758" max="10758" width="47.5" style="3126" customWidth="1"/>
    <col min="10759" max="10759" width="13" style="3126" customWidth="1"/>
    <col min="10760" max="10761" width="8.875" style="3126"/>
    <col min="10762" max="10762" width="5.75" style="3126" customWidth="1"/>
    <col min="10763" max="10763" width="11.75" style="3126" customWidth="1"/>
    <col min="10764" max="10765" width="10.75" style="3126" customWidth="1"/>
    <col min="10766" max="10766" width="10" style="3126" customWidth="1"/>
    <col min="10767" max="10768" width="10.5" style="3126" bestFit="1" customWidth="1"/>
    <col min="10769" max="10769" width="10" style="3126" customWidth="1"/>
    <col min="10770" max="10770" width="10.125" style="3126" customWidth="1"/>
    <col min="10771" max="10771" width="10" style="3126" customWidth="1"/>
    <col min="10772" max="10772" width="26.125" style="3126" customWidth="1"/>
    <col min="10773" max="11008" width="8.875" style="3126"/>
    <col min="11009" max="11009" width="9.5" style="3126" customWidth="1"/>
    <col min="11010" max="11010" width="8.875" style="3126"/>
    <col min="11011" max="11013" width="12.875" style="3126" customWidth="1"/>
    <col min="11014" max="11014" width="47.5" style="3126" customWidth="1"/>
    <col min="11015" max="11015" width="13" style="3126" customWidth="1"/>
    <col min="11016" max="11017" width="8.875" style="3126"/>
    <col min="11018" max="11018" width="5.75" style="3126" customWidth="1"/>
    <col min="11019" max="11019" width="11.75" style="3126" customWidth="1"/>
    <col min="11020" max="11021" width="10.75" style="3126" customWidth="1"/>
    <col min="11022" max="11022" width="10" style="3126" customWidth="1"/>
    <col min="11023" max="11024" width="10.5" style="3126" bestFit="1" customWidth="1"/>
    <col min="11025" max="11025" width="10" style="3126" customWidth="1"/>
    <col min="11026" max="11026" width="10.125" style="3126" customWidth="1"/>
    <col min="11027" max="11027" width="10" style="3126" customWidth="1"/>
    <col min="11028" max="11028" width="26.125" style="3126" customWidth="1"/>
    <col min="11029" max="11264" width="8.875" style="3126"/>
    <col min="11265" max="11265" width="9.5" style="3126" customWidth="1"/>
    <col min="11266" max="11266" width="8.875" style="3126"/>
    <col min="11267" max="11269" width="12.875" style="3126" customWidth="1"/>
    <col min="11270" max="11270" width="47.5" style="3126" customWidth="1"/>
    <col min="11271" max="11271" width="13" style="3126" customWidth="1"/>
    <col min="11272" max="11273" width="8.875" style="3126"/>
    <col min="11274" max="11274" width="5.75" style="3126" customWidth="1"/>
    <col min="11275" max="11275" width="11.75" style="3126" customWidth="1"/>
    <col min="11276" max="11277" width="10.75" style="3126" customWidth="1"/>
    <col min="11278" max="11278" width="10" style="3126" customWidth="1"/>
    <col min="11279" max="11280" width="10.5" style="3126" bestFit="1" customWidth="1"/>
    <col min="11281" max="11281" width="10" style="3126" customWidth="1"/>
    <col min="11282" max="11282" width="10.125" style="3126" customWidth="1"/>
    <col min="11283" max="11283" width="10" style="3126" customWidth="1"/>
    <col min="11284" max="11284" width="26.125" style="3126" customWidth="1"/>
    <col min="11285" max="11520" width="8.875" style="3126"/>
    <col min="11521" max="11521" width="9.5" style="3126" customWidth="1"/>
    <col min="11522" max="11522" width="8.875" style="3126"/>
    <col min="11523" max="11525" width="12.875" style="3126" customWidth="1"/>
    <col min="11526" max="11526" width="47.5" style="3126" customWidth="1"/>
    <col min="11527" max="11527" width="13" style="3126" customWidth="1"/>
    <col min="11528" max="11529" width="8.875" style="3126"/>
    <col min="11530" max="11530" width="5.75" style="3126" customWidth="1"/>
    <col min="11531" max="11531" width="11.75" style="3126" customWidth="1"/>
    <col min="11532" max="11533" width="10.75" style="3126" customWidth="1"/>
    <col min="11534" max="11534" width="10" style="3126" customWidth="1"/>
    <col min="11535" max="11536" width="10.5" style="3126" bestFit="1" customWidth="1"/>
    <col min="11537" max="11537" width="10" style="3126" customWidth="1"/>
    <col min="11538" max="11538" width="10.125" style="3126" customWidth="1"/>
    <col min="11539" max="11539" width="10" style="3126" customWidth="1"/>
    <col min="11540" max="11540" width="26.125" style="3126" customWidth="1"/>
    <col min="11541" max="11776" width="8.875" style="3126"/>
    <col min="11777" max="11777" width="9.5" style="3126" customWidth="1"/>
    <col min="11778" max="11778" width="8.875" style="3126"/>
    <col min="11779" max="11781" width="12.875" style="3126" customWidth="1"/>
    <col min="11782" max="11782" width="47.5" style="3126" customWidth="1"/>
    <col min="11783" max="11783" width="13" style="3126" customWidth="1"/>
    <col min="11784" max="11785" width="8.875" style="3126"/>
    <col min="11786" max="11786" width="5.75" style="3126" customWidth="1"/>
    <col min="11787" max="11787" width="11.75" style="3126" customWidth="1"/>
    <col min="11788" max="11789" width="10.75" style="3126" customWidth="1"/>
    <col min="11790" max="11790" width="10" style="3126" customWidth="1"/>
    <col min="11791" max="11792" width="10.5" style="3126" bestFit="1" customWidth="1"/>
    <col min="11793" max="11793" width="10" style="3126" customWidth="1"/>
    <col min="11794" max="11794" width="10.125" style="3126" customWidth="1"/>
    <col min="11795" max="11795" width="10" style="3126" customWidth="1"/>
    <col min="11796" max="11796" width="26.125" style="3126" customWidth="1"/>
    <col min="11797" max="12032" width="8.875" style="3126"/>
    <col min="12033" max="12033" width="9.5" style="3126" customWidth="1"/>
    <col min="12034" max="12034" width="8.875" style="3126"/>
    <col min="12035" max="12037" width="12.875" style="3126" customWidth="1"/>
    <col min="12038" max="12038" width="47.5" style="3126" customWidth="1"/>
    <col min="12039" max="12039" width="13" style="3126" customWidth="1"/>
    <col min="12040" max="12041" width="8.875" style="3126"/>
    <col min="12042" max="12042" width="5.75" style="3126" customWidth="1"/>
    <col min="12043" max="12043" width="11.75" style="3126" customWidth="1"/>
    <col min="12044" max="12045" width="10.75" style="3126" customWidth="1"/>
    <col min="12046" max="12046" width="10" style="3126" customWidth="1"/>
    <col min="12047" max="12048" width="10.5" style="3126" bestFit="1" customWidth="1"/>
    <col min="12049" max="12049" width="10" style="3126" customWidth="1"/>
    <col min="12050" max="12050" width="10.125" style="3126" customWidth="1"/>
    <col min="12051" max="12051" width="10" style="3126" customWidth="1"/>
    <col min="12052" max="12052" width="26.125" style="3126" customWidth="1"/>
    <col min="12053" max="12288" width="8.875" style="3126"/>
    <col min="12289" max="12289" width="9.5" style="3126" customWidth="1"/>
    <col min="12290" max="12290" width="8.875" style="3126"/>
    <col min="12291" max="12293" width="12.875" style="3126" customWidth="1"/>
    <col min="12294" max="12294" width="47.5" style="3126" customWidth="1"/>
    <col min="12295" max="12295" width="13" style="3126" customWidth="1"/>
    <col min="12296" max="12297" width="8.875" style="3126"/>
    <col min="12298" max="12298" width="5.75" style="3126" customWidth="1"/>
    <col min="12299" max="12299" width="11.75" style="3126" customWidth="1"/>
    <col min="12300" max="12301" width="10.75" style="3126" customWidth="1"/>
    <col min="12302" max="12302" width="10" style="3126" customWidth="1"/>
    <col min="12303" max="12304" width="10.5" style="3126" bestFit="1" customWidth="1"/>
    <col min="12305" max="12305" width="10" style="3126" customWidth="1"/>
    <col min="12306" max="12306" width="10.125" style="3126" customWidth="1"/>
    <col min="12307" max="12307" width="10" style="3126" customWidth="1"/>
    <col min="12308" max="12308" width="26.125" style="3126" customWidth="1"/>
    <col min="12309" max="12544" width="8.875" style="3126"/>
    <col min="12545" max="12545" width="9.5" style="3126" customWidth="1"/>
    <col min="12546" max="12546" width="8.875" style="3126"/>
    <col min="12547" max="12549" width="12.875" style="3126" customWidth="1"/>
    <col min="12550" max="12550" width="47.5" style="3126" customWidth="1"/>
    <col min="12551" max="12551" width="13" style="3126" customWidth="1"/>
    <col min="12552" max="12553" width="8.875" style="3126"/>
    <col min="12554" max="12554" width="5.75" style="3126" customWidth="1"/>
    <col min="12555" max="12555" width="11.75" style="3126" customWidth="1"/>
    <col min="12556" max="12557" width="10.75" style="3126" customWidth="1"/>
    <col min="12558" max="12558" width="10" style="3126" customWidth="1"/>
    <col min="12559" max="12560" width="10.5" style="3126" bestFit="1" customWidth="1"/>
    <col min="12561" max="12561" width="10" style="3126" customWidth="1"/>
    <col min="12562" max="12562" width="10.125" style="3126" customWidth="1"/>
    <col min="12563" max="12563" width="10" style="3126" customWidth="1"/>
    <col min="12564" max="12564" width="26.125" style="3126" customWidth="1"/>
    <col min="12565" max="12800" width="8.875" style="3126"/>
    <col min="12801" max="12801" width="9.5" style="3126" customWidth="1"/>
    <col min="12802" max="12802" width="8.875" style="3126"/>
    <col min="12803" max="12805" width="12.875" style="3126" customWidth="1"/>
    <col min="12806" max="12806" width="47.5" style="3126" customWidth="1"/>
    <col min="12807" max="12807" width="13" style="3126" customWidth="1"/>
    <col min="12808" max="12809" width="8.875" style="3126"/>
    <col min="12810" max="12810" width="5.75" style="3126" customWidth="1"/>
    <col min="12811" max="12811" width="11.75" style="3126" customWidth="1"/>
    <col min="12812" max="12813" width="10.75" style="3126" customWidth="1"/>
    <col min="12814" max="12814" width="10" style="3126" customWidth="1"/>
    <col min="12815" max="12816" width="10.5" style="3126" bestFit="1" customWidth="1"/>
    <col min="12817" max="12817" width="10" style="3126" customWidth="1"/>
    <col min="12818" max="12818" width="10.125" style="3126" customWidth="1"/>
    <col min="12819" max="12819" width="10" style="3126" customWidth="1"/>
    <col min="12820" max="12820" width="26.125" style="3126" customWidth="1"/>
    <col min="12821" max="13056" width="8.875" style="3126"/>
    <col min="13057" max="13057" width="9.5" style="3126" customWidth="1"/>
    <col min="13058" max="13058" width="8.875" style="3126"/>
    <col min="13059" max="13061" width="12.875" style="3126" customWidth="1"/>
    <col min="13062" max="13062" width="47.5" style="3126" customWidth="1"/>
    <col min="13063" max="13063" width="13" style="3126" customWidth="1"/>
    <col min="13064" max="13065" width="8.875" style="3126"/>
    <col min="13066" max="13066" width="5.75" style="3126" customWidth="1"/>
    <col min="13067" max="13067" width="11.75" style="3126" customWidth="1"/>
    <col min="13068" max="13069" width="10.75" style="3126" customWidth="1"/>
    <col min="13070" max="13070" width="10" style="3126" customWidth="1"/>
    <col min="13071" max="13072" width="10.5" style="3126" bestFit="1" customWidth="1"/>
    <col min="13073" max="13073" width="10" style="3126" customWidth="1"/>
    <col min="13074" max="13074" width="10.125" style="3126" customWidth="1"/>
    <col min="13075" max="13075" width="10" style="3126" customWidth="1"/>
    <col min="13076" max="13076" width="26.125" style="3126" customWidth="1"/>
    <col min="13077" max="13312" width="8.875" style="3126"/>
    <col min="13313" max="13313" width="9.5" style="3126" customWidth="1"/>
    <col min="13314" max="13314" width="8.875" style="3126"/>
    <col min="13315" max="13317" width="12.875" style="3126" customWidth="1"/>
    <col min="13318" max="13318" width="47.5" style="3126" customWidth="1"/>
    <col min="13319" max="13319" width="13" style="3126" customWidth="1"/>
    <col min="13320" max="13321" width="8.875" style="3126"/>
    <col min="13322" max="13322" width="5.75" style="3126" customWidth="1"/>
    <col min="13323" max="13323" width="11.75" style="3126" customWidth="1"/>
    <col min="13324" max="13325" width="10.75" style="3126" customWidth="1"/>
    <col min="13326" max="13326" width="10" style="3126" customWidth="1"/>
    <col min="13327" max="13328" width="10.5" style="3126" bestFit="1" customWidth="1"/>
    <col min="13329" max="13329" width="10" style="3126" customWidth="1"/>
    <col min="13330" max="13330" width="10.125" style="3126" customWidth="1"/>
    <col min="13331" max="13331" width="10" style="3126" customWidth="1"/>
    <col min="13332" max="13332" width="26.125" style="3126" customWidth="1"/>
    <col min="13333" max="13568" width="8.875" style="3126"/>
    <col min="13569" max="13569" width="9.5" style="3126" customWidth="1"/>
    <col min="13570" max="13570" width="8.875" style="3126"/>
    <col min="13571" max="13573" width="12.875" style="3126" customWidth="1"/>
    <col min="13574" max="13574" width="47.5" style="3126" customWidth="1"/>
    <col min="13575" max="13575" width="13" style="3126" customWidth="1"/>
    <col min="13576" max="13577" width="8.875" style="3126"/>
    <col min="13578" max="13578" width="5.75" style="3126" customWidth="1"/>
    <col min="13579" max="13579" width="11.75" style="3126" customWidth="1"/>
    <col min="13580" max="13581" width="10.75" style="3126" customWidth="1"/>
    <col min="13582" max="13582" width="10" style="3126" customWidth="1"/>
    <col min="13583" max="13584" width="10.5" style="3126" bestFit="1" customWidth="1"/>
    <col min="13585" max="13585" width="10" style="3126" customWidth="1"/>
    <col min="13586" max="13586" width="10.125" style="3126" customWidth="1"/>
    <col min="13587" max="13587" width="10" style="3126" customWidth="1"/>
    <col min="13588" max="13588" width="26.125" style="3126" customWidth="1"/>
    <col min="13589" max="13824" width="8.875" style="3126"/>
    <col min="13825" max="13825" width="9.5" style="3126" customWidth="1"/>
    <col min="13826" max="13826" width="8.875" style="3126"/>
    <col min="13827" max="13829" width="12.875" style="3126" customWidth="1"/>
    <col min="13830" max="13830" width="47.5" style="3126" customWidth="1"/>
    <col min="13831" max="13831" width="13" style="3126" customWidth="1"/>
    <col min="13832" max="13833" width="8.875" style="3126"/>
    <col min="13834" max="13834" width="5.75" style="3126" customWidth="1"/>
    <col min="13835" max="13835" width="11.75" style="3126" customWidth="1"/>
    <col min="13836" max="13837" width="10.75" style="3126" customWidth="1"/>
    <col min="13838" max="13838" width="10" style="3126" customWidth="1"/>
    <col min="13839" max="13840" width="10.5" style="3126" bestFit="1" customWidth="1"/>
    <col min="13841" max="13841" width="10" style="3126" customWidth="1"/>
    <col min="13842" max="13842" width="10.125" style="3126" customWidth="1"/>
    <col min="13843" max="13843" width="10" style="3126" customWidth="1"/>
    <col min="13844" max="13844" width="26.125" style="3126" customWidth="1"/>
    <col min="13845" max="14080" width="8.875" style="3126"/>
    <col min="14081" max="14081" width="9.5" style="3126" customWidth="1"/>
    <col min="14082" max="14082" width="8.875" style="3126"/>
    <col min="14083" max="14085" width="12.875" style="3126" customWidth="1"/>
    <col min="14086" max="14086" width="47.5" style="3126" customWidth="1"/>
    <col min="14087" max="14087" width="13" style="3126" customWidth="1"/>
    <col min="14088" max="14089" width="8.875" style="3126"/>
    <col min="14090" max="14090" width="5.75" style="3126" customWidth="1"/>
    <col min="14091" max="14091" width="11.75" style="3126" customWidth="1"/>
    <col min="14092" max="14093" width="10.75" style="3126" customWidth="1"/>
    <col min="14094" max="14094" width="10" style="3126" customWidth="1"/>
    <col min="14095" max="14096" width="10.5" style="3126" bestFit="1" customWidth="1"/>
    <col min="14097" max="14097" width="10" style="3126" customWidth="1"/>
    <col min="14098" max="14098" width="10.125" style="3126" customWidth="1"/>
    <col min="14099" max="14099" width="10" style="3126" customWidth="1"/>
    <col min="14100" max="14100" width="26.125" style="3126" customWidth="1"/>
    <col min="14101" max="14336" width="8.875" style="3126"/>
    <col min="14337" max="14337" width="9.5" style="3126" customWidth="1"/>
    <col min="14338" max="14338" width="8.875" style="3126"/>
    <col min="14339" max="14341" width="12.875" style="3126" customWidth="1"/>
    <col min="14342" max="14342" width="47.5" style="3126" customWidth="1"/>
    <col min="14343" max="14343" width="13" style="3126" customWidth="1"/>
    <col min="14344" max="14345" width="8.875" style="3126"/>
    <col min="14346" max="14346" width="5.75" style="3126" customWidth="1"/>
    <col min="14347" max="14347" width="11.75" style="3126" customWidth="1"/>
    <col min="14348" max="14349" width="10.75" style="3126" customWidth="1"/>
    <col min="14350" max="14350" width="10" style="3126" customWidth="1"/>
    <col min="14351" max="14352" width="10.5" style="3126" bestFit="1" customWidth="1"/>
    <col min="14353" max="14353" width="10" style="3126" customWidth="1"/>
    <col min="14354" max="14354" width="10.125" style="3126" customWidth="1"/>
    <col min="14355" max="14355" width="10" style="3126" customWidth="1"/>
    <col min="14356" max="14356" width="26.125" style="3126" customWidth="1"/>
    <col min="14357" max="14592" width="8.875" style="3126"/>
    <col min="14593" max="14593" width="9.5" style="3126" customWidth="1"/>
    <col min="14594" max="14594" width="8.875" style="3126"/>
    <col min="14595" max="14597" width="12.875" style="3126" customWidth="1"/>
    <col min="14598" max="14598" width="47.5" style="3126" customWidth="1"/>
    <col min="14599" max="14599" width="13" style="3126" customWidth="1"/>
    <col min="14600" max="14601" width="8.875" style="3126"/>
    <col min="14602" max="14602" width="5.75" style="3126" customWidth="1"/>
    <col min="14603" max="14603" width="11.75" style="3126" customWidth="1"/>
    <col min="14604" max="14605" width="10.75" style="3126" customWidth="1"/>
    <col min="14606" max="14606" width="10" style="3126" customWidth="1"/>
    <col min="14607" max="14608" width="10.5" style="3126" bestFit="1" customWidth="1"/>
    <col min="14609" max="14609" width="10" style="3126" customWidth="1"/>
    <col min="14610" max="14610" width="10.125" style="3126" customWidth="1"/>
    <col min="14611" max="14611" width="10" style="3126" customWidth="1"/>
    <col min="14612" max="14612" width="26.125" style="3126" customWidth="1"/>
    <col min="14613" max="14848" width="8.875" style="3126"/>
    <col min="14849" max="14849" width="9.5" style="3126" customWidth="1"/>
    <col min="14850" max="14850" width="8.875" style="3126"/>
    <col min="14851" max="14853" width="12.875" style="3126" customWidth="1"/>
    <col min="14854" max="14854" width="47.5" style="3126" customWidth="1"/>
    <col min="14855" max="14855" width="13" style="3126" customWidth="1"/>
    <col min="14856" max="14857" width="8.875" style="3126"/>
    <col min="14858" max="14858" width="5.75" style="3126" customWidth="1"/>
    <col min="14859" max="14859" width="11.75" style="3126" customWidth="1"/>
    <col min="14860" max="14861" width="10.75" style="3126" customWidth="1"/>
    <col min="14862" max="14862" width="10" style="3126" customWidth="1"/>
    <col min="14863" max="14864" width="10.5" style="3126" bestFit="1" customWidth="1"/>
    <col min="14865" max="14865" width="10" style="3126" customWidth="1"/>
    <col min="14866" max="14866" width="10.125" style="3126" customWidth="1"/>
    <col min="14867" max="14867" width="10" style="3126" customWidth="1"/>
    <col min="14868" max="14868" width="26.125" style="3126" customWidth="1"/>
    <col min="14869" max="15104" width="8.875" style="3126"/>
    <col min="15105" max="15105" width="9.5" style="3126" customWidth="1"/>
    <col min="15106" max="15106" width="8.875" style="3126"/>
    <col min="15107" max="15109" width="12.875" style="3126" customWidth="1"/>
    <col min="15110" max="15110" width="47.5" style="3126" customWidth="1"/>
    <col min="15111" max="15111" width="13" style="3126" customWidth="1"/>
    <col min="15112" max="15113" width="8.875" style="3126"/>
    <col min="15114" max="15114" width="5.75" style="3126" customWidth="1"/>
    <col min="15115" max="15115" width="11.75" style="3126" customWidth="1"/>
    <col min="15116" max="15117" width="10.75" style="3126" customWidth="1"/>
    <col min="15118" max="15118" width="10" style="3126" customWidth="1"/>
    <col min="15119" max="15120" width="10.5" style="3126" bestFit="1" customWidth="1"/>
    <col min="15121" max="15121" width="10" style="3126" customWidth="1"/>
    <col min="15122" max="15122" width="10.125" style="3126" customWidth="1"/>
    <col min="15123" max="15123" width="10" style="3126" customWidth="1"/>
    <col min="15124" max="15124" width="26.125" style="3126" customWidth="1"/>
    <col min="15125" max="15360" width="8.875" style="3126"/>
    <col min="15361" max="15361" width="9.5" style="3126" customWidth="1"/>
    <col min="15362" max="15362" width="8.875" style="3126"/>
    <col min="15363" max="15365" width="12.875" style="3126" customWidth="1"/>
    <col min="15366" max="15366" width="47.5" style="3126" customWidth="1"/>
    <col min="15367" max="15367" width="13" style="3126" customWidth="1"/>
    <col min="15368" max="15369" width="8.875" style="3126"/>
    <col min="15370" max="15370" width="5.75" style="3126" customWidth="1"/>
    <col min="15371" max="15371" width="11.75" style="3126" customWidth="1"/>
    <col min="15372" max="15373" width="10.75" style="3126" customWidth="1"/>
    <col min="15374" max="15374" width="10" style="3126" customWidth="1"/>
    <col min="15375" max="15376" width="10.5" style="3126" bestFit="1" customWidth="1"/>
    <col min="15377" max="15377" width="10" style="3126" customWidth="1"/>
    <col min="15378" max="15378" width="10.125" style="3126" customWidth="1"/>
    <col min="15379" max="15379" width="10" style="3126" customWidth="1"/>
    <col min="15380" max="15380" width="26.125" style="3126" customWidth="1"/>
    <col min="15381" max="15616" width="8.875" style="3126"/>
    <col min="15617" max="15617" width="9.5" style="3126" customWidth="1"/>
    <col min="15618" max="15618" width="8.875" style="3126"/>
    <col min="15619" max="15621" width="12.875" style="3126" customWidth="1"/>
    <col min="15622" max="15622" width="47.5" style="3126" customWidth="1"/>
    <col min="15623" max="15623" width="13" style="3126" customWidth="1"/>
    <col min="15624" max="15625" width="8.875" style="3126"/>
    <col min="15626" max="15626" width="5.75" style="3126" customWidth="1"/>
    <col min="15627" max="15627" width="11.75" style="3126" customWidth="1"/>
    <col min="15628" max="15629" width="10.75" style="3126" customWidth="1"/>
    <col min="15630" max="15630" width="10" style="3126" customWidth="1"/>
    <col min="15631" max="15632" width="10.5" style="3126" bestFit="1" customWidth="1"/>
    <col min="15633" max="15633" width="10" style="3126" customWidth="1"/>
    <col min="15634" max="15634" width="10.125" style="3126" customWidth="1"/>
    <col min="15635" max="15635" width="10" style="3126" customWidth="1"/>
    <col min="15636" max="15636" width="26.125" style="3126" customWidth="1"/>
    <col min="15637" max="15872" width="8.875" style="3126"/>
    <col min="15873" max="15873" width="9.5" style="3126" customWidth="1"/>
    <col min="15874" max="15874" width="8.875" style="3126"/>
    <col min="15875" max="15877" width="12.875" style="3126" customWidth="1"/>
    <col min="15878" max="15878" width="47.5" style="3126" customWidth="1"/>
    <col min="15879" max="15879" width="13" style="3126" customWidth="1"/>
    <col min="15880" max="15881" width="8.875" style="3126"/>
    <col min="15882" max="15882" width="5.75" style="3126" customWidth="1"/>
    <col min="15883" max="15883" width="11.75" style="3126" customWidth="1"/>
    <col min="15884" max="15885" width="10.75" style="3126" customWidth="1"/>
    <col min="15886" max="15886" width="10" style="3126" customWidth="1"/>
    <col min="15887" max="15888" width="10.5" style="3126" bestFit="1" customWidth="1"/>
    <col min="15889" max="15889" width="10" style="3126" customWidth="1"/>
    <col min="15890" max="15890" width="10.125" style="3126" customWidth="1"/>
    <col min="15891" max="15891" width="10" style="3126" customWidth="1"/>
    <col min="15892" max="15892" width="26.125" style="3126" customWidth="1"/>
    <col min="15893" max="16128" width="8.875" style="3126"/>
    <col min="16129" max="16129" width="9.5" style="3126" customWidth="1"/>
    <col min="16130" max="16130" width="8.875" style="3126"/>
    <col min="16131" max="16133" width="12.875" style="3126" customWidth="1"/>
    <col min="16134" max="16134" width="47.5" style="3126" customWidth="1"/>
    <col min="16135" max="16135" width="13" style="3126" customWidth="1"/>
    <col min="16136" max="16137" width="8.875" style="3126"/>
    <col min="16138" max="16138" width="5.75" style="3126" customWidth="1"/>
    <col min="16139" max="16139" width="11.75" style="3126" customWidth="1"/>
    <col min="16140" max="16141" width="10.75" style="3126" customWidth="1"/>
    <col min="16142" max="16142" width="10" style="3126" customWidth="1"/>
    <col min="16143" max="16144" width="10.5" style="3126" bestFit="1" customWidth="1"/>
    <col min="16145" max="16145" width="10" style="3126" customWidth="1"/>
    <col min="16146" max="16146" width="10.125" style="3126" customWidth="1"/>
    <col min="16147" max="16147" width="10" style="3126" customWidth="1"/>
    <col min="16148" max="16148" width="26.125" style="3126" customWidth="1"/>
    <col min="16149" max="16384" width="8.875" style="3126"/>
  </cols>
  <sheetData>
    <row r="1" spans="1:22" ht="21" customHeight="1">
      <c r="A1" s="3119" t="s">
        <v>3427</v>
      </c>
      <c r="B1" s="3120"/>
      <c r="C1" s="3121"/>
      <c r="D1" s="3122"/>
      <c r="E1" s="3123" t="s">
        <v>3428</v>
      </c>
      <c r="F1" s="3124" t="e">
        <f>#REF!</f>
        <v>#REF!</v>
      </c>
      <c r="G1" s="3125"/>
      <c r="J1" s="3128" t="s">
        <v>3429</v>
      </c>
      <c r="K1" s="3129"/>
      <c r="L1" s="3129"/>
      <c r="M1" s="3129"/>
      <c r="N1" s="3129"/>
      <c r="O1" s="3129"/>
      <c r="P1" s="3129"/>
      <c r="Q1" s="3129"/>
      <c r="R1" s="3130"/>
      <c r="S1" s="3131"/>
      <c r="T1" s="3131"/>
      <c r="U1" s="3131"/>
    </row>
    <row r="2" spans="1:22" s="3137" customFormat="1" ht="13.15" customHeight="1">
      <c r="A2" s="1566" t="s">
        <v>3430</v>
      </c>
      <c r="B2" s="3132">
        <f ca="1">C40</f>
        <v>23461</v>
      </c>
      <c r="C2" s="3133" t="s">
        <v>3431</v>
      </c>
      <c r="D2" s="3133"/>
      <c r="E2" s="3134"/>
      <c r="F2" s="3135"/>
      <c r="G2" s="3136"/>
      <c r="I2" s="3138"/>
      <c r="J2" s="3545" t="s">
        <v>3432</v>
      </c>
      <c r="K2" s="3546"/>
      <c r="L2" s="3139" t="s">
        <v>3433</v>
      </c>
      <c r="M2" s="3139" t="s">
        <v>3434</v>
      </c>
      <c r="N2" s="3139" t="s">
        <v>3435</v>
      </c>
      <c r="O2" s="3139" t="s">
        <v>3436</v>
      </c>
      <c r="P2" s="3139" t="s">
        <v>3437</v>
      </c>
      <c r="Q2" s="3140" t="s">
        <v>3438</v>
      </c>
      <c r="R2" s="3141" t="s">
        <v>3439</v>
      </c>
      <c r="S2" s="3131"/>
      <c r="T2" s="3131"/>
      <c r="U2" s="3131"/>
      <c r="V2" s="3138"/>
    </row>
    <row r="3" spans="1:22" s="3137" customFormat="1" ht="13.15" customHeight="1">
      <c r="A3" s="3142" t="s">
        <v>3440</v>
      </c>
      <c r="B3" s="3143">
        <f ca="1">ROUND(B2*10000/B4,0)</f>
        <v>6944</v>
      </c>
      <c r="C3" s="3133" t="s">
        <v>3441</v>
      </c>
      <c r="D3" s="3133"/>
      <c r="E3" s="3134"/>
      <c r="F3" s="3135"/>
      <c r="G3" s="3136"/>
      <c r="I3" s="3138"/>
      <c r="J3" s="3547" t="s">
        <v>3442</v>
      </c>
      <c r="K3" s="3548"/>
      <c r="L3" s="3144"/>
      <c r="M3" s="3144"/>
      <c r="N3" s="3144"/>
      <c r="O3" s="3144"/>
      <c r="P3" s="3144"/>
      <c r="Q3" s="3145"/>
      <c r="R3" s="3146">
        <f>SUM(L3:Q3)</f>
        <v>0</v>
      </c>
      <c r="S3" s="3131"/>
      <c r="T3" s="3131"/>
      <c r="U3" s="3131"/>
      <c r="V3" s="3138"/>
    </row>
    <row r="4" spans="1:22" s="3137" customFormat="1" ht="13.15" customHeight="1">
      <c r="A4" s="3147" t="s">
        <v>3443</v>
      </c>
      <c r="B4" s="3148">
        <f>'数据-基础表'!K13</f>
        <v>33787.39</v>
      </c>
      <c r="C4" s="3133"/>
      <c r="D4" s="3133"/>
      <c r="E4" s="3134"/>
      <c r="F4" s="3135"/>
      <c r="G4" s="3136"/>
      <c r="I4" s="3138"/>
      <c r="J4" s="3547" t="s">
        <v>3444</v>
      </c>
      <c r="K4" s="3548"/>
      <c r="L4" s="3149"/>
      <c r="M4" s="3149"/>
      <c r="N4" s="3149"/>
      <c r="O4" s="3149"/>
      <c r="P4" s="3149"/>
      <c r="Q4" s="3150"/>
      <c r="R4" s="3151">
        <f>SUM(L4:Q4)</f>
        <v>0</v>
      </c>
      <c r="S4" s="3131"/>
      <c r="T4" s="3131"/>
      <c r="U4" s="3131"/>
      <c r="V4" s="3138"/>
    </row>
    <row r="5" spans="1:22" s="3137" customFormat="1" ht="13.15" customHeight="1" thickBot="1">
      <c r="A5" s="3152" t="s">
        <v>3445</v>
      </c>
      <c r="B5" s="3153">
        <f>'数据-汇总表'!D3-'测算过程 -酒店'!B5</f>
        <v>31927.579999999998</v>
      </c>
      <c r="C5" s="3133"/>
      <c r="D5" s="3154"/>
      <c r="E5" s="3135"/>
      <c r="F5" s="3135"/>
      <c r="G5" s="3136"/>
      <c r="I5" s="3138"/>
      <c r="J5" s="3155" t="s">
        <v>3446</v>
      </c>
      <c r="K5" s="3156"/>
      <c r="L5" s="3156"/>
      <c r="M5" s="3157"/>
      <c r="N5" s="3157"/>
      <c r="O5" s="3157"/>
      <c r="P5" s="3157"/>
      <c r="Q5" s="3157"/>
      <c r="R5" s="3141">
        <f>SUM(R14,R19,R24,R25,R27,R28)</f>
        <v>0</v>
      </c>
      <c r="S5" s="3131"/>
      <c r="T5" s="3131" t="s">
        <v>3447</v>
      </c>
      <c r="U5" s="3131" t="e">
        <f>ROUND(R5*10000/365/R3,1)</f>
        <v>#DIV/0!</v>
      </c>
      <c r="V5" s="3138"/>
    </row>
    <row r="6" spans="1:22" s="3137" customFormat="1" ht="13.15" customHeight="1" thickBot="1">
      <c r="A6" s="3553" t="s">
        <v>3448</v>
      </c>
      <c r="B6" s="3554"/>
      <c r="C6" s="3555"/>
      <c r="D6" s="3289">
        <f>ROUND(M65,0)</f>
        <v>4500</v>
      </c>
      <c r="E6" s="3159"/>
      <c r="F6" s="3160"/>
      <c r="G6" s="3161">
        <f>D6*10000/365/B4</f>
        <v>3.6489255675823649</v>
      </c>
      <c r="I6" s="3138"/>
      <c r="J6" s="3539">
        <v>1</v>
      </c>
      <c r="K6" s="3540" t="s">
        <v>3449</v>
      </c>
      <c r="L6" s="3162" t="s">
        <v>3450</v>
      </c>
      <c r="M6" s="3163" t="s">
        <v>3451</v>
      </c>
      <c r="N6" s="3163" t="s">
        <v>3452</v>
      </c>
      <c r="O6" s="3163" t="s">
        <v>3453</v>
      </c>
      <c r="P6" s="3163" t="s">
        <v>3454</v>
      </c>
      <c r="Q6" s="3163" t="s">
        <v>3455</v>
      </c>
      <c r="R6" s="3146" t="s">
        <v>3456</v>
      </c>
      <c r="S6" s="3131"/>
      <c r="T6" s="3131" t="s">
        <v>3457</v>
      </c>
      <c r="U6" s="3131"/>
      <c r="V6" s="3138"/>
    </row>
    <row r="7" spans="1:22" s="3137" customFormat="1" ht="13.15" customHeight="1">
      <c r="A7" s="3164" t="s">
        <v>3458</v>
      </c>
      <c r="B7" s="3165"/>
      <c r="C7" s="3166"/>
      <c r="D7" s="3167">
        <f ca="1">SUM(D9,D10,D11,D17,0)</f>
        <v>3041</v>
      </c>
      <c r="E7" s="3168">
        <f ca="1">E9+E10+E11+E17</f>
        <v>0.6757777777777777</v>
      </c>
      <c r="F7" s="3169"/>
      <c r="G7" s="3170"/>
      <c r="I7" s="3138"/>
      <c r="J7" s="3539"/>
      <c r="K7" s="3541"/>
      <c r="L7" s="3171"/>
      <c r="M7" s="3172"/>
      <c r="N7" s="3148"/>
      <c r="O7" s="3173"/>
      <c r="P7" s="3173"/>
      <c r="Q7" s="3174"/>
      <c r="R7" s="3175">
        <f>ROUND(M7*N7*O7*P7*Q7/10000,0)</f>
        <v>0</v>
      </c>
      <c r="S7" s="3131"/>
      <c r="T7" s="3131" t="s">
        <v>3460</v>
      </c>
      <c r="U7" s="3131"/>
      <c r="V7" s="3138"/>
    </row>
    <row r="8" spans="1:22" s="3137" customFormat="1" ht="13.15" customHeight="1">
      <c r="A8" s="3176" t="s">
        <v>3461</v>
      </c>
      <c r="B8" s="3556" t="s">
        <v>3462</v>
      </c>
      <c r="C8" s="3548"/>
      <c r="D8" s="3177" t="s">
        <v>3463</v>
      </c>
      <c r="E8" s="3178" t="s">
        <v>3464</v>
      </c>
      <c r="F8" s="3141" t="s">
        <v>3465</v>
      </c>
      <c r="G8" s="3179"/>
      <c r="I8" s="3138"/>
      <c r="J8" s="3539"/>
      <c r="K8" s="3541"/>
      <c r="L8" s="3171"/>
      <c r="M8" s="3172"/>
      <c r="N8" s="3148"/>
      <c r="O8" s="3173"/>
      <c r="P8" s="3173"/>
      <c r="Q8" s="3174"/>
      <c r="R8" s="3175">
        <f t="shared" ref="R8:R13" si="0">ROUND(M8*N8*O8*P8*Q8/10000,0)</f>
        <v>0</v>
      </c>
      <c r="S8" s="3131"/>
      <c r="T8" s="3131" t="s">
        <v>3467</v>
      </c>
      <c r="U8" s="3131"/>
      <c r="V8" s="3138"/>
    </row>
    <row r="9" spans="1:22" s="3137" customFormat="1" ht="13.15" customHeight="1">
      <c r="A9" s="3176">
        <v>1</v>
      </c>
      <c r="B9" s="3556" t="s">
        <v>3468</v>
      </c>
      <c r="C9" s="3548"/>
      <c r="D9" s="3177">
        <f>ROUND(D6*E9,0)</f>
        <v>900</v>
      </c>
      <c r="E9" s="3180">
        <v>0.2</v>
      </c>
      <c r="F9" s="3181" t="s">
        <v>3469</v>
      </c>
      <c r="G9" s="3161"/>
      <c r="I9" s="3138"/>
      <c r="J9" s="3539"/>
      <c r="K9" s="3541"/>
      <c r="L9" s="3171"/>
      <c r="M9" s="3172"/>
      <c r="N9" s="3148"/>
      <c r="O9" s="3173"/>
      <c r="P9" s="3173"/>
      <c r="Q9" s="3174"/>
      <c r="R9" s="3175">
        <f t="shared" si="0"/>
        <v>0</v>
      </c>
      <c r="S9" s="3131"/>
      <c r="T9" s="3131"/>
      <c r="U9" s="3131"/>
      <c r="V9" s="3138"/>
    </row>
    <row r="10" spans="1:22" s="3137" customFormat="1" ht="13.15" customHeight="1">
      <c r="A10" s="3176">
        <v>2</v>
      </c>
      <c r="B10" s="3556" t="s">
        <v>3471</v>
      </c>
      <c r="C10" s="3548"/>
      <c r="D10" s="3177">
        <f>ROUND(D6*E10,0)</f>
        <v>1125</v>
      </c>
      <c r="E10" s="3180">
        <v>0.25</v>
      </c>
      <c r="F10" s="3181" t="s">
        <v>3472</v>
      </c>
      <c r="G10" s="3161"/>
      <c r="I10" s="3138"/>
      <c r="J10" s="3539"/>
      <c r="K10" s="3541"/>
      <c r="L10" s="3171"/>
      <c r="M10" s="3172"/>
      <c r="N10" s="3148"/>
      <c r="O10" s="3173"/>
      <c r="P10" s="3173"/>
      <c r="Q10" s="3174"/>
      <c r="R10" s="3175">
        <f t="shared" si="0"/>
        <v>0</v>
      </c>
      <c r="S10" s="3131"/>
      <c r="T10" s="3131"/>
      <c r="U10" s="3131"/>
      <c r="V10" s="3138"/>
    </row>
    <row r="11" spans="1:22" s="3137" customFormat="1" ht="13.15" customHeight="1">
      <c r="A11" s="3176">
        <v>3</v>
      </c>
      <c r="B11" s="3556" t="s">
        <v>3474</v>
      </c>
      <c r="C11" s="3548"/>
      <c r="D11" s="3177">
        <f ca="1">D12+D14+D15+D16</f>
        <v>566</v>
      </c>
      <c r="E11" s="3182">
        <f ca="1">D11/D6</f>
        <v>0.12577777777777777</v>
      </c>
      <c r="F11" s="3141"/>
      <c r="G11" s="3179"/>
      <c r="I11" s="3138"/>
      <c r="J11" s="3539"/>
      <c r="K11" s="3541"/>
      <c r="L11" s="3171"/>
      <c r="M11" s="3172"/>
      <c r="N11" s="3148"/>
      <c r="O11" s="3173"/>
      <c r="P11" s="3173"/>
      <c r="Q11" s="3174"/>
      <c r="R11" s="3175">
        <f t="shared" si="0"/>
        <v>0</v>
      </c>
      <c r="S11" s="3131"/>
      <c r="T11" s="3131"/>
      <c r="U11" s="3131"/>
      <c r="V11" s="3138"/>
    </row>
    <row r="12" spans="1:22" s="3137" customFormat="1" ht="13.15" customHeight="1">
      <c r="A12" s="3183" t="s">
        <v>3476</v>
      </c>
      <c r="B12" s="3549" t="s">
        <v>3477</v>
      </c>
      <c r="C12" s="3550"/>
      <c r="D12" s="3184">
        <f ca="1">ROUND(D13*1.2%*(1-30%),0)</f>
        <v>286</v>
      </c>
      <c r="E12" s="3185">
        <v>1.2E-2</v>
      </c>
      <c r="F12" s="3141" t="s">
        <v>3478</v>
      </c>
      <c r="G12" s="3179"/>
      <c r="I12" s="3138"/>
      <c r="J12" s="3539"/>
      <c r="K12" s="3541"/>
      <c r="L12" s="3171"/>
      <c r="M12" s="3172"/>
      <c r="N12" s="3148"/>
      <c r="O12" s="3173"/>
      <c r="P12" s="3173"/>
      <c r="Q12" s="3174"/>
      <c r="R12" s="3175">
        <f t="shared" si="0"/>
        <v>0</v>
      </c>
      <c r="S12" s="3131"/>
      <c r="T12" s="3131"/>
      <c r="U12" s="3131"/>
      <c r="V12" s="3138"/>
    </row>
    <row r="13" spans="1:22" s="3137" customFormat="1" ht="13.15" customHeight="1">
      <c r="A13" s="3183"/>
      <c r="B13" s="3186"/>
      <c r="C13" s="3187" t="s">
        <v>3480</v>
      </c>
      <c r="D13" s="3188">
        <f ca="1">'收益法-温泉乐园'!C29</f>
        <v>34039</v>
      </c>
      <c r="E13" s="3189"/>
      <c r="F13" s="3141"/>
      <c r="G13" s="3179"/>
      <c r="I13" s="3138"/>
      <c r="J13" s="3539"/>
      <c r="K13" s="3541"/>
      <c r="L13" s="3171"/>
      <c r="M13" s="3172"/>
      <c r="N13" s="3148"/>
      <c r="O13" s="3173"/>
      <c r="P13" s="3173"/>
      <c r="Q13" s="3174"/>
      <c r="R13" s="3175">
        <f t="shared" si="0"/>
        <v>0</v>
      </c>
      <c r="S13" s="3131"/>
      <c r="T13" s="3131"/>
      <c r="U13" s="3131"/>
      <c r="V13" s="3138"/>
    </row>
    <row r="14" spans="1:22" s="3137" customFormat="1" ht="13.15" customHeight="1">
      <c r="A14" s="3183" t="s">
        <v>3482</v>
      </c>
      <c r="B14" s="3549" t="s">
        <v>3483</v>
      </c>
      <c r="C14" s="3550"/>
      <c r="D14" s="3184">
        <f>ROUND(E14*B5/10000,0)</f>
        <v>32</v>
      </c>
      <c r="E14" s="3174">
        <f>'收益法-温泉乐园'!F34</f>
        <v>10</v>
      </c>
      <c r="F14" s="3141" t="s">
        <v>3484</v>
      </c>
      <c r="G14" s="3179"/>
      <c r="I14" s="3138"/>
      <c r="J14" s="3539"/>
      <c r="K14" s="3542"/>
      <c r="L14" s="3190" t="s">
        <v>3485</v>
      </c>
      <c r="M14" s="3191">
        <f>SUM(M7:M13)</f>
        <v>0</v>
      </c>
      <c r="N14" s="3191" t="e">
        <f>ROUND((N7*M7+N8*M8+N9*M9+N10*M10+N11*M11+N12*M12+N13*M13)/M14,0)</f>
        <v>#DIV/0!</v>
      </c>
      <c r="O14" s="3192"/>
      <c r="P14" s="3192"/>
      <c r="Q14" s="3193"/>
      <c r="R14" s="3141">
        <f>SUM(R7:R13)</f>
        <v>0</v>
      </c>
      <c r="S14" s="3131"/>
      <c r="T14" s="3131"/>
      <c r="U14" s="3131"/>
      <c r="V14" s="3138"/>
    </row>
    <row r="15" spans="1:22" s="3137" customFormat="1" ht="13.15" customHeight="1">
      <c r="A15" s="3183" t="s">
        <v>3486</v>
      </c>
      <c r="B15" s="3549" t="s">
        <v>3487</v>
      </c>
      <c r="C15" s="3550"/>
      <c r="D15" s="3184">
        <f>ROUND(D6*E15,0)</f>
        <v>248</v>
      </c>
      <c r="E15" s="3185">
        <v>5.5E-2</v>
      </c>
      <c r="F15" s="3141" t="s">
        <v>3488</v>
      </c>
      <c r="G15" s="3161"/>
      <c r="I15" s="3138"/>
      <c r="J15" s="3539">
        <v>2</v>
      </c>
      <c r="K15" s="3540" t="s">
        <v>3489</v>
      </c>
      <c r="L15" s="3171" t="s">
        <v>3490</v>
      </c>
      <c r="M15" s="3172" t="s">
        <v>3491</v>
      </c>
      <c r="N15" s="3172" t="s">
        <v>3492</v>
      </c>
      <c r="O15" s="3173" t="s">
        <v>3493</v>
      </c>
      <c r="P15" s="3173" t="s">
        <v>3494</v>
      </c>
      <c r="Q15" s="3148" t="s">
        <v>3495</v>
      </c>
      <c r="R15" s="3194" t="s">
        <v>3496</v>
      </c>
      <c r="S15" s="3131"/>
      <c r="T15" s="3131"/>
      <c r="U15" s="3131"/>
      <c r="V15" s="3138"/>
    </row>
    <row r="16" spans="1:22" s="3137" customFormat="1" ht="13.15" customHeight="1">
      <c r="A16" s="3183" t="s">
        <v>3497</v>
      </c>
      <c r="B16" s="3549" t="s">
        <v>3498</v>
      </c>
      <c r="C16" s="3550"/>
      <c r="D16" s="3195">
        <f>D6*E16</f>
        <v>0</v>
      </c>
      <c r="E16" s="3196"/>
      <c r="F16" s="3181" t="s">
        <v>3499</v>
      </c>
      <c r="G16" s="3161"/>
      <c r="I16" s="3138"/>
      <c r="J16" s="3539"/>
      <c r="K16" s="3541"/>
      <c r="L16" s="3171"/>
      <c r="M16" s="3172"/>
      <c r="N16" s="3172"/>
      <c r="O16" s="3173"/>
      <c r="P16" s="3174"/>
      <c r="Q16" s="3148"/>
      <c r="R16" s="3194">
        <f>ROUND(M16*N16*O16*P16/10000,0)</f>
        <v>0</v>
      </c>
      <c r="S16" s="3131"/>
      <c r="T16" s="3131"/>
      <c r="U16" s="3131"/>
      <c r="V16" s="3138"/>
    </row>
    <row r="17" spans="1:22" s="3137" customFormat="1" ht="13.15" customHeight="1" thickBot="1">
      <c r="A17" s="3197">
        <v>4</v>
      </c>
      <c r="B17" s="3551" t="s">
        <v>3501</v>
      </c>
      <c r="C17" s="3552"/>
      <c r="D17" s="3198">
        <f>ROUND(D6*E17,0)</f>
        <v>450</v>
      </c>
      <c r="E17" s="3199">
        <v>0.1</v>
      </c>
      <c r="F17" s="3200" t="s">
        <v>3502</v>
      </c>
      <c r="G17" s="3161"/>
      <c r="I17" s="3138"/>
      <c r="J17" s="3539"/>
      <c r="K17" s="3541"/>
      <c r="L17" s="3171"/>
      <c r="M17" s="3172"/>
      <c r="N17" s="3172"/>
      <c r="O17" s="3173"/>
      <c r="P17" s="3174"/>
      <c r="Q17" s="3148"/>
      <c r="R17" s="3194">
        <f>ROUND(M17*N17*O17*P17/10000,0)</f>
        <v>0</v>
      </c>
      <c r="S17" s="3131"/>
      <c r="T17" s="3131"/>
      <c r="U17" s="3131"/>
      <c r="V17" s="3138"/>
    </row>
    <row r="18" spans="1:22" s="3137" customFormat="1" ht="13.15" customHeight="1" thickBot="1">
      <c r="A18" s="3164" t="s">
        <v>3504</v>
      </c>
      <c r="B18" s="3165"/>
      <c r="C18" s="3165"/>
      <c r="D18" s="3201">
        <f>ROUND(D6*E18,0)</f>
        <v>225</v>
      </c>
      <c r="E18" s="3202">
        <v>0.05</v>
      </c>
      <c r="F18" s="3203" t="s">
        <v>3505</v>
      </c>
      <c r="G18" s="3161"/>
      <c r="I18" s="3138"/>
      <c r="J18" s="3539"/>
      <c r="K18" s="3541"/>
      <c r="L18" s="3171"/>
      <c r="M18" s="3172"/>
      <c r="N18" s="3172"/>
      <c r="O18" s="3173"/>
      <c r="P18" s="3174"/>
      <c r="Q18" s="3148"/>
      <c r="R18" s="3194">
        <f>ROUND(M18*N18*O18*P18/10000,0)</f>
        <v>0</v>
      </c>
      <c r="S18" s="3131"/>
      <c r="T18" s="3131"/>
      <c r="U18" s="3131"/>
      <c r="V18" s="3138"/>
    </row>
    <row r="19" spans="1:22" s="3137" customFormat="1" ht="13.15" customHeight="1" thickBot="1">
      <c r="A19" s="3204" t="s">
        <v>3507</v>
      </c>
      <c r="B19" s="3159"/>
      <c r="C19" s="3159"/>
      <c r="D19" s="3159"/>
      <c r="E19" s="3159"/>
      <c r="F19" s="3160"/>
      <c r="G19" s="3179"/>
      <c r="I19" s="3138"/>
      <c r="J19" s="3539"/>
      <c r="K19" s="3542"/>
      <c r="L19" s="3190" t="s">
        <v>3485</v>
      </c>
      <c r="M19" s="3191"/>
      <c r="N19" s="3191">
        <f>SUM(N16:N18)</f>
        <v>0</v>
      </c>
      <c r="O19" s="3192"/>
      <c r="P19" s="3205" t="s">
        <v>3508</v>
      </c>
      <c r="Q19" s="3173"/>
      <c r="R19" s="3206">
        <f>ROUND(IF(P19="按比例",R14*Q19,SUM(R16:R18)),0)</f>
        <v>0</v>
      </c>
      <c r="S19" s="3131"/>
      <c r="T19" s="3131"/>
      <c r="U19" s="3131"/>
      <c r="V19" s="3138"/>
    </row>
    <row r="20" spans="1:22" s="3137" customFormat="1" ht="13.15" customHeight="1">
      <c r="A20" s="3164"/>
      <c r="B20" s="3165"/>
      <c r="C20" s="3165"/>
      <c r="D20" s="3165"/>
      <c r="E20" s="3165"/>
      <c r="F20" s="3207"/>
      <c r="G20" s="3179"/>
      <c r="I20" s="3138"/>
      <c r="J20" s="3539">
        <v>3</v>
      </c>
      <c r="K20" s="3540" t="s">
        <v>3509</v>
      </c>
      <c r="L20" s="3171" t="s">
        <v>3510</v>
      </c>
      <c r="M20" s="3172" t="s">
        <v>3511</v>
      </c>
      <c r="N20" s="3208" t="s">
        <v>3512</v>
      </c>
      <c r="O20" s="3173" t="s">
        <v>3513</v>
      </c>
      <c r="P20" s="3174" t="s">
        <v>3514</v>
      </c>
      <c r="Q20" s="3148" t="s">
        <v>3515</v>
      </c>
      <c r="R20" s="3194" t="s">
        <v>3516</v>
      </c>
      <c r="S20" s="3209"/>
      <c r="T20" s="3209"/>
      <c r="U20" s="3209"/>
      <c r="V20" s="3138"/>
    </row>
    <row r="21" spans="1:22" s="3137" customFormat="1" ht="13.15" customHeight="1">
      <c r="A21" s="3164"/>
      <c r="B21" s="3165"/>
      <c r="C21" s="3210" t="s">
        <v>3517</v>
      </c>
      <c r="D21" s="3211" t="s">
        <v>3518</v>
      </c>
      <c r="E21" s="3212" t="s">
        <v>3519</v>
      </c>
      <c r="F21" s="3207"/>
      <c r="G21" s="3179"/>
      <c r="I21" s="3138"/>
      <c r="J21" s="3539"/>
      <c r="K21" s="3541"/>
      <c r="L21" s="3171"/>
      <c r="M21" s="3172"/>
      <c r="N21" s="3172"/>
      <c r="O21" s="3173"/>
      <c r="P21" s="3174"/>
      <c r="Q21" s="3148"/>
      <c r="R21" s="3213">
        <f>ROUND(M21*N21*O21*P21/10000,0)</f>
        <v>0</v>
      </c>
      <c r="S21" s="3209"/>
      <c r="T21" s="3209"/>
      <c r="U21" s="3209"/>
      <c r="V21" s="3138"/>
    </row>
    <row r="22" spans="1:22" s="3137" customFormat="1" ht="13.15" customHeight="1">
      <c r="A22" s="3164"/>
      <c r="B22" s="3165"/>
      <c r="C22" s="3214" t="s">
        <v>3521</v>
      </c>
      <c r="D22" s="3215" t="s">
        <v>3522</v>
      </c>
      <c r="E22" s="3216" t="s">
        <v>3523</v>
      </c>
      <c r="F22" s="3207"/>
      <c r="G22" s="3217"/>
      <c r="I22" s="3138"/>
      <c r="J22" s="3539"/>
      <c r="K22" s="3541"/>
      <c r="L22" s="3171"/>
      <c r="M22" s="3172"/>
      <c r="N22" s="3172"/>
      <c r="O22" s="3173"/>
      <c r="P22" s="3174"/>
      <c r="Q22" s="3148"/>
      <c r="R22" s="3213">
        <f>ROUND(M22*N22*O22*P22/10000,0)</f>
        <v>0</v>
      </c>
      <c r="S22" s="3209"/>
      <c r="T22" s="3209"/>
      <c r="U22" s="3209"/>
      <c r="V22" s="3138"/>
    </row>
    <row r="23" spans="1:22" s="3137" customFormat="1" ht="13.15" customHeight="1">
      <c r="A23" s="3218">
        <v>1</v>
      </c>
      <c r="B23" s="3163" t="s">
        <v>3525</v>
      </c>
      <c r="C23" s="3219">
        <f>D6</f>
        <v>4500</v>
      </c>
      <c r="D23" s="3220">
        <f>C23*(1+D24)</f>
        <v>4500</v>
      </c>
      <c r="E23" s="3221">
        <f>D23*(1+E24)</f>
        <v>4500</v>
      </c>
      <c r="F23" s="3222"/>
      <c r="G23" s="3223"/>
      <c r="I23" s="3138"/>
      <c r="J23" s="3539"/>
      <c r="K23" s="3541"/>
      <c r="L23" s="3171"/>
      <c r="M23" s="3172"/>
      <c r="N23" s="3172"/>
      <c r="O23" s="3173"/>
      <c r="P23" s="3174"/>
      <c r="Q23" s="3148"/>
      <c r="R23" s="3213">
        <f>ROUND(M23*N23*O23*P23/10000,0)</f>
        <v>0</v>
      </c>
      <c r="S23" s="3131"/>
      <c r="T23" s="3131"/>
      <c r="U23" s="3131"/>
      <c r="V23" s="3138"/>
    </row>
    <row r="24" spans="1:22" s="3137" customFormat="1" ht="13.15" customHeight="1">
      <c r="A24" s="3224"/>
      <c r="B24" s="3225" t="s">
        <v>3527</v>
      </c>
      <c r="C24" s="3226"/>
      <c r="D24" s="3227"/>
      <c r="E24" s="3228"/>
      <c r="F24" s="3229"/>
      <c r="G24" s="3223"/>
      <c r="I24" s="3138"/>
      <c r="J24" s="3539"/>
      <c r="K24" s="3542"/>
      <c r="L24" s="3190" t="s">
        <v>3528</v>
      </c>
      <c r="M24" s="3191">
        <f>SUM(M21:M23)</f>
        <v>0</v>
      </c>
      <c r="N24" s="3191"/>
      <c r="O24" s="3192"/>
      <c r="P24" s="3205" t="s">
        <v>3508</v>
      </c>
      <c r="Q24" s="3173"/>
      <c r="R24" s="3206">
        <f>ROUND(IF(P24="按比例",R14*Q24,SUM(R21:R23)),0)</f>
        <v>0</v>
      </c>
      <c r="S24" s="3131"/>
      <c r="T24" s="3131"/>
      <c r="U24" s="3131"/>
      <c r="V24" s="3138"/>
    </row>
    <row r="25" spans="1:22" s="3236" customFormat="1" ht="13.15" customHeight="1">
      <c r="A25" s="3224"/>
      <c r="B25" s="3225"/>
      <c r="C25" s="3226"/>
      <c r="D25" s="3227"/>
      <c r="E25" s="3228"/>
      <c r="F25" s="3229"/>
      <c r="G25" s="3217"/>
      <c r="H25" s="3137"/>
      <c r="I25" s="3138"/>
      <c r="J25" s="3230">
        <v>4</v>
      </c>
      <c r="K25" s="3231" t="s">
        <v>3529</v>
      </c>
      <c r="L25" s="3232"/>
      <c r="M25" s="3232"/>
      <c r="N25" s="3232"/>
      <c r="O25" s="3232"/>
      <c r="P25" s="3233"/>
      <c r="Q25" s="3234"/>
      <c r="R25" s="3206">
        <f>ROUND(R14*Q25,0)</f>
        <v>0</v>
      </c>
      <c r="S25" s="3131"/>
      <c r="T25" s="3131"/>
      <c r="U25" s="3131"/>
      <c r="V25" s="3235"/>
    </row>
    <row r="26" spans="1:22" s="3236" customFormat="1" ht="13.15" customHeight="1">
      <c r="A26" s="3218">
        <v>2</v>
      </c>
      <c r="B26" s="3163" t="s">
        <v>3530</v>
      </c>
      <c r="C26" s="3219">
        <f ca="1">D7</f>
        <v>3041</v>
      </c>
      <c r="D26" s="3220">
        <f>D23*D27</f>
        <v>0</v>
      </c>
      <c r="E26" s="3221">
        <f>E23*E27</f>
        <v>0</v>
      </c>
      <c r="F26" s="3222"/>
      <c r="G26" s="3223"/>
      <c r="H26" s="3137"/>
      <c r="I26" s="3138"/>
      <c r="J26" s="3543">
        <v>5</v>
      </c>
      <c r="K26" s="3237" t="s">
        <v>3531</v>
      </c>
      <c r="L26" s="3238"/>
      <c r="M26" s="3239"/>
      <c r="N26" s="3240" t="s">
        <v>3532</v>
      </c>
      <c r="O26" s="3240" t="s">
        <v>3533</v>
      </c>
      <c r="P26" s="3241" t="s">
        <v>3534</v>
      </c>
      <c r="Q26" s="3241" t="s">
        <v>3535</v>
      </c>
      <c r="R26" s="3146" t="s">
        <v>3536</v>
      </c>
      <c r="S26" s="3242"/>
      <c r="T26" s="3242"/>
      <c r="U26" s="3242"/>
      <c r="V26" s="3235"/>
    </row>
    <row r="27" spans="1:22" s="3137" customFormat="1" ht="13.15" customHeight="1">
      <c r="A27" s="3224"/>
      <c r="B27" s="3225" t="s">
        <v>3537</v>
      </c>
      <c r="C27" s="3243">
        <f ca="1">E7</f>
        <v>0.6757777777777777</v>
      </c>
      <c r="D27" s="3227"/>
      <c r="E27" s="3228"/>
      <c r="F27" s="3229"/>
      <c r="G27" s="3223"/>
      <c r="H27" s="3236"/>
      <c r="I27" s="3235"/>
      <c r="J27" s="3544"/>
      <c r="K27" s="3244"/>
      <c r="L27" s="3245"/>
      <c r="M27" s="3246"/>
      <c r="N27" s="3247"/>
      <c r="O27" s="3247"/>
      <c r="P27" s="3247"/>
      <c r="Q27" s="3248"/>
      <c r="R27" s="3206">
        <f>ROUND(O27*N27*P27*(1-Q27)/10000,0)</f>
        <v>0</v>
      </c>
      <c r="S27" s="3131"/>
      <c r="T27" s="3131"/>
      <c r="U27" s="3131"/>
      <c r="V27" s="3138"/>
    </row>
    <row r="28" spans="1:22" s="3236" customFormat="1" ht="13.15" customHeight="1" thickBot="1">
      <c r="A28" s="3224"/>
      <c r="B28" s="3225"/>
      <c r="C28" s="3243"/>
      <c r="D28" s="3227"/>
      <c r="E28" s="3228" t="s">
        <v>3538</v>
      </c>
      <c r="F28" s="3229"/>
      <c r="G28" s="3217"/>
      <c r="I28" s="3235"/>
      <c r="J28" s="3249">
        <v>6</v>
      </c>
      <c r="K28" s="3250" t="s">
        <v>3539</v>
      </c>
      <c r="L28" s="3251" t="s">
        <v>3540</v>
      </c>
      <c r="M28" s="3252"/>
      <c r="N28" s="3251" t="s">
        <v>3541</v>
      </c>
      <c r="O28" s="3253" t="s">
        <v>3542</v>
      </c>
      <c r="P28" s="3251" t="s">
        <v>3543</v>
      </c>
      <c r="Q28" s="3254">
        <v>1.4999999999999999E-2</v>
      </c>
      <c r="R28" s="3255"/>
      <c r="S28" s="3209"/>
      <c r="T28" s="3209"/>
      <c r="U28" s="3209"/>
      <c r="V28" s="3235"/>
    </row>
    <row r="29" spans="1:22" s="3236" customFormat="1" ht="13.15" customHeight="1">
      <c r="A29" s="3218">
        <v>3</v>
      </c>
      <c r="B29" s="3163" t="s">
        <v>3544</v>
      </c>
      <c r="C29" s="3219">
        <f>C23*C30</f>
        <v>225</v>
      </c>
      <c r="D29" s="3220">
        <f>D23*C30</f>
        <v>225</v>
      </c>
      <c r="E29" s="3221">
        <f>E23*C30</f>
        <v>225</v>
      </c>
      <c r="F29" s="3222"/>
      <c r="G29" s="3223"/>
      <c r="H29" s="3137"/>
      <c r="I29" s="3138"/>
      <c r="J29" s="3209"/>
      <c r="K29" s="3209"/>
      <c r="L29" s="3209"/>
      <c r="M29" s="3209"/>
      <c r="N29" s="3209"/>
      <c r="O29" s="3209"/>
      <c r="P29" s="3209"/>
      <c r="Q29" s="3209"/>
      <c r="R29" s="3209"/>
      <c r="S29" s="3209"/>
      <c r="T29" s="3209"/>
      <c r="U29" s="3209"/>
      <c r="V29" s="3235"/>
    </row>
    <row r="30" spans="1:22" s="3137" customFormat="1" ht="13.15" customHeight="1" thickBot="1">
      <c r="A30" s="3224"/>
      <c r="B30" s="3225" t="s">
        <v>3537</v>
      </c>
      <c r="C30" s="3243">
        <f>E18</f>
        <v>0.05</v>
      </c>
      <c r="D30" s="3256"/>
      <c r="E30" s="3189"/>
      <c r="F30" s="3229"/>
      <c r="G30" s="3223"/>
      <c r="H30" s="3236"/>
      <c r="I30" s="3235"/>
      <c r="J30" s="3209"/>
      <c r="K30" s="3209"/>
      <c r="L30" s="3209"/>
      <c r="M30" s="3209"/>
      <c r="N30" s="3209"/>
      <c r="O30" s="3209"/>
      <c r="P30" s="3209"/>
      <c r="Q30" s="3209"/>
      <c r="R30" s="3209"/>
      <c r="S30" s="3209"/>
      <c r="T30" s="3209"/>
      <c r="U30" s="3131"/>
      <c r="V30" s="3138"/>
    </row>
    <row r="31" spans="1:22" s="3236" customFormat="1" ht="13.15" customHeight="1">
      <c r="A31" s="3224"/>
      <c r="B31" s="3225"/>
      <c r="C31" s="3257"/>
      <c r="D31" s="3256"/>
      <c r="E31" s="3189"/>
      <c r="F31" s="3229"/>
      <c r="G31" s="3217"/>
      <c r="I31" s="3235"/>
      <c r="J31" s="3128" t="s">
        <v>3545</v>
      </c>
      <c r="K31" s="3129"/>
      <c r="L31" s="3129"/>
      <c r="M31" s="3129"/>
      <c r="N31" s="3129"/>
      <c r="O31" s="3129"/>
      <c r="P31" s="3129"/>
      <c r="Q31" s="3129"/>
      <c r="R31" s="3130"/>
      <c r="S31" s="3209"/>
      <c r="T31" s="3131"/>
      <c r="U31" s="3131"/>
      <c r="V31" s="3235"/>
    </row>
    <row r="32" spans="1:22" s="3236" customFormat="1" ht="13.15" customHeight="1">
      <c r="A32" s="3218">
        <v>4</v>
      </c>
      <c r="B32" s="3163" t="s">
        <v>3546</v>
      </c>
      <c r="C32" s="3219">
        <f ca="1">C23-C26-C29</f>
        <v>1234</v>
      </c>
      <c r="D32" s="3220">
        <f>D23-D26-D29</f>
        <v>4275</v>
      </c>
      <c r="E32" s="3221">
        <f>E23-E26-E29</f>
        <v>4275</v>
      </c>
      <c r="F32" s="3222"/>
      <c r="G32" s="3217"/>
      <c r="H32" s="3137"/>
      <c r="I32" s="3138"/>
      <c r="J32" s="3545" t="s">
        <v>3547</v>
      </c>
      <c r="K32" s="3546"/>
      <c r="L32" s="3139" t="s">
        <v>3548</v>
      </c>
      <c r="M32" s="3139" t="s">
        <v>3434</v>
      </c>
      <c r="N32" s="3139" t="s">
        <v>3435</v>
      </c>
      <c r="O32" s="3139" t="s">
        <v>3436</v>
      </c>
      <c r="P32" s="3139" t="s">
        <v>3437</v>
      </c>
      <c r="Q32" s="3140" t="s">
        <v>3549</v>
      </c>
      <c r="R32" s="3178" t="s">
        <v>3550</v>
      </c>
      <c r="S32" s="3209"/>
      <c r="T32" s="3131"/>
      <c r="U32" s="3131"/>
      <c r="V32" s="3235"/>
    </row>
    <row r="33" spans="1:23" s="3137" customFormat="1" ht="13.15" customHeight="1">
      <c r="A33" s="3218"/>
      <c r="B33" s="3163"/>
      <c r="C33" s="3219"/>
      <c r="D33" s="3258"/>
      <c r="E33" s="3259"/>
      <c r="F33" s="3222"/>
      <c r="G33" s="3217"/>
      <c r="H33" s="3236"/>
      <c r="I33" s="3235"/>
      <c r="J33" s="3547" t="s">
        <v>3551</v>
      </c>
      <c r="K33" s="3548"/>
      <c r="L33" s="3144">
        <v>20000</v>
      </c>
      <c r="M33" s="3144">
        <v>500</v>
      </c>
      <c r="N33" s="3144">
        <v>500</v>
      </c>
      <c r="O33" s="3144">
        <v>10000</v>
      </c>
      <c r="P33" s="3144">
        <v>10000</v>
      </c>
      <c r="Q33" s="3145">
        <v>500</v>
      </c>
      <c r="R33" s="3260">
        <f>SUM(L33:Q33)</f>
        <v>41500</v>
      </c>
      <c r="S33" s="3209"/>
      <c r="T33" s="3131"/>
      <c r="U33" s="3131"/>
      <c r="V33" s="3138"/>
    </row>
    <row r="34" spans="1:23" s="3137" customFormat="1" ht="13.15" customHeight="1">
      <c r="A34" s="3218">
        <v>5</v>
      </c>
      <c r="B34" s="3163" t="s">
        <v>3552</v>
      </c>
      <c r="C34" s="3261">
        <f ca="1">'收益法-温泉乐园'!F40</f>
        <v>0.06</v>
      </c>
      <c r="D34" s="3262"/>
      <c r="E34" s="3263"/>
      <c r="F34" s="3222"/>
      <c r="G34" s="3217"/>
      <c r="H34" s="3236"/>
      <c r="I34" s="3235"/>
      <c r="J34" s="3547" t="s">
        <v>3553</v>
      </c>
      <c r="K34" s="3548"/>
      <c r="L34" s="3149">
        <v>6500</v>
      </c>
      <c r="M34" s="3149">
        <v>150</v>
      </c>
      <c r="N34" s="3149">
        <v>150</v>
      </c>
      <c r="O34" s="3149">
        <v>3500</v>
      </c>
      <c r="P34" s="3149">
        <v>3500</v>
      </c>
      <c r="Q34" s="3150">
        <v>150</v>
      </c>
      <c r="R34" s="3264">
        <f>SUM(L34:Q34)</f>
        <v>13950</v>
      </c>
      <c r="S34" s="3209"/>
      <c r="T34" s="3131"/>
      <c r="U34" s="3131">
        <f>ROUND(R35*10000/365/R33,1)</f>
        <v>7.3</v>
      </c>
      <c r="V34" s="3138"/>
    </row>
    <row r="35" spans="1:23" s="3137" customFormat="1" ht="13.15" customHeight="1">
      <c r="A35" s="3218">
        <v>6</v>
      </c>
      <c r="B35" s="3163" t="s">
        <v>3554</v>
      </c>
      <c r="C35" s="3265">
        <f ca="1">'收益法-温泉乐园'!F42</f>
        <v>2.5000000000000001E-2</v>
      </c>
      <c r="D35" s="3266"/>
      <c r="E35" s="3267"/>
      <c r="F35" s="3222"/>
      <c r="G35" s="3268"/>
      <c r="I35" s="3235"/>
      <c r="J35" s="3155" t="s">
        <v>3555</v>
      </c>
      <c r="K35" s="3156"/>
      <c r="L35" s="3156"/>
      <c r="M35" s="3157"/>
      <c r="N35" s="3157"/>
      <c r="O35" s="3157"/>
      <c r="P35" s="3157"/>
      <c r="Q35" s="3157"/>
      <c r="R35" s="3210">
        <f>R40+R41+R43</f>
        <v>11078</v>
      </c>
      <c r="S35" s="3209"/>
      <c r="T35" s="3131" t="s">
        <v>3556</v>
      </c>
      <c r="U35" s="3131"/>
      <c r="V35" s="3138"/>
    </row>
    <row r="36" spans="1:23" s="3137" customFormat="1" ht="13.15" customHeight="1" thickBot="1">
      <c r="A36" s="3218">
        <v>7</v>
      </c>
      <c r="B36" s="3269" t="s">
        <v>3557</v>
      </c>
      <c r="C36" s="3270">
        <f ca="1">'收益法-温泉乐园'!F41</f>
        <v>32.61</v>
      </c>
      <c r="D36" s="3271"/>
      <c r="E36" s="3272"/>
      <c r="F36" s="3273">
        <f ca="1">C36+D36+E36</f>
        <v>32.61</v>
      </c>
      <c r="G36" s="3217"/>
      <c r="I36" s="3138"/>
      <c r="J36" s="3539">
        <v>1</v>
      </c>
      <c r="K36" s="3540" t="s">
        <v>3558</v>
      </c>
      <c r="L36" s="3162"/>
      <c r="M36" s="3163"/>
      <c r="N36" s="3163"/>
      <c r="O36" s="3163"/>
      <c r="P36" s="3163"/>
      <c r="Q36" s="3163"/>
      <c r="R36" s="3146" t="s">
        <v>3496</v>
      </c>
      <c r="S36" s="3209"/>
      <c r="T36" s="3131" t="s">
        <v>3559</v>
      </c>
      <c r="U36" s="3131"/>
      <c r="V36" s="3138"/>
    </row>
    <row r="37" spans="1:23" s="3137" customFormat="1" ht="13.15" customHeight="1">
      <c r="A37" s="3218"/>
      <c r="B37" s="3163"/>
      <c r="C37" s="3163"/>
      <c r="D37" s="3163"/>
      <c r="E37" s="3163"/>
      <c r="F37" s="3222"/>
      <c r="G37" s="3217"/>
      <c r="I37" s="3138"/>
      <c r="J37" s="3539"/>
      <c r="K37" s="3541"/>
      <c r="L37" s="3171"/>
      <c r="M37" s="3172"/>
      <c r="N37" s="3148"/>
      <c r="O37" s="3173"/>
      <c r="P37" s="3173"/>
      <c r="Q37" s="3174"/>
      <c r="R37" s="3175">
        <v>10000</v>
      </c>
      <c r="S37" s="3209"/>
      <c r="T37" s="3131" t="s">
        <v>3560</v>
      </c>
      <c r="U37" s="3131"/>
      <c r="V37" s="3138"/>
    </row>
    <row r="38" spans="1:23" s="3137" customFormat="1" ht="13.15" customHeight="1">
      <c r="A38" s="3218">
        <v>8</v>
      </c>
      <c r="B38" s="3163"/>
      <c r="C38" s="3177">
        <f ca="1">ROUND(C32*(1-((1+C35)/(1+C34))^C36)/(C34-C35),0)</f>
        <v>23461</v>
      </c>
      <c r="D38" s="3177"/>
      <c r="E38" s="3177"/>
      <c r="F38" s="3222"/>
      <c r="G38" s="3217"/>
      <c r="I38" s="3138"/>
      <c r="J38" s="3539"/>
      <c r="K38" s="3541"/>
      <c r="L38" s="3171"/>
      <c r="M38" s="3172"/>
      <c r="N38" s="3148"/>
      <c r="O38" s="3173"/>
      <c r="P38" s="3173"/>
      <c r="Q38" s="3174"/>
      <c r="R38" s="3175"/>
      <c r="S38" s="3209"/>
      <c r="T38" s="3131" t="s">
        <v>3467</v>
      </c>
      <c r="U38" s="3131"/>
      <c r="V38" s="3138"/>
    </row>
    <row r="39" spans="1:23" s="3137" customFormat="1" ht="13.15" customHeight="1">
      <c r="A39" s="3218">
        <v>9</v>
      </c>
      <c r="B39" s="3163" t="s">
        <v>3561</v>
      </c>
      <c r="C39" s="3184">
        <f ca="1">C38</f>
        <v>23461</v>
      </c>
      <c r="D39" s="3163"/>
      <c r="E39" s="3163"/>
      <c r="F39" s="3222"/>
      <c r="G39" s="3274"/>
      <c r="I39" s="3138"/>
      <c r="J39" s="3539"/>
      <c r="K39" s="3541"/>
      <c r="L39" s="3171"/>
      <c r="M39" s="3172"/>
      <c r="N39" s="3148"/>
      <c r="O39" s="3173"/>
      <c r="P39" s="3173"/>
      <c r="Q39" s="3174"/>
      <c r="R39" s="3175"/>
      <c r="S39" s="3209"/>
      <c r="T39" s="3131"/>
      <c r="U39" s="3131"/>
      <c r="V39" s="3138"/>
    </row>
    <row r="40" spans="1:23" s="3137" customFormat="1" ht="13.15" customHeight="1">
      <c r="A40" s="3275">
        <v>10</v>
      </c>
      <c r="B40" s="3163" t="s">
        <v>3562</v>
      </c>
      <c r="C40" s="3276">
        <f ca="1">C39+D39+E39</f>
        <v>23461</v>
      </c>
      <c r="D40" s="3277"/>
      <c r="E40" s="3277"/>
      <c r="F40" s="3278"/>
      <c r="G40" s="3217"/>
      <c r="I40" s="3138"/>
      <c r="J40" s="3539"/>
      <c r="K40" s="3542"/>
      <c r="L40" s="3190" t="s">
        <v>3563</v>
      </c>
      <c r="M40" s="3191"/>
      <c r="N40" s="3191"/>
      <c r="O40" s="3192"/>
      <c r="P40" s="3192"/>
      <c r="Q40" s="3193"/>
      <c r="R40" s="3141">
        <f>SUM(R37:R39)</f>
        <v>10000</v>
      </c>
      <c r="S40" s="3209"/>
      <c r="T40" s="3131"/>
      <c r="U40" s="3131"/>
      <c r="V40" s="3138"/>
    </row>
    <row r="41" spans="1:23" s="3137" customFormat="1" ht="13.15" customHeight="1" thickBot="1">
      <c r="A41" s="3279">
        <v>11</v>
      </c>
      <c r="B41" s="3280" t="s">
        <v>3564</v>
      </c>
      <c r="C41" s="3280">
        <f ca="1">ROUND(C40*10000/B4,0)</f>
        <v>6944</v>
      </c>
      <c r="D41" s="3281"/>
      <c r="E41" s="3281"/>
      <c r="F41" s="3282"/>
      <c r="G41" s="3283"/>
      <c r="I41" s="3138"/>
      <c r="J41" s="3230">
        <v>2</v>
      </c>
      <c r="K41" s="3231" t="s">
        <v>3565</v>
      </c>
      <c r="L41" s="3232"/>
      <c r="M41" s="3232"/>
      <c r="N41" s="3232"/>
      <c r="O41" s="3232"/>
      <c r="P41" s="3233"/>
      <c r="Q41" s="3234">
        <v>0.1</v>
      </c>
      <c r="R41" s="3206">
        <f>ROUND(R40*Q41,0)</f>
        <v>1000</v>
      </c>
      <c r="S41" s="3209"/>
      <c r="T41" s="3131"/>
      <c r="U41" s="3242"/>
      <c r="V41" s="3138"/>
    </row>
    <row r="42" spans="1:23" s="3137" customFormat="1" ht="13.15" customHeight="1">
      <c r="G42" s="3283"/>
      <c r="I42" s="3138"/>
      <c r="J42" s="3543">
        <v>3</v>
      </c>
      <c r="K42" s="3237" t="s">
        <v>3566</v>
      </c>
      <c r="L42" s="3238"/>
      <c r="M42" s="3239"/>
      <c r="N42" s="3240" t="s">
        <v>3567</v>
      </c>
      <c r="O42" s="3240" t="s">
        <v>3568</v>
      </c>
      <c r="P42" s="3241" t="s">
        <v>3569</v>
      </c>
      <c r="Q42" s="3241" t="s">
        <v>3570</v>
      </c>
      <c r="R42" s="3146" t="s">
        <v>3571</v>
      </c>
      <c r="S42" s="3242"/>
      <c r="T42" s="3242"/>
      <c r="U42" s="3131"/>
      <c r="V42" s="3138"/>
    </row>
    <row r="43" spans="1:23" ht="13.15" customHeight="1">
      <c r="A43" s="3137"/>
      <c r="B43" s="3137"/>
      <c r="C43" s="3137"/>
      <c r="D43" s="3137"/>
      <c r="E43" s="3137"/>
      <c r="F43" s="3137"/>
      <c r="I43" s="3126"/>
      <c r="J43" s="3544"/>
      <c r="K43" s="3244"/>
      <c r="L43" s="3245"/>
      <c r="M43" s="3246"/>
      <c r="N43" s="3172">
        <f>Q33</f>
        <v>500</v>
      </c>
      <c r="O43" s="3172">
        <v>5</v>
      </c>
      <c r="P43" s="3172">
        <v>365</v>
      </c>
      <c r="Q43" s="3234">
        <v>0.15</v>
      </c>
      <c r="R43" s="3206">
        <f>ROUND(O43*N43*P43*(1-Q43)/10000,0)</f>
        <v>78</v>
      </c>
      <c r="S43" s="3209"/>
      <c r="T43" s="3131"/>
      <c r="V43" s="3285"/>
      <c r="W43" s="3127"/>
    </row>
    <row r="44" spans="1:23" ht="13.15" customHeight="1" thickBot="1">
      <c r="J44" s="3249">
        <v>6</v>
      </c>
      <c r="K44" s="3250" t="s">
        <v>3572</v>
      </c>
      <c r="L44" s="3286" t="s">
        <v>3573</v>
      </c>
      <c r="M44" s="3252"/>
      <c r="N44" s="3286" t="s">
        <v>3574</v>
      </c>
      <c r="O44" s="3252" t="s">
        <v>3575</v>
      </c>
      <c r="P44" s="3286" t="s">
        <v>3576</v>
      </c>
      <c r="Q44" s="3254">
        <v>1.4999999999999999E-2</v>
      </c>
      <c r="R44" s="3255"/>
    </row>
    <row r="47" spans="1:23" ht="13.15" customHeight="1" thickBot="1"/>
    <row r="48" spans="1:23" ht="13.15" customHeight="1" thickBot="1">
      <c r="J48" s="3570" t="s">
        <v>3355</v>
      </c>
      <c r="K48" s="3571"/>
      <c r="L48" s="3103" t="s">
        <v>3356</v>
      </c>
      <c r="M48" s="3103" t="s">
        <v>3357</v>
      </c>
      <c r="N48" s="3103" t="s">
        <v>3358</v>
      </c>
      <c r="O48" s="3108"/>
      <c r="P48" s="3108"/>
    </row>
    <row r="49" spans="10:16" ht="13.15" customHeight="1" thickBot="1">
      <c r="J49" s="3561" t="s">
        <v>3359</v>
      </c>
      <c r="K49" s="3095" t="s">
        <v>3360</v>
      </c>
      <c r="L49" s="3096">
        <v>298422</v>
      </c>
      <c r="M49" s="3098">
        <v>1632.71</v>
      </c>
      <c r="N49" s="3100">
        <v>0.06</v>
      </c>
      <c r="O49"/>
      <c r="P49">
        <f>M49*N49</f>
        <v>97.962599999999995</v>
      </c>
    </row>
    <row r="50" spans="10:16" ht="13.15" customHeight="1" thickBot="1">
      <c r="J50" s="3562"/>
      <c r="K50" s="3095" t="s">
        <v>3361</v>
      </c>
      <c r="L50" s="3096">
        <v>235233</v>
      </c>
      <c r="M50" s="3098">
        <v>1235.3</v>
      </c>
      <c r="N50" s="3100">
        <v>0.11</v>
      </c>
      <c r="O50"/>
      <c r="P50">
        <f>M50*N50</f>
        <v>135.88300000000001</v>
      </c>
    </row>
    <row r="51" spans="10:16" ht="13.15" customHeight="1" thickBot="1">
      <c r="J51" s="3562"/>
      <c r="K51" s="3095" t="s">
        <v>3362</v>
      </c>
      <c r="L51" s="3096">
        <v>12739</v>
      </c>
      <c r="M51" s="3101">
        <v>380.59</v>
      </c>
      <c r="N51" s="3100">
        <v>0.67</v>
      </c>
      <c r="O51"/>
      <c r="P51">
        <f>M51*N51</f>
        <v>254.99529999999999</v>
      </c>
    </row>
    <row r="52" spans="10:16" ht="13.15" customHeight="1" thickBot="1">
      <c r="J52" s="3563"/>
      <c r="K52" s="3095" t="s">
        <v>3363</v>
      </c>
      <c r="L52" s="3101"/>
      <c r="M52" s="3101">
        <v>552.61</v>
      </c>
      <c r="N52" s="3101" t="s">
        <v>3364</v>
      </c>
      <c r="O52"/>
      <c r="P52"/>
    </row>
    <row r="53" spans="10:16" ht="13.15" customHeight="1" thickBot="1">
      <c r="J53" s="3561" t="s">
        <v>3365</v>
      </c>
      <c r="K53" s="3095" t="s">
        <v>3366</v>
      </c>
      <c r="L53" s="3101"/>
      <c r="M53" s="3101">
        <v>12.76</v>
      </c>
      <c r="N53" s="3100">
        <v>0.03</v>
      </c>
      <c r="O53"/>
      <c r="P53">
        <f t="shared" ref="P53:P61" si="1">M53*N53</f>
        <v>0.38279999999999997</v>
      </c>
    </row>
    <row r="54" spans="10:16" ht="13.15" customHeight="1" thickBot="1">
      <c r="J54" s="3562"/>
      <c r="K54" s="3095" t="s">
        <v>3367</v>
      </c>
      <c r="L54" s="3101"/>
      <c r="M54" s="3101">
        <v>6.06</v>
      </c>
      <c r="N54" s="3100">
        <v>0.05</v>
      </c>
      <c r="O54"/>
      <c r="P54">
        <f t="shared" si="1"/>
        <v>0.30299999999999999</v>
      </c>
    </row>
    <row r="55" spans="10:16" ht="13.15" customHeight="1" thickBot="1">
      <c r="J55" s="3562"/>
      <c r="K55" s="3095" t="s">
        <v>3368</v>
      </c>
      <c r="L55" s="3101"/>
      <c r="M55" s="3101">
        <v>6.42</v>
      </c>
      <c r="N55" s="3100">
        <v>0.18</v>
      </c>
      <c r="O55"/>
      <c r="P55">
        <f t="shared" si="1"/>
        <v>1.1556</v>
      </c>
    </row>
    <row r="56" spans="10:16" ht="13.15" customHeight="1" thickBot="1">
      <c r="J56" s="3562"/>
      <c r="K56" s="3095" t="s">
        <v>3369</v>
      </c>
      <c r="L56" s="3101"/>
      <c r="M56" s="3101">
        <v>112.51</v>
      </c>
      <c r="N56" s="3100">
        <v>0.63</v>
      </c>
      <c r="O56"/>
      <c r="P56">
        <f t="shared" si="1"/>
        <v>70.88130000000001</v>
      </c>
    </row>
    <row r="57" spans="10:16" ht="13.15" customHeight="1" thickBot="1">
      <c r="J57" s="3562"/>
      <c r="K57" s="3095" t="s">
        <v>3370</v>
      </c>
      <c r="L57" s="3101"/>
      <c r="M57" s="3101">
        <v>381.85</v>
      </c>
      <c r="N57" s="3100">
        <v>0.38</v>
      </c>
      <c r="O57"/>
      <c r="P57">
        <f t="shared" si="1"/>
        <v>145.10300000000001</v>
      </c>
    </row>
    <row r="58" spans="10:16" ht="13.15" customHeight="1" thickBot="1">
      <c r="J58" s="3562"/>
      <c r="K58" s="3095" t="s">
        <v>3371</v>
      </c>
      <c r="L58" s="3101"/>
      <c r="M58" s="3101">
        <v>93.06</v>
      </c>
      <c r="N58" s="3100">
        <v>0.63</v>
      </c>
      <c r="O58"/>
      <c r="P58">
        <f t="shared" si="1"/>
        <v>58.627800000000001</v>
      </c>
    </row>
    <row r="59" spans="10:16" ht="13.15" customHeight="1" thickBot="1">
      <c r="J59" s="3562"/>
      <c r="K59" s="3095" t="s">
        <v>3372</v>
      </c>
      <c r="L59" s="3101"/>
      <c r="M59" s="3101">
        <v>47.47</v>
      </c>
      <c r="N59" s="3100">
        <v>0.28000000000000003</v>
      </c>
      <c r="O59"/>
      <c r="P59">
        <f t="shared" si="1"/>
        <v>13.291600000000001</v>
      </c>
    </row>
    <row r="60" spans="10:16" ht="13.15" customHeight="1" thickBot="1">
      <c r="J60" s="3562"/>
      <c r="K60" s="3095" t="s">
        <v>3373</v>
      </c>
      <c r="L60" s="3101"/>
      <c r="M60" s="3101">
        <v>10.87</v>
      </c>
      <c r="N60" s="3100">
        <v>0.62</v>
      </c>
      <c r="O60"/>
      <c r="P60">
        <f t="shared" si="1"/>
        <v>6.7393999999999998</v>
      </c>
    </row>
    <row r="61" spans="10:16" ht="13.15" customHeight="1" thickBot="1">
      <c r="J61" s="3562"/>
      <c r="K61" s="3095" t="s">
        <v>3374</v>
      </c>
      <c r="L61" s="3101"/>
      <c r="M61" s="3101">
        <v>7.27</v>
      </c>
      <c r="N61" s="3100">
        <v>0.69</v>
      </c>
      <c r="O61"/>
      <c r="P61">
        <f t="shared" si="1"/>
        <v>5.0162999999999993</v>
      </c>
    </row>
    <row r="62" spans="10:16" ht="13.15" customHeight="1" thickBot="1">
      <c r="J62" s="3562"/>
      <c r="K62" s="3095" t="s">
        <v>3375</v>
      </c>
      <c r="L62" s="3101"/>
      <c r="M62" s="3101">
        <v>20.51</v>
      </c>
      <c r="N62" s="3101" t="s">
        <v>3364</v>
      </c>
      <c r="O62"/>
      <c r="P62"/>
    </row>
    <row r="63" spans="10:16" ht="13.15" customHeight="1" thickBot="1">
      <c r="J63" s="3563"/>
      <c r="K63" s="3095"/>
      <c r="L63" s="3101"/>
      <c r="M63" s="3101"/>
      <c r="N63" s="3102"/>
      <c r="O63"/>
      <c r="P63"/>
    </row>
    <row r="64" spans="10:16" ht="13.15" customHeight="1">
      <c r="J64"/>
      <c r="K64"/>
      <c r="L64"/>
      <c r="M64"/>
      <c r="N64"/>
      <c r="O64"/>
      <c r="P64"/>
    </row>
    <row r="65" spans="10:16" ht="13.15" customHeight="1">
      <c r="J65"/>
      <c r="K65"/>
      <c r="L65"/>
      <c r="M65" s="3292">
        <f>SUM(M49:M62)</f>
        <v>4499.9900000000025</v>
      </c>
      <c r="N65">
        <f>P65/M65</f>
        <v>0.17563187918195367</v>
      </c>
      <c r="O65"/>
      <c r="P65" s="3097">
        <f>SUM(P49:P62)</f>
        <v>790.34170000000006</v>
      </c>
    </row>
  </sheetData>
  <mergeCells count="29">
    <mergeCell ref="J48:K48"/>
    <mergeCell ref="J49:J52"/>
    <mergeCell ref="J53:J63"/>
    <mergeCell ref="J2:K2"/>
    <mergeCell ref="J3:K3"/>
    <mergeCell ref="J4:K4"/>
    <mergeCell ref="J36:J40"/>
    <mergeCell ref="K36:K40"/>
    <mergeCell ref="J42:J43"/>
    <mergeCell ref="J20:J24"/>
    <mergeCell ref="K20:K24"/>
    <mergeCell ref="J26:J27"/>
    <mergeCell ref="J32:K32"/>
    <mergeCell ref="J33:K33"/>
    <mergeCell ref="J34:K3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1548</v>
      </c>
      <c r="B1" s="721"/>
      <c r="C1" s="1560" t="s">
        <v>3082</v>
      </c>
      <c r="D1" s="1543" t="s">
        <v>70</v>
      </c>
      <c r="E1" s="1544" t="s">
        <v>1346</v>
      </c>
      <c r="F1" s="1192">
        <f ca="1">J53</f>
        <v>32.61</v>
      </c>
      <c r="G1" s="1559">
        <f>MATCH(C1,'数据-取费表'!A6:A16,0)+5</f>
        <v>6</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1474</v>
      </c>
      <c r="B2" s="1567">
        <f ca="1">C40+J29+L46</f>
        <v>-4674</v>
      </c>
      <c r="C2" s="1568" t="s">
        <v>1475</v>
      </c>
      <c r="D2" s="1568"/>
      <c r="E2" s="1569"/>
      <c r="F2" s="1570"/>
      <c r="G2" s="2929"/>
      <c r="H2" s="2918"/>
      <c r="I2" s="2918"/>
      <c r="J2" s="2918"/>
      <c r="K2" s="2919"/>
      <c r="L2" s="2918"/>
      <c r="M2" s="2918"/>
    </row>
    <row r="3" spans="1:37" ht="18" customHeight="1" thickBot="1">
      <c r="A3" s="1571" t="s">
        <v>1476</v>
      </c>
      <c r="B3" s="1572">
        <f ca="1">IF(ISERROR(B2*10000/F43),0,ROUND(B2*10000/F43,0))</f>
        <v>-1443</v>
      </c>
      <c r="C3" s="1568" t="s">
        <v>1477</v>
      </c>
      <c r="D3" s="1568"/>
      <c r="E3" s="1569"/>
      <c r="F3" s="1570"/>
      <c r="G3" s="2929"/>
      <c r="H3" s="691" t="s">
        <v>1547</v>
      </c>
      <c r="I3" s="1563"/>
      <c r="J3" s="1563"/>
      <c r="K3" s="1564"/>
      <c r="L3" s="1563"/>
      <c r="M3" s="1563"/>
    </row>
    <row r="4" spans="1:37" ht="18" customHeight="1">
      <c r="A4" s="301" t="s">
        <v>1355</v>
      </c>
      <c r="B4" s="302" t="s">
        <v>1356</v>
      </c>
      <c r="C4" s="302" t="s">
        <v>1357</v>
      </c>
      <c r="D4" s="302" t="s">
        <v>1358</v>
      </c>
      <c r="E4" s="303" t="s">
        <v>1359</v>
      </c>
      <c r="F4" s="304"/>
      <c r="G4" s="1565"/>
      <c r="H4" s="301" t="s">
        <v>1355</v>
      </c>
      <c r="I4" s="302" t="s">
        <v>1356</v>
      </c>
      <c r="J4" s="302" t="s">
        <v>1357</v>
      </c>
      <c r="K4" s="302" t="s">
        <v>1358</v>
      </c>
      <c r="L4" s="303" t="s">
        <v>1359</v>
      </c>
      <c r="M4" s="304"/>
    </row>
    <row r="5" spans="1:37" ht="18" customHeight="1">
      <c r="A5" s="305">
        <v>1</v>
      </c>
      <c r="B5" s="306" t="s">
        <v>1360</v>
      </c>
      <c r="C5" s="1201">
        <f ca="1">C6+C10+C12</f>
        <v>0</v>
      </c>
      <c r="D5" s="1545" t="s">
        <v>1361</v>
      </c>
      <c r="E5" s="1202"/>
      <c r="F5" s="1203"/>
      <c r="G5" s="1565"/>
      <c r="H5" s="305">
        <v>1</v>
      </c>
      <c r="I5" s="306" t="s">
        <v>1360</v>
      </c>
      <c r="J5" s="1201">
        <f ca="1">J6+J10+J12</f>
        <v>0</v>
      </c>
      <c r="K5" s="1545" t="s">
        <v>1361</v>
      </c>
      <c r="L5" s="1202"/>
      <c r="M5" s="1203"/>
    </row>
    <row r="6" spans="1:37" ht="18" customHeight="1">
      <c r="A6" s="1200" t="s">
        <v>1003</v>
      </c>
      <c r="B6" s="3534" t="s">
        <v>1362</v>
      </c>
      <c r="C6" s="1205">
        <f ca="1">ROUND(F6*F8*F7*(1-F9)/10000,0)</f>
        <v>0</v>
      </c>
      <c r="D6" s="160" t="s">
        <v>2843</v>
      </c>
      <c r="E6" s="308" t="s">
        <v>1364</v>
      </c>
      <c r="F6" s="309">
        <f ca="1">INDIRECT("'数据-取费表'!u"&amp;$G$1)</f>
        <v>0</v>
      </c>
      <c r="G6" s="1565"/>
      <c r="H6" s="1200" t="s">
        <v>1003</v>
      </c>
      <c r="I6" s="3534" t="s">
        <v>1362</v>
      </c>
      <c r="J6" s="307">
        <f ca="1">ROUND(M6*M8*M7*(1-M9)/10000,0)</f>
        <v>0</v>
      </c>
      <c r="K6" s="160" t="s">
        <v>2842</v>
      </c>
      <c r="L6" s="308" t="s">
        <v>1364</v>
      </c>
      <c r="M6" s="309">
        <f ca="1">INDIRECT("'数据-取费表'!z"&amp;$G$1)</f>
        <v>0</v>
      </c>
    </row>
    <row r="7" spans="1:37" ht="18" customHeight="1">
      <c r="A7" s="1204"/>
      <c r="B7" s="3535"/>
      <c r="C7" s="1206"/>
      <c r="D7" s="313"/>
      <c r="E7" s="1207" t="s">
        <v>1365</v>
      </c>
      <c r="F7" s="309">
        <f ca="1">IF(INDIRECT("'数据-取费表'!ah"&amp;$G$1)="",INDIRECT("'数据-取费表'!k"&amp;$G$1),INDIRECT("'数据-取费表'!ah"&amp;$G$1))</f>
        <v>1</v>
      </c>
      <c r="G7" s="1565"/>
      <c r="H7" s="310"/>
      <c r="I7" s="3535"/>
      <c r="J7" s="312"/>
      <c r="K7" s="313"/>
      <c r="L7" s="308" t="s">
        <v>1365</v>
      </c>
      <c r="M7" s="309">
        <f ca="1">F7</f>
        <v>1</v>
      </c>
    </row>
    <row r="8" spans="1:37" ht="18" customHeight="1">
      <c r="A8" s="310"/>
      <c r="B8" s="3535"/>
      <c r="C8" s="312"/>
      <c r="D8" s="313"/>
      <c r="E8" s="308" t="s">
        <v>1366</v>
      </c>
      <c r="F8" s="309">
        <f ca="1">INDIRECT("'数据-取费表'!ai"&amp;$G$1)</f>
        <v>1</v>
      </c>
      <c r="G8" s="1565"/>
      <c r="H8" s="310"/>
      <c r="I8" s="3535"/>
      <c r="J8" s="312"/>
      <c r="K8" s="313"/>
      <c r="L8" s="308" t="s">
        <v>1366</v>
      </c>
      <c r="M8" s="309">
        <f ca="1">INDIRECT("'数据-取费表'!ai"&amp;$G$1)</f>
        <v>1</v>
      </c>
    </row>
    <row r="9" spans="1:37" ht="18" customHeight="1">
      <c r="A9" s="310"/>
      <c r="B9" s="3536"/>
      <c r="C9" s="312"/>
      <c r="D9" s="313"/>
      <c r="E9" s="308" t="s">
        <v>1367</v>
      </c>
      <c r="F9" s="318">
        <f ca="1">INDIRECT("'数据-取费表'!w"&amp;$G$1)</f>
        <v>0</v>
      </c>
      <c r="G9" s="1565"/>
      <c r="H9" s="310"/>
      <c r="I9" s="3536"/>
      <c r="J9" s="312"/>
      <c r="K9" s="313"/>
      <c r="L9" s="319" t="s">
        <v>1367</v>
      </c>
      <c r="M9" s="320">
        <f ca="1">INDIRECT("'数据-取费表'!ab"&amp;$G$1)</f>
        <v>0</v>
      </c>
    </row>
    <row r="10" spans="1:37" ht="18" customHeight="1">
      <c r="A10" s="1200" t="s">
        <v>1007</v>
      </c>
      <c r="B10" s="1546" t="s">
        <v>1368</v>
      </c>
      <c r="C10" s="322">
        <f ca="1">ROUND(IF(F10="押一",C6/12*F11,IF(F10="押二",C6/12*2*F11,IF(F10="押三",C6/12*3*F11,C11*F11))),0)</f>
        <v>0</v>
      </c>
      <c r="D10" s="1547" t="s">
        <v>2851</v>
      </c>
      <c r="E10" s="319" t="s">
        <v>1369</v>
      </c>
      <c r="F10" s="1274" t="s">
        <v>3089</v>
      </c>
      <c r="G10" s="1565"/>
      <c r="H10" s="1200" t="s">
        <v>1007</v>
      </c>
      <c r="I10" s="1546" t="s">
        <v>1368</v>
      </c>
      <c r="J10" s="307">
        <f ca="1">ROUND(IF(M10="押一",J6/12*M11,IF(M10="押二",J6/12*2*M11,IF(M10="押三",J6/12*3*M11,J11*M11))),0)</f>
        <v>0</v>
      </c>
      <c r="K10" s="1547" t="s">
        <v>2850</v>
      </c>
      <c r="L10" s="319" t="s">
        <v>1369</v>
      </c>
      <c r="M10" s="1274" t="s">
        <v>1370</v>
      </c>
    </row>
    <row r="11" spans="1:37" ht="18" customHeight="1">
      <c r="A11" s="314"/>
      <c r="B11" s="1548" t="s">
        <v>1347</v>
      </c>
      <c r="C11" s="1089"/>
      <c r="D11" s="1549"/>
      <c r="E11" s="319" t="s">
        <v>1371</v>
      </c>
      <c r="F11" s="320">
        <f ca="1">'数据-取费表'!B39</f>
        <v>1.4999999999999999E-2</v>
      </c>
      <c r="G11" s="1565"/>
      <c r="H11" s="1208"/>
      <c r="I11" s="1548" t="s">
        <v>1347</v>
      </c>
      <c r="J11" s="1089"/>
      <c r="K11" s="692"/>
      <c r="L11" s="319" t="s">
        <v>1371</v>
      </c>
      <c r="M11" s="970">
        <f ca="1">'数据-取费表'!B39</f>
        <v>1.4999999999999999E-2</v>
      </c>
    </row>
    <row r="12" spans="1:37" ht="18" customHeight="1" thickBot="1">
      <c r="A12" s="1241" t="s">
        <v>1043</v>
      </c>
      <c r="B12" s="1550" t="s">
        <v>1372</v>
      </c>
      <c r="C12" s="1242"/>
      <c r="D12" s="1243"/>
      <c r="E12" s="1248"/>
      <c r="F12" s="1244"/>
      <c r="G12" s="1565"/>
      <c r="H12" s="1241" t="s">
        <v>1043</v>
      </c>
      <c r="I12" s="1550" t="s">
        <v>1372</v>
      </c>
      <c r="J12" s="1242"/>
      <c r="K12" s="1256"/>
      <c r="L12" s="1248"/>
      <c r="M12" s="1257"/>
    </row>
    <row r="13" spans="1:37" ht="18" customHeight="1" thickTop="1">
      <c r="A13" s="1237">
        <v>2</v>
      </c>
      <c r="B13" s="1238" t="s">
        <v>1373</v>
      </c>
      <c r="C13" s="316">
        <f ca="1">ROUND(C29*F13,0)</f>
        <v>23027</v>
      </c>
      <c r="D13" s="1239" t="s">
        <v>1374</v>
      </c>
      <c r="E13" s="1239" t="s">
        <v>1375</v>
      </c>
      <c r="F13" s="1240">
        <f ca="1">INDIRECT("'数据-取费表'!y"&amp;$G$1)</f>
        <v>0.97</v>
      </c>
      <c r="G13" s="1565"/>
      <c r="H13" s="1237">
        <v>2</v>
      </c>
      <c r="I13" s="1238" t="s">
        <v>1373</v>
      </c>
      <c r="J13" s="1199">
        <f ca="1">ROUND(J14*J15,0)</f>
        <v>0</v>
      </c>
      <c r="K13" s="1245" t="s">
        <v>1374</v>
      </c>
      <c r="L13" s="1573"/>
      <c r="M13" s="1574"/>
    </row>
    <row r="14" spans="1:37" ht="18" customHeight="1">
      <c r="A14" s="1112" t="s">
        <v>1002</v>
      </c>
      <c r="B14" s="308" t="s">
        <v>1376</v>
      </c>
      <c r="C14" s="324">
        <f ca="1">INDIRECT("'数据-取费表'!m"&amp;$G$1)+INDIRECT("'数据-取费表'!t"&amp;$G$1)</f>
        <v>16212</v>
      </c>
      <c r="D14" s="1526" t="s">
        <v>1377</v>
      </c>
      <c r="E14" s="1523"/>
      <c r="F14" s="325"/>
      <c r="G14" s="1565"/>
      <c r="H14" s="1112" t="s">
        <v>1003</v>
      </c>
      <c r="I14" s="308" t="s">
        <v>1378</v>
      </c>
      <c r="J14" s="24">
        <f ca="1">C29</f>
        <v>23739</v>
      </c>
      <c r="K14" s="15"/>
      <c r="L14" s="915"/>
      <c r="M14" s="916"/>
    </row>
    <row r="15" spans="1:37" s="1578" customFormat="1" ht="18" customHeight="1" thickBot="1">
      <c r="A15" s="1112" t="s">
        <v>1004</v>
      </c>
      <c r="B15" s="308" t="s">
        <v>1379</v>
      </c>
      <c r="C15" s="24">
        <f ca="1">ROUND(C14*F15,0)</f>
        <v>811</v>
      </c>
      <c r="D15" s="326" t="s">
        <v>1380</v>
      </c>
      <c r="E15" s="326" t="s">
        <v>1381</v>
      </c>
      <c r="F15" s="327">
        <f>'数据-取费表'!B33</f>
        <v>0.05</v>
      </c>
      <c r="G15" s="1577"/>
      <c r="H15" s="1247" t="s">
        <v>1007</v>
      </c>
      <c r="I15" s="1248" t="s">
        <v>1375</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1348</v>
      </c>
      <c r="B16" s="308" t="s">
        <v>1382</v>
      </c>
      <c r="C16" s="24">
        <f ca="1">ROUND(INDIRECT("'数据-取费表'!m"&amp;$G$1)*F16,0)</f>
        <v>0</v>
      </c>
      <c r="D16" s="308" t="s">
        <v>1380</v>
      </c>
      <c r="E16" s="308" t="s">
        <v>1381</v>
      </c>
      <c r="F16" s="328">
        <f ca="1">IF(INDIRECT("'数据-取费表'!c"&amp;$G$1)="住宅",'数据-取费表'!B34,0)</f>
        <v>0</v>
      </c>
      <c r="G16" s="1565"/>
      <c r="H16" s="1237" t="s">
        <v>998</v>
      </c>
      <c r="I16" s="1238" t="s">
        <v>1383</v>
      </c>
      <c r="J16" s="316">
        <f ca="1">ROUND(J17+J22+J23+J24,0)</f>
        <v>230</v>
      </c>
      <c r="K16" s="1245" t="s">
        <v>1384</v>
      </c>
      <c r="L16" s="1246"/>
      <c r="M16" s="1203"/>
    </row>
    <row r="17" spans="1:37" s="1578" customFormat="1" ht="18" customHeight="1">
      <c r="A17" s="1112" t="s">
        <v>1349</v>
      </c>
      <c r="B17" s="308" t="s">
        <v>1385</v>
      </c>
      <c r="C17" s="24">
        <f ca="1">ROUND(F17*(F43+INDIRECT("'数据-取费表'!S"&amp;$G$1))/10000,0)</f>
        <v>1140</v>
      </c>
      <c r="D17" s="308" t="s">
        <v>1386</v>
      </c>
      <c r="E17" s="308" t="s">
        <v>1387</v>
      </c>
      <c r="F17" s="26">
        <f>'数据-取费表'!B35</f>
        <v>350</v>
      </c>
      <c r="G17" s="1577"/>
      <c r="H17" s="1112" t="s">
        <v>1003</v>
      </c>
      <c r="I17" s="308" t="s">
        <v>1388</v>
      </c>
      <c r="J17" s="2531">
        <f ca="1">ROUND(IF(AND(项目基本情况!B11="自然人",项目基本情况!B10="北京市"),J6*M17/(1+'数据-取费表'!C42),J18+J19+J20),0)</f>
        <v>230</v>
      </c>
      <c r="K17" s="1526" t="s">
        <v>1389</v>
      </c>
      <c r="L17" s="1525" t="s">
        <v>1390</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1350</v>
      </c>
      <c r="B18" s="308" t="s">
        <v>1391</v>
      </c>
      <c r="C18" s="24">
        <f ca="1">ROUND(C14*F18,0)</f>
        <v>243</v>
      </c>
      <c r="D18" s="308" t="s">
        <v>1380</v>
      </c>
      <c r="E18" s="308" t="s">
        <v>1381</v>
      </c>
      <c r="F18" s="328">
        <f>'数据-取费表'!B36</f>
        <v>1.4999999999999999E-2</v>
      </c>
      <c r="G18" s="1577"/>
      <c r="H18" s="1112" t="s">
        <v>1002</v>
      </c>
      <c r="I18" s="308" t="s">
        <v>1392</v>
      </c>
      <c r="J18" s="24">
        <f ca="1">ROUND(J6*M18/(1+'数据-取费表'!C42),2)</f>
        <v>0</v>
      </c>
      <c r="K18" s="1525" t="s">
        <v>1393</v>
      </c>
      <c r="L18" s="308" t="s">
        <v>1381</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8" t="s">
        <v>1394</v>
      </c>
      <c r="C19" s="24">
        <f ca="1">SUM(C14:C18)</f>
        <v>18406</v>
      </c>
      <c r="D19" s="136" t="s">
        <v>1395</v>
      </c>
      <c r="E19" s="1541"/>
      <c r="F19" s="26"/>
      <c r="G19" s="1565"/>
      <c r="H19" s="1112" t="s">
        <v>1004</v>
      </c>
      <c r="I19" s="308" t="s">
        <v>1396</v>
      </c>
      <c r="J19" s="24">
        <f ca="1">IF(K19="按租金收入计税",ROUND(J6*M19/(1+'数据-取费表'!C42),2),ROUND(C29*M19*0.7,2))</f>
        <v>199.41</v>
      </c>
      <c r="K19" s="1551" t="s">
        <v>1397</v>
      </c>
      <c r="L19" s="308" t="s">
        <v>1381</v>
      </c>
      <c r="M19" s="328">
        <f>IF(K19="按租金收入计税",'数据-取费表'!B51,'数据-取费表'!B50)</f>
        <v>1.2E-2</v>
      </c>
    </row>
    <row r="20" spans="1:37" s="1578" customFormat="1" ht="18" customHeight="1">
      <c r="A20" s="1112" t="s">
        <v>1007</v>
      </c>
      <c r="B20" s="308" t="s">
        <v>1398</v>
      </c>
      <c r="C20" s="24">
        <f ca="1">ROUND(C19*F20,0)</f>
        <v>552</v>
      </c>
      <c r="D20" s="329" t="s">
        <v>1399</v>
      </c>
      <c r="E20" s="308" t="s">
        <v>1381</v>
      </c>
      <c r="F20" s="328">
        <f>'数据-取费表'!B37</f>
        <v>0.03</v>
      </c>
      <c r="G20" s="1577"/>
      <c r="H20" s="1112" t="s">
        <v>1348</v>
      </c>
      <c r="I20" s="160" t="s">
        <v>1400</v>
      </c>
      <c r="J20" s="25">
        <f ca="1">ROUND(M20*M21/10000,2)</f>
        <v>30.46</v>
      </c>
      <c r="K20" s="330" t="s">
        <v>1401</v>
      </c>
      <c r="L20" s="308" t="s">
        <v>1402</v>
      </c>
      <c r="M20" s="331">
        <f>'数据-取费表'!B52</f>
        <v>10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8" t="s">
        <v>1403</v>
      </c>
      <c r="C21" s="24" t="s">
        <v>18</v>
      </c>
      <c r="D21" s="329" t="s">
        <v>1404</v>
      </c>
      <c r="E21" s="308" t="s">
        <v>1405</v>
      </c>
      <c r="F21" s="328">
        <f>'数据-取费表'!B38</f>
        <v>1.4999999999999999E-2</v>
      </c>
      <c r="G21" s="1577"/>
      <c r="H21" s="332"/>
      <c r="I21" s="317"/>
      <c r="J21" s="29"/>
      <c r="K21" s="333"/>
      <c r="L21" s="308" t="s">
        <v>1406</v>
      </c>
      <c r="M21" s="309">
        <f ca="1">INDIRECT("'数据-取费表'!r"&amp;$G$1)</f>
        <v>30456.370000000003</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1351</v>
      </c>
      <c r="B22" s="308" t="s">
        <v>1407</v>
      </c>
      <c r="C22" s="24"/>
      <c r="D22" s="136" t="str">
        <f>IF(F23&lt;=1,"单利计息。","复利计息。")&amp;"建造成本、管理费用、销售费用产生的利息。"</f>
        <v>复利计息。建造成本、管理费用、销售费用产生的利息。</v>
      </c>
      <c r="E22" s="1541"/>
      <c r="F22" s="26"/>
      <c r="G22" s="1565"/>
      <c r="H22" s="1112" t="s">
        <v>1007</v>
      </c>
      <c r="I22" s="308" t="s">
        <v>1408</v>
      </c>
      <c r="J22" s="24">
        <f ca="1">ROUND(J14*M22,1)</f>
        <v>0</v>
      </c>
      <c r="K22" s="1525" t="s">
        <v>1409</v>
      </c>
      <c r="L22" s="308" t="s">
        <v>1381</v>
      </c>
      <c r="M22" s="334">
        <f ca="1">INDIRECT("'数据-取费表'!Ak"&amp;$G$1)</f>
        <v>0</v>
      </c>
    </row>
    <row r="23" spans="1:37" s="1578" customFormat="1" ht="18" customHeight="1">
      <c r="A23" s="1112" t="s">
        <v>1002</v>
      </c>
      <c r="B23" s="308" t="s">
        <v>1410</v>
      </c>
      <c r="C23" s="24">
        <f ca="1">IF('数据-取费表'!B22&lt;=1,ROUND(C19*F24*F23/2,0)+ROUND(C20*F24*F23/2,0),ROUND(C19*(POWER((1+F24),F23/2)-1),0)+ROUND(C20*(POWER((1+F24),F23/2)-1),0))</f>
        <v>825</v>
      </c>
      <c r="D23" s="335" t="str">
        <f>IF(F23&lt;=1,"(建造成本+管理费用)×利率×(建设周期÷2)","(建造成本+管理费用)×((1+利率)^(建设周期÷2)-1)")</f>
        <v>(建造成本+管理费用)×((1+利率)^(建设周期÷2)-1)</v>
      </c>
      <c r="E23" s="308" t="s">
        <v>1411</v>
      </c>
      <c r="F23" s="331">
        <f>'数据-取费表'!B20</f>
        <v>2</v>
      </c>
      <c r="G23" s="1577"/>
      <c r="H23" s="1112" t="s">
        <v>1043</v>
      </c>
      <c r="I23" s="308" t="s">
        <v>1412</v>
      </c>
      <c r="J23" s="24">
        <f ca="1">ROUND(J13*M23,1)</f>
        <v>0</v>
      </c>
      <c r="K23" s="1525" t="s">
        <v>1413</v>
      </c>
      <c r="L23" s="308" t="s">
        <v>1414</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1415</v>
      </c>
      <c r="B24" s="308" t="s">
        <v>1416</v>
      </c>
      <c r="C24" s="24">
        <f ca="1">ROUND(IF('数据-取费表'!B22&lt;=1,F21*F24*F23/2,F21*(POWER((1+F24),F23/2)-1)),4)</f>
        <v>6.9999999999999999E-4</v>
      </c>
      <c r="D24" s="335" t="str">
        <f>IF(F23&lt;=1,"销售费用×利率×(建设周期÷2)","销售费用×((1+利率)^(建设周期÷2)-1)")</f>
        <v>销售费用×((1+利率)^(建设周期÷2)-1)</v>
      </c>
      <c r="E24" s="308" t="s">
        <v>1417</v>
      </c>
      <c r="F24" s="337">
        <f ca="1">'数据-取费表'!B40</f>
        <v>4.3499999999999997E-2</v>
      </c>
      <c r="G24" s="1577"/>
      <c r="H24" s="1247" t="s">
        <v>1352</v>
      </c>
      <c r="I24" s="1248" t="s">
        <v>1398</v>
      </c>
      <c r="J24" s="1249">
        <f ca="1">ROUND(J5*M24,1)</f>
        <v>0</v>
      </c>
      <c r="K24" s="1250" t="s">
        <v>1418</v>
      </c>
      <c r="L24" s="1248" t="s">
        <v>1414</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2" t="s">
        <v>1419</v>
      </c>
      <c r="B25" s="308" t="s">
        <v>1420</v>
      </c>
      <c r="C25" s="24"/>
      <c r="D25" s="136" t="s">
        <v>1421</v>
      </c>
      <c r="E25" s="1541"/>
      <c r="F25" s="26"/>
      <c r="G25" s="1565"/>
      <c r="H25" s="1237" t="s">
        <v>999</v>
      </c>
      <c r="I25" s="1252" t="s">
        <v>1422</v>
      </c>
      <c r="J25" s="316">
        <f ca="1">J5-J16</f>
        <v>-230</v>
      </c>
      <c r="K25" s="1253" t="s">
        <v>1423</v>
      </c>
      <c r="L25" s="1254"/>
      <c r="M25" s="1255"/>
    </row>
    <row r="26" spans="1:37">
      <c r="A26" s="1112" t="s">
        <v>1002</v>
      </c>
      <c r="B26" s="308" t="s">
        <v>1424</v>
      </c>
      <c r="C26" s="24">
        <f ca="1">ROUND((C19+C20)*F26,0)</f>
        <v>2275</v>
      </c>
      <c r="D26" s="329" t="s">
        <v>1425</v>
      </c>
      <c r="E26" s="319" t="s">
        <v>1426</v>
      </c>
      <c r="F26" s="318">
        <f ca="1">INDIRECT("'数据-取费表'!q"&amp;$G$1)</f>
        <v>0.12</v>
      </c>
      <c r="G26" s="1565"/>
      <c r="H26" s="305" t="s">
        <v>1000</v>
      </c>
      <c r="I26" s="306" t="s">
        <v>1427</v>
      </c>
      <c r="J26" s="307">
        <f ca="1">IF(J5&lt;&gt;0,ROUND(J25*(1-((1+M28)/(1+M26))^M27)/(M26-M28),0),0)</f>
        <v>0</v>
      </c>
      <c r="K26" s="330" t="s">
        <v>1428</v>
      </c>
      <c r="L26" s="308" t="s">
        <v>1429</v>
      </c>
      <c r="M26" s="318">
        <f ca="1">INDIRECT("'数据-取费表'!I"&amp;$G$1)</f>
        <v>5.5E-2</v>
      </c>
    </row>
    <row r="27" spans="1:37" ht="18" customHeight="1">
      <c r="A27" s="1112" t="s">
        <v>1004</v>
      </c>
      <c r="B27" s="308" t="s">
        <v>1430</v>
      </c>
      <c r="C27" s="24">
        <f ca="1">ROUND(F21*F26,4)</f>
        <v>1.8E-3</v>
      </c>
      <c r="D27" s="329" t="s">
        <v>1431</v>
      </c>
      <c r="E27" s="326"/>
      <c r="F27" s="327"/>
      <c r="G27" s="1565"/>
      <c r="H27" s="310"/>
      <c r="I27" s="311"/>
      <c r="J27" s="312"/>
      <c r="K27" s="338" t="s">
        <v>1432</v>
      </c>
      <c r="L27" s="308" t="s">
        <v>1433</v>
      </c>
      <c r="M27" s="339">
        <f ca="1">INDIRECT("'数据-取费表'!ag"&amp;$G$1)</f>
        <v>0</v>
      </c>
    </row>
    <row r="28" spans="1:37" s="1578" customFormat="1" ht="18" customHeight="1">
      <c r="A28" s="1112" t="s">
        <v>1005</v>
      </c>
      <c r="B28" s="308" t="s">
        <v>1434</v>
      </c>
      <c r="C28" s="24">
        <f>ROUND(F28/(1+'数据-取费表'!C42),4)</f>
        <v>5.33E-2</v>
      </c>
      <c r="D28" s="329" t="s">
        <v>1435</v>
      </c>
      <c r="E28" s="308" t="s">
        <v>1381</v>
      </c>
      <c r="F28" s="328">
        <f>'数据-取费表'!B41</f>
        <v>5.6000000000000001E-2</v>
      </c>
      <c r="G28" s="1577"/>
      <c r="H28" s="314"/>
      <c r="I28" s="315"/>
      <c r="J28" s="316"/>
      <c r="K28" s="333"/>
      <c r="L28" s="308" t="s">
        <v>1436</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1437</v>
      </c>
      <c r="C29" s="1249">
        <f ca="1">ROUND((C19+C20+C23+C26)/(1-F21-C24-C27-C28),0)</f>
        <v>23739</v>
      </c>
      <c r="D29" s="1250"/>
      <c r="E29" s="1248"/>
      <c r="F29" s="1251"/>
      <c r="G29" s="1577"/>
      <c r="H29" s="340" t="s">
        <v>1001</v>
      </c>
      <c r="I29" s="341" t="s">
        <v>1438</v>
      </c>
      <c r="J29" s="342">
        <f ca="1">ROUND(J26/(1+F40)^F41,0)</f>
        <v>0</v>
      </c>
      <c r="K29" s="343" t="s">
        <v>1439</v>
      </c>
      <c r="L29" s="344"/>
      <c r="M29" s="345">
        <f ca="1">INDIRECT("'数据-取费表'!k"&amp;$G$1)</f>
        <v>32395.93</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1383</v>
      </c>
      <c r="C30" s="316">
        <f ca="1">ROUND(C31+C36+C37+C38,0)</f>
        <v>230</v>
      </c>
      <c r="D30" s="1245" t="s">
        <v>1384</v>
      </c>
      <c r="E30" s="1246"/>
      <c r="F30" s="1203"/>
      <c r="G30" s="1565"/>
      <c r="H30" s="2920"/>
      <c r="I30" s="1579"/>
      <c r="J30" s="1580"/>
      <c r="K30" s="2695"/>
      <c r="L30" s="2921"/>
      <c r="M30" s="2922"/>
    </row>
    <row r="31" spans="1:37" ht="18" customHeight="1">
      <c r="A31" s="1112" t="s">
        <v>1003</v>
      </c>
      <c r="B31" s="308" t="s">
        <v>1388</v>
      </c>
      <c r="C31" s="2531">
        <f ca="1">ROUND(IF(AND(项目基本情况!B11="自然人",项目基本情况!B10="北京市"),C6*F31/(1+'数据-取费表'!C42),C32+C33+C34),0)</f>
        <v>230</v>
      </c>
      <c r="D31" s="1526" t="s">
        <v>1389</v>
      </c>
      <c r="E31" s="1525" t="s">
        <v>1440</v>
      </c>
      <c r="F31" s="2530" t="str">
        <f>IF(项目基本情况!B11="企业","——",IF('数据-取费表'!B10="住宅",IF(F6*F7*F8/12/(1+'数据-取费表'!F30)&gt;100000,4%,2.5%),IF(F6*F7*F8/12/(1+'数据-取费表'!F30)&gt;100000,12%,7%)))</f>
        <v>——</v>
      </c>
      <c r="G31" s="1565"/>
      <c r="H31" s="3033" t="s">
        <v>3048</v>
      </c>
      <c r="I31" s="1579"/>
      <c r="J31" s="1580"/>
      <c r="K31" s="2695"/>
      <c r="L31" s="2921"/>
      <c r="M31" s="2922"/>
    </row>
    <row r="32" spans="1:37" ht="18" customHeight="1">
      <c r="A32" s="1112" t="s">
        <v>1002</v>
      </c>
      <c r="B32" s="308" t="s">
        <v>1392</v>
      </c>
      <c r="C32" s="24">
        <f ca="1">IF(项目基本情况!B11="自然人","——",ROUND(C6*F32/(1+'数据-取费表'!C42),2))</f>
        <v>0</v>
      </c>
      <c r="D32" s="1525" t="s">
        <v>1393</v>
      </c>
      <c r="E32" s="308" t="s">
        <v>1381</v>
      </c>
      <c r="F32" s="337">
        <f>'数据-取费表'!B41</f>
        <v>5.6000000000000001E-2</v>
      </c>
      <c r="G32" s="1565"/>
      <c r="H32" s="2920"/>
      <c r="I32" s="1579"/>
      <c r="J32" s="1580"/>
      <c r="K32" s="2695"/>
      <c r="L32" s="2921"/>
      <c r="M32" s="2922"/>
    </row>
    <row r="33" spans="1:18" ht="18" customHeight="1">
      <c r="A33" s="1112" t="s">
        <v>1004</v>
      </c>
      <c r="B33" s="308" t="s">
        <v>1396</v>
      </c>
      <c r="C33" s="24">
        <f ca="1">IF(项目基本情况!B11="自然人","——",IF(D33="按租金收入计税",ROUND(C6*F33/(1+'数据-取费表'!C42),2),IF(D33="按房产原值计税",ROUND(C29*F33*0.7,2),INDIRECT("'数据-取费表'!Aj"&amp;$G$1))))</f>
        <v>199.41</v>
      </c>
      <c r="D33" s="1551" t="s">
        <v>3423</v>
      </c>
      <c r="E33" s="308" t="s">
        <v>1381</v>
      </c>
      <c r="F33" s="328">
        <f>IF(D33="按票据","——",IF(D33="按租金收入计税",'数据-取费表'!B51,'数据-取费表'!B50))</f>
        <v>1.2E-2</v>
      </c>
      <c r="G33" s="1565"/>
      <c r="H33" s="2923"/>
      <c r="I33" s="1579">
        <f>酒店收入计算!C27+温泉乐园收入计算!C27</f>
        <v>7388</v>
      </c>
      <c r="J33" s="1580">
        <f ca="1">I34+I35+I36+I37</f>
        <v>4518</v>
      </c>
      <c r="K33" s="3114">
        <f ca="1">J33/I33</f>
        <v>0.61153221440173255</v>
      </c>
      <c r="L33" s="2923"/>
      <c r="M33" s="2923"/>
    </row>
    <row r="34" spans="1:18" ht="18" customHeight="1">
      <c r="A34" s="1200" t="s">
        <v>1348</v>
      </c>
      <c r="B34" s="160" t="s">
        <v>1400</v>
      </c>
      <c r="C34" s="25">
        <f ca="1">IF(项目基本情况!B11="自然人","——",ROUND(F34*F35/10000,2))</f>
        <v>30.46</v>
      </c>
      <c r="D34" s="330" t="s">
        <v>1401</v>
      </c>
      <c r="E34" s="308" t="s">
        <v>1402</v>
      </c>
      <c r="F34" s="331">
        <f>'数据-取费表'!B52</f>
        <v>10</v>
      </c>
      <c r="G34" s="1565"/>
      <c r="H34" s="2920"/>
      <c r="I34" s="1579">
        <f>酒店收入计算!C30+温泉乐园收入计算!C30</f>
        <v>1622</v>
      </c>
      <c r="J34" s="1580"/>
      <c r="K34" s="3115">
        <f>I34/I33</f>
        <v>0.21954520844612885</v>
      </c>
      <c r="L34" s="2926"/>
      <c r="M34" s="2926"/>
    </row>
    <row r="35" spans="1:18" ht="18" customHeight="1">
      <c r="A35" s="1261"/>
      <c r="B35" s="1259"/>
      <c r="C35" s="29"/>
      <c r="D35" s="333"/>
      <c r="E35" s="308" t="s">
        <v>1406</v>
      </c>
      <c r="F35" s="309">
        <f ca="1">INDIRECT("'数据-取费表'!r"&amp;$G$1)</f>
        <v>30456.370000000003</v>
      </c>
      <c r="G35" s="1565"/>
      <c r="H35" s="2920"/>
      <c r="I35" s="1579">
        <f>酒店收入计算!C31+温泉乐园收入计算!C31</f>
        <v>2072</v>
      </c>
      <c r="J35" s="1580"/>
      <c r="K35" s="3114">
        <f>I35/I33</f>
        <v>0.28045479155387115</v>
      </c>
      <c r="L35" s="2923"/>
      <c r="M35" s="2923"/>
    </row>
    <row r="36" spans="1:18" ht="18" customHeight="1">
      <c r="A36" s="1260" t="s">
        <v>1007</v>
      </c>
      <c r="B36" s="308" t="s">
        <v>1408</v>
      </c>
      <c r="C36" s="2531"/>
      <c r="D36" s="1525" t="s">
        <v>1441</v>
      </c>
      <c r="E36" s="308" t="s">
        <v>1381</v>
      </c>
      <c r="F36" s="334">
        <f ca="1">INDIRECT("'数据-取费表'!Ak"&amp;$G$1)</f>
        <v>0</v>
      </c>
      <c r="G36" s="1565"/>
      <c r="H36" s="2923"/>
      <c r="I36" s="1579">
        <f>酒店收入计算!C32+温泉乐园收入计算!C32</f>
        <v>594</v>
      </c>
      <c r="J36" s="1580"/>
      <c r="K36" s="3116">
        <f>I36/I33</f>
        <v>8.0400649702219815E-2</v>
      </c>
      <c r="L36" s="2923"/>
      <c r="M36" s="2923"/>
    </row>
    <row r="37" spans="1:18" ht="18" customHeight="1">
      <c r="A37" s="1112" t="s">
        <v>1043</v>
      </c>
      <c r="B37" s="308" t="s">
        <v>1412</v>
      </c>
      <c r="C37" s="2531"/>
      <c r="D37" s="1525" t="s">
        <v>1413</v>
      </c>
      <c r="E37" s="308" t="s">
        <v>1414</v>
      </c>
      <c r="F37" s="336">
        <f ca="1">INDIRECT("'数据-取费表'!Al"&amp;$G$1)</f>
        <v>0</v>
      </c>
      <c r="G37" s="1565"/>
      <c r="H37" s="2923"/>
      <c r="I37" s="1579">
        <f ca="1">C30</f>
        <v>230</v>
      </c>
      <c r="J37" s="1580"/>
      <c r="K37" s="3116">
        <f ca="1">I37/I33</f>
        <v>3.1131564699512723E-2</v>
      </c>
      <c r="L37" s="2923"/>
      <c r="M37" s="2923"/>
    </row>
    <row r="38" spans="1:18" ht="18" customHeight="1" thickBot="1">
      <c r="A38" s="1247" t="s">
        <v>1352</v>
      </c>
      <c r="B38" s="1248" t="s">
        <v>1398</v>
      </c>
      <c r="C38" s="3107"/>
      <c r="D38" s="1250" t="s">
        <v>1418</v>
      </c>
      <c r="E38" s="1248" t="s">
        <v>1414</v>
      </c>
      <c r="F38" s="1244">
        <f ca="1">INDIRECT("'数据-取费表'!Am"&amp;$G$1)</f>
        <v>0</v>
      </c>
      <c r="G38" s="1565"/>
      <c r="H38" s="2923"/>
      <c r="I38" s="1579"/>
      <c r="J38" s="1580"/>
      <c r="K38" s="2927"/>
      <c r="L38" s="2923"/>
      <c r="M38" s="2923"/>
    </row>
    <row r="39" spans="1:18" ht="24.6" customHeight="1" thickTop="1">
      <c r="A39" s="1237" t="s">
        <v>999</v>
      </c>
      <c r="B39" s="1252" t="s">
        <v>1442</v>
      </c>
      <c r="C39" s="316">
        <f ca="1">C5-C30</f>
        <v>-230</v>
      </c>
      <c r="D39" s="1253" t="s">
        <v>1443</v>
      </c>
      <c r="E39" s="1254"/>
      <c r="F39" s="1255"/>
      <c r="G39" s="1565"/>
      <c r="H39" s="2923"/>
      <c r="I39" s="1579"/>
      <c r="J39" s="1580"/>
      <c r="K39" s="2927"/>
      <c r="L39" s="2923"/>
      <c r="M39" s="2923"/>
    </row>
    <row r="40" spans="1:18" ht="18" customHeight="1">
      <c r="A40" s="305" t="s">
        <v>1000</v>
      </c>
      <c r="B40" s="306" t="s">
        <v>1444</v>
      </c>
      <c r="C40" s="307">
        <f ca="1">ROUND(C39*(1-((1+F42)/(1+F40))^F41)/(F40-F42),0)</f>
        <v>-4674</v>
      </c>
      <c r="D40" s="330" t="s">
        <v>1428</v>
      </c>
      <c r="E40" s="308" t="s">
        <v>1429</v>
      </c>
      <c r="F40" s="318">
        <f ca="1">INDIRECT("'数据-取费表'!I"&amp;$G$1)</f>
        <v>5.5E-2</v>
      </c>
      <c r="G40" s="1565"/>
      <c r="H40" s="1642"/>
      <c r="I40" s="1579"/>
      <c r="J40" s="1580"/>
      <c r="K40" s="2927"/>
      <c r="L40" s="1642"/>
      <c r="M40" s="1642"/>
    </row>
    <row r="41" spans="1:18" ht="18" customHeight="1">
      <c r="A41" s="310"/>
      <c r="B41" s="311"/>
      <c r="C41" s="312"/>
      <c r="D41" s="338" t="s">
        <v>1445</v>
      </c>
      <c r="E41" s="308" t="s">
        <v>1433</v>
      </c>
      <c r="F41" s="339">
        <f ca="1">IF(INDIRECT("'数据-取费表'!af"&amp;$G$1)=0,INDIRECT("'数据-取费表'!ae"&amp;$G$1),INDIRECT("'数据-取费表'!af"&amp;$G$1))</f>
        <v>32.61</v>
      </c>
      <c r="G41" s="1565"/>
      <c r="H41" s="1351"/>
      <c r="I41" s="1579"/>
      <c r="J41" s="1580"/>
      <c r="K41" s="2764"/>
      <c r="L41" s="1351"/>
      <c r="M41" s="1351"/>
    </row>
    <row r="42" spans="1:18" ht="18" customHeight="1">
      <c r="A42" s="314"/>
      <c r="B42" s="315"/>
      <c r="C42" s="316"/>
      <c r="D42" s="333"/>
      <c r="E42" s="308" t="s">
        <v>1436</v>
      </c>
      <c r="F42" s="318">
        <f ca="1">INDIRECT("'数据-取费表'!v"&amp;$G$1)</f>
        <v>2.5000000000000001E-2</v>
      </c>
      <c r="G42" s="1565"/>
      <c r="H42" s="1351"/>
      <c r="I42" s="1579"/>
      <c r="J42" s="1580"/>
      <c r="K42" s="2764"/>
      <c r="L42" s="1351"/>
      <c r="M42" s="1351"/>
    </row>
    <row r="43" spans="1:18" ht="18" customHeight="1" thickBot="1">
      <c r="A43" s="340" t="s">
        <v>1001</v>
      </c>
      <c r="B43" s="341" t="s">
        <v>1446</v>
      </c>
      <c r="C43" s="342">
        <f ca="1">ROUND(C40*10000/F43,0)</f>
        <v>-1443</v>
      </c>
      <c r="D43" s="343" t="s">
        <v>1447</v>
      </c>
      <c r="E43" s="344" t="s">
        <v>1448</v>
      </c>
      <c r="F43" s="345">
        <f ca="1">INDIRECT("'数据-取费表'!k"&amp;$G$1)</f>
        <v>32395.93</v>
      </c>
      <c r="G43" s="1565"/>
      <c r="H43" s="1351"/>
      <c r="I43" s="1351"/>
      <c r="J43" s="1351"/>
      <c r="K43" s="2764"/>
      <c r="L43" s="1351"/>
      <c r="M43" s="1351"/>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8" t="s">
        <v>1478</v>
      </c>
      <c r="P45" s="1642"/>
      <c r="Q45" s="1642"/>
      <c r="R45" s="1642"/>
    </row>
    <row r="46" spans="1:18" s="1565" customFormat="1" ht="13.5" thickBot="1">
      <c r="A46" s="1585" t="s">
        <v>1479</v>
      </c>
      <c r="C46" s="1586">
        <f ca="1">C68-C40</f>
        <v>1222</v>
      </c>
      <c r="D46" s="1587" t="str">
        <f>C2</f>
        <v>万元</v>
      </c>
      <c r="E46" s="1581"/>
      <c r="F46" s="1581"/>
      <c r="I46" s="1588" t="s">
        <v>1480</v>
      </c>
      <c r="J46" s="1589"/>
      <c r="K46" s="1590"/>
      <c r="L46" s="1591" t="str">
        <f ca="1">IF(M47="住宅",0,IF(L48&gt;J51,L60,J60))</f>
        <v>0</v>
      </c>
      <c r="O46" s="1592" t="s">
        <v>1481</v>
      </c>
      <c r="P46" s="1593" t="s">
        <v>1482</v>
      </c>
      <c r="Q46" s="1594" t="s">
        <v>1483</v>
      </c>
      <c r="R46" s="1594" t="s">
        <v>1484</v>
      </c>
    </row>
    <row r="47" spans="1:18" s="1565" customFormat="1" ht="13.5" thickBot="1">
      <c r="A47" s="1076" t="s">
        <v>1355</v>
      </c>
      <c r="B47" s="1108" t="s">
        <v>1356</v>
      </c>
      <c r="C47" s="1275" t="s">
        <v>1357</v>
      </c>
      <c r="D47" s="1108" t="s">
        <v>1358</v>
      </c>
      <c r="E47" s="1188" t="s">
        <v>1359</v>
      </c>
      <c r="F47" s="1189"/>
      <c r="G47" s="730"/>
      <c r="I47" s="1595" t="s">
        <v>1485</v>
      </c>
      <c r="J47" s="1596" t="s">
        <v>3087</v>
      </c>
      <c r="K47" s="1597" t="s">
        <v>1486</v>
      </c>
      <c r="L47" s="1598">
        <f ca="1">INDIRECT("'数据-取费表'!d"&amp;$G$1)</f>
        <v>40</v>
      </c>
      <c r="M47" s="1561" t="str">
        <f>IF(ISNUMBER(FIND("住宅",C1)),"住宅","非住宅")</f>
        <v>非住宅</v>
      </c>
      <c r="O47" s="1599" t="s">
        <v>1008</v>
      </c>
      <c r="P47" s="1600" t="s">
        <v>1487</v>
      </c>
      <c r="Q47" s="1601">
        <f ca="1">C40+J29</f>
        <v>-4674</v>
      </c>
      <c r="R47" s="1601" t="s">
        <v>1488</v>
      </c>
    </row>
    <row r="48" spans="1:18" s="1565" customFormat="1" ht="28.5" thickBot="1">
      <c r="A48" s="1268" t="s">
        <v>1097</v>
      </c>
      <c r="B48" s="306" t="s">
        <v>1360</v>
      </c>
      <c r="C48" s="1540">
        <f ca="1">C49+C53+C55</f>
        <v>0</v>
      </c>
      <c r="D48" s="1270"/>
      <c r="E48" s="1271"/>
      <c r="F48" s="1092"/>
      <c r="G48" s="730"/>
      <c r="H48" s="731"/>
      <c r="I48" s="1602" t="s">
        <v>1489</v>
      </c>
      <c r="J48" s="1603" t="s">
        <v>3088</v>
      </c>
      <c r="K48" s="1604" t="s">
        <v>1490</v>
      </c>
      <c r="L48" s="1605">
        <f ca="1">INDIRECT("'数据-取费表'!f"&amp;$G$1)</f>
        <v>32.61</v>
      </c>
      <c r="O48" s="1599" t="s">
        <v>1009</v>
      </c>
      <c r="P48" s="1600" t="s">
        <v>1491</v>
      </c>
      <c r="Q48" s="1601" t="str">
        <f ca="1">J60</f>
        <v>0</v>
      </c>
      <c r="R48" s="1601" t="s">
        <v>1492</v>
      </c>
    </row>
    <row r="49" spans="1:18" s="1565" customFormat="1" ht="13.5" thickBot="1">
      <c r="A49" s="1105" t="s">
        <v>1098</v>
      </c>
      <c r="B49" s="1552" t="s">
        <v>1449</v>
      </c>
      <c r="C49" s="1272">
        <f ca="1">ROUND(F49*F51*F50*(1-F52)/10000,0)</f>
        <v>0</v>
      </c>
      <c r="D49" s="1185" t="s">
        <v>2844</v>
      </c>
      <c r="E49" s="1553" t="s">
        <v>1450</v>
      </c>
      <c r="F49" s="1190"/>
      <c r="G49" s="1606"/>
      <c r="H49" s="731"/>
      <c r="I49" s="1602" t="s">
        <v>1493</v>
      </c>
      <c r="J49" s="1607">
        <v>2019</v>
      </c>
      <c r="K49" s="1604" t="s">
        <v>1494</v>
      </c>
      <c r="L49" s="1608"/>
      <c r="O49" s="1609" t="s">
        <v>1010</v>
      </c>
      <c r="P49" s="1600" t="s">
        <v>1495</v>
      </c>
      <c r="Q49" s="1601">
        <f ca="1">C29</f>
        <v>23739</v>
      </c>
      <c r="R49" s="1601" t="s">
        <v>1488</v>
      </c>
    </row>
    <row r="50" spans="1:18" s="1565" customFormat="1" ht="13.5" thickBot="1">
      <c r="A50" s="1106"/>
      <c r="B50" s="1109"/>
      <c r="C50" s="1276"/>
      <c r="D50" s="1083"/>
      <c r="E50" s="1186" t="s">
        <v>1365</v>
      </c>
      <c r="F50" s="1187">
        <f ca="1">F7</f>
        <v>1</v>
      </c>
      <c r="H50" s="731"/>
      <c r="I50" s="1602" t="s">
        <v>1496</v>
      </c>
      <c r="J50" s="1610">
        <f>SUMPRODUCT((I63:I65=J47)*(J62:L62=J48)*(J63:L65))</f>
        <v>60</v>
      </c>
      <c r="K50" s="1604" t="s">
        <v>1497</v>
      </c>
      <c r="L50" s="1608"/>
      <c r="M50" s="1611"/>
      <c r="O50" s="1609" t="s">
        <v>1011</v>
      </c>
      <c r="P50" s="1600" t="s">
        <v>1498</v>
      </c>
      <c r="Q50" s="1612" t="e">
        <f ca="1">J58</f>
        <v>#VALUE!</v>
      </c>
      <c r="R50" s="1601"/>
    </row>
    <row r="51" spans="1:18" s="1565" customFormat="1" ht="13.5" thickBot="1">
      <c r="A51" s="1107"/>
      <c r="B51" s="1109"/>
      <c r="C51" s="1110"/>
      <c r="D51" s="1083"/>
      <c r="E51" s="1111" t="s">
        <v>1366</v>
      </c>
      <c r="F51" s="309">
        <f ca="1">F8</f>
        <v>1</v>
      </c>
      <c r="I51" s="1613" t="s">
        <v>1499</v>
      </c>
      <c r="J51" s="1614">
        <f>IF(J49="",J50,J49+J50-YEAR('数据-取费表'!B2))</f>
        <v>58</v>
      </c>
      <c r="K51" s="1615" t="s">
        <v>1500</v>
      </c>
      <c r="L51" s="1616">
        <f ca="1">ROUND(-PV(INDIRECT("'数据-取费表'!h"&amp;$G$1),J51,(C39-C13*C76),0),0)</f>
        <v>-36830</v>
      </c>
      <c r="M51" s="1617"/>
      <c r="O51" s="1609" t="s">
        <v>1012</v>
      </c>
      <c r="P51" s="1600" t="s">
        <v>1501</v>
      </c>
      <c r="Q51" s="1612">
        <f>J52</f>
        <v>0.09</v>
      </c>
      <c r="R51" s="1601"/>
    </row>
    <row r="52" spans="1:18" s="1565" customFormat="1" ht="13.5" thickBot="1">
      <c r="A52" s="1107"/>
      <c r="B52" s="1109"/>
      <c r="C52" s="1110"/>
      <c r="D52" s="1083"/>
      <c r="E52" s="1111" t="s">
        <v>1367</v>
      </c>
      <c r="F52" s="1184"/>
      <c r="I52" s="1618" t="s">
        <v>1502</v>
      </c>
      <c r="J52" s="1619">
        <v>0.09</v>
      </c>
      <c r="K52" s="1618" t="s">
        <v>1503</v>
      </c>
      <c r="L52" s="1619"/>
      <c r="O52" s="1609" t="s">
        <v>1013</v>
      </c>
      <c r="P52" s="1600" t="s">
        <v>1504</v>
      </c>
      <c r="Q52" s="1601">
        <f ca="1">J53</f>
        <v>32.61</v>
      </c>
      <c r="R52" s="1601" t="s">
        <v>1505</v>
      </c>
    </row>
    <row r="53" spans="1:18" s="1565" customFormat="1" ht="24.75" thickBot="1">
      <c r="A53" s="1312" t="s">
        <v>1099</v>
      </c>
      <c r="B53" s="1554" t="s">
        <v>1368</v>
      </c>
      <c r="C53" s="322">
        <f ca="1">ROUND(IF(F53="押一",C49/12*F11,IF(F53="押二",C49/12*2*F11,IF(F53="押三",C49/12*3*F11,C54*F11))),0)</f>
        <v>0</v>
      </c>
      <c r="D53" s="1547" t="s">
        <v>2850</v>
      </c>
      <c r="E53" s="319" t="s">
        <v>1369</v>
      </c>
      <c r="F53" s="1274"/>
      <c r="I53" s="1620" t="s">
        <v>1506</v>
      </c>
      <c r="J53" s="2383">
        <f ca="1">IF(M47="住宅",IF(D1="——",MAX(J51,L48),MAX(J51,L48-'数据-取费表'!B24)),IF(D1="——",MIN(J51,L48),MIN(J51,L48-'数据-取费表'!B24)))</f>
        <v>32.61</v>
      </c>
      <c r="K53" s="3537" t="s">
        <v>1507</v>
      </c>
      <c r="L53" s="3538"/>
      <c r="O53" s="1599" t="s">
        <v>1014</v>
      </c>
      <c r="P53" s="1600" t="s">
        <v>1508</v>
      </c>
      <c r="Q53" s="1601">
        <f ca="1">Q47+Q48</f>
        <v>-4674</v>
      </c>
      <c r="R53" s="1601" t="s">
        <v>1015</v>
      </c>
    </row>
    <row r="54" spans="1:18" s="1565" customFormat="1" ht="13.5" thickBot="1">
      <c r="A54" s="1313"/>
      <c r="B54" s="1548" t="s">
        <v>1347</v>
      </c>
      <c r="C54" s="1089"/>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1509</v>
      </c>
      <c r="P54" s="1562"/>
      <c r="Q54" s="1562"/>
      <c r="R54" s="1562"/>
    </row>
    <row r="55" spans="1:18" s="1565" customFormat="1" ht="13.5" thickBot="1">
      <c r="A55" s="1241" t="s">
        <v>1043</v>
      </c>
      <c r="B55" s="1550" t="s">
        <v>1372</v>
      </c>
      <c r="C55" s="1242"/>
      <c r="D55" s="1547"/>
      <c r="E55" s="1555"/>
      <c r="F55" s="1621"/>
      <c r="I55" s="1624" t="s">
        <v>1510</v>
      </c>
      <c r="J55" s="1625" t="e">
        <f ca="1">ROUND(IF(J47="钢混",J57/J50,1-(1-2%)*(J50-J57)/J50),3)</f>
        <v>#VALUE!</v>
      </c>
      <c r="K55" s="1626" t="s">
        <v>1511</v>
      </c>
      <c r="L55" s="1627" t="s">
        <v>1512</v>
      </c>
      <c r="O55" s="1592" t="s">
        <v>1481</v>
      </c>
      <c r="P55" s="1593" t="s">
        <v>1482</v>
      </c>
      <c r="Q55" s="1594" t="s">
        <v>1483</v>
      </c>
      <c r="R55" s="1594" t="s">
        <v>1484</v>
      </c>
    </row>
    <row r="56" spans="1:18" s="1565" customFormat="1" ht="25.5" thickTop="1" thickBot="1">
      <c r="A56" s="1087">
        <v>2</v>
      </c>
      <c r="B56" s="1088" t="s">
        <v>1373</v>
      </c>
      <c r="C56" s="238">
        <f ca="1">C13</f>
        <v>23027</v>
      </c>
      <c r="D56" s="1628"/>
      <c r="E56" s="1629"/>
      <c r="F56" s="1621"/>
      <c r="I56" s="1630" t="s">
        <v>1513</v>
      </c>
      <c r="J56" s="1631" t="s">
        <v>3083</v>
      </c>
      <c r="K56" s="1602" t="s">
        <v>1514</v>
      </c>
      <c r="L56" s="1605" t="str">
        <f ca="1">IF(L48&lt;J51,"——",L48-J53)</f>
        <v>——</v>
      </c>
      <c r="O56" s="1599" t="s">
        <v>1008</v>
      </c>
      <c r="P56" s="1600" t="s">
        <v>1487</v>
      </c>
      <c r="Q56" s="1601">
        <f ca="1">C40+J29</f>
        <v>-4674</v>
      </c>
      <c r="R56" s="1601" t="s">
        <v>1488</v>
      </c>
    </row>
    <row r="57" spans="1:18" s="1565" customFormat="1" ht="24.75" thickBot="1">
      <c r="A57" s="1632"/>
      <c r="B57" s="1080" t="s">
        <v>1437</v>
      </c>
      <c r="C57" s="244">
        <f ca="1">C29</f>
        <v>23739</v>
      </c>
      <c r="D57" s="1633"/>
      <c r="E57" s="1634"/>
      <c r="F57" s="1635"/>
      <c r="I57" s="1636" t="s">
        <v>1515</v>
      </c>
      <c r="J57" s="1637" t="str">
        <f ca="1">IF(OR(M47="住宅",J51&lt;L48,J56="是"),"——",J51-L48)</f>
        <v>——</v>
      </c>
      <c r="K57" s="1602" t="s">
        <v>1516</v>
      </c>
      <c r="L57" s="1605" t="str">
        <f ca="1">IF(L48&lt;J51,"——",IF(L55="比较法",L49,IF(L55="基准地价",L50,L51)))</f>
        <v>——</v>
      </c>
      <c r="O57" s="1599" t="s">
        <v>1009</v>
      </c>
      <c r="P57" s="1600" t="s">
        <v>1517</v>
      </c>
      <c r="Q57" s="1601">
        <f ca="1">L60</f>
        <v>0</v>
      </c>
      <c r="R57" s="1601" t="s">
        <v>1518</v>
      </c>
    </row>
    <row r="58" spans="1:18" s="1565" customFormat="1" ht="24.75" thickBot="1">
      <c r="A58" s="321" t="s">
        <v>998</v>
      </c>
      <c r="B58" s="1088" t="s">
        <v>1383</v>
      </c>
      <c r="C58" s="322">
        <f ca="1">ROUND(C59+C64+C65+C66,0)</f>
        <v>230</v>
      </c>
      <c r="D58" s="1090" t="s">
        <v>1384</v>
      </c>
      <c r="E58" s="1091"/>
      <c r="F58" s="1092"/>
      <c r="I58" s="1636" t="s">
        <v>1519</v>
      </c>
      <c r="J58" s="1638" t="e">
        <f ca="1">IF(J55&lt;0.4,0.4,J55)</f>
        <v>#VALUE!</v>
      </c>
      <c r="K58" s="1615" t="s">
        <v>1520</v>
      </c>
      <c r="L58" s="1605" t="e">
        <f ca="1">ROUND(POWER(1+L52,L47-L48)*(POWER(1+L52,L48)-1)/(POWER(1+L52,L47)-1),4)</f>
        <v>#DIV/0!</v>
      </c>
      <c r="O58" s="1609" t="s">
        <v>1010</v>
      </c>
      <c r="P58" s="1600" t="s">
        <v>1521</v>
      </c>
      <c r="Q58" s="1601">
        <f>IF(L55="比较法",L49,IF(L55="基准地价",L50,0))</f>
        <v>0</v>
      </c>
      <c r="R58" s="1601" t="s">
        <v>1488</v>
      </c>
    </row>
    <row r="59" spans="1:18" s="1565" customFormat="1" ht="24.75" thickBot="1">
      <c r="A59" s="1112" t="s">
        <v>1003</v>
      </c>
      <c r="B59" s="1080" t="s">
        <v>1388</v>
      </c>
      <c r="C59" s="2531">
        <f ca="1">ROUND(IF(AND(项目基本情况!B11="自然人",项目基本情况!B10="北京市"),C49*F59/(1+'数据-取费表'!C42),C60+C61+C62),0)</f>
        <v>230</v>
      </c>
      <c r="D59" s="1093" t="s">
        <v>1389</v>
      </c>
      <c r="E59" s="1094" t="s">
        <v>1390</v>
      </c>
      <c r="F59" s="2530" t="str">
        <f>IF(项目基本情况!B11="企业","——",IF('数据-取费表'!B10="住宅",IF(F49*F50*F51/12/(1+'数据-取费表'!F30)&gt;100000,4%,2.5%),IF(F49*F50*F51/12/(1+'数据-取费表'!F30)&gt;100000,12%,7%)))</f>
        <v>——</v>
      </c>
      <c r="I59" s="1636" t="s">
        <v>1522</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1523</v>
      </c>
      <c r="Q59" s="1612">
        <f>L52</f>
        <v>0</v>
      </c>
      <c r="R59" s="1601"/>
    </row>
    <row r="60" spans="1:18" s="1565" customFormat="1" ht="16.5" thickBot="1">
      <c r="A60" s="1112" t="s">
        <v>1002</v>
      </c>
      <c r="B60" s="1080" t="s">
        <v>1392</v>
      </c>
      <c r="C60" s="24">
        <f ca="1">IF(项目基本情况!B11="自然人","——",ROUND(C48*F60/(1+'数据-取费表'!C42),2))</f>
        <v>0</v>
      </c>
      <c r="D60" s="1094" t="s">
        <v>1393</v>
      </c>
      <c r="E60" s="1080" t="s">
        <v>1381</v>
      </c>
      <c r="F60" s="337">
        <f t="shared" ref="F60:F66" si="0">F32</f>
        <v>5.6000000000000001E-2</v>
      </c>
      <c r="I60" s="1639" t="s">
        <v>1524</v>
      </c>
      <c r="J60" s="1640" t="str">
        <f ca="1">IF(OR(M47="住宅",J51&lt;L48,J56="是"),"0",ROUND(J59/(1+J52)^J53,0))</f>
        <v>0</v>
      </c>
      <c r="K60" s="1641" t="s">
        <v>1525</v>
      </c>
      <c r="L60" s="1640">
        <f ca="1">IF(OR(M47="住宅",L48&lt;J51),0,ROUND(L57*(L58/L59-1),0))</f>
        <v>0</v>
      </c>
      <c r="O60" s="1609" t="s">
        <v>1012</v>
      </c>
      <c r="P60" s="1600" t="s">
        <v>1526</v>
      </c>
      <c r="Q60" s="1601" t="e">
        <f ca="1">L58</f>
        <v>#DIV/0!</v>
      </c>
      <c r="R60" s="1601" t="s">
        <v>1527</v>
      </c>
    </row>
    <row r="61" spans="1:18" s="1565" customFormat="1" ht="13.5" thickBot="1">
      <c r="A61" s="1112" t="s">
        <v>1451</v>
      </c>
      <c r="B61" s="1080" t="s">
        <v>1452</v>
      </c>
      <c r="C61" s="24">
        <f ca="1">IF(项目基本情况!B11="自然人","——",IF(D61="按租金收入计税",ROUND(C49*F61/(1+'数据-取费表'!C42),2),IF(D61="按房产原值计税",ROUND(C57*F61*0.7,2),INDIRECT("'数据-取费表'!Aj"&amp;$G$1))))</f>
        <v>199.41</v>
      </c>
      <c r="D61" s="1551" t="s">
        <v>1397</v>
      </c>
      <c r="E61" s="1080" t="s">
        <v>1453</v>
      </c>
      <c r="F61" s="328">
        <f t="shared" si="0"/>
        <v>1.2E-2</v>
      </c>
      <c r="I61" s="1642"/>
      <c r="J61" s="1642"/>
      <c r="K61" s="1642"/>
      <c r="L61" s="1642"/>
      <c r="O61" s="1609" t="s">
        <v>1013</v>
      </c>
      <c r="P61" s="1600" t="str">
        <f>K59</f>
        <v>建筑物剩余耐用年限下的土地年期修正系数Kn</v>
      </c>
      <c r="Q61" s="1601" t="e">
        <f ca="1">L59</f>
        <v>#DIV/0!</v>
      </c>
      <c r="R61" s="1601" t="s">
        <v>1528</v>
      </c>
    </row>
    <row r="62" spans="1:18" s="1565" customFormat="1" ht="13.5" thickBot="1">
      <c r="A62" s="1112" t="s">
        <v>1454</v>
      </c>
      <c r="B62" s="1079" t="s">
        <v>1455</v>
      </c>
      <c r="C62" s="25">
        <f ca="1">IF(项目基本情况!B11="自然人","——",ROUND(F62*F63/10000,2))</f>
        <v>30.46</v>
      </c>
      <c r="D62" s="1095" t="s">
        <v>1456</v>
      </c>
      <c r="E62" s="1080" t="s">
        <v>1457</v>
      </c>
      <c r="F62" s="331">
        <f t="shared" si="0"/>
        <v>10</v>
      </c>
      <c r="I62" s="1643" t="s">
        <v>1529</v>
      </c>
      <c r="J62" s="1644" t="s">
        <v>1530</v>
      </c>
      <c r="K62" s="1644" t="s">
        <v>1531</v>
      </c>
      <c r="L62" s="1644" t="s">
        <v>1532</v>
      </c>
      <c r="M62" s="1645" t="s">
        <v>1533</v>
      </c>
      <c r="O62" s="1599" t="s">
        <v>1014</v>
      </c>
      <c r="P62" s="1600" t="s">
        <v>1534</v>
      </c>
      <c r="Q62" s="1601">
        <f ca="1">Q56+Q57</f>
        <v>-4674</v>
      </c>
      <c r="R62" s="1601" t="s">
        <v>1015</v>
      </c>
    </row>
    <row r="63" spans="1:18" s="1565" customFormat="1" ht="13.5" thickBot="1">
      <c r="A63" s="332"/>
      <c r="B63" s="1086"/>
      <c r="C63" s="29"/>
      <c r="D63" s="1096"/>
      <c r="E63" s="1080" t="s">
        <v>1458</v>
      </c>
      <c r="F63" s="309">
        <f t="shared" ca="1" si="0"/>
        <v>30456.370000000003</v>
      </c>
      <c r="I63" s="1643" t="s">
        <v>1535</v>
      </c>
      <c r="J63" s="1644">
        <v>70</v>
      </c>
      <c r="K63" s="1644">
        <v>50</v>
      </c>
      <c r="L63" s="1644">
        <v>80</v>
      </c>
      <c r="M63" s="1646">
        <v>0.02</v>
      </c>
      <c r="O63" s="1584" t="s">
        <v>1536</v>
      </c>
      <c r="P63" s="1562"/>
      <c r="Q63" s="1562"/>
      <c r="R63" s="1562"/>
    </row>
    <row r="64" spans="1:18" s="1565" customFormat="1" ht="13.5" thickBot="1">
      <c r="A64" s="1112" t="s">
        <v>1459</v>
      </c>
      <c r="B64" s="1080" t="s">
        <v>1460</v>
      </c>
      <c r="C64" s="24">
        <f ca="1">ROUND(C57*F64,1)</f>
        <v>0</v>
      </c>
      <c r="D64" s="1094" t="s">
        <v>1461</v>
      </c>
      <c r="E64" s="1080" t="s">
        <v>1453</v>
      </c>
      <c r="F64" s="334">
        <f t="shared" ca="1" si="0"/>
        <v>0</v>
      </c>
      <c r="I64" s="1643" t="s">
        <v>1537</v>
      </c>
      <c r="J64" s="1644">
        <v>50</v>
      </c>
      <c r="K64" s="1644">
        <v>35</v>
      </c>
      <c r="L64" s="1644">
        <v>60</v>
      </c>
      <c r="M64" s="1645">
        <v>0</v>
      </c>
      <c r="O64" s="1592" t="s">
        <v>1481</v>
      </c>
      <c r="P64" s="1593" t="s">
        <v>1482</v>
      </c>
      <c r="Q64" s="1594" t="s">
        <v>1483</v>
      </c>
      <c r="R64" s="1594" t="s">
        <v>1484</v>
      </c>
    </row>
    <row r="65" spans="1:18" s="1565" customFormat="1" ht="13.5" thickBot="1">
      <c r="A65" s="1112" t="s">
        <v>1462</v>
      </c>
      <c r="B65" s="1080" t="s">
        <v>1412</v>
      </c>
      <c r="C65" s="24">
        <f ca="1">ROUND(C56*F65,1)</f>
        <v>0</v>
      </c>
      <c r="D65" s="1094" t="s">
        <v>1413</v>
      </c>
      <c r="E65" s="1080" t="s">
        <v>1414</v>
      </c>
      <c r="F65" s="336">
        <f t="shared" ca="1" si="0"/>
        <v>0</v>
      </c>
      <c r="I65" s="1643" t="s">
        <v>1538</v>
      </c>
      <c r="J65" s="1644">
        <v>40</v>
      </c>
      <c r="K65" s="1644">
        <v>30</v>
      </c>
      <c r="L65" s="1644">
        <v>50</v>
      </c>
      <c r="M65" s="1646">
        <v>0.02</v>
      </c>
      <c r="O65" s="1599" t="s">
        <v>1008</v>
      </c>
      <c r="P65" s="1600" t="s">
        <v>1539</v>
      </c>
      <c r="Q65" s="1601">
        <f ca="1">C40+J29</f>
        <v>-4674</v>
      </c>
      <c r="R65" s="1601" t="s">
        <v>1488</v>
      </c>
    </row>
    <row r="66" spans="1:18" s="1565" customFormat="1" ht="16.5" thickBot="1">
      <c r="A66" s="1112" t="s">
        <v>1463</v>
      </c>
      <c r="B66" s="1080" t="s">
        <v>1398</v>
      </c>
      <c r="C66" s="24">
        <f ca="1">ROUND(C48*F66,1)</f>
        <v>0</v>
      </c>
      <c r="D66" s="1094" t="s">
        <v>1464</v>
      </c>
      <c r="E66" s="1080" t="s">
        <v>1381</v>
      </c>
      <c r="F66" s="318">
        <f t="shared" ca="1" si="0"/>
        <v>0</v>
      </c>
      <c r="O66" s="1599" t="s">
        <v>1009</v>
      </c>
      <c r="P66" s="1600" t="s">
        <v>1517</v>
      </c>
      <c r="Q66" s="1601">
        <f ca="1">L60</f>
        <v>0</v>
      </c>
      <c r="R66" s="1601" t="s">
        <v>1540</v>
      </c>
    </row>
    <row r="67" spans="1:18" s="1565" customFormat="1" ht="16.5" thickBot="1">
      <c r="A67" s="1087" t="s">
        <v>999</v>
      </c>
      <c r="B67" s="1097" t="s">
        <v>1422</v>
      </c>
      <c r="C67" s="322">
        <f ca="1">C48-C58</f>
        <v>-230</v>
      </c>
      <c r="D67" s="1093" t="s">
        <v>1423</v>
      </c>
      <c r="E67" s="1098"/>
      <c r="F67" s="1099"/>
      <c r="O67" s="1609" t="s">
        <v>1010</v>
      </c>
      <c r="P67" s="1600" t="s">
        <v>1521</v>
      </c>
      <c r="Q67" s="1647">
        <f ca="1">L51</f>
        <v>-36830</v>
      </c>
      <c r="R67" s="1601" t="s">
        <v>1541</v>
      </c>
    </row>
    <row r="68" spans="1:18" s="1565" customFormat="1" ht="16.5" thickBot="1">
      <c r="A68" s="1077" t="s">
        <v>1000</v>
      </c>
      <c r="B68" s="1078" t="s">
        <v>1444</v>
      </c>
      <c r="C68" s="307">
        <f ca="1">ROUND(C67*(1-((1+F70)/(1+F68))^F69)/(F68-F70),0)</f>
        <v>-3452</v>
      </c>
      <c r="D68" s="1095" t="s">
        <v>1428</v>
      </c>
      <c r="E68" s="1080" t="s">
        <v>1429</v>
      </c>
      <c r="F68" s="318">
        <f ca="1">F40</f>
        <v>5.5E-2</v>
      </c>
      <c r="O68" s="1609" t="s">
        <v>1011</v>
      </c>
      <c r="P68" s="1648" t="s">
        <v>1542</v>
      </c>
      <c r="Q68" s="1601">
        <f ca="1">ROUND(Q69-Q70*Q71,0)</f>
        <v>-1957</v>
      </c>
      <c r="R68" s="1601" t="s">
        <v>1019</v>
      </c>
    </row>
    <row r="69" spans="1:18" s="1565" customFormat="1" ht="13.5" thickBot="1">
      <c r="A69" s="1081"/>
      <c r="B69" s="1082"/>
      <c r="C69" s="312"/>
      <c r="D69" s="1100" t="s">
        <v>1432</v>
      </c>
      <c r="E69" s="1080" t="s">
        <v>1433</v>
      </c>
      <c r="F69" s="339">
        <f ca="1">F41</f>
        <v>32.61</v>
      </c>
      <c r="O69" s="1609" t="s">
        <v>1016</v>
      </c>
      <c r="P69" s="1648" t="s">
        <v>1543</v>
      </c>
      <c r="Q69" s="1601">
        <f ca="1">C39</f>
        <v>-230</v>
      </c>
      <c r="R69" s="1601" t="s">
        <v>1488</v>
      </c>
    </row>
    <row r="70" spans="1:18" s="1565" customFormat="1" ht="13.5" thickBot="1">
      <c r="A70" s="1084"/>
      <c r="B70" s="1085"/>
      <c r="C70" s="316"/>
      <c r="D70" s="1096"/>
      <c r="E70" s="1080" t="s">
        <v>1436</v>
      </c>
      <c r="F70" s="1184"/>
      <c r="O70" s="1609" t="s">
        <v>1017</v>
      </c>
      <c r="P70" s="1648" t="s">
        <v>1544</v>
      </c>
      <c r="Q70" s="1601">
        <f ca="1">C13</f>
        <v>23027</v>
      </c>
      <c r="R70" s="1601" t="s">
        <v>1488</v>
      </c>
    </row>
    <row r="71" spans="1:18" s="1565" customFormat="1" ht="13.5" thickBot="1">
      <c r="A71" s="1101" t="s">
        <v>1001</v>
      </c>
      <c r="B71" s="1102" t="s">
        <v>1446</v>
      </c>
      <c r="C71" s="342">
        <f ca="1">ROUND(C68*10000/F71,0)</f>
        <v>-1066</v>
      </c>
      <c r="D71" s="1103" t="s">
        <v>1447</v>
      </c>
      <c r="E71" s="1104" t="s">
        <v>1448</v>
      </c>
      <c r="F71" s="345">
        <f ca="1">F43</f>
        <v>32395.93</v>
      </c>
      <c r="O71" s="1609" t="s">
        <v>1018</v>
      </c>
      <c r="P71" s="1648" t="s">
        <v>1545</v>
      </c>
      <c r="Q71" s="1612">
        <f ca="1">C76</f>
        <v>7.4999999999999997E-2</v>
      </c>
      <c r="R71" s="1601"/>
    </row>
    <row r="72" spans="1:18" s="1565" customFormat="1" ht="13.5" thickBot="1">
      <c r="B72" s="734"/>
      <c r="C72" s="734"/>
      <c r="O72" s="1609" t="s">
        <v>1012</v>
      </c>
      <c r="P72" s="1600" t="s">
        <v>1523</v>
      </c>
      <c r="Q72" s="1612">
        <f>L52</f>
        <v>0</v>
      </c>
      <c r="R72" s="1601"/>
    </row>
    <row r="73" spans="1:18" ht="16.5" thickBot="1">
      <c r="A73" s="1565"/>
      <c r="B73" s="734"/>
      <c r="C73" s="734"/>
      <c r="D73" s="1565"/>
      <c r="E73" s="1565"/>
      <c r="F73" s="1565"/>
      <c r="O73" s="1609" t="s">
        <v>1013</v>
      </c>
      <c r="P73" s="1600" t="s">
        <v>1526</v>
      </c>
      <c r="Q73" s="1601" t="e">
        <f ca="1">L58</f>
        <v>#DIV/0!</v>
      </c>
      <c r="R73" s="1601" t="s">
        <v>1527</v>
      </c>
    </row>
    <row r="74" spans="1:18" ht="13.5" thickBot="1">
      <c r="A74" s="1565"/>
      <c r="B74" s="279" t="s">
        <v>1546</v>
      </c>
      <c r="C74" s="1650"/>
      <c r="D74" s="1565"/>
      <c r="E74" s="1565"/>
      <c r="F74" s="1565"/>
      <c r="O74" s="1609" t="s">
        <v>1020</v>
      </c>
      <c r="P74" s="1600" t="str">
        <f>K59</f>
        <v>建筑物剩余耐用年限下的土地年期修正系数Kn</v>
      </c>
      <c r="Q74" s="1601" t="e">
        <f ca="1">L59</f>
        <v>#DIV/0!</v>
      </c>
      <c r="R74" s="1601" t="s">
        <v>1528</v>
      </c>
    </row>
    <row r="75" spans="1:18" ht="13.5" thickBot="1">
      <c r="A75" s="1565"/>
      <c r="B75" s="346" t="s">
        <v>1465</v>
      </c>
      <c r="C75" s="347">
        <f ca="1">ROUND(C13*C76,0)</f>
        <v>1727</v>
      </c>
      <c r="D75" s="1565"/>
      <c r="E75" s="1565"/>
      <c r="F75" s="1565"/>
      <c r="K75" s="1583"/>
      <c r="L75" s="1565"/>
      <c r="O75" s="1599" t="s">
        <v>1014</v>
      </c>
      <c r="P75" s="1600" t="s">
        <v>1508</v>
      </c>
      <c r="Q75" s="1601">
        <f ca="1">Q65+Q66</f>
        <v>-4674</v>
      </c>
      <c r="R75" s="1601" t="s">
        <v>1015</v>
      </c>
    </row>
    <row r="76" spans="1:18">
      <c r="B76" s="348" t="s">
        <v>1466</v>
      </c>
      <c r="C76" s="349">
        <f ca="1">INDIRECT("'数据-取费表'!j"&amp;$G$1)</f>
        <v>7.4999999999999997E-2</v>
      </c>
      <c r="I76" s="1565"/>
      <c r="J76" s="1565"/>
      <c r="K76" s="1583"/>
      <c r="L76" s="1565"/>
    </row>
    <row r="77" spans="1:18">
      <c r="B77" s="350" t="s">
        <v>1467</v>
      </c>
      <c r="C77" s="351"/>
      <c r="I77" s="1565"/>
      <c r="J77" s="1565"/>
      <c r="K77" s="1583"/>
      <c r="L77" s="1565"/>
    </row>
    <row r="78" spans="1:18">
      <c r="B78" s="276" t="s">
        <v>1468</v>
      </c>
      <c r="C78" s="352"/>
    </row>
    <row r="79" spans="1:18">
      <c r="B79" s="346" t="s">
        <v>1469</v>
      </c>
      <c r="C79" s="280">
        <f ca="1">1-C80</f>
        <v>8.5090000000000003</v>
      </c>
    </row>
    <row r="80" spans="1:18">
      <c r="B80" s="346" t="s">
        <v>1470</v>
      </c>
      <c r="C80" s="280">
        <f ca="1">ROUND(C75/C39,3)</f>
        <v>-7.5090000000000003</v>
      </c>
    </row>
    <row r="81" spans="2:3">
      <c r="B81" s="276" t="s">
        <v>1471</v>
      </c>
      <c r="C81" s="244"/>
    </row>
    <row r="82" spans="2:3">
      <c r="B82" s="279" t="s">
        <v>1472</v>
      </c>
      <c r="C82" s="281">
        <f ca="1">1-C83</f>
        <v>5.9269999999999996</v>
      </c>
    </row>
    <row r="83" spans="2:3">
      <c r="B83" s="279" t="s">
        <v>1473</v>
      </c>
      <c r="C83" s="280">
        <f ca="1">ROUND(C13/C40,3)</f>
        <v>-4.9269999999999996</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C29" sqref="C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1548</v>
      </c>
      <c r="B1" s="721"/>
      <c r="C1" s="1560" t="s">
        <v>3360</v>
      </c>
      <c r="D1" s="1543" t="s">
        <v>70</v>
      </c>
      <c r="E1" s="1544" t="s">
        <v>1346</v>
      </c>
      <c r="F1" s="1192">
        <f ca="1">J53</f>
        <v>32.61</v>
      </c>
      <c r="G1" s="1559">
        <f>MATCH(C1,'数据-取费表'!A6:A16,0)+5</f>
        <v>7</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1474</v>
      </c>
      <c r="B2" s="1567">
        <f ca="1">C40+J29+L46</f>
        <v>-6046</v>
      </c>
      <c r="C2" s="1568" t="s">
        <v>1475</v>
      </c>
      <c r="D2" s="1568"/>
      <c r="E2" s="1569"/>
      <c r="F2" s="1570"/>
      <c r="G2" s="2929"/>
      <c r="H2" s="2918"/>
      <c r="I2" s="2918"/>
      <c r="J2" s="2918"/>
      <c r="K2" s="2919"/>
      <c r="L2" s="2918"/>
      <c r="M2" s="2918"/>
    </row>
    <row r="3" spans="1:37" ht="18" customHeight="1" thickBot="1">
      <c r="A3" s="1571" t="s">
        <v>1476</v>
      </c>
      <c r="B3" s="1572">
        <f ca="1">IF(ISERROR(B2*10000/F43),0,ROUND(B2*10000/F43,0))</f>
        <v>-1789</v>
      </c>
      <c r="C3" s="1568" t="s">
        <v>1477</v>
      </c>
      <c r="D3" s="1568"/>
      <c r="E3" s="1569"/>
      <c r="F3" s="1570"/>
      <c r="G3" s="2929"/>
      <c r="H3" s="691" t="s">
        <v>1547</v>
      </c>
      <c r="I3" s="1563"/>
      <c r="J3" s="1563"/>
      <c r="K3" s="1564"/>
      <c r="L3" s="1563"/>
      <c r="M3" s="1563"/>
    </row>
    <row r="4" spans="1:37" ht="18" customHeight="1">
      <c r="A4" s="301" t="s">
        <v>1355</v>
      </c>
      <c r="B4" s="302" t="s">
        <v>1356</v>
      </c>
      <c r="C4" s="302" t="s">
        <v>1357</v>
      </c>
      <c r="D4" s="302" t="s">
        <v>1358</v>
      </c>
      <c r="E4" s="303" t="s">
        <v>1359</v>
      </c>
      <c r="F4" s="304"/>
      <c r="G4" s="1565"/>
      <c r="H4" s="301" t="s">
        <v>1355</v>
      </c>
      <c r="I4" s="302" t="s">
        <v>1356</v>
      </c>
      <c r="J4" s="302" t="s">
        <v>1357</v>
      </c>
      <c r="K4" s="302" t="s">
        <v>1358</v>
      </c>
      <c r="L4" s="303" t="s">
        <v>1359</v>
      </c>
      <c r="M4" s="304"/>
    </row>
    <row r="5" spans="1:37" ht="18" customHeight="1">
      <c r="A5" s="305">
        <v>1</v>
      </c>
      <c r="B5" s="306" t="s">
        <v>1360</v>
      </c>
      <c r="C5" s="1201">
        <f ca="1">C6+C10+C12</f>
        <v>0</v>
      </c>
      <c r="D5" s="1545" t="s">
        <v>1361</v>
      </c>
      <c r="E5" s="1202"/>
      <c r="F5" s="1203"/>
      <c r="G5" s="1565"/>
      <c r="H5" s="305">
        <v>1</v>
      </c>
      <c r="I5" s="306" t="s">
        <v>1360</v>
      </c>
      <c r="J5" s="1201">
        <f ca="1">J6+J10+J12</f>
        <v>0</v>
      </c>
      <c r="K5" s="1545" t="s">
        <v>1361</v>
      </c>
      <c r="L5" s="1202"/>
      <c r="M5" s="1203"/>
    </row>
    <row r="6" spans="1:37" ht="18" customHeight="1">
      <c r="A6" s="1200" t="s">
        <v>1003</v>
      </c>
      <c r="B6" s="3534" t="s">
        <v>1362</v>
      </c>
      <c r="C6" s="1205">
        <f ca="1">ROUND(F6*F8*F7*(1-F9)/10000,0)</f>
        <v>0</v>
      </c>
      <c r="D6" s="160" t="s">
        <v>2843</v>
      </c>
      <c r="E6" s="308" t="s">
        <v>1364</v>
      </c>
      <c r="F6" s="309">
        <f ca="1">INDIRECT("'数据-取费表'!u"&amp;$G$1)</f>
        <v>0</v>
      </c>
      <c r="G6" s="1565"/>
      <c r="H6" s="1200" t="s">
        <v>1003</v>
      </c>
      <c r="I6" s="3534" t="s">
        <v>1362</v>
      </c>
      <c r="J6" s="307">
        <f ca="1">ROUND(M6*M8*M7*(1-M9)/10000,0)</f>
        <v>0</v>
      </c>
      <c r="K6" s="160" t="s">
        <v>2842</v>
      </c>
      <c r="L6" s="308" t="s">
        <v>1364</v>
      </c>
      <c r="M6" s="309">
        <f ca="1">INDIRECT("'数据-取费表'!z"&amp;$G$1)</f>
        <v>0</v>
      </c>
    </row>
    <row r="7" spans="1:37" ht="18" customHeight="1">
      <c r="A7" s="1204"/>
      <c r="B7" s="3535"/>
      <c r="C7" s="1206"/>
      <c r="D7" s="313"/>
      <c r="E7" s="3064" t="s">
        <v>1365</v>
      </c>
      <c r="F7" s="309">
        <f ca="1">IF(INDIRECT("'数据-取费表'!ah"&amp;$G$1)="",INDIRECT("'数据-取费表'!k"&amp;$G$1),INDIRECT("'数据-取费表'!ah"&amp;$G$1))</f>
        <v>1</v>
      </c>
      <c r="G7" s="1565"/>
      <c r="H7" s="310"/>
      <c r="I7" s="3535"/>
      <c r="J7" s="312"/>
      <c r="K7" s="313"/>
      <c r="L7" s="308" t="s">
        <v>1365</v>
      </c>
      <c r="M7" s="309">
        <f ca="1">F7</f>
        <v>1</v>
      </c>
    </row>
    <row r="8" spans="1:37" ht="18" customHeight="1">
      <c r="A8" s="310"/>
      <c r="B8" s="3535"/>
      <c r="C8" s="312"/>
      <c r="D8" s="313"/>
      <c r="E8" s="308" t="s">
        <v>1366</v>
      </c>
      <c r="F8" s="309">
        <f ca="1">INDIRECT("'数据-取费表'!ai"&amp;$G$1)</f>
        <v>1</v>
      </c>
      <c r="G8" s="1565"/>
      <c r="H8" s="310"/>
      <c r="I8" s="3535"/>
      <c r="J8" s="312"/>
      <c r="K8" s="313"/>
      <c r="L8" s="308" t="s">
        <v>1366</v>
      </c>
      <c r="M8" s="309">
        <f ca="1">INDIRECT("'数据-取费表'!ai"&amp;$G$1)</f>
        <v>1</v>
      </c>
    </row>
    <row r="9" spans="1:37" ht="18" customHeight="1">
      <c r="A9" s="310"/>
      <c r="B9" s="3536"/>
      <c r="C9" s="312"/>
      <c r="D9" s="313"/>
      <c r="E9" s="308" t="s">
        <v>1367</v>
      </c>
      <c r="F9" s="318">
        <f ca="1">INDIRECT("'数据-取费表'!w"&amp;$G$1)</f>
        <v>0</v>
      </c>
      <c r="G9" s="1565"/>
      <c r="H9" s="310"/>
      <c r="I9" s="3536"/>
      <c r="J9" s="312"/>
      <c r="K9" s="313"/>
      <c r="L9" s="319" t="s">
        <v>1367</v>
      </c>
      <c r="M9" s="320">
        <f ca="1">INDIRECT("'数据-取费表'!ab"&amp;$G$1)</f>
        <v>0</v>
      </c>
    </row>
    <row r="10" spans="1:37" ht="18" customHeight="1">
      <c r="A10" s="1200" t="s">
        <v>1007</v>
      </c>
      <c r="B10" s="1546" t="s">
        <v>1368</v>
      </c>
      <c r="C10" s="322">
        <f ca="1">ROUND(IF(F10="押一",C6/12*F11,IF(F10="押二",C6/12*2*F11,IF(F10="押三",C6/12*3*F11,C11*F11))),0)</f>
        <v>0</v>
      </c>
      <c r="D10" s="1547" t="s">
        <v>2850</v>
      </c>
      <c r="E10" s="319" t="s">
        <v>1369</v>
      </c>
      <c r="F10" s="1274" t="s">
        <v>3089</v>
      </c>
      <c r="G10" s="1565"/>
      <c r="H10" s="1200" t="s">
        <v>1007</v>
      </c>
      <c r="I10" s="1546" t="s">
        <v>1368</v>
      </c>
      <c r="J10" s="307">
        <f ca="1">ROUND(IF(M10="押一",J6/12*M11,IF(M10="押二",J6/12*2*M11,IF(M10="押三",J6/12*3*M11,J11*M11))),0)</f>
        <v>0</v>
      </c>
      <c r="K10" s="1547" t="s">
        <v>2850</v>
      </c>
      <c r="L10" s="319" t="s">
        <v>1369</v>
      </c>
      <c r="M10" s="1274" t="s">
        <v>1370</v>
      </c>
    </row>
    <row r="11" spans="1:37" ht="18" customHeight="1">
      <c r="A11" s="314"/>
      <c r="B11" s="1548" t="s">
        <v>1347</v>
      </c>
      <c r="C11" s="1089"/>
      <c r="D11" s="1549"/>
      <c r="E11" s="319" t="s">
        <v>1371</v>
      </c>
      <c r="F11" s="320">
        <f ca="1">'数据-取费表'!B39</f>
        <v>1.4999999999999999E-2</v>
      </c>
      <c r="G11" s="1565"/>
      <c r="H11" s="1208"/>
      <c r="I11" s="1548" t="s">
        <v>1347</v>
      </c>
      <c r="J11" s="1089"/>
      <c r="K11" s="692"/>
      <c r="L11" s="319" t="s">
        <v>1371</v>
      </c>
      <c r="M11" s="970">
        <f ca="1">'数据-取费表'!B39</f>
        <v>1.4999999999999999E-2</v>
      </c>
    </row>
    <row r="12" spans="1:37" ht="18" customHeight="1" thickBot="1">
      <c r="A12" s="1241" t="s">
        <v>1043</v>
      </c>
      <c r="B12" s="1550" t="s">
        <v>1372</v>
      </c>
      <c r="C12" s="1242"/>
      <c r="D12" s="1243"/>
      <c r="E12" s="1248"/>
      <c r="F12" s="1244"/>
      <c r="G12" s="1565"/>
      <c r="H12" s="1241" t="s">
        <v>1043</v>
      </c>
      <c r="I12" s="1550" t="s">
        <v>1372</v>
      </c>
      <c r="J12" s="1242"/>
      <c r="K12" s="1256"/>
      <c r="L12" s="1248"/>
      <c r="M12" s="1257"/>
    </row>
    <row r="13" spans="1:37" ht="18" customHeight="1" thickTop="1">
      <c r="A13" s="1237">
        <v>2</v>
      </c>
      <c r="B13" s="1238" t="s">
        <v>1373</v>
      </c>
      <c r="C13" s="316">
        <f ca="1">ROUND(C29*F13,0)</f>
        <v>33018</v>
      </c>
      <c r="D13" s="3056" t="s">
        <v>1374</v>
      </c>
      <c r="E13" s="3056" t="s">
        <v>1375</v>
      </c>
      <c r="F13" s="1240">
        <f ca="1">INDIRECT("'数据-取费表'!y"&amp;$G$1)</f>
        <v>0.97</v>
      </c>
      <c r="G13" s="1565"/>
      <c r="H13" s="1237">
        <v>2</v>
      </c>
      <c r="I13" s="1238" t="s">
        <v>1373</v>
      </c>
      <c r="J13" s="1199">
        <f ca="1">ROUND(J14*J15,0)</f>
        <v>0</v>
      </c>
      <c r="K13" s="1245" t="s">
        <v>1374</v>
      </c>
      <c r="L13" s="1573"/>
      <c r="M13" s="1574"/>
    </row>
    <row r="14" spans="1:37" ht="18" customHeight="1">
      <c r="A14" s="1112" t="s">
        <v>1002</v>
      </c>
      <c r="B14" s="308" t="s">
        <v>1376</v>
      </c>
      <c r="C14" s="324">
        <f ca="1">INDIRECT("'数据-取费表'!m"&amp;$G$1)+INDIRECT("'数据-取费表'!t"&amp;$G$1)</f>
        <v>23666</v>
      </c>
      <c r="D14" s="3060" t="s">
        <v>1377</v>
      </c>
      <c r="E14" s="3058"/>
      <c r="F14" s="325"/>
      <c r="G14" s="1565"/>
      <c r="H14" s="1112" t="s">
        <v>1003</v>
      </c>
      <c r="I14" s="308" t="s">
        <v>1378</v>
      </c>
      <c r="J14" s="24">
        <f ca="1">C29</f>
        <v>34039</v>
      </c>
      <c r="K14" s="3063"/>
      <c r="L14" s="915"/>
      <c r="M14" s="916"/>
    </row>
    <row r="15" spans="1:37" s="1578" customFormat="1" ht="18" customHeight="1" thickBot="1">
      <c r="A15" s="1112" t="s">
        <v>1004</v>
      </c>
      <c r="B15" s="308" t="s">
        <v>1379</v>
      </c>
      <c r="C15" s="24">
        <f ca="1">ROUND(C14*F15,0)</f>
        <v>1183</v>
      </c>
      <c r="D15" s="3057" t="s">
        <v>1380</v>
      </c>
      <c r="E15" s="3057" t="s">
        <v>1381</v>
      </c>
      <c r="F15" s="327">
        <f>'数据-取费表'!B33</f>
        <v>0.05</v>
      </c>
      <c r="G15" s="1577"/>
      <c r="H15" s="1247" t="s">
        <v>1007</v>
      </c>
      <c r="I15" s="1248" t="s">
        <v>1375</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1348</v>
      </c>
      <c r="B16" s="308" t="s">
        <v>1382</v>
      </c>
      <c r="C16" s="24">
        <f ca="1">ROUND(INDIRECT("'数据-取费表'!m"&amp;$G$1)*F16,0)</f>
        <v>0</v>
      </c>
      <c r="D16" s="308" t="s">
        <v>1380</v>
      </c>
      <c r="E16" s="308" t="s">
        <v>1381</v>
      </c>
      <c r="F16" s="328">
        <f ca="1">IF(INDIRECT("'数据-取费表'!c"&amp;$G$1)="住宅",'数据-取费表'!B34,0)</f>
        <v>0</v>
      </c>
      <c r="G16" s="1565"/>
      <c r="H16" s="1237" t="s">
        <v>998</v>
      </c>
      <c r="I16" s="1238" t="s">
        <v>1383</v>
      </c>
      <c r="J16" s="316">
        <f ca="1">ROUND(J17+J22+J23+J24,0)</f>
        <v>318</v>
      </c>
      <c r="K16" s="1245" t="s">
        <v>1384</v>
      </c>
      <c r="L16" s="3061"/>
      <c r="M16" s="1203"/>
    </row>
    <row r="17" spans="1:37" s="1578" customFormat="1" ht="18" customHeight="1">
      <c r="A17" s="1112" t="s">
        <v>1349</v>
      </c>
      <c r="B17" s="308" t="s">
        <v>1385</v>
      </c>
      <c r="C17" s="24">
        <f ca="1">ROUND(F17*(F43+INDIRECT("'数据-取费表'!S"&amp;$G$1))/10000,0)</f>
        <v>1189</v>
      </c>
      <c r="D17" s="308" t="s">
        <v>1386</v>
      </c>
      <c r="E17" s="308" t="s">
        <v>1387</v>
      </c>
      <c r="F17" s="26">
        <f>'数据-取费表'!B35</f>
        <v>350</v>
      </c>
      <c r="G17" s="1577"/>
      <c r="H17" s="1112" t="s">
        <v>1003</v>
      </c>
      <c r="I17" s="308" t="s">
        <v>1388</v>
      </c>
      <c r="J17" s="2531">
        <f ca="1">ROUND(IF(AND(项目基本情况!B11="自然人",项目基本情况!B10="北京市"),J6*M17/(1+'数据-取费表'!C42),J18+J19+J20),0)</f>
        <v>318</v>
      </c>
      <c r="K17" s="3060" t="s">
        <v>1389</v>
      </c>
      <c r="L17" s="3059" t="s">
        <v>1390</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1350</v>
      </c>
      <c r="B18" s="308" t="s">
        <v>1391</v>
      </c>
      <c r="C18" s="24">
        <f ca="1">ROUND(C14*F18,0)</f>
        <v>355</v>
      </c>
      <c r="D18" s="308" t="s">
        <v>1380</v>
      </c>
      <c r="E18" s="308" t="s">
        <v>1381</v>
      </c>
      <c r="F18" s="328">
        <f>'数据-取费表'!B36</f>
        <v>1.4999999999999999E-2</v>
      </c>
      <c r="G18" s="1577"/>
      <c r="H18" s="1112" t="s">
        <v>1002</v>
      </c>
      <c r="I18" s="308" t="s">
        <v>1392</v>
      </c>
      <c r="J18" s="24">
        <f ca="1">ROUND(J6*M18/(1+'数据-取费表'!C42),2)</f>
        <v>0</v>
      </c>
      <c r="K18" s="3059" t="s">
        <v>1393</v>
      </c>
      <c r="L18" s="308" t="s">
        <v>1381</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8" t="s">
        <v>1394</v>
      </c>
      <c r="C19" s="24">
        <f ca="1">SUM(C14:C18)</f>
        <v>26393</v>
      </c>
      <c r="D19" s="136" t="s">
        <v>1395</v>
      </c>
      <c r="E19" s="3066"/>
      <c r="F19" s="26"/>
      <c r="G19" s="1565"/>
      <c r="H19" s="1112" t="s">
        <v>1004</v>
      </c>
      <c r="I19" s="308" t="s">
        <v>1396</v>
      </c>
      <c r="J19" s="24">
        <f ca="1">IF(K19="按租金收入计税",ROUND(J6*M19/(1+'数据-取费表'!C42),2),ROUND(C29*M19*0.7,2))</f>
        <v>285.93</v>
      </c>
      <c r="K19" s="1551" t="s">
        <v>1397</v>
      </c>
      <c r="L19" s="308" t="s">
        <v>1381</v>
      </c>
      <c r="M19" s="328">
        <f>IF(K19="按租金收入计税",'数据-取费表'!B51,'数据-取费表'!B50)</f>
        <v>1.2E-2</v>
      </c>
    </row>
    <row r="20" spans="1:37" s="1578" customFormat="1" ht="18" customHeight="1">
      <c r="A20" s="1112" t="s">
        <v>1007</v>
      </c>
      <c r="B20" s="308" t="s">
        <v>1398</v>
      </c>
      <c r="C20" s="24">
        <f ca="1">ROUND(C19*F20,0)</f>
        <v>792</v>
      </c>
      <c r="D20" s="329" t="s">
        <v>1399</v>
      </c>
      <c r="E20" s="308" t="s">
        <v>1381</v>
      </c>
      <c r="F20" s="328">
        <f>'数据-取费表'!B37</f>
        <v>0.03</v>
      </c>
      <c r="G20" s="1577"/>
      <c r="H20" s="1112" t="s">
        <v>1348</v>
      </c>
      <c r="I20" s="160" t="s">
        <v>1400</v>
      </c>
      <c r="J20" s="25">
        <f ca="1">ROUND(M20*M21/10000,2)</f>
        <v>31.76</v>
      </c>
      <c r="K20" s="330" t="s">
        <v>1401</v>
      </c>
      <c r="L20" s="308" t="s">
        <v>1402</v>
      </c>
      <c r="M20" s="331">
        <f>'数据-取费表'!B52</f>
        <v>10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8" t="s">
        <v>1403</v>
      </c>
      <c r="C21" s="24" t="s">
        <v>18</v>
      </c>
      <c r="D21" s="329" t="s">
        <v>1404</v>
      </c>
      <c r="E21" s="308" t="s">
        <v>1405</v>
      </c>
      <c r="F21" s="328">
        <f>'数据-取费表'!B38</f>
        <v>1.4999999999999999E-2</v>
      </c>
      <c r="G21" s="1577"/>
      <c r="H21" s="332"/>
      <c r="I21" s="317"/>
      <c r="J21" s="29"/>
      <c r="K21" s="333"/>
      <c r="L21" s="308" t="s">
        <v>1406</v>
      </c>
      <c r="M21" s="309">
        <f ca="1">INDIRECT("'数据-取费表'!r"&amp;$G$1)</f>
        <v>31764.52</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1351</v>
      </c>
      <c r="B22" s="308" t="s">
        <v>1407</v>
      </c>
      <c r="C22" s="24"/>
      <c r="D22" s="136" t="str">
        <f>IF(F23&lt;=1,"单利计息。","复利计息。")&amp;"建造成本、管理费用、销售费用产生的利息。"</f>
        <v>复利计息。建造成本、管理费用、销售费用产生的利息。</v>
      </c>
      <c r="E22" s="3066"/>
      <c r="F22" s="26"/>
      <c r="G22" s="1565"/>
      <c r="H22" s="1112" t="s">
        <v>1007</v>
      </c>
      <c r="I22" s="308" t="s">
        <v>1408</v>
      </c>
      <c r="J22" s="24">
        <f ca="1">ROUND(J14*M22,1)</f>
        <v>0</v>
      </c>
      <c r="K22" s="3059" t="s">
        <v>1409</v>
      </c>
      <c r="L22" s="308" t="s">
        <v>1381</v>
      </c>
      <c r="M22" s="334">
        <f ca="1">INDIRECT("'数据-取费表'!Ak"&amp;$G$1)</f>
        <v>0</v>
      </c>
    </row>
    <row r="23" spans="1:37" s="1578" customFormat="1" ht="18" customHeight="1">
      <c r="A23" s="1112" t="s">
        <v>1002</v>
      </c>
      <c r="B23" s="308" t="s">
        <v>1410</v>
      </c>
      <c r="C23" s="24">
        <f ca="1">IF('数据-取费表'!B22&lt;=1,ROUND(C19*F24*F23/2,0)+ROUND(C20*F24*F23/2,0),ROUND(C19*(POWER((1+F24),F23/2)-1),0)+ROUND(C20*(POWER((1+F24),F23/2)-1),0))</f>
        <v>1182</v>
      </c>
      <c r="D23" s="335" t="str">
        <f>IF(F23&lt;=1,"(建造成本+管理费用)×利率×(建设周期÷2)","(建造成本+管理费用)×((1+利率)^(建设周期÷2)-1)")</f>
        <v>(建造成本+管理费用)×((1+利率)^(建设周期÷2)-1)</v>
      </c>
      <c r="E23" s="308" t="s">
        <v>1411</v>
      </c>
      <c r="F23" s="331">
        <f>'数据-取费表'!B20</f>
        <v>2</v>
      </c>
      <c r="G23" s="1577"/>
      <c r="H23" s="1112" t="s">
        <v>1043</v>
      </c>
      <c r="I23" s="308" t="s">
        <v>1412</v>
      </c>
      <c r="J23" s="24">
        <f ca="1">ROUND(J13*M23,1)</f>
        <v>0</v>
      </c>
      <c r="K23" s="3059" t="s">
        <v>1413</v>
      </c>
      <c r="L23" s="308" t="s">
        <v>1381</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1004</v>
      </c>
      <c r="B24" s="308" t="s">
        <v>1416</v>
      </c>
      <c r="C24" s="24">
        <f ca="1">ROUND(IF('数据-取费表'!B22&lt;=1,F21*F24*F23/2,F21*(POWER((1+F24),F23/2)-1)),4)</f>
        <v>6.9999999999999999E-4</v>
      </c>
      <c r="D24" s="335" t="str">
        <f>IF(F23&lt;=1,"销售费用×利率×(建设周期÷2)","销售费用×((1+利率)^(建设周期÷2)-1)")</f>
        <v>销售费用×((1+利率)^(建设周期÷2)-1)</v>
      </c>
      <c r="E24" s="308" t="s">
        <v>1417</v>
      </c>
      <c r="F24" s="337">
        <f ca="1">'数据-取费表'!B40</f>
        <v>4.3499999999999997E-2</v>
      </c>
      <c r="G24" s="1577"/>
      <c r="H24" s="1247" t="s">
        <v>1351</v>
      </c>
      <c r="I24" s="1248" t="s">
        <v>1398</v>
      </c>
      <c r="J24" s="1249">
        <f ca="1">ROUND(J5*M24,1)</f>
        <v>0</v>
      </c>
      <c r="K24" s="1250" t="s">
        <v>1418</v>
      </c>
      <c r="L24" s="1248" t="s">
        <v>1381</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2" t="s">
        <v>1419</v>
      </c>
      <c r="B25" s="308" t="s">
        <v>1420</v>
      </c>
      <c r="C25" s="24"/>
      <c r="D25" s="136" t="s">
        <v>1421</v>
      </c>
      <c r="E25" s="3066"/>
      <c r="F25" s="26"/>
      <c r="G25" s="1565"/>
      <c r="H25" s="1237" t="s">
        <v>999</v>
      </c>
      <c r="I25" s="1252" t="s">
        <v>1422</v>
      </c>
      <c r="J25" s="316">
        <f ca="1">J5-J16</f>
        <v>-318</v>
      </c>
      <c r="K25" s="1253" t="s">
        <v>1423</v>
      </c>
      <c r="L25" s="1254"/>
      <c r="M25" s="1255"/>
    </row>
    <row r="26" spans="1:37">
      <c r="A26" s="1112" t="s">
        <v>1002</v>
      </c>
      <c r="B26" s="308" t="s">
        <v>1424</v>
      </c>
      <c r="C26" s="24">
        <f ca="1">ROUND((C19+C20)*F26,0)</f>
        <v>3262</v>
      </c>
      <c r="D26" s="329" t="s">
        <v>1425</v>
      </c>
      <c r="E26" s="319" t="s">
        <v>1426</v>
      </c>
      <c r="F26" s="318">
        <f ca="1">INDIRECT("'数据-取费表'!q"&amp;$G$1)</f>
        <v>0.12</v>
      </c>
      <c r="G26" s="1565"/>
      <c r="H26" s="305" t="s">
        <v>1000</v>
      </c>
      <c r="I26" s="306" t="s">
        <v>1427</v>
      </c>
      <c r="J26" s="307">
        <f ca="1">IF(J5&lt;&gt;0,ROUND(J25*(1-((1+M28)/(1+M26))^M27)/(M26-M28),0),0)</f>
        <v>0</v>
      </c>
      <c r="K26" s="330" t="s">
        <v>1428</v>
      </c>
      <c r="L26" s="308" t="s">
        <v>1429</v>
      </c>
      <c r="M26" s="318">
        <f ca="1">INDIRECT("'数据-取费表'!I"&amp;$G$1)</f>
        <v>0.06</v>
      </c>
    </row>
    <row r="27" spans="1:37" ht="18" customHeight="1">
      <c r="A27" s="1112" t="s">
        <v>1004</v>
      </c>
      <c r="B27" s="308" t="s">
        <v>1430</v>
      </c>
      <c r="C27" s="24">
        <f ca="1">ROUND(F21*F26,4)</f>
        <v>1.8E-3</v>
      </c>
      <c r="D27" s="329" t="s">
        <v>1431</v>
      </c>
      <c r="E27" s="3057"/>
      <c r="F27" s="327"/>
      <c r="G27" s="1565"/>
      <c r="H27" s="310"/>
      <c r="I27" s="311"/>
      <c r="J27" s="312"/>
      <c r="K27" s="338" t="s">
        <v>1432</v>
      </c>
      <c r="L27" s="308" t="s">
        <v>1433</v>
      </c>
      <c r="M27" s="339">
        <f ca="1">INDIRECT("'数据-取费表'!ag"&amp;$G$1)</f>
        <v>0</v>
      </c>
    </row>
    <row r="28" spans="1:37" s="1578" customFormat="1" ht="18" customHeight="1">
      <c r="A28" s="1112" t="s">
        <v>1005</v>
      </c>
      <c r="B28" s="308" t="s">
        <v>1434</v>
      </c>
      <c r="C28" s="24">
        <f>ROUND(F28/(1+'数据-取费表'!C42),4)</f>
        <v>5.33E-2</v>
      </c>
      <c r="D28" s="329" t="s">
        <v>1435</v>
      </c>
      <c r="E28" s="308" t="s">
        <v>1381</v>
      </c>
      <c r="F28" s="328">
        <f>'数据-取费表'!B41</f>
        <v>5.6000000000000001E-2</v>
      </c>
      <c r="G28" s="1577"/>
      <c r="H28" s="314"/>
      <c r="I28" s="315"/>
      <c r="J28" s="316"/>
      <c r="K28" s="333"/>
      <c r="L28" s="308" t="s">
        <v>1436</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1437</v>
      </c>
      <c r="C29" s="1249">
        <f ca="1">ROUND((C19+C20+C23+C26)/(1-F21-C24-C27-C28),0)</f>
        <v>34039</v>
      </c>
      <c r="D29" s="1250"/>
      <c r="E29" s="1248"/>
      <c r="F29" s="1251"/>
      <c r="G29" s="1577"/>
      <c r="H29" s="340" t="s">
        <v>1001</v>
      </c>
      <c r="I29" s="341" t="s">
        <v>1438</v>
      </c>
      <c r="J29" s="342">
        <f ca="1">ROUND(J26/(1+F40)^F41,0)</f>
        <v>0</v>
      </c>
      <c r="K29" s="343" t="s">
        <v>1439</v>
      </c>
      <c r="L29" s="344"/>
      <c r="M29" s="345">
        <f ca="1">INDIRECT("'数据-取费表'!k"&amp;$G$1)</f>
        <v>33787.39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1383</v>
      </c>
      <c r="C30" s="316">
        <f ca="1">ROUND(C31+C36+C37+C38,0)</f>
        <v>318</v>
      </c>
      <c r="D30" s="1245" t="s">
        <v>1384</v>
      </c>
      <c r="E30" s="3061"/>
      <c r="F30" s="1203"/>
      <c r="G30" s="1565"/>
      <c r="H30" s="2920"/>
      <c r="I30" s="1579"/>
      <c r="J30" s="1580"/>
      <c r="K30" s="2695"/>
      <c r="L30" s="2921"/>
      <c r="M30" s="2922"/>
    </row>
    <row r="31" spans="1:37" ht="18" customHeight="1">
      <c r="A31" s="1112" t="s">
        <v>1003</v>
      </c>
      <c r="B31" s="308" t="s">
        <v>1388</v>
      </c>
      <c r="C31" s="2531">
        <f ca="1">ROUND(IF(AND(项目基本情况!B11="自然人",项目基本情况!B10="北京市"),C6*F31/(1+'数据-取费表'!C42),C32+C33+C34),0)</f>
        <v>318</v>
      </c>
      <c r="D31" s="3060" t="s">
        <v>1389</v>
      </c>
      <c r="E31" s="3059" t="s">
        <v>1440</v>
      </c>
      <c r="F31" s="2530" t="str">
        <f>IF(项目基本情况!B11="企业","——",IF('数据-取费表'!B10="住宅",IF(F6*F7*F8/12/(1+'数据-取费表'!F30)&gt;100000,4%,2.5%),IF(F6*F7*F8/12/(1+'数据-取费表'!F30)&gt;100000,12%,7%)))</f>
        <v>——</v>
      </c>
      <c r="G31" s="1565"/>
      <c r="H31" s="3033" t="s">
        <v>3048</v>
      </c>
      <c r="I31" s="1579"/>
      <c r="J31" s="1580"/>
      <c r="K31" s="2695"/>
      <c r="L31" s="2921"/>
      <c r="M31" s="2922"/>
    </row>
    <row r="32" spans="1:37" ht="18" customHeight="1">
      <c r="A32" s="1112" t="s">
        <v>1002</v>
      </c>
      <c r="B32" s="308" t="s">
        <v>1392</v>
      </c>
      <c r="C32" s="24">
        <f ca="1">IF(项目基本情况!B11="自然人","——",ROUND(C6*F32/(1+'数据-取费表'!C42),2))</f>
        <v>0</v>
      </c>
      <c r="D32" s="3059" t="s">
        <v>1393</v>
      </c>
      <c r="E32" s="308" t="s">
        <v>1381</v>
      </c>
      <c r="F32" s="337">
        <f>'数据-取费表'!B41</f>
        <v>5.6000000000000001E-2</v>
      </c>
      <c r="G32" s="1565"/>
      <c r="H32" s="2920"/>
      <c r="I32" s="1579"/>
      <c r="J32" s="1580"/>
      <c r="K32" s="2695"/>
      <c r="L32" s="2921"/>
      <c r="M32" s="2922"/>
    </row>
    <row r="33" spans="1:18" ht="18" customHeight="1">
      <c r="A33" s="1112" t="s">
        <v>1004</v>
      </c>
      <c r="B33" s="308" t="s">
        <v>1396</v>
      </c>
      <c r="C33" s="24">
        <f ca="1">IF(项目基本情况!B11="自然人","——",IF(D33="按租金收入计税",ROUND(C6*F33/(1+'数据-取费表'!C42),2),IF(D33="按房产原值计税",ROUND(C29*F33*0.7,2),INDIRECT("'数据-取费表'!Aj"&amp;$G$1))))</f>
        <v>285.93</v>
      </c>
      <c r="D33" s="1551" t="s">
        <v>3423</v>
      </c>
      <c r="E33" s="308" t="s">
        <v>1381</v>
      </c>
      <c r="F33" s="328">
        <f>IF(D33="按票据","——",IF(D33="按租金收入计税",'数据-取费表'!B51,'数据-取费表'!B50))</f>
        <v>1.2E-2</v>
      </c>
      <c r="G33" s="1565"/>
      <c r="H33" s="2923"/>
      <c r="I33" s="1579"/>
      <c r="J33" s="1580"/>
      <c r="K33" s="2924"/>
      <c r="L33" s="2923"/>
      <c r="M33" s="2923"/>
    </row>
    <row r="34" spans="1:18" ht="18" customHeight="1">
      <c r="A34" s="1200" t="s">
        <v>1348</v>
      </c>
      <c r="B34" s="160" t="s">
        <v>1400</v>
      </c>
      <c r="C34" s="25">
        <f ca="1">IF(项目基本情况!B11="自然人","——",ROUND(F34*F35/10000,2))</f>
        <v>31.76</v>
      </c>
      <c r="D34" s="330" t="s">
        <v>1401</v>
      </c>
      <c r="E34" s="308" t="s">
        <v>1402</v>
      </c>
      <c r="F34" s="331">
        <f>'数据-取费表'!B52</f>
        <v>10</v>
      </c>
      <c r="G34" s="1565"/>
      <c r="H34" s="2920"/>
      <c r="I34" s="1579"/>
      <c r="J34" s="1580"/>
      <c r="K34" s="2925"/>
      <c r="L34" s="2926"/>
      <c r="M34" s="2926"/>
    </row>
    <row r="35" spans="1:18" ht="18" customHeight="1">
      <c r="A35" s="1261"/>
      <c r="B35" s="1259"/>
      <c r="C35" s="29"/>
      <c r="D35" s="333"/>
      <c r="E35" s="308" t="s">
        <v>1406</v>
      </c>
      <c r="F35" s="309">
        <f ca="1">INDIRECT("'数据-取费表'!r"&amp;$G$1)</f>
        <v>31764.52</v>
      </c>
      <c r="G35" s="1565"/>
      <c r="H35" s="2920"/>
      <c r="I35" s="1579"/>
      <c r="J35" s="1580"/>
      <c r="K35" s="2924"/>
      <c r="L35" s="2923"/>
      <c r="M35" s="2923"/>
    </row>
    <row r="36" spans="1:18" ht="18" customHeight="1">
      <c r="A36" s="1260" t="s">
        <v>1007</v>
      </c>
      <c r="B36" s="308" t="s">
        <v>1408</v>
      </c>
      <c r="C36" s="2531"/>
      <c r="D36" s="3059" t="s">
        <v>1441</v>
      </c>
      <c r="E36" s="308" t="s">
        <v>1381</v>
      </c>
      <c r="F36" s="334">
        <f ca="1">INDIRECT("'数据-取费表'!Ak"&amp;$G$1)</f>
        <v>0</v>
      </c>
      <c r="G36" s="1565"/>
      <c r="H36" s="2923"/>
      <c r="I36" s="1579"/>
      <c r="J36" s="1580"/>
      <c r="K36" s="2764"/>
      <c r="L36" s="2923"/>
      <c r="M36" s="2923"/>
    </row>
    <row r="37" spans="1:18" ht="18" customHeight="1">
      <c r="A37" s="1112" t="s">
        <v>1043</v>
      </c>
      <c r="B37" s="308" t="s">
        <v>1412</v>
      </c>
      <c r="C37" s="2531"/>
      <c r="D37" s="3059" t="s">
        <v>1413</v>
      </c>
      <c r="E37" s="308" t="s">
        <v>1381</v>
      </c>
      <c r="F37" s="336">
        <f ca="1">INDIRECT("'数据-取费表'!Al"&amp;$G$1)</f>
        <v>0</v>
      </c>
      <c r="G37" s="1565"/>
      <c r="H37" s="2923"/>
      <c r="I37" s="1579"/>
      <c r="J37" s="1580"/>
      <c r="K37" s="2764"/>
      <c r="L37" s="2923"/>
      <c r="M37" s="2923"/>
    </row>
    <row r="38" spans="1:18" ht="18" customHeight="1" thickBot="1">
      <c r="A38" s="1247" t="s">
        <v>1351</v>
      </c>
      <c r="B38" s="1248" t="s">
        <v>1398</v>
      </c>
      <c r="C38" s="3107"/>
      <c r="D38" s="1250" t="s">
        <v>1418</v>
      </c>
      <c r="E38" s="1248" t="s">
        <v>1381</v>
      </c>
      <c r="F38" s="1244">
        <f ca="1">INDIRECT("'数据-取费表'!Am"&amp;$G$1)</f>
        <v>0</v>
      </c>
      <c r="G38" s="1565"/>
      <c r="H38" s="2923"/>
      <c r="I38" s="1579"/>
      <c r="J38" s="1580"/>
      <c r="K38" s="2927"/>
      <c r="L38" s="2923"/>
      <c r="M38" s="2923"/>
    </row>
    <row r="39" spans="1:18" ht="24.6" customHeight="1" thickTop="1">
      <c r="A39" s="1237" t="s">
        <v>999</v>
      </c>
      <c r="B39" s="1252" t="s">
        <v>1422</v>
      </c>
      <c r="C39" s="316">
        <f ca="1">C5-C30</f>
        <v>-318</v>
      </c>
      <c r="D39" s="1253" t="s">
        <v>1423</v>
      </c>
      <c r="E39" s="1254"/>
      <c r="F39" s="1255"/>
      <c r="G39" s="1565"/>
      <c r="H39" s="2923"/>
      <c r="I39" s="1579"/>
      <c r="J39" s="1580"/>
      <c r="K39" s="2927"/>
      <c r="L39" s="2923"/>
      <c r="M39" s="2923"/>
    </row>
    <row r="40" spans="1:18" ht="18" customHeight="1">
      <c r="A40" s="305" t="s">
        <v>1000</v>
      </c>
      <c r="B40" s="306" t="s">
        <v>1444</v>
      </c>
      <c r="C40" s="307">
        <f ca="1">ROUND(C39*(1-((1+F42)/(1+F40))^F41)/(F40-F42),0)</f>
        <v>-6046</v>
      </c>
      <c r="D40" s="330" t="s">
        <v>1428</v>
      </c>
      <c r="E40" s="308" t="s">
        <v>1429</v>
      </c>
      <c r="F40" s="318">
        <f ca="1">INDIRECT("'数据-取费表'!I"&amp;$G$1)</f>
        <v>0.06</v>
      </c>
      <c r="G40" s="1565"/>
      <c r="H40" s="1642"/>
      <c r="I40" s="1579"/>
      <c r="J40" s="1580"/>
      <c r="K40" s="2927"/>
      <c r="L40" s="1642"/>
      <c r="M40" s="1642"/>
    </row>
    <row r="41" spans="1:18" ht="18" customHeight="1">
      <c r="A41" s="310"/>
      <c r="B41" s="311"/>
      <c r="C41" s="312"/>
      <c r="D41" s="338" t="s">
        <v>1445</v>
      </c>
      <c r="E41" s="308" t="s">
        <v>1433</v>
      </c>
      <c r="F41" s="339">
        <f ca="1">IF(INDIRECT("'数据-取费表'!af"&amp;$G$1)=0,INDIRECT("'数据-取费表'!ae"&amp;$G$1),INDIRECT("'数据-取费表'!af"&amp;$G$1))</f>
        <v>32.61</v>
      </c>
      <c r="G41" s="1565"/>
      <c r="H41" s="1351"/>
      <c r="I41" s="1579"/>
      <c r="J41" s="1580"/>
      <c r="K41" s="2764"/>
      <c r="L41" s="1351"/>
      <c r="M41" s="1351"/>
    </row>
    <row r="42" spans="1:18" ht="18" customHeight="1">
      <c r="A42" s="314"/>
      <c r="B42" s="315"/>
      <c r="C42" s="316"/>
      <c r="D42" s="333"/>
      <c r="E42" s="308" t="s">
        <v>1436</v>
      </c>
      <c r="F42" s="318">
        <f ca="1">INDIRECT("'数据-取费表'!v"&amp;$G$1)</f>
        <v>2.5000000000000001E-2</v>
      </c>
      <c r="G42" s="1565"/>
      <c r="H42" s="1351"/>
      <c r="I42" s="1579"/>
      <c r="J42" s="1580"/>
      <c r="K42" s="2764"/>
      <c r="L42" s="1351"/>
      <c r="M42" s="1351"/>
    </row>
    <row r="43" spans="1:18" ht="18" customHeight="1" thickBot="1">
      <c r="A43" s="340" t="s">
        <v>1001</v>
      </c>
      <c r="B43" s="341" t="s">
        <v>1446</v>
      </c>
      <c r="C43" s="342">
        <f ca="1">ROUND(C40*10000/F43,0)</f>
        <v>-1789</v>
      </c>
      <c r="D43" s="343" t="s">
        <v>1447</v>
      </c>
      <c r="E43" s="344" t="s">
        <v>1448</v>
      </c>
      <c r="F43" s="345">
        <f ca="1">INDIRECT("'数据-取费表'!k"&amp;$G$1)</f>
        <v>33787.39</v>
      </c>
      <c r="G43" s="1565"/>
      <c r="H43" s="1351"/>
      <c r="I43" s="1351"/>
      <c r="J43" s="1351"/>
      <c r="K43" s="2764"/>
      <c r="L43" s="1351"/>
      <c r="M43" s="1351"/>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8" t="s">
        <v>1478</v>
      </c>
      <c r="P45" s="1642"/>
      <c r="Q45" s="1642"/>
      <c r="R45" s="1642"/>
    </row>
    <row r="46" spans="1:18" s="1565" customFormat="1" ht="13.5" thickBot="1">
      <c r="A46" s="1585" t="s">
        <v>1479</v>
      </c>
      <c r="C46" s="1586">
        <f ca="1">C68-C40</f>
        <v>1539</v>
      </c>
      <c r="D46" s="1587" t="str">
        <f>C2</f>
        <v>万元</v>
      </c>
      <c r="E46" s="1581"/>
      <c r="F46" s="1581"/>
      <c r="I46" s="1588" t="s">
        <v>1480</v>
      </c>
      <c r="J46" s="1589"/>
      <c r="K46" s="1590"/>
      <c r="L46" s="1591" t="str">
        <f ca="1">IF(M47="住宅",0,IF(L48&gt;J51,L60,J60))</f>
        <v>0</v>
      </c>
      <c r="O46" s="1592" t="s">
        <v>1481</v>
      </c>
      <c r="P46" s="1593" t="s">
        <v>1482</v>
      </c>
      <c r="Q46" s="1594" t="s">
        <v>1483</v>
      </c>
      <c r="R46" s="1594" t="s">
        <v>1484</v>
      </c>
    </row>
    <row r="47" spans="1:18" s="1565" customFormat="1" ht="13.5" thickBot="1">
      <c r="A47" s="1076" t="s">
        <v>1355</v>
      </c>
      <c r="B47" s="1108" t="s">
        <v>1356</v>
      </c>
      <c r="C47" s="1275" t="s">
        <v>1357</v>
      </c>
      <c r="D47" s="1108" t="s">
        <v>1358</v>
      </c>
      <c r="E47" s="1188" t="s">
        <v>1359</v>
      </c>
      <c r="F47" s="1189"/>
      <c r="G47" s="730"/>
      <c r="I47" s="1595" t="s">
        <v>1485</v>
      </c>
      <c r="J47" s="1596" t="s">
        <v>3087</v>
      </c>
      <c r="K47" s="1597" t="s">
        <v>1486</v>
      </c>
      <c r="L47" s="1598">
        <f ca="1">INDIRECT("'数据-取费表'!d"&amp;$G$1)</f>
        <v>40</v>
      </c>
      <c r="M47" s="1561" t="str">
        <f>IF(ISNUMBER(FIND("住宅",C1)),"住宅","非住宅")</f>
        <v>非住宅</v>
      </c>
      <c r="O47" s="1599" t="s">
        <v>1008</v>
      </c>
      <c r="P47" s="1600" t="s">
        <v>1487</v>
      </c>
      <c r="Q47" s="1601">
        <f ca="1">C40+J29</f>
        <v>-6046</v>
      </c>
      <c r="R47" s="1601" t="s">
        <v>1488</v>
      </c>
    </row>
    <row r="48" spans="1:18" s="1565" customFormat="1" ht="28.5" thickBot="1">
      <c r="A48" s="1268" t="s">
        <v>1097</v>
      </c>
      <c r="B48" s="306" t="s">
        <v>1360</v>
      </c>
      <c r="C48" s="3065">
        <f ca="1">C49+C53+C55</f>
        <v>0</v>
      </c>
      <c r="D48" s="1270"/>
      <c r="E48" s="1271"/>
      <c r="F48" s="1092"/>
      <c r="G48" s="730"/>
      <c r="H48" s="731"/>
      <c r="I48" s="1602" t="s">
        <v>1489</v>
      </c>
      <c r="J48" s="1603" t="s">
        <v>3088</v>
      </c>
      <c r="K48" s="1604" t="s">
        <v>1490</v>
      </c>
      <c r="L48" s="1605">
        <f ca="1">INDIRECT("'数据-取费表'!f"&amp;$G$1)</f>
        <v>32.61</v>
      </c>
      <c r="O48" s="1599" t="s">
        <v>1009</v>
      </c>
      <c r="P48" s="1600" t="s">
        <v>1491</v>
      </c>
      <c r="Q48" s="1601" t="str">
        <f ca="1">J60</f>
        <v>0</v>
      </c>
      <c r="R48" s="1601" t="s">
        <v>1492</v>
      </c>
    </row>
    <row r="49" spans="1:18" s="1565" customFormat="1" ht="13.5" thickBot="1">
      <c r="A49" s="1105" t="s">
        <v>1098</v>
      </c>
      <c r="B49" s="1552" t="s">
        <v>1449</v>
      </c>
      <c r="C49" s="1272">
        <f ca="1">ROUND(F49*F51*F50*(1-F52)/10000,0)</f>
        <v>0</v>
      </c>
      <c r="D49" s="1185" t="s">
        <v>2842</v>
      </c>
      <c r="E49" s="1553" t="s">
        <v>1450</v>
      </c>
      <c r="F49" s="1190"/>
      <c r="G49" s="1606"/>
      <c r="H49" s="731"/>
      <c r="I49" s="1602" t="s">
        <v>1493</v>
      </c>
      <c r="J49" s="1607">
        <v>2019</v>
      </c>
      <c r="K49" s="1604" t="s">
        <v>1494</v>
      </c>
      <c r="L49" s="1608"/>
      <c r="O49" s="1609" t="s">
        <v>1010</v>
      </c>
      <c r="P49" s="1600" t="s">
        <v>1495</v>
      </c>
      <c r="Q49" s="1601">
        <f ca="1">C29</f>
        <v>34039</v>
      </c>
      <c r="R49" s="1601" t="s">
        <v>1488</v>
      </c>
    </row>
    <row r="50" spans="1:18" s="1565" customFormat="1" ht="13.5" thickBot="1">
      <c r="A50" s="1106"/>
      <c r="B50" s="1109"/>
      <c r="C50" s="1276"/>
      <c r="D50" s="1083"/>
      <c r="E50" s="1186" t="s">
        <v>1365</v>
      </c>
      <c r="F50" s="1187">
        <f ca="1">F7</f>
        <v>1</v>
      </c>
      <c r="H50" s="731"/>
      <c r="I50" s="1602" t="s">
        <v>1496</v>
      </c>
      <c r="J50" s="1610">
        <f>SUMPRODUCT((I63:I65=J47)*(J62:L62=J48)*(J63:L65))</f>
        <v>60</v>
      </c>
      <c r="K50" s="1604" t="s">
        <v>1497</v>
      </c>
      <c r="L50" s="1608"/>
      <c r="M50" s="1611"/>
      <c r="O50" s="1609" t="s">
        <v>1011</v>
      </c>
      <c r="P50" s="1600" t="s">
        <v>1498</v>
      </c>
      <c r="Q50" s="1612" t="e">
        <f ca="1">J58</f>
        <v>#VALUE!</v>
      </c>
      <c r="R50" s="1601"/>
    </row>
    <row r="51" spans="1:18" s="1565" customFormat="1" ht="13.5" thickBot="1">
      <c r="A51" s="1107"/>
      <c r="B51" s="1109"/>
      <c r="C51" s="1110"/>
      <c r="D51" s="1083"/>
      <c r="E51" s="1111" t="s">
        <v>1366</v>
      </c>
      <c r="F51" s="309">
        <f ca="1">F8</f>
        <v>1</v>
      </c>
      <c r="I51" s="1613" t="s">
        <v>1499</v>
      </c>
      <c r="J51" s="1614">
        <f>IF(J49="",J50,J49+J50-YEAR('数据-取费表'!B2))</f>
        <v>58</v>
      </c>
      <c r="K51" s="1615" t="s">
        <v>1500</v>
      </c>
      <c r="L51" s="1616">
        <f ca="1">ROUND(-PV(INDIRECT("'数据-取费表'!h"&amp;$G$1),J51,(C39-C13*C76),0),0)</f>
        <v>-48530</v>
      </c>
      <c r="M51" s="1617"/>
      <c r="O51" s="1609" t="s">
        <v>1012</v>
      </c>
      <c r="P51" s="1600" t="s">
        <v>1501</v>
      </c>
      <c r="Q51" s="1612">
        <f>J52</f>
        <v>0.09</v>
      </c>
      <c r="R51" s="1601"/>
    </row>
    <row r="52" spans="1:18" s="1565" customFormat="1" ht="13.5" thickBot="1">
      <c r="A52" s="1107"/>
      <c r="B52" s="1109"/>
      <c r="C52" s="1110"/>
      <c r="D52" s="1083"/>
      <c r="E52" s="1111" t="s">
        <v>1367</v>
      </c>
      <c r="F52" s="1184"/>
      <c r="I52" s="1618" t="s">
        <v>1502</v>
      </c>
      <c r="J52" s="1619">
        <v>0.09</v>
      </c>
      <c r="K52" s="1618" t="s">
        <v>1503</v>
      </c>
      <c r="L52" s="1619"/>
      <c r="O52" s="1609" t="s">
        <v>1013</v>
      </c>
      <c r="P52" s="1600" t="s">
        <v>1504</v>
      </c>
      <c r="Q52" s="1601">
        <f ca="1">J53</f>
        <v>32.61</v>
      </c>
      <c r="R52" s="1601" t="s">
        <v>1505</v>
      </c>
    </row>
    <row r="53" spans="1:18" s="1565" customFormat="1" ht="24.75" thickBot="1">
      <c r="A53" s="1312" t="s">
        <v>1099</v>
      </c>
      <c r="B53" s="1554" t="s">
        <v>1368</v>
      </c>
      <c r="C53" s="322">
        <f ca="1">ROUND(IF(F53="押一",C49/12*F11,IF(F53="押二",C49/12*2*F11,IF(F53="押三",C49/12*3*F11,C54*F11))),0)</f>
        <v>0</v>
      </c>
      <c r="D53" s="1547" t="s">
        <v>2850</v>
      </c>
      <c r="E53" s="319" t="s">
        <v>1369</v>
      </c>
      <c r="F53" s="1274"/>
      <c r="I53" s="1620" t="s">
        <v>1506</v>
      </c>
      <c r="J53" s="2383">
        <f ca="1">IF(M47="住宅",IF(D1="——",MAX(J51,L48),MAX(J51,L48-'数据-取费表'!B24)),IF(D1="——",MIN(J51,L48),MIN(J51,L48-'数据-取费表'!B24)))</f>
        <v>32.61</v>
      </c>
      <c r="K53" s="3537" t="s">
        <v>1507</v>
      </c>
      <c r="L53" s="3538"/>
      <c r="O53" s="1599" t="s">
        <v>1014</v>
      </c>
      <c r="P53" s="1600" t="s">
        <v>1508</v>
      </c>
      <c r="Q53" s="1601">
        <f ca="1">Q47+Q48</f>
        <v>-6046</v>
      </c>
      <c r="R53" s="1601" t="s">
        <v>1015</v>
      </c>
    </row>
    <row r="54" spans="1:18" s="1565" customFormat="1" ht="13.5" thickBot="1">
      <c r="A54" s="1313"/>
      <c r="B54" s="1548" t="s">
        <v>1347</v>
      </c>
      <c r="C54" s="1089"/>
      <c r="D54" s="1547"/>
      <c r="E54" s="3062"/>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1509</v>
      </c>
      <c r="P54" s="1562"/>
      <c r="Q54" s="1562"/>
      <c r="R54" s="1562"/>
    </row>
    <row r="55" spans="1:18" s="1565" customFormat="1" ht="13.5" thickBot="1">
      <c r="A55" s="1241" t="s">
        <v>1043</v>
      </c>
      <c r="B55" s="1550" t="s">
        <v>1372</v>
      </c>
      <c r="C55" s="1242"/>
      <c r="D55" s="1547"/>
      <c r="E55" s="3062"/>
      <c r="F55" s="1621"/>
      <c r="I55" s="1624" t="s">
        <v>1510</v>
      </c>
      <c r="J55" s="1625" t="e">
        <f ca="1">ROUND(IF(J47="钢混",J57/J50,1-(1-2%)*(J50-J57)/J50),3)</f>
        <v>#VALUE!</v>
      </c>
      <c r="K55" s="1626" t="s">
        <v>1511</v>
      </c>
      <c r="L55" s="1627" t="s">
        <v>1512</v>
      </c>
      <c r="O55" s="1592" t="s">
        <v>1481</v>
      </c>
      <c r="P55" s="1593" t="s">
        <v>1482</v>
      </c>
      <c r="Q55" s="1594" t="s">
        <v>1483</v>
      </c>
      <c r="R55" s="1594" t="s">
        <v>1484</v>
      </c>
    </row>
    <row r="56" spans="1:18" s="1565" customFormat="1" ht="25.5" thickTop="1" thickBot="1">
      <c r="A56" s="1087">
        <v>2</v>
      </c>
      <c r="B56" s="1088" t="s">
        <v>1373</v>
      </c>
      <c r="C56" s="238">
        <f ca="1">C13</f>
        <v>33018</v>
      </c>
      <c r="D56" s="1628"/>
      <c r="E56" s="1629"/>
      <c r="F56" s="1621"/>
      <c r="I56" s="1630" t="s">
        <v>1513</v>
      </c>
      <c r="J56" s="1631" t="s">
        <v>3083</v>
      </c>
      <c r="K56" s="1602" t="s">
        <v>1514</v>
      </c>
      <c r="L56" s="1605" t="str">
        <f ca="1">IF(L48&lt;J51,"——",L48-J53)</f>
        <v>——</v>
      </c>
      <c r="O56" s="1599" t="s">
        <v>1008</v>
      </c>
      <c r="P56" s="1600" t="s">
        <v>1487</v>
      </c>
      <c r="Q56" s="1601">
        <f ca="1">C40+J29</f>
        <v>-6046</v>
      </c>
      <c r="R56" s="1601" t="s">
        <v>1488</v>
      </c>
    </row>
    <row r="57" spans="1:18" s="1565" customFormat="1" ht="24.75" thickBot="1">
      <c r="A57" s="1632"/>
      <c r="B57" s="1080" t="s">
        <v>1437</v>
      </c>
      <c r="C57" s="244">
        <f ca="1">C29</f>
        <v>34039</v>
      </c>
      <c r="D57" s="1633"/>
      <c r="E57" s="1634"/>
      <c r="F57" s="1635"/>
      <c r="I57" s="1636" t="s">
        <v>1515</v>
      </c>
      <c r="J57" s="1637" t="str">
        <f ca="1">IF(OR(M47="住宅",J51&lt;L48,J56="是"),"——",J51-L48)</f>
        <v>——</v>
      </c>
      <c r="K57" s="1602" t="s">
        <v>1516</v>
      </c>
      <c r="L57" s="1605" t="str">
        <f ca="1">IF(L48&lt;J51,"——",IF(L55="比较法",L49,IF(L55="基准地价",L50,L51)))</f>
        <v>——</v>
      </c>
      <c r="O57" s="1599" t="s">
        <v>1009</v>
      </c>
      <c r="P57" s="1600" t="s">
        <v>1517</v>
      </c>
      <c r="Q57" s="1601">
        <f ca="1">L60</f>
        <v>0</v>
      </c>
      <c r="R57" s="1601" t="s">
        <v>1518</v>
      </c>
    </row>
    <row r="58" spans="1:18" s="1565" customFormat="1" ht="24.75" thickBot="1">
      <c r="A58" s="321" t="s">
        <v>998</v>
      </c>
      <c r="B58" s="1088" t="s">
        <v>1383</v>
      </c>
      <c r="C58" s="322">
        <f ca="1">ROUND(C59+C64+C65+C66,0)</f>
        <v>318</v>
      </c>
      <c r="D58" s="1090" t="s">
        <v>1384</v>
      </c>
      <c r="E58" s="1091"/>
      <c r="F58" s="1092"/>
      <c r="I58" s="1636" t="s">
        <v>1519</v>
      </c>
      <c r="J58" s="1638" t="e">
        <f ca="1">IF(J55&lt;0.4,0.4,J55)</f>
        <v>#VALUE!</v>
      </c>
      <c r="K58" s="1615" t="s">
        <v>1520</v>
      </c>
      <c r="L58" s="1605" t="e">
        <f ca="1">ROUND(POWER(1+L52,L47-L48)*(POWER(1+L52,L48)-1)/(POWER(1+L52,L47)-1),4)</f>
        <v>#DIV/0!</v>
      </c>
      <c r="O58" s="1609" t="s">
        <v>1010</v>
      </c>
      <c r="P58" s="1600" t="s">
        <v>1521</v>
      </c>
      <c r="Q58" s="1601">
        <f>IF(L55="比较法",L49,IF(L55="基准地价",L50,0))</f>
        <v>0</v>
      </c>
      <c r="R58" s="1601" t="s">
        <v>1488</v>
      </c>
    </row>
    <row r="59" spans="1:18" s="1565" customFormat="1" ht="24.75" thickBot="1">
      <c r="A59" s="1112" t="s">
        <v>1003</v>
      </c>
      <c r="B59" s="1080" t="s">
        <v>1388</v>
      </c>
      <c r="C59" s="2531">
        <f ca="1">ROUND(IF(AND(项目基本情况!B11="自然人",项目基本情况!B10="北京市"),C49*F59/(1+'数据-取费表'!C42),C60+C61+C62),0)</f>
        <v>318</v>
      </c>
      <c r="D59" s="1093" t="s">
        <v>1389</v>
      </c>
      <c r="E59" s="1094" t="s">
        <v>1390</v>
      </c>
      <c r="F59" s="2530" t="str">
        <f>IF(项目基本情况!B11="企业","——",IF('数据-取费表'!B10="住宅",IF(F49*F50*F51/12/(1+'数据-取费表'!F30)&gt;100000,4%,2.5%),IF(F49*F50*F51/12/(1+'数据-取费表'!F30)&gt;100000,12%,7%)))</f>
        <v>——</v>
      </c>
      <c r="I59" s="1636" t="s">
        <v>1522</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1523</v>
      </c>
      <c r="Q59" s="1612">
        <f>L52</f>
        <v>0</v>
      </c>
      <c r="R59" s="1601"/>
    </row>
    <row r="60" spans="1:18" s="1565" customFormat="1" ht="16.5" thickBot="1">
      <c r="A60" s="1112" t="s">
        <v>1002</v>
      </c>
      <c r="B60" s="1080" t="s">
        <v>1392</v>
      </c>
      <c r="C60" s="24">
        <f ca="1">IF(项目基本情况!B11="自然人","——",ROUND(C48*F60/(1+'数据-取费表'!C42),2))</f>
        <v>0</v>
      </c>
      <c r="D60" s="1094" t="s">
        <v>1393</v>
      </c>
      <c r="E60" s="1080" t="s">
        <v>1381</v>
      </c>
      <c r="F60" s="337">
        <f t="shared" ref="F60:F66" si="0">F32</f>
        <v>5.6000000000000001E-2</v>
      </c>
      <c r="I60" s="1639" t="s">
        <v>1524</v>
      </c>
      <c r="J60" s="1640" t="str">
        <f ca="1">IF(OR(M47="住宅",J51&lt;L48,J56="是"),"0",ROUND(J59/(1+J52)^J53,0))</f>
        <v>0</v>
      </c>
      <c r="K60" s="1641" t="s">
        <v>1525</v>
      </c>
      <c r="L60" s="1640">
        <f ca="1">IF(OR(M47="住宅",L48&lt;J51),0,ROUND(L57*(L58/L59-1),0))</f>
        <v>0</v>
      </c>
      <c r="O60" s="1609" t="s">
        <v>1012</v>
      </c>
      <c r="P60" s="1600" t="s">
        <v>1526</v>
      </c>
      <c r="Q60" s="1601" t="e">
        <f ca="1">L58</f>
        <v>#DIV/0!</v>
      </c>
      <c r="R60" s="1601" t="s">
        <v>1527</v>
      </c>
    </row>
    <row r="61" spans="1:18" s="1565" customFormat="1" ht="13.5" thickBot="1">
      <c r="A61" s="1112" t="s">
        <v>1451</v>
      </c>
      <c r="B61" s="1080" t="s">
        <v>1396</v>
      </c>
      <c r="C61" s="24">
        <f ca="1">IF(项目基本情况!B11="自然人","——",IF(D61="按租金收入计税",ROUND(C49*F61/(1+'数据-取费表'!C42),2),IF(D61="按房产原值计税",ROUND(C57*F61*0.7,2),INDIRECT("'数据-取费表'!Aj"&amp;$G$1))))</f>
        <v>285.93</v>
      </c>
      <c r="D61" s="1551" t="s">
        <v>1397</v>
      </c>
      <c r="E61" s="1080" t="s">
        <v>1381</v>
      </c>
      <c r="F61" s="328">
        <f t="shared" si="0"/>
        <v>1.2E-2</v>
      </c>
      <c r="I61" s="1642"/>
      <c r="J61" s="1642"/>
      <c r="K61" s="1642"/>
      <c r="L61" s="1642"/>
      <c r="O61" s="1609" t="s">
        <v>1013</v>
      </c>
      <c r="P61" s="1600" t="str">
        <f>K59</f>
        <v>建筑物剩余耐用年限下的土地年期修正系数Kn</v>
      </c>
      <c r="Q61" s="1601" t="e">
        <f ca="1">L59</f>
        <v>#DIV/0!</v>
      </c>
      <c r="R61" s="1601" t="s">
        <v>1528</v>
      </c>
    </row>
    <row r="62" spans="1:18" s="1565" customFormat="1" ht="13.5" thickBot="1">
      <c r="A62" s="1112" t="s">
        <v>1454</v>
      </c>
      <c r="B62" s="1079" t="s">
        <v>1400</v>
      </c>
      <c r="C62" s="25">
        <f ca="1">IF(项目基本情况!B11="自然人","——",ROUND(F62*F63/10000,2))</f>
        <v>31.76</v>
      </c>
      <c r="D62" s="1095" t="s">
        <v>1401</v>
      </c>
      <c r="E62" s="1080" t="s">
        <v>1402</v>
      </c>
      <c r="F62" s="331">
        <f t="shared" si="0"/>
        <v>10</v>
      </c>
      <c r="I62" s="1643" t="s">
        <v>1529</v>
      </c>
      <c r="J62" s="1644" t="s">
        <v>1530</v>
      </c>
      <c r="K62" s="1644" t="s">
        <v>1531</v>
      </c>
      <c r="L62" s="1644" t="s">
        <v>1532</v>
      </c>
      <c r="M62" s="1645" t="s">
        <v>1533</v>
      </c>
      <c r="O62" s="1599" t="s">
        <v>1014</v>
      </c>
      <c r="P62" s="1600" t="s">
        <v>1508</v>
      </c>
      <c r="Q62" s="1601">
        <f ca="1">Q56+Q57</f>
        <v>-6046</v>
      </c>
      <c r="R62" s="1601" t="s">
        <v>1015</v>
      </c>
    </row>
    <row r="63" spans="1:18" s="1565" customFormat="1" ht="13.5" thickBot="1">
      <c r="A63" s="332"/>
      <c r="B63" s="1086"/>
      <c r="C63" s="29"/>
      <c r="D63" s="1096"/>
      <c r="E63" s="1080" t="s">
        <v>1406</v>
      </c>
      <c r="F63" s="309">
        <f t="shared" ca="1" si="0"/>
        <v>31764.52</v>
      </c>
      <c r="I63" s="1643" t="s">
        <v>1535</v>
      </c>
      <c r="J63" s="1644">
        <v>70</v>
      </c>
      <c r="K63" s="1644">
        <v>50</v>
      </c>
      <c r="L63" s="1644">
        <v>80</v>
      </c>
      <c r="M63" s="1646">
        <v>0.02</v>
      </c>
      <c r="O63" s="1584" t="s">
        <v>1536</v>
      </c>
      <c r="P63" s="1562"/>
      <c r="Q63" s="1562"/>
      <c r="R63" s="1562"/>
    </row>
    <row r="64" spans="1:18" s="1565" customFormat="1" ht="13.5" thickBot="1">
      <c r="A64" s="1112" t="s">
        <v>1007</v>
      </c>
      <c r="B64" s="1080" t="s">
        <v>1408</v>
      </c>
      <c r="C64" s="24">
        <f ca="1">ROUND(C57*F64,1)</f>
        <v>0</v>
      </c>
      <c r="D64" s="1094" t="s">
        <v>1441</v>
      </c>
      <c r="E64" s="1080" t="s">
        <v>1381</v>
      </c>
      <c r="F64" s="334">
        <f t="shared" ca="1" si="0"/>
        <v>0</v>
      </c>
      <c r="I64" s="1643" t="s">
        <v>1537</v>
      </c>
      <c r="J64" s="1644">
        <v>50</v>
      </c>
      <c r="K64" s="1644">
        <v>35</v>
      </c>
      <c r="L64" s="1644">
        <v>60</v>
      </c>
      <c r="M64" s="1645">
        <v>0</v>
      </c>
      <c r="O64" s="1592" t="s">
        <v>1481</v>
      </c>
      <c r="P64" s="1593" t="s">
        <v>1482</v>
      </c>
      <c r="Q64" s="1594" t="s">
        <v>1483</v>
      </c>
      <c r="R64" s="1594" t="s">
        <v>1484</v>
      </c>
    </row>
    <row r="65" spans="1:18" s="1565" customFormat="1" ht="13.5" thickBot="1">
      <c r="A65" s="1112" t="s">
        <v>1462</v>
      </c>
      <c r="B65" s="1080" t="s">
        <v>1412</v>
      </c>
      <c r="C65" s="24">
        <f ca="1">ROUND(C56*F65,1)</f>
        <v>0</v>
      </c>
      <c r="D65" s="1094" t="s">
        <v>1413</v>
      </c>
      <c r="E65" s="1080" t="s">
        <v>1381</v>
      </c>
      <c r="F65" s="336">
        <f t="shared" ca="1" si="0"/>
        <v>0</v>
      </c>
      <c r="I65" s="1643" t="s">
        <v>1538</v>
      </c>
      <c r="J65" s="1644">
        <v>40</v>
      </c>
      <c r="K65" s="1644">
        <v>30</v>
      </c>
      <c r="L65" s="1644">
        <v>50</v>
      </c>
      <c r="M65" s="1646">
        <v>0.02</v>
      </c>
      <c r="O65" s="1599" t="s">
        <v>1008</v>
      </c>
      <c r="P65" s="1600" t="s">
        <v>1487</v>
      </c>
      <c r="Q65" s="1601">
        <f ca="1">C40+J29</f>
        <v>-6046</v>
      </c>
      <c r="R65" s="1601" t="s">
        <v>1488</v>
      </c>
    </row>
    <row r="66" spans="1:18" s="1565" customFormat="1" ht="16.5" thickBot="1">
      <c r="A66" s="1112" t="s">
        <v>1463</v>
      </c>
      <c r="B66" s="1080" t="s">
        <v>1398</v>
      </c>
      <c r="C66" s="24">
        <f ca="1">ROUND(C48*F66,1)</f>
        <v>0</v>
      </c>
      <c r="D66" s="1094" t="s">
        <v>1418</v>
      </c>
      <c r="E66" s="1080" t="s">
        <v>1381</v>
      </c>
      <c r="F66" s="318">
        <f t="shared" ca="1" si="0"/>
        <v>0</v>
      </c>
      <c r="O66" s="1599" t="s">
        <v>1009</v>
      </c>
      <c r="P66" s="1600" t="s">
        <v>1517</v>
      </c>
      <c r="Q66" s="1601">
        <f ca="1">L60</f>
        <v>0</v>
      </c>
      <c r="R66" s="1601" t="s">
        <v>1540</v>
      </c>
    </row>
    <row r="67" spans="1:18" s="1565" customFormat="1" ht="16.5" thickBot="1">
      <c r="A67" s="1087" t="s">
        <v>999</v>
      </c>
      <c r="B67" s="1097" t="s">
        <v>1422</v>
      </c>
      <c r="C67" s="322">
        <f ca="1">C48-C58</f>
        <v>-318</v>
      </c>
      <c r="D67" s="1093" t="s">
        <v>1423</v>
      </c>
      <c r="E67" s="1098"/>
      <c r="F67" s="1099"/>
      <c r="O67" s="1609" t="s">
        <v>1010</v>
      </c>
      <c r="P67" s="1600" t="s">
        <v>1521</v>
      </c>
      <c r="Q67" s="1647">
        <f ca="1">L51</f>
        <v>-48530</v>
      </c>
      <c r="R67" s="1601" t="s">
        <v>1541</v>
      </c>
    </row>
    <row r="68" spans="1:18" s="1565" customFormat="1" ht="16.5" thickBot="1">
      <c r="A68" s="1077" t="s">
        <v>1000</v>
      </c>
      <c r="B68" s="1078" t="s">
        <v>1444</v>
      </c>
      <c r="C68" s="307">
        <f ca="1">ROUND(C67*(1-((1+F70)/(1+F68))^F69)/(F68-F70),0)</f>
        <v>-4507</v>
      </c>
      <c r="D68" s="1095" t="s">
        <v>1428</v>
      </c>
      <c r="E68" s="1080" t="s">
        <v>1429</v>
      </c>
      <c r="F68" s="318">
        <f ca="1">F40</f>
        <v>0.06</v>
      </c>
      <c r="O68" s="1609" t="s">
        <v>1011</v>
      </c>
      <c r="P68" s="1648" t="s">
        <v>1542</v>
      </c>
      <c r="Q68" s="1601">
        <f ca="1">ROUND(Q69-Q70*Q71,0)</f>
        <v>-2794</v>
      </c>
      <c r="R68" s="1601" t="s">
        <v>1019</v>
      </c>
    </row>
    <row r="69" spans="1:18" s="1565" customFormat="1" ht="13.5" thickBot="1">
      <c r="A69" s="1081"/>
      <c r="B69" s="1082"/>
      <c r="C69" s="312"/>
      <c r="D69" s="1100" t="s">
        <v>1432</v>
      </c>
      <c r="E69" s="1080" t="s">
        <v>1433</v>
      </c>
      <c r="F69" s="339">
        <f ca="1">F41</f>
        <v>32.61</v>
      </c>
      <c r="O69" s="1609" t="s">
        <v>1016</v>
      </c>
      <c r="P69" s="1648" t="s">
        <v>1543</v>
      </c>
      <c r="Q69" s="1601">
        <f ca="1">C39</f>
        <v>-318</v>
      </c>
      <c r="R69" s="1601" t="s">
        <v>1488</v>
      </c>
    </row>
    <row r="70" spans="1:18" s="1565" customFormat="1" ht="13.5" thickBot="1">
      <c r="A70" s="1084"/>
      <c r="B70" s="1085"/>
      <c r="C70" s="316"/>
      <c r="D70" s="1096"/>
      <c r="E70" s="1080" t="s">
        <v>1436</v>
      </c>
      <c r="F70" s="1184"/>
      <c r="O70" s="1609" t="s">
        <v>1017</v>
      </c>
      <c r="P70" s="1648" t="s">
        <v>1544</v>
      </c>
      <c r="Q70" s="1601">
        <f ca="1">C13</f>
        <v>33018</v>
      </c>
      <c r="R70" s="1601" t="s">
        <v>1488</v>
      </c>
    </row>
    <row r="71" spans="1:18" s="1565" customFormat="1" ht="13.5" thickBot="1">
      <c r="A71" s="1101" t="s">
        <v>1001</v>
      </c>
      <c r="B71" s="1102" t="s">
        <v>1446</v>
      </c>
      <c r="C71" s="342">
        <f ca="1">ROUND(C68*10000/F71,0)</f>
        <v>-1334</v>
      </c>
      <c r="D71" s="1103" t="s">
        <v>1447</v>
      </c>
      <c r="E71" s="1104" t="s">
        <v>1448</v>
      </c>
      <c r="F71" s="345">
        <f ca="1">F43</f>
        <v>33787.39</v>
      </c>
      <c r="O71" s="1609" t="s">
        <v>1018</v>
      </c>
      <c r="P71" s="1648" t="s">
        <v>1545</v>
      </c>
      <c r="Q71" s="1612">
        <f ca="1">C76</f>
        <v>7.4999999999999997E-2</v>
      </c>
      <c r="R71" s="1601"/>
    </row>
    <row r="72" spans="1:18" s="1565" customFormat="1" ht="13.5" thickBot="1">
      <c r="B72" s="734"/>
      <c r="C72" s="734"/>
      <c r="O72" s="1609" t="s">
        <v>1012</v>
      </c>
      <c r="P72" s="1600" t="s">
        <v>1523</v>
      </c>
      <c r="Q72" s="1612">
        <f>L52</f>
        <v>0</v>
      </c>
      <c r="R72" s="1601"/>
    </row>
    <row r="73" spans="1:18" ht="16.5" thickBot="1">
      <c r="A73" s="1565"/>
      <c r="B73" s="734"/>
      <c r="C73" s="734"/>
      <c r="D73" s="1565"/>
      <c r="E73" s="1565"/>
      <c r="F73" s="1565"/>
      <c r="O73" s="1609" t="s">
        <v>1013</v>
      </c>
      <c r="P73" s="1600" t="s">
        <v>1526</v>
      </c>
      <c r="Q73" s="1601" t="e">
        <f ca="1">L58</f>
        <v>#DIV/0!</v>
      </c>
      <c r="R73" s="1601" t="s">
        <v>1527</v>
      </c>
    </row>
    <row r="74" spans="1:18" ht="13.5" thickBot="1">
      <c r="A74" s="1565"/>
      <c r="B74" s="279" t="s">
        <v>1546</v>
      </c>
      <c r="C74" s="1650"/>
      <c r="D74" s="1565"/>
      <c r="E74" s="1565"/>
      <c r="F74" s="1565"/>
      <c r="O74" s="1609" t="s">
        <v>1020</v>
      </c>
      <c r="P74" s="1600" t="str">
        <f>K59</f>
        <v>建筑物剩余耐用年限下的土地年期修正系数Kn</v>
      </c>
      <c r="Q74" s="1601" t="e">
        <f ca="1">L59</f>
        <v>#DIV/0!</v>
      </c>
      <c r="R74" s="1601" t="s">
        <v>1528</v>
      </c>
    </row>
    <row r="75" spans="1:18" ht="13.5" thickBot="1">
      <c r="A75" s="1565"/>
      <c r="B75" s="346" t="s">
        <v>1465</v>
      </c>
      <c r="C75" s="347">
        <f ca="1">ROUND(C13*C76,0)</f>
        <v>2476</v>
      </c>
      <c r="D75" s="1565"/>
      <c r="E75" s="1565"/>
      <c r="F75" s="1565"/>
      <c r="K75" s="1583"/>
      <c r="L75" s="1565"/>
      <c r="O75" s="1599" t="s">
        <v>1014</v>
      </c>
      <c r="P75" s="1600" t="s">
        <v>1508</v>
      </c>
      <c r="Q75" s="1601">
        <f ca="1">Q65+Q66</f>
        <v>-6046</v>
      </c>
      <c r="R75" s="1601" t="s">
        <v>1015</v>
      </c>
    </row>
    <row r="76" spans="1:18">
      <c r="B76" s="348" t="s">
        <v>1466</v>
      </c>
      <c r="C76" s="349">
        <f ca="1">INDIRECT("'数据-取费表'!j"&amp;$G$1)</f>
        <v>7.4999999999999997E-2</v>
      </c>
      <c r="I76" s="1565"/>
      <c r="J76" s="1565"/>
      <c r="K76" s="1583"/>
      <c r="L76" s="1565"/>
    </row>
    <row r="77" spans="1:18">
      <c r="B77" s="350" t="s">
        <v>1467</v>
      </c>
      <c r="C77" s="351"/>
      <c r="I77" s="1565"/>
      <c r="J77" s="1565"/>
      <c r="K77" s="1583"/>
      <c r="L77" s="1565"/>
    </row>
    <row r="78" spans="1:18">
      <c r="B78" s="276" t="s">
        <v>1468</v>
      </c>
      <c r="C78" s="352"/>
    </row>
    <row r="79" spans="1:18">
      <c r="B79" s="346" t="s">
        <v>1469</v>
      </c>
      <c r="C79" s="280">
        <f ca="1">1-C80</f>
        <v>8.7859999999999996</v>
      </c>
    </row>
    <row r="80" spans="1:18">
      <c r="B80" s="346" t="s">
        <v>1470</v>
      </c>
      <c r="C80" s="280">
        <f ca="1">ROUND(C75/C39,3)</f>
        <v>-7.7859999999999996</v>
      </c>
    </row>
    <row r="81" spans="2:3">
      <c r="B81" s="276" t="s">
        <v>1471</v>
      </c>
      <c r="C81" s="244"/>
    </row>
    <row r="82" spans="2:3">
      <c r="B82" s="279" t="s">
        <v>1472</v>
      </c>
      <c r="C82" s="281">
        <f ca="1">1-C83</f>
        <v>6.4610000000000003</v>
      </c>
    </row>
    <row r="83" spans="2:3">
      <c r="B83" s="279" t="s">
        <v>1473</v>
      </c>
      <c r="C83" s="280">
        <f ca="1">ROUND(C13/C40,3)</f>
        <v>-5.4610000000000003</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1570</v>
      </c>
    </row>
    <row r="2" spans="1:1">
      <c r="A2" s="1660"/>
    </row>
    <row r="3" spans="1:1" ht="18">
      <c r="A3" s="1661" t="str">
        <f>项目基本情况!B5&amp;"："</f>
        <v>五矿国际信托有限公司：</v>
      </c>
    </row>
    <row r="4" spans="1:1" ht="36">
      <c r="A4" s="1662" t="str">
        <f>"受贵公司委托，我公司对"&amp;项目基本情况!S1&amp;"进行了预评估。"</f>
        <v>受贵公司委托，我公司对青海省西宁市城中区麟河路31号商业服务、物业用房房地产抵押价值进行了预评估。</v>
      </c>
    </row>
    <row r="5" spans="1:1" ht="18.75">
      <c r="A5" s="1663" t="s">
        <v>1571</v>
      </c>
    </row>
    <row r="6" spans="1:1" ht="18.75">
      <c r="A6" s="1664" t="s">
        <v>1572</v>
      </c>
    </row>
    <row r="7" spans="1:1" ht="72">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青海省西宁市城中区麟河路31号商业服务、物业用房房地产，为青海开河置业投资有限公司所有。根据《国有土地使用证》[西经南国用（2014）第18号]，估价对象（分摊）出让国有建设用地使用权面积为62220.89平方米，建筑面积为66539.56平方米。</v>
      </c>
    </row>
    <row r="8" spans="1:1" ht="57.75">
      <c r="A8" s="1665" t="s">
        <v>1573</v>
      </c>
    </row>
    <row r="9" spans="1:1" ht="18.75">
      <c r="A9" s="1664" t="s">
        <v>1574</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青海省西宁市城中区麟河路31号商业服务、物业用房房地产,属青海开河置业投资有限公司开发建设的商业项目，该项目尚在开发建设中。根据《国有土地使用证》[西经南国用（2014）第18号]，估价对象（分摊）出让国有建设用地使用权面积为62220.89平方米，规划建筑面积为66539.56平方米。</v>
      </c>
    </row>
    <row r="11" spans="1:1" ht="76.5">
      <c r="A11" s="1665" t="s">
        <v>1575</v>
      </c>
    </row>
    <row r="12" spans="1:1" ht="18.75">
      <c r="A12" s="1663" t="s">
        <v>1576</v>
      </c>
    </row>
    <row r="13" spans="1:1" ht="38.25" customHeight="1">
      <c r="A13" s="1666" t="str">
        <f>IF(项目基本情况!B8="抵押",IF(项目基本情况!B5=项目基本情况!B6,定义!C51,定义!B51),定义!D51)</f>
        <v>青海开河置业投资有限公司拟使用青海省西宁市城中区麟河路31号商业服务、物业用房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4" spans="1:1" ht="18.75">
      <c r="A14" s="1667" t="s">
        <v>1577</v>
      </c>
    </row>
    <row r="15" spans="1:1" ht="18">
      <c r="A15" s="1668" t="str">
        <f>TEXT(项目基本情况!D3,"yyyy年m月d日;;")&amp;IF(项目基本情况!D3=项目基本情况!B3,"（评估专业人员实地查勘之日）","")</f>
        <v>2021年12月11日（评估专业人员实地查勘之日）</v>
      </c>
    </row>
    <row r="16" spans="1:1" ht="18.75">
      <c r="A16" s="1667" t="s">
        <v>1578</v>
      </c>
    </row>
    <row r="17" spans="1:1" ht="75">
      <c r="A17" s="1662" t="s">
        <v>1579</v>
      </c>
    </row>
    <row r="18" spans="1:1" ht="72">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11日，估价对象规划用途为商业服务、物业用房，土地取得方式为出让，出让国有建设用地使用权剩余土地使用年限为商业服务、物业32.61年，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物业用房，实际开发程度为宗地红线外“七通”（即通路、通电、通讯、通上水、通下水、燃气、通热）、红线内场地平整条件下，剩余土地使用年限为商业服务、物业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1568</v>
      </c>
    </row>
    <row r="24" spans="1:1" ht="18">
      <c r="A24" s="1669" t="str">
        <f>"本次评估采用的主估价方法为"&amp;结果表!K4&amp;"和"&amp;结果表!L4&amp;"。"</f>
        <v>本次评估采用的主估价方法为成本法和收益法。</v>
      </c>
    </row>
    <row r="25" spans="1:1" ht="18">
      <c r="A25" s="1669"/>
    </row>
    <row r="26" spans="1:1" ht="18.75">
      <c r="A26" s="1670" t="s">
        <v>1569</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2341</v>
      </c>
      <c r="B1" s="2051"/>
      <c r="C1" s="2051"/>
      <c r="D1" s="2051"/>
      <c r="E1" s="2052"/>
      <c r="F1" s="2930"/>
      <c r="G1" s="1671"/>
      <c r="H1" s="1671"/>
      <c r="I1" s="1671"/>
      <c r="J1" s="1671"/>
      <c r="K1" s="1671"/>
      <c r="L1" s="1671"/>
      <c r="M1" s="1671"/>
      <c r="N1" s="1671"/>
      <c r="O1" s="1671"/>
      <c r="P1" s="1671"/>
      <c r="Q1" s="1671"/>
      <c r="R1" s="1671"/>
      <c r="S1" s="1671"/>
    </row>
    <row r="2" spans="1:22" ht="15.75">
      <c r="A2" s="2053" t="s">
        <v>2142</v>
      </c>
      <c r="B2" s="2054">
        <f ca="1">SUMIF(B6:B13,"&lt;&gt;#ref!",B6:B13)</f>
        <v>48770</v>
      </c>
      <c r="C2" s="2055" t="s">
        <v>2334</v>
      </c>
      <c r="D2" s="2056" t="s">
        <v>2335</v>
      </c>
      <c r="E2" s="2827">
        <f>SUM(E6:E13)</f>
        <v>66539.56</v>
      </c>
      <c r="F2" s="2930"/>
      <c r="G2" s="1671"/>
      <c r="H2" s="1671"/>
      <c r="I2" s="1671"/>
      <c r="J2" s="1671"/>
      <c r="K2" s="1671"/>
      <c r="L2" s="1671"/>
      <c r="M2" s="1671"/>
      <c r="N2" s="1671"/>
      <c r="O2" s="1671"/>
      <c r="P2" s="1671"/>
      <c r="Q2" s="1671"/>
      <c r="R2" s="1671"/>
      <c r="S2" s="1671"/>
    </row>
    <row r="3" spans="1:22" ht="15.75">
      <c r="A3" s="2053" t="s">
        <v>1354</v>
      </c>
      <c r="B3" s="2821">
        <f ca="1">ROUND(B2*10000/E2,0)</f>
        <v>7329</v>
      </c>
      <c r="C3" s="2055" t="s">
        <v>2342</v>
      </c>
      <c r="D3" s="2932"/>
      <c r="E3" s="2934"/>
      <c r="F3" s="2930"/>
      <c r="G3" s="1671"/>
      <c r="H3" s="1671"/>
      <c r="I3" s="1671"/>
      <c r="J3" s="1671"/>
      <c r="K3" s="1671"/>
      <c r="L3" s="1671"/>
      <c r="M3" s="1671"/>
      <c r="N3" s="1671"/>
      <c r="O3" s="1671"/>
      <c r="P3" s="1671"/>
      <c r="Q3" s="1671"/>
      <c r="R3" s="1671"/>
      <c r="S3" s="1671"/>
    </row>
    <row r="4" spans="1:22" ht="15.75">
      <c r="A4" s="2935"/>
      <c r="B4" s="2932"/>
      <c r="C4" s="2932"/>
      <c r="D4" s="2932"/>
      <c r="E4" s="2934"/>
      <c r="F4" s="2930"/>
      <c r="G4" s="1671"/>
      <c r="H4" s="1671"/>
      <c r="I4" s="1671"/>
      <c r="J4" s="1671"/>
      <c r="K4" s="1671"/>
      <c r="L4" s="1671"/>
      <c r="M4" s="1671"/>
      <c r="N4" s="1671"/>
      <c r="O4" s="1671"/>
      <c r="P4" s="1671"/>
      <c r="Q4" s="1671"/>
      <c r="R4" s="1671"/>
      <c r="S4" s="1671"/>
    </row>
    <row r="5" spans="1:22" ht="15">
      <c r="A5" s="2823" t="s">
        <v>2336</v>
      </c>
      <c r="B5" s="3572" t="s">
        <v>2337</v>
      </c>
      <c r="C5" s="3573"/>
      <c r="D5" s="2931"/>
      <c r="E5" s="2057" t="s">
        <v>2338</v>
      </c>
      <c r="F5" s="2058" t="s">
        <v>2339</v>
      </c>
      <c r="G5" s="1671"/>
      <c r="H5" s="1671"/>
      <c r="I5" s="1671"/>
      <c r="J5" s="1671"/>
      <c r="K5" s="1671"/>
      <c r="L5" s="1671"/>
      <c r="M5" s="1671"/>
      <c r="N5" s="1671"/>
      <c r="O5" s="1671"/>
      <c r="P5" s="1671"/>
      <c r="Q5" s="1671"/>
      <c r="R5" s="1671"/>
      <c r="S5" s="1671"/>
    </row>
    <row r="6" spans="1:22">
      <c r="A6" s="2824" t="str">
        <f>'数据-取费表'!AN6</f>
        <v>收益法</v>
      </c>
      <c r="B6" s="3287">
        <f ca="1">'测算过程 -酒店'!C38</f>
        <v>25309</v>
      </c>
      <c r="C6" s="2055" t="s">
        <v>2334</v>
      </c>
      <c r="D6" s="2932"/>
      <c r="E6" s="2826">
        <f>IF(OR(A6=0,F6="否"),0,'数据-取费表'!K6+'数据-取费表'!S6)</f>
        <v>32570.31</v>
      </c>
      <c r="F6" s="2059" t="s">
        <v>2340</v>
      </c>
      <c r="G6" s="1671"/>
      <c r="H6" s="1671"/>
      <c r="I6" s="1671"/>
      <c r="J6" s="1671"/>
      <c r="K6" s="1671"/>
      <c r="L6" s="1671"/>
      <c r="M6" s="1671"/>
      <c r="N6" s="1671"/>
      <c r="O6" s="1671"/>
      <c r="P6" s="1671"/>
      <c r="Q6" s="1671"/>
      <c r="R6" s="1671"/>
      <c r="S6" s="1671"/>
    </row>
    <row r="7" spans="1:22">
      <c r="A7" s="2824" t="str">
        <f>'数据-取费表'!AN7</f>
        <v>收益法-温泉乐园</v>
      </c>
      <c r="B7" s="3287">
        <f ca="1">'测算过程-温泉'!C38</f>
        <v>23461</v>
      </c>
      <c r="C7" s="2055" t="s">
        <v>2334</v>
      </c>
      <c r="D7" s="2932"/>
      <c r="E7" s="2826">
        <f>IF(OR(A7=0,F7="否"),0,'数据-取费表'!K7+'数据-取费表'!S7)</f>
        <v>33969.25</v>
      </c>
      <c r="F7" s="2059" t="s">
        <v>2340</v>
      </c>
      <c r="G7" s="1671"/>
      <c r="H7" s="1671"/>
      <c r="I7" s="1671"/>
      <c r="J7" s="1671"/>
      <c r="K7" s="1671"/>
      <c r="L7" s="1671"/>
      <c r="M7" s="1671"/>
      <c r="N7" s="1671"/>
      <c r="O7" s="1671"/>
      <c r="P7" s="1671"/>
      <c r="Q7" s="1671"/>
      <c r="R7" s="1671"/>
      <c r="S7" s="1671"/>
    </row>
    <row r="8" spans="1:22">
      <c r="A8" s="2824">
        <f>'数据-取费表'!AN8</f>
        <v>0</v>
      </c>
      <c r="B8" s="2822" t="e">
        <f ca="1">IF(F8="是",'数据-取费表'!AO8,0)</f>
        <v>#REF!</v>
      </c>
      <c r="C8" s="2055" t="s">
        <v>2334</v>
      </c>
      <c r="D8" s="2932"/>
      <c r="E8" s="2826">
        <f>IF(OR(A8=0,F8="否"),0,'数据-取费表'!K8+'数据-取费表'!S8)</f>
        <v>0</v>
      </c>
      <c r="F8" s="2059" t="s">
        <v>2340</v>
      </c>
      <c r="G8" s="1671"/>
      <c r="H8" s="1671"/>
      <c r="I8" s="1671"/>
      <c r="J8" s="1671"/>
      <c r="K8" s="1671"/>
      <c r="L8" s="1671"/>
      <c r="M8" s="1671"/>
      <c r="N8" s="1671"/>
      <c r="O8" s="1671"/>
      <c r="P8" s="1671"/>
      <c r="Q8" s="1671"/>
      <c r="R8" s="1671"/>
      <c r="S8" s="1671"/>
    </row>
    <row r="9" spans="1:22">
      <c r="A9" s="2824">
        <f>'数据-取费表'!AN9</f>
        <v>0</v>
      </c>
      <c r="B9" s="2822" t="e">
        <f ca="1">IF(F9="是",'数据-取费表'!AO9,0)</f>
        <v>#REF!</v>
      </c>
      <c r="C9" s="2055" t="s">
        <v>2334</v>
      </c>
      <c r="D9" s="2932"/>
      <c r="E9" s="2826">
        <f>IF(OR(A9=0,F9="否"),0,'数据-取费表'!K9+'数据-取费表'!S9)</f>
        <v>0</v>
      </c>
      <c r="F9" s="2059" t="s">
        <v>2340</v>
      </c>
      <c r="G9" s="1671"/>
      <c r="H9" s="1671"/>
      <c r="I9" s="1671"/>
      <c r="J9" s="1671"/>
      <c r="K9" s="1671"/>
      <c r="L9" s="1671"/>
      <c r="M9" s="1671"/>
      <c r="N9" s="1671"/>
      <c r="O9" s="1671"/>
      <c r="P9" s="1671"/>
      <c r="Q9" s="1671"/>
      <c r="R9" s="1671"/>
      <c r="S9" s="1671"/>
    </row>
    <row r="10" spans="1:22">
      <c r="A10" s="2824">
        <f>'数据-取费表'!AN10</f>
        <v>0</v>
      </c>
      <c r="B10" s="2822" t="e">
        <f ca="1">IF(F10="是",'数据-取费表'!AO10,0)</f>
        <v>#REF!</v>
      </c>
      <c r="C10" s="2055" t="s">
        <v>2334</v>
      </c>
      <c r="D10" s="2932"/>
      <c r="E10" s="2826">
        <f>IF(OR(A10=0,F10="否"),0,'数据-取费表'!K10+'数据-取费表'!S10)</f>
        <v>0</v>
      </c>
      <c r="F10" s="2059" t="s">
        <v>2340</v>
      </c>
      <c r="G10" s="1671"/>
      <c r="H10" s="1671"/>
      <c r="I10" s="1671"/>
      <c r="J10" s="1671"/>
      <c r="K10" s="1671"/>
      <c r="L10" s="1671"/>
      <c r="M10" s="1671"/>
      <c r="N10" s="1671"/>
      <c r="O10" s="1671"/>
      <c r="P10" s="1671"/>
      <c r="Q10" s="1671"/>
      <c r="R10" s="1671"/>
      <c r="S10" s="1671"/>
    </row>
    <row r="11" spans="1:22">
      <c r="A11" s="2824">
        <f>'数据-取费表'!AN11</f>
        <v>0</v>
      </c>
      <c r="B11" s="2822" t="e">
        <f ca="1">IF(F11="是",'数据-取费表'!AO11,0)</f>
        <v>#REF!</v>
      </c>
      <c r="C11" s="2055" t="s">
        <v>2334</v>
      </c>
      <c r="D11" s="2932"/>
      <c r="E11" s="2826">
        <f>IF(OR(A11=0,F11="否"),0,'数据-取费表'!K11+'数据-取费表'!S11)</f>
        <v>0</v>
      </c>
      <c r="F11" s="2059" t="s">
        <v>2340</v>
      </c>
      <c r="G11" s="1671"/>
      <c r="H11" s="1671"/>
      <c r="I11" s="1671"/>
      <c r="J11" s="1671"/>
      <c r="K11" s="1671"/>
      <c r="L11" s="1671"/>
      <c r="M11" s="1671"/>
      <c r="N11" s="1671"/>
      <c r="O11" s="1671"/>
      <c r="P11" s="1671"/>
      <c r="Q11" s="1671"/>
      <c r="R11" s="1671"/>
      <c r="S11" s="1671"/>
    </row>
    <row r="12" spans="1:22">
      <c r="A12" s="2824">
        <f>'数据-取费表'!AN12</f>
        <v>0</v>
      </c>
      <c r="B12" s="2822" t="e">
        <f ca="1">IF(F12="是",'数据-取费表'!AO12,0)</f>
        <v>#REF!</v>
      </c>
      <c r="C12" s="2055" t="s">
        <v>2334</v>
      </c>
      <c r="D12" s="2932"/>
      <c r="E12" s="2826">
        <f>IF(OR(A12=0,F12="否"),0,'数据-取费表'!K12+'数据-取费表'!S12)</f>
        <v>0</v>
      </c>
      <c r="F12" s="2059" t="s">
        <v>2340</v>
      </c>
      <c r="G12" s="1671"/>
      <c r="H12" s="1671"/>
      <c r="I12" s="1671"/>
      <c r="J12" s="1671"/>
      <c r="K12" s="1671"/>
      <c r="L12" s="1671"/>
      <c r="M12" s="1671"/>
      <c r="N12" s="1671"/>
      <c r="O12" s="1671"/>
      <c r="P12" s="1671"/>
      <c r="Q12" s="1671"/>
      <c r="R12" s="1671"/>
      <c r="S12" s="1671"/>
    </row>
    <row r="13" spans="1:22" ht="15" thickBot="1">
      <c r="A13" s="2825">
        <f>'数据-取费表'!AN13</f>
        <v>0</v>
      </c>
      <c r="B13" s="2822" t="e">
        <f ca="1">IF(F13="是",'数据-取费表'!AO13,0)</f>
        <v>#REF!</v>
      </c>
      <c r="C13" s="2060" t="s">
        <v>2334</v>
      </c>
      <c r="D13" s="2933"/>
      <c r="E13" s="2826">
        <f>IF(OR(A13=0,F13="否"),0,'数据-取费表'!K13+'数据-取费表'!S13)</f>
        <v>0</v>
      </c>
      <c r="F13" s="2059" t="s">
        <v>2340</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1" t="s">
        <v>2344</v>
      </c>
      <c r="C1" s="1404" t="s">
        <v>2345</v>
      </c>
      <c r="D1" s="1391"/>
      <c r="E1" s="2541"/>
      <c r="F1" s="2062" t="s">
        <v>2346</v>
      </c>
      <c r="G1" s="1401" t="s">
        <v>2347</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3" customFormat="1" ht="28.5" customHeight="1" thickTop="1">
      <c r="A2" s="1387" t="s">
        <v>1353</v>
      </c>
      <c r="B2" s="1324" t="e">
        <f ca="1">IF(C2="——",ROUND(C49*D3/10000,0),ROUND(C49*D3/10000,0)-D2)</f>
        <v>#DIV/0!</v>
      </c>
      <c r="C2" s="2064"/>
      <c r="D2" s="1273" t="e">
        <f ca="1">SUMIF(INDIRECT("'"&amp;F2&amp;"'"&amp;"!A:A"),"承租人权益价值",INDIRECT("'"&amp;F2&amp;"'"&amp;"!c:c"))</f>
        <v>#REF!</v>
      </c>
      <c r="E2" s="2065" t="s">
        <v>2348</v>
      </c>
      <c r="F2" s="2066"/>
      <c r="G2" s="1037"/>
      <c r="H2" s="1037"/>
      <c r="I2" s="1037"/>
      <c r="J2" s="1037"/>
      <c r="K2" s="2067"/>
      <c r="L2" s="2936"/>
      <c r="M2" s="2937"/>
      <c r="N2" s="2937"/>
      <c r="O2" s="2937"/>
      <c r="P2" s="2068"/>
      <c r="Q2" s="2069"/>
      <c r="R2" s="2069"/>
      <c r="S2" s="2069"/>
      <c r="T2" s="2069"/>
      <c r="U2" s="2069"/>
      <c r="V2" s="2069"/>
      <c r="W2" s="2069"/>
      <c r="X2" s="2069"/>
      <c r="Y2" s="2069"/>
      <c r="Z2" s="2069"/>
      <c r="AA2" s="2069"/>
      <c r="AB2" s="2069"/>
      <c r="AC2" s="2070"/>
    </row>
    <row r="3" spans="1:29" s="353" customFormat="1" ht="28.5" customHeight="1" thickBot="1">
      <c r="A3" s="209" t="s">
        <v>1354</v>
      </c>
      <c r="B3" s="359" t="e">
        <f ca="1">IF(C2="——",C49,ROUND(B2*10000/D3,0))</f>
        <v>#DIV/0!</v>
      </c>
      <c r="C3" s="360" t="s">
        <v>2349</v>
      </c>
      <c r="D3" s="359">
        <f>IF(D1="",'数据-汇总表'!E3,SUMIF('数据-汇总表'!$C19:$C33,D1,'数据-汇总表'!$E19:$E33))</f>
        <v>66539.560000000012</v>
      </c>
      <c r="E3" s="1037"/>
      <c r="F3" s="2071"/>
      <c r="G3" s="1037"/>
      <c r="H3" s="1037"/>
      <c r="I3" s="1037"/>
      <c r="J3" s="1037"/>
      <c r="K3" s="2067"/>
      <c r="L3" s="2936"/>
      <c r="M3" s="2937"/>
      <c r="N3" s="2937"/>
      <c r="O3" s="2937"/>
      <c r="P3" s="2068"/>
      <c r="Q3" s="2069"/>
      <c r="R3" s="2069"/>
      <c r="S3" s="2069"/>
      <c r="T3" s="2069"/>
      <c r="U3" s="2069"/>
      <c r="V3" s="2069"/>
      <c r="W3" s="2069"/>
      <c r="X3" s="2069"/>
      <c r="Y3" s="2069"/>
      <c r="Z3" s="2069"/>
      <c r="AA3" s="2069"/>
      <c r="AB3" s="2069"/>
      <c r="AC3" s="1191"/>
    </row>
    <row r="4" spans="1:29" ht="15">
      <c r="A4" s="361" t="s">
        <v>2350</v>
      </c>
      <c r="B4" s="362"/>
      <c r="C4" s="3493" t="s">
        <v>2351</v>
      </c>
      <c r="D4" s="3506"/>
      <c r="E4" s="3507" t="s">
        <v>2352</v>
      </c>
      <c r="F4" s="3508"/>
      <c r="G4" s="3493" t="s">
        <v>2353</v>
      </c>
      <c r="H4" s="3506"/>
      <c r="I4" s="3493" t="s">
        <v>2354</v>
      </c>
      <c r="J4" s="3506"/>
      <c r="K4" s="2072" t="s">
        <v>2355</v>
      </c>
      <c r="L4" s="2938"/>
      <c r="M4" s="2939"/>
      <c r="N4" s="2939"/>
      <c r="O4" s="2939"/>
      <c r="P4" s="3509" t="s">
        <v>2356</v>
      </c>
      <c r="Q4" s="3510"/>
      <c r="R4" s="3515" t="s">
        <v>2352</v>
      </c>
      <c r="S4" s="3516"/>
      <c r="T4" s="3515" t="s">
        <v>2353</v>
      </c>
      <c r="U4" s="3516"/>
      <c r="V4" s="3502" t="s">
        <v>2354</v>
      </c>
      <c r="W4" s="3502"/>
      <c r="X4" s="1536"/>
      <c r="Y4" s="3515" t="s">
        <v>2356</v>
      </c>
      <c r="Z4" s="3516"/>
      <c r="AA4" s="3503" t="s">
        <v>2352</v>
      </c>
      <c r="AB4" s="3503" t="s">
        <v>2353</v>
      </c>
      <c r="AC4" s="3503" t="s">
        <v>2354</v>
      </c>
    </row>
    <row r="5" spans="1:29" ht="15">
      <c r="A5" s="364"/>
      <c r="B5" s="365"/>
      <c r="C5" s="3523" t="s">
        <v>2357</v>
      </c>
      <c r="D5" s="3524"/>
      <c r="E5" s="3532" t="s">
        <v>2358</v>
      </c>
      <c r="F5" s="3533"/>
      <c r="G5" s="3523" t="s">
        <v>2359</v>
      </c>
      <c r="H5" s="3524"/>
      <c r="I5" s="3523" t="s">
        <v>2360</v>
      </c>
      <c r="J5" s="3524"/>
      <c r="K5" s="2073"/>
      <c r="L5" s="2938"/>
      <c r="M5" s="2939"/>
      <c r="N5" s="2939"/>
      <c r="O5" s="2939"/>
      <c r="P5" s="3511"/>
      <c r="Q5" s="3512"/>
      <c r="R5" s="3517"/>
      <c r="S5" s="3518"/>
      <c r="T5" s="3517"/>
      <c r="U5" s="3518"/>
      <c r="V5" s="3502"/>
      <c r="W5" s="3502"/>
      <c r="X5" s="1536"/>
      <c r="Y5" s="3517"/>
      <c r="Z5" s="3518"/>
      <c r="AA5" s="3504"/>
      <c r="AB5" s="3504"/>
      <c r="AC5" s="3504"/>
    </row>
    <row r="6" spans="1:29" ht="15.75" thickBot="1">
      <c r="A6" s="366"/>
      <c r="B6" s="367"/>
      <c r="C6" s="3521" t="s">
        <v>2361</v>
      </c>
      <c r="D6" s="3522"/>
      <c r="E6" s="3582" t="s">
        <v>2361</v>
      </c>
      <c r="F6" s="3583"/>
      <c r="G6" s="3521" t="s">
        <v>2361</v>
      </c>
      <c r="H6" s="3522"/>
      <c r="I6" s="3521" t="s">
        <v>2361</v>
      </c>
      <c r="J6" s="3522"/>
      <c r="K6" s="2073" t="s">
        <v>2362</v>
      </c>
      <c r="L6" s="2938"/>
      <c r="M6" s="2939"/>
      <c r="N6" s="2939"/>
      <c r="O6" s="2939"/>
      <c r="P6" s="3513"/>
      <c r="Q6" s="3514"/>
      <c r="R6" s="3517"/>
      <c r="S6" s="3518"/>
      <c r="T6" s="3519"/>
      <c r="U6" s="3520"/>
      <c r="V6" s="3502"/>
      <c r="W6" s="3502"/>
      <c r="X6" s="1536"/>
      <c r="Y6" s="3519"/>
      <c r="Z6" s="3520"/>
      <c r="AA6" s="3505"/>
      <c r="AB6" s="3505"/>
      <c r="AC6" s="3505"/>
    </row>
    <row r="7" spans="1:29" s="113" customFormat="1" ht="15.75" thickBot="1">
      <c r="A7" s="368" t="s">
        <v>2363</v>
      </c>
      <c r="B7" s="369"/>
      <c r="C7" s="370">
        <f>'数据-取费表'!B2</f>
        <v>44541</v>
      </c>
      <c r="D7" s="371">
        <v>100</v>
      </c>
      <c r="E7" s="372"/>
      <c r="F7" s="373">
        <f>SUMIF(58:58,YEAR(E7)&amp;"-"&amp;MONTH(E7),59:59)</f>
        <v>0</v>
      </c>
      <c r="G7" s="372"/>
      <c r="H7" s="371">
        <f>SUMIF(58:58,YEAR(G7)&amp;"-"&amp;MONTH(G7),59:59)</f>
        <v>0</v>
      </c>
      <c r="I7" s="372"/>
      <c r="J7" s="371">
        <f>SUMIF(58:58,YEAR(I7)&amp;"-"&amp;MONTH(I7),59:59)</f>
        <v>0</v>
      </c>
      <c r="K7" s="2074"/>
      <c r="L7" s="2940"/>
      <c r="M7" s="2941"/>
      <c r="N7" s="2941"/>
      <c r="O7" s="2941"/>
      <c r="P7" s="3525" t="s">
        <v>2364</v>
      </c>
      <c r="Q7" s="3527"/>
      <c r="R7" s="709" t="s">
        <v>23</v>
      </c>
      <c r="S7" s="710">
        <f t="shared" ref="S7:S15" si="0">F7</f>
        <v>0</v>
      </c>
      <c r="T7" s="709" t="s">
        <v>23</v>
      </c>
      <c r="U7" s="710">
        <f t="shared" ref="U7:U15" si="1">H7</f>
        <v>0</v>
      </c>
      <c r="V7" s="709" t="s">
        <v>23</v>
      </c>
      <c r="W7" s="710">
        <f t="shared" ref="W7:W15" si="2">J7</f>
        <v>0</v>
      </c>
      <c r="X7" s="711"/>
      <c r="Y7" s="3525" t="s">
        <v>2364</v>
      </c>
      <c r="Z7" s="3526"/>
      <c r="AA7" s="712" t="e">
        <f>D7/F7</f>
        <v>#DIV/0!</v>
      </c>
      <c r="AB7" s="712" t="e">
        <f>D7/H7</f>
        <v>#DIV/0!</v>
      </c>
      <c r="AC7" s="712" t="e">
        <f>D7/J7</f>
        <v>#DIV/0!</v>
      </c>
    </row>
    <row r="8" spans="1:29" s="113" customFormat="1" ht="15.75" thickBot="1">
      <c r="A8" s="368" t="s">
        <v>2365</v>
      </c>
      <c r="B8" s="369"/>
      <c r="C8" s="374" t="s">
        <v>2366</v>
      </c>
      <c r="D8" s="371">
        <v>100</v>
      </c>
      <c r="E8" s="2075"/>
      <c r="F8" s="373">
        <f>SUMIF(61:61,E8,62:62)-SUMIF(61:61,C8,62:62)+100</f>
        <v>0</v>
      </c>
      <c r="G8" s="374"/>
      <c r="H8" s="371">
        <f>SUMIF(61:61,G8,62:62)-SUMIF(61:61,C8,62:62)+100</f>
        <v>0</v>
      </c>
      <c r="I8" s="2075"/>
      <c r="J8" s="371">
        <f>SUMIF(61:61,I8,62:62)-SUMIF(61:61,C8,62:62)+100</f>
        <v>0</v>
      </c>
      <c r="K8" s="2074"/>
      <c r="L8" s="2940"/>
      <c r="M8" s="2941"/>
      <c r="N8" s="2941"/>
      <c r="O8" s="2941"/>
      <c r="P8" s="3525" t="s">
        <v>2367</v>
      </c>
      <c r="Q8" s="3526"/>
      <c r="R8" s="709" t="s">
        <v>23</v>
      </c>
      <c r="S8" s="710">
        <f t="shared" si="0"/>
        <v>0</v>
      </c>
      <c r="T8" s="709" t="s">
        <v>23</v>
      </c>
      <c r="U8" s="710">
        <f t="shared" si="1"/>
        <v>0</v>
      </c>
      <c r="V8" s="709" t="s">
        <v>23</v>
      </c>
      <c r="W8" s="710">
        <f t="shared" si="2"/>
        <v>0</v>
      </c>
      <c r="X8" s="711"/>
      <c r="Y8" s="3525" t="s">
        <v>2367</v>
      </c>
      <c r="Z8" s="3526"/>
      <c r="AA8" s="712" t="e">
        <f t="shared" ref="AA8:AA19" si="3">D8/F8</f>
        <v>#DIV/0!</v>
      </c>
      <c r="AB8" s="712" t="e">
        <f t="shared" ref="AB8:AB19" si="4">D8/H8</f>
        <v>#DIV/0!</v>
      </c>
      <c r="AC8" s="712"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4"/>
      <c r="L9" s="2940"/>
      <c r="M9" s="2941"/>
      <c r="N9" s="2941"/>
      <c r="O9" s="2941"/>
      <c r="P9" s="3495" t="s">
        <v>2370</v>
      </c>
      <c r="Q9" s="1524" t="str">
        <f t="shared" ref="Q9:Q15" si="6">B9</f>
        <v>用途</v>
      </c>
      <c r="R9" s="709" t="s">
        <v>17</v>
      </c>
      <c r="S9" s="710">
        <f t="shared" si="0"/>
        <v>100</v>
      </c>
      <c r="T9" s="709" t="s">
        <v>17</v>
      </c>
      <c r="U9" s="710">
        <f t="shared" si="1"/>
        <v>100</v>
      </c>
      <c r="V9" s="709" t="s">
        <v>17</v>
      </c>
      <c r="W9" s="710">
        <f t="shared" si="2"/>
        <v>100</v>
      </c>
      <c r="X9" s="711"/>
      <c r="Y9" s="3386" t="s">
        <v>2371</v>
      </c>
      <c r="Z9" s="55" t="str">
        <f t="shared" ref="Z9:Z15" si="7">Q9</f>
        <v>用途</v>
      </c>
      <c r="AA9" s="712">
        <f t="shared" si="3"/>
        <v>1</v>
      </c>
      <c r="AB9" s="712">
        <f t="shared" si="4"/>
        <v>1</v>
      </c>
      <c r="AC9" s="712">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495"/>
      <c r="Q10" s="1524"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495"/>
      <c r="Q11" s="1524" t="str">
        <f t="shared" si="6"/>
        <v>容积率</v>
      </c>
      <c r="R11" s="709" t="s">
        <v>21</v>
      </c>
      <c r="S11" s="710" t="e">
        <f t="shared" si="0"/>
        <v>#N/A</v>
      </c>
      <c r="T11" s="709" t="s">
        <v>21</v>
      </c>
      <c r="U11" s="710" t="e">
        <f t="shared" si="1"/>
        <v>#N/A</v>
      </c>
      <c r="V11" s="709" t="s">
        <v>21</v>
      </c>
      <c r="W11" s="710" t="e">
        <f t="shared" si="2"/>
        <v>#N/A</v>
      </c>
      <c r="X11" s="711"/>
      <c r="Y11" s="3386"/>
      <c r="Z11" s="55" t="str">
        <f t="shared" si="7"/>
        <v>容积率</v>
      </c>
      <c r="AA11" s="712" t="e">
        <f t="shared" si="3"/>
        <v>#N/A</v>
      </c>
      <c r="AB11" s="712" t="e">
        <f t="shared" si="4"/>
        <v>#N/A</v>
      </c>
      <c r="AC11" s="712"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0"/>
      <c r="M12" s="2941"/>
      <c r="N12" s="2941"/>
      <c r="O12" s="2941"/>
      <c r="P12" s="3495"/>
      <c r="Q12" s="1524">
        <f t="shared" si="6"/>
        <v>111</v>
      </c>
      <c r="R12" s="709" t="s">
        <v>21</v>
      </c>
      <c r="S12" s="710">
        <f t="shared" si="0"/>
        <v>100</v>
      </c>
      <c r="T12" s="709" t="s">
        <v>21</v>
      </c>
      <c r="U12" s="710">
        <f t="shared" si="1"/>
        <v>100</v>
      </c>
      <c r="V12" s="709" t="s">
        <v>21</v>
      </c>
      <c r="W12" s="710">
        <f t="shared" si="2"/>
        <v>100</v>
      </c>
      <c r="X12" s="711"/>
      <c r="Y12" s="3386"/>
      <c r="Z12" s="55">
        <f t="shared" si="7"/>
        <v>111</v>
      </c>
      <c r="AA12" s="712">
        <f>D12/F12</f>
        <v>1</v>
      </c>
      <c r="AB12" s="712">
        <f>D12/H12</f>
        <v>1</v>
      </c>
      <c r="AC12" s="712">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5"/>
      <c r="M13" s="2939"/>
      <c r="N13" s="2939"/>
      <c r="O13" s="2939"/>
      <c r="P13" s="3495"/>
      <c r="Q13" s="1524">
        <f t="shared" si="6"/>
        <v>111</v>
      </c>
      <c r="R13" s="709" t="s">
        <v>21</v>
      </c>
      <c r="S13" s="710">
        <f t="shared" si="0"/>
        <v>100</v>
      </c>
      <c r="T13" s="709" t="s">
        <v>21</v>
      </c>
      <c r="U13" s="710">
        <f t="shared" si="1"/>
        <v>100</v>
      </c>
      <c r="V13" s="709" t="s">
        <v>21</v>
      </c>
      <c r="W13" s="710">
        <f t="shared" si="2"/>
        <v>100</v>
      </c>
      <c r="X13" s="711"/>
      <c r="Y13" s="3386"/>
      <c r="Z13" s="55">
        <f t="shared" si="7"/>
        <v>111</v>
      </c>
      <c r="AA13" s="712">
        <f t="shared" si="3"/>
        <v>1</v>
      </c>
      <c r="AB13" s="712">
        <f t="shared" si="4"/>
        <v>1</v>
      </c>
      <c r="AC13" s="712">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5"/>
      <c r="M14" s="2939"/>
      <c r="N14" s="2939"/>
      <c r="O14" s="2939"/>
      <c r="P14" s="3495"/>
      <c r="Q14" s="1524">
        <f t="shared" si="6"/>
        <v>111</v>
      </c>
      <c r="R14" s="709" t="s">
        <v>21</v>
      </c>
      <c r="S14" s="710">
        <f t="shared" si="0"/>
        <v>100</v>
      </c>
      <c r="T14" s="709" t="s">
        <v>21</v>
      </c>
      <c r="U14" s="710">
        <f t="shared" si="1"/>
        <v>100</v>
      </c>
      <c r="V14" s="709" t="s">
        <v>21</v>
      </c>
      <c r="W14" s="710">
        <f t="shared" si="2"/>
        <v>100</v>
      </c>
      <c r="X14" s="711"/>
      <c r="Y14" s="3386"/>
      <c r="Z14" s="55">
        <f t="shared" si="7"/>
        <v>111</v>
      </c>
      <c r="AA14" s="712">
        <f t="shared" si="3"/>
        <v>1</v>
      </c>
      <c r="AB14" s="712">
        <f t="shared" si="4"/>
        <v>1</v>
      </c>
      <c r="AC14" s="712">
        <f t="shared" si="5"/>
        <v>1</v>
      </c>
    </row>
    <row r="15" spans="1:29" ht="99.75">
      <c r="A15" s="399" t="s">
        <v>2374</v>
      </c>
      <c r="B15" s="65" t="s">
        <v>1937</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580" t="s">
        <v>2375</v>
      </c>
      <c r="Q15" s="1533" t="str">
        <f t="shared" si="6"/>
        <v>居住社区成熟度</v>
      </c>
      <c r="R15" s="713" t="s">
        <v>21</v>
      </c>
      <c r="S15" s="714">
        <f t="shared" si="0"/>
        <v>100</v>
      </c>
      <c r="T15" s="713" t="s">
        <v>21</v>
      </c>
      <c r="U15" s="714">
        <f t="shared" si="1"/>
        <v>100</v>
      </c>
      <c r="V15" s="713" t="s">
        <v>21</v>
      </c>
      <c r="W15" s="714">
        <f t="shared" si="2"/>
        <v>100</v>
      </c>
      <c r="X15" s="1536"/>
      <c r="Y15" s="3498" t="s">
        <v>2375</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5"/>
      <c r="M16" s="2939"/>
      <c r="N16" s="2939"/>
      <c r="O16" s="2939"/>
      <c r="P16" s="3581"/>
      <c r="Q16" s="1533"/>
      <c r="R16" s="713"/>
      <c r="S16" s="714"/>
      <c r="T16" s="713"/>
      <c r="U16" s="714"/>
      <c r="V16" s="713"/>
      <c r="W16" s="714"/>
      <c r="X16" s="1536"/>
      <c r="Y16" s="3499"/>
      <c r="Z16" s="1537"/>
      <c r="AA16" s="1534">
        <v>1</v>
      </c>
      <c r="AB16" s="1534">
        <v>1</v>
      </c>
      <c r="AC16" s="1534">
        <v>1</v>
      </c>
    </row>
    <row r="17" spans="1:29" ht="85.5">
      <c r="A17" s="387"/>
      <c r="B17" s="410" t="s">
        <v>1939</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581"/>
      <c r="Q17" s="1533" t="str">
        <f>B17</f>
        <v>交通便捷度</v>
      </c>
      <c r="R17" s="713" t="s">
        <v>21</v>
      </c>
      <c r="S17" s="714">
        <f>F17</f>
        <v>100</v>
      </c>
      <c r="T17" s="713" t="s">
        <v>21</v>
      </c>
      <c r="U17" s="714">
        <f>H17</f>
        <v>100</v>
      </c>
      <c r="V17" s="713" t="s">
        <v>21</v>
      </c>
      <c r="W17" s="714">
        <f>J17</f>
        <v>100</v>
      </c>
      <c r="X17" s="1536"/>
      <c r="Y17" s="3499"/>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5"/>
      <c r="M18" s="2939"/>
      <c r="N18" s="2939"/>
      <c r="O18" s="2939"/>
      <c r="P18" s="3581"/>
      <c r="Q18" s="1533"/>
      <c r="R18" s="713"/>
      <c r="S18" s="714"/>
      <c r="T18" s="713"/>
      <c r="U18" s="714"/>
      <c r="V18" s="713"/>
      <c r="W18" s="714"/>
      <c r="X18" s="1536"/>
      <c r="Y18" s="3499"/>
      <c r="Z18" s="1537"/>
      <c r="AA18" s="1534">
        <v>1</v>
      </c>
      <c r="AB18" s="1534">
        <v>1</v>
      </c>
      <c r="AC18" s="1534">
        <v>1</v>
      </c>
    </row>
    <row r="19" spans="1:29" ht="42.75">
      <c r="A19" s="387"/>
      <c r="B19" s="410" t="s">
        <v>1938</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581"/>
      <c r="Q19" s="1533" t="str">
        <f>B19</f>
        <v>公共配套设施</v>
      </c>
      <c r="R19" s="713" t="s">
        <v>21</v>
      </c>
      <c r="S19" s="714">
        <f>F19</f>
        <v>100</v>
      </c>
      <c r="T19" s="713" t="s">
        <v>21</v>
      </c>
      <c r="U19" s="714">
        <f>H19</f>
        <v>100</v>
      </c>
      <c r="V19" s="713" t="s">
        <v>21</v>
      </c>
      <c r="W19" s="714">
        <f>J19</f>
        <v>100</v>
      </c>
      <c r="X19" s="1536"/>
      <c r="Y19" s="3499"/>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5"/>
      <c r="M20" s="2939"/>
      <c r="N20" s="2939"/>
      <c r="O20" s="2939"/>
      <c r="P20" s="3581"/>
      <c r="Q20" s="1533"/>
      <c r="R20" s="713"/>
      <c r="S20" s="714"/>
      <c r="T20" s="713"/>
      <c r="U20" s="714"/>
      <c r="V20" s="713"/>
      <c r="W20" s="714"/>
      <c r="X20" s="1536"/>
      <c r="Y20" s="3499"/>
      <c r="Z20" s="1537"/>
      <c r="AA20" s="1534">
        <v>1</v>
      </c>
      <c r="AB20" s="1534">
        <v>1</v>
      </c>
      <c r="AC20" s="1534">
        <v>1</v>
      </c>
    </row>
    <row r="21" spans="1:29" ht="28.5">
      <c r="A21" s="387"/>
      <c r="B21" s="1291" t="s">
        <v>1940</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581"/>
      <c r="Q21" s="1533" t="str">
        <f>B21</f>
        <v>基础设施水平</v>
      </c>
      <c r="R21" s="713" t="s">
        <v>17</v>
      </c>
      <c r="S21" s="714">
        <f>F21</f>
        <v>100</v>
      </c>
      <c r="T21" s="713" t="s">
        <v>17</v>
      </c>
      <c r="U21" s="714">
        <f>H21</f>
        <v>100</v>
      </c>
      <c r="V21" s="713" t="s">
        <v>17</v>
      </c>
      <c r="W21" s="714">
        <f>J21</f>
        <v>100</v>
      </c>
      <c r="X21" s="1536"/>
      <c r="Y21" s="3499"/>
      <c r="Z21" s="1537" t="str">
        <f>Q21</f>
        <v>基础设施水平</v>
      </c>
      <c r="AA21" s="1534">
        <f>D21/F21</f>
        <v>1</v>
      </c>
      <c r="AB21" s="1534">
        <f>D21/H21</f>
        <v>1</v>
      </c>
      <c r="AC21" s="1534">
        <f>D21/J21</f>
        <v>1</v>
      </c>
    </row>
    <row r="22" spans="1:29" ht="15">
      <c r="A22" s="387"/>
      <c r="B22" s="1291"/>
      <c r="C22" s="2084"/>
      <c r="D22" s="407"/>
      <c r="E22" s="406"/>
      <c r="F22" s="407"/>
      <c r="G22" s="2087"/>
      <c r="H22" s="407"/>
      <c r="I22" s="406"/>
      <c r="J22" s="407"/>
      <c r="K22" s="2088"/>
      <c r="L22" s="2945"/>
      <c r="M22" s="2939"/>
      <c r="N22" s="2939"/>
      <c r="O22" s="2939"/>
      <c r="P22" s="3581"/>
      <c r="Q22" s="1533"/>
      <c r="R22" s="713"/>
      <c r="S22" s="714"/>
      <c r="T22" s="713"/>
      <c r="U22" s="714"/>
      <c r="V22" s="713"/>
      <c r="W22" s="714"/>
      <c r="X22" s="1536"/>
      <c r="Y22" s="3499"/>
      <c r="Z22" s="1537"/>
      <c r="AA22" s="1534">
        <v>1</v>
      </c>
      <c r="AB22" s="1534">
        <v>1</v>
      </c>
      <c r="AC22" s="1534">
        <v>1</v>
      </c>
    </row>
    <row r="23" spans="1:29" ht="57">
      <c r="A23" s="387"/>
      <c r="B23" s="410" t="s">
        <v>1941</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581"/>
      <c r="Q23" s="1533" t="str">
        <f>B23</f>
        <v>自然及人文环境</v>
      </c>
      <c r="R23" s="713" t="s">
        <v>21</v>
      </c>
      <c r="S23" s="714">
        <f>F23</f>
        <v>100</v>
      </c>
      <c r="T23" s="713" t="s">
        <v>21</v>
      </c>
      <c r="U23" s="714">
        <f>H23</f>
        <v>100</v>
      </c>
      <c r="V23" s="713" t="s">
        <v>21</v>
      </c>
      <c r="W23" s="714">
        <f>J23</f>
        <v>100</v>
      </c>
      <c r="X23" s="1536"/>
      <c r="Y23" s="3499"/>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5"/>
      <c r="M24" s="2939"/>
      <c r="N24" s="2939"/>
      <c r="O24" s="2939"/>
      <c r="P24" s="3581"/>
      <c r="Q24" s="1533"/>
      <c r="R24" s="713"/>
      <c r="S24" s="714"/>
      <c r="T24" s="713"/>
      <c r="U24" s="714"/>
      <c r="V24" s="713"/>
      <c r="W24" s="714"/>
      <c r="X24" s="1536"/>
      <c r="Y24" s="3499"/>
      <c r="Z24" s="1537"/>
      <c r="AA24" s="1534">
        <v>1</v>
      </c>
      <c r="AB24" s="1534">
        <v>1</v>
      </c>
      <c r="AC24" s="1534">
        <v>1</v>
      </c>
    </row>
    <row r="25" spans="1:29" ht="15">
      <c r="A25" s="387"/>
      <c r="B25" s="381" t="s">
        <v>2376</v>
      </c>
      <c r="C25" s="419"/>
      <c r="D25" s="394">
        <v>100</v>
      </c>
      <c r="E25" s="2089"/>
      <c r="F25" s="394">
        <f>SUMIF(86:86,E25,87:87)-SUMIF(86:86,C25,87:87)+100</f>
        <v>100</v>
      </c>
      <c r="G25" s="2090"/>
      <c r="H25" s="394">
        <f>SUMIF(86:86,G25,87:87)-SUMIF(86:86,C25,87:87)+100</f>
        <v>100</v>
      </c>
      <c r="I25" s="2090"/>
      <c r="J25" s="394">
        <f>SUMIF(86:86,I25,87:87)-SUMIF(86:86,C25,87:87)+100</f>
        <v>100</v>
      </c>
      <c r="K25" s="385"/>
      <c r="L25" s="2945"/>
      <c r="M25" s="2939"/>
      <c r="N25" s="2939"/>
      <c r="O25" s="2939"/>
      <c r="P25" s="3581"/>
      <c r="Q25" s="1533" t="str">
        <f t="shared" ref="Q25:Q46" si="8">B25</f>
        <v>楼层-1</v>
      </c>
      <c r="R25" s="713" t="s">
        <v>21</v>
      </c>
      <c r="S25" s="714">
        <f t="shared" ref="S25:S46" si="9">F25</f>
        <v>100</v>
      </c>
      <c r="T25" s="713" t="s">
        <v>21</v>
      </c>
      <c r="U25" s="714">
        <f t="shared" ref="U25:U46" si="10">H25</f>
        <v>100</v>
      </c>
      <c r="V25" s="713" t="s">
        <v>21</v>
      </c>
      <c r="W25" s="714">
        <f t="shared" ref="W25:W46" si="11">J25</f>
        <v>100</v>
      </c>
      <c r="X25" s="1536"/>
      <c r="Y25" s="3499"/>
      <c r="Z25" s="1537" t="str">
        <f>Q25</f>
        <v>楼层-1</v>
      </c>
      <c r="AA25" s="1534">
        <f t="shared" ref="AA25:AA46" si="12">D25/F25</f>
        <v>1</v>
      </c>
      <c r="AB25" s="1534">
        <f t="shared" ref="AB25:AB46" si="13">D25/H25</f>
        <v>1</v>
      </c>
      <c r="AC25" s="1534">
        <f t="shared" ref="AC25:AC46" si="14">D25/J25</f>
        <v>1</v>
      </c>
    </row>
    <row r="26" spans="1:29" ht="15">
      <c r="A26" s="387"/>
      <c r="B26" s="381" t="s">
        <v>2377</v>
      </c>
      <c r="C26" s="419"/>
      <c r="D26" s="394">
        <v>100</v>
      </c>
      <c r="E26" s="2089"/>
      <c r="F26" s="394">
        <f>SUMIF(88:88,E26,89:89)-SUMIF(88:88,C26,89:89)+100</f>
        <v>100</v>
      </c>
      <c r="G26" s="2090"/>
      <c r="H26" s="394">
        <f>SUMIF(88:88,G26,89:89)-SUMIF(88:88,C26,89:89)+100</f>
        <v>100</v>
      </c>
      <c r="I26" s="2090"/>
      <c r="J26" s="394">
        <f>SUMIF(88:88,I26,89:89)-SUMIF(88:88,C26,89:89)+100</f>
        <v>100</v>
      </c>
      <c r="K26" s="385"/>
      <c r="L26" s="2945"/>
      <c r="M26" s="2939"/>
      <c r="N26" s="2939"/>
      <c r="O26" s="2939"/>
      <c r="P26" s="3581"/>
      <c r="Q26" s="1533" t="str">
        <f t="shared" si="8"/>
        <v>朝向</v>
      </c>
      <c r="R26" s="713" t="s">
        <v>21</v>
      </c>
      <c r="S26" s="714">
        <f t="shared" si="9"/>
        <v>100</v>
      </c>
      <c r="T26" s="713" t="s">
        <v>21</v>
      </c>
      <c r="U26" s="714">
        <f t="shared" si="10"/>
        <v>100</v>
      </c>
      <c r="V26" s="713" t="s">
        <v>21</v>
      </c>
      <c r="W26" s="714">
        <f t="shared" si="11"/>
        <v>100</v>
      </c>
      <c r="X26" s="1536"/>
      <c r="Y26" s="3499"/>
      <c r="Z26" s="1537" t="str">
        <f>Q26</f>
        <v>朝向</v>
      </c>
      <c r="AA26" s="1534">
        <f t="shared" si="12"/>
        <v>1</v>
      </c>
      <c r="AB26" s="1534">
        <f t="shared" si="13"/>
        <v>1</v>
      </c>
      <c r="AC26" s="1534">
        <f t="shared" si="14"/>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7"/>
      <c r="L27" s="2940"/>
      <c r="M27" s="2941"/>
      <c r="N27" s="2941"/>
      <c r="O27" s="2941"/>
      <c r="P27" s="3581"/>
      <c r="Q27" s="1524">
        <f t="shared" si="8"/>
        <v>111</v>
      </c>
      <c r="R27" s="709" t="s">
        <v>21</v>
      </c>
      <c r="S27" s="710">
        <f t="shared" si="9"/>
        <v>100</v>
      </c>
      <c r="T27" s="709" t="s">
        <v>21</v>
      </c>
      <c r="U27" s="710">
        <f t="shared" si="10"/>
        <v>100</v>
      </c>
      <c r="V27" s="709" t="s">
        <v>21</v>
      </c>
      <c r="W27" s="710">
        <f t="shared" si="11"/>
        <v>100</v>
      </c>
      <c r="X27" s="711"/>
      <c r="Y27" s="3499"/>
      <c r="Z27" s="55">
        <f>Q27</f>
        <v>111</v>
      </c>
      <c r="AA27" s="1534">
        <f t="shared" si="12"/>
        <v>1</v>
      </c>
      <c r="AB27" s="1534">
        <f t="shared" si="13"/>
        <v>1</v>
      </c>
      <c r="AC27" s="1534">
        <f t="shared" si="14"/>
        <v>1</v>
      </c>
    </row>
    <row r="28" spans="1:29" ht="15">
      <c r="A28" s="387"/>
      <c r="B28" s="1293">
        <v>111</v>
      </c>
      <c r="C28" s="393"/>
      <c r="D28" s="394">
        <v>100</v>
      </c>
      <c r="E28" s="393"/>
      <c r="F28" s="394">
        <f>SUMIF(92:92,E28,93:93)-SUMIF(92:92,C28,93:93)+100</f>
        <v>100</v>
      </c>
      <c r="G28" s="2091"/>
      <c r="H28" s="394">
        <f>SUMIF(92:92,G28,93:93)-SUMIF(92:92,C28,93:93)+100</f>
        <v>100</v>
      </c>
      <c r="I28" s="393"/>
      <c r="J28" s="394">
        <f>SUMIF(92:92,I28,93:93)-SUMIF(92:92,C28,93:93)+100</f>
        <v>100</v>
      </c>
      <c r="K28" s="2077"/>
      <c r="L28" s="2945"/>
      <c r="M28" s="2939"/>
      <c r="N28" s="2939"/>
      <c r="O28" s="2939"/>
      <c r="P28" s="3581"/>
      <c r="Q28" s="1533">
        <f t="shared" si="8"/>
        <v>111</v>
      </c>
      <c r="R28" s="713" t="s">
        <v>21</v>
      </c>
      <c r="S28" s="714">
        <f t="shared" si="9"/>
        <v>100</v>
      </c>
      <c r="T28" s="713" t="s">
        <v>21</v>
      </c>
      <c r="U28" s="714">
        <f t="shared" si="10"/>
        <v>100</v>
      </c>
      <c r="V28" s="713" t="s">
        <v>21</v>
      </c>
      <c r="W28" s="714">
        <f t="shared" si="11"/>
        <v>100</v>
      </c>
      <c r="X28" s="1536"/>
      <c r="Y28" s="3499"/>
      <c r="Z28" s="1537">
        <f t="shared" ref="Z28:Z46" si="15">Q28</f>
        <v>111</v>
      </c>
      <c r="AA28" s="1534">
        <f t="shared" si="12"/>
        <v>1</v>
      </c>
      <c r="AB28" s="1534">
        <f t="shared" si="13"/>
        <v>1</v>
      </c>
      <c r="AC28" s="1534">
        <f t="shared" si="14"/>
        <v>1</v>
      </c>
    </row>
    <row r="29" spans="1:29" ht="15">
      <c r="A29" s="387"/>
      <c r="B29" s="1293">
        <v>111</v>
      </c>
      <c r="C29" s="393"/>
      <c r="D29" s="394">
        <v>100</v>
      </c>
      <c r="E29" s="393"/>
      <c r="F29" s="394">
        <f>SUMIF(94:94,E29,95:95)-SUMIF(94:94,C29,95:95)+100</f>
        <v>100</v>
      </c>
      <c r="G29" s="2091"/>
      <c r="H29" s="394">
        <f>SUMIF(94:94,G29,95:95)-SUMIF(94:94,C29,95:95)+100</f>
        <v>100</v>
      </c>
      <c r="I29" s="393"/>
      <c r="J29" s="394">
        <f>SUMIF(94:94,I29,95:95)-SUMIF(94:94,C29,95:95)+100</f>
        <v>100</v>
      </c>
      <c r="K29" s="2077"/>
      <c r="L29" s="2945"/>
      <c r="M29" s="2939"/>
      <c r="N29" s="2939"/>
      <c r="O29" s="2939"/>
      <c r="P29" s="3581"/>
      <c r="Q29" s="1533">
        <f t="shared" si="8"/>
        <v>111</v>
      </c>
      <c r="R29" s="713" t="s">
        <v>21</v>
      </c>
      <c r="S29" s="714">
        <f t="shared" si="9"/>
        <v>100</v>
      </c>
      <c r="T29" s="713" t="s">
        <v>21</v>
      </c>
      <c r="U29" s="714">
        <f t="shared" si="10"/>
        <v>100</v>
      </c>
      <c r="V29" s="713" t="s">
        <v>21</v>
      </c>
      <c r="W29" s="714">
        <f t="shared" si="11"/>
        <v>100</v>
      </c>
      <c r="X29" s="1536"/>
      <c r="Y29" s="3499"/>
      <c r="Z29" s="1537">
        <f t="shared" si="15"/>
        <v>111</v>
      </c>
      <c r="AA29" s="1534">
        <f t="shared" si="12"/>
        <v>1</v>
      </c>
      <c r="AB29" s="1534">
        <f t="shared" si="13"/>
        <v>1</v>
      </c>
      <c r="AC29" s="1534">
        <f t="shared" si="14"/>
        <v>1</v>
      </c>
    </row>
    <row r="30" spans="1:29" ht="15">
      <c r="A30" s="387"/>
      <c r="B30" s="1293">
        <v>111</v>
      </c>
      <c r="C30" s="393"/>
      <c r="D30" s="394">
        <v>100</v>
      </c>
      <c r="E30" s="393"/>
      <c r="F30" s="394">
        <f>SUMIF(96:96,E30,97:97)-SUMIF(96:96,C30,97:97)+100</f>
        <v>100</v>
      </c>
      <c r="G30" s="2091"/>
      <c r="H30" s="394">
        <f>SUMIF(96:96,G30,97:97)-SUMIF(96:96,C30,97:97)+100</f>
        <v>100</v>
      </c>
      <c r="I30" s="393"/>
      <c r="J30" s="394">
        <f>SUMIF(96:96,I30,97:97)-SUMIF(96:96,C30,97:97)+100</f>
        <v>100</v>
      </c>
      <c r="K30" s="2077"/>
      <c r="L30" s="2945"/>
      <c r="M30" s="2939"/>
      <c r="N30" s="2939"/>
      <c r="O30" s="2939"/>
      <c r="P30" s="3581"/>
      <c r="Q30" s="1533">
        <f t="shared" si="8"/>
        <v>111</v>
      </c>
      <c r="R30" s="713" t="s">
        <v>21</v>
      </c>
      <c r="S30" s="714">
        <f t="shared" si="9"/>
        <v>100</v>
      </c>
      <c r="T30" s="713" t="s">
        <v>21</v>
      </c>
      <c r="U30" s="714">
        <f t="shared" si="10"/>
        <v>100</v>
      </c>
      <c r="V30" s="713" t="s">
        <v>21</v>
      </c>
      <c r="W30" s="714">
        <f t="shared" si="11"/>
        <v>100</v>
      </c>
      <c r="X30" s="1536"/>
      <c r="Y30" s="3499"/>
      <c r="Z30" s="1537">
        <f t="shared" si="15"/>
        <v>111</v>
      </c>
      <c r="AA30" s="1534">
        <f t="shared" si="12"/>
        <v>1</v>
      </c>
      <c r="AB30" s="1534">
        <f t="shared" si="13"/>
        <v>1</v>
      </c>
      <c r="AC30" s="1534">
        <f t="shared" si="14"/>
        <v>1</v>
      </c>
    </row>
    <row r="31" spans="1:29" ht="15.75" thickBot="1">
      <c r="A31" s="395"/>
      <c r="B31" s="1293">
        <v>111</v>
      </c>
      <c r="C31" s="396"/>
      <c r="D31" s="397">
        <v>100</v>
      </c>
      <c r="E31" s="396"/>
      <c r="F31" s="397">
        <f>SUMIF(98:98,E31,99:99)-SUMIF(98:98,C31,99:99)+100</f>
        <v>100</v>
      </c>
      <c r="G31" s="2092"/>
      <c r="H31" s="397">
        <f>SUMIF(98:98,G31,99:99)-SUMIF(98:98,C31,99:99)+100</f>
        <v>100</v>
      </c>
      <c r="I31" s="396"/>
      <c r="J31" s="397">
        <f>SUMIF(98:98,I31,99:99)-SUMIF(98:98,C31,99:99)+100</f>
        <v>100</v>
      </c>
      <c r="K31" s="2077"/>
      <c r="L31" s="2945"/>
      <c r="M31" s="2939"/>
      <c r="N31" s="2939"/>
      <c r="O31" s="2939"/>
      <c r="P31" s="3581"/>
      <c r="Q31" s="1533">
        <f t="shared" si="8"/>
        <v>111</v>
      </c>
      <c r="R31" s="713" t="s">
        <v>21</v>
      </c>
      <c r="S31" s="714">
        <f t="shared" si="9"/>
        <v>100</v>
      </c>
      <c r="T31" s="713" t="s">
        <v>21</v>
      </c>
      <c r="U31" s="714">
        <f t="shared" si="10"/>
        <v>100</v>
      </c>
      <c r="V31" s="713" t="s">
        <v>21</v>
      </c>
      <c r="W31" s="714">
        <f t="shared" si="11"/>
        <v>100</v>
      </c>
      <c r="X31" s="1536"/>
      <c r="Y31" s="3499"/>
      <c r="Z31" s="1537">
        <f t="shared" si="15"/>
        <v>111</v>
      </c>
      <c r="AA31" s="1534">
        <f t="shared" si="12"/>
        <v>1</v>
      </c>
      <c r="AB31" s="1534">
        <f t="shared" si="13"/>
        <v>1</v>
      </c>
      <c r="AC31" s="1534">
        <f t="shared" si="14"/>
        <v>1</v>
      </c>
    </row>
    <row r="32" spans="1:29" ht="15">
      <c r="A32" s="399" t="s">
        <v>2378</v>
      </c>
      <c r="B32" s="67" t="s">
        <v>2379</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5"/>
      <c r="M32" s="2939"/>
      <c r="N32" s="2939"/>
      <c r="O32" s="2939"/>
      <c r="P32" s="3576" t="s">
        <v>2380</v>
      </c>
      <c r="Q32" s="1533" t="str">
        <f t="shared" si="8"/>
        <v>建筑类型</v>
      </c>
      <c r="R32" s="713" t="s">
        <v>21</v>
      </c>
      <c r="S32" s="714">
        <f t="shared" si="9"/>
        <v>100</v>
      </c>
      <c r="T32" s="713" t="s">
        <v>21</v>
      </c>
      <c r="U32" s="714">
        <f t="shared" si="10"/>
        <v>100</v>
      </c>
      <c r="V32" s="713" t="s">
        <v>21</v>
      </c>
      <c r="W32" s="714">
        <f t="shared" si="11"/>
        <v>100</v>
      </c>
      <c r="X32" s="1536"/>
      <c r="Y32" s="3501" t="s">
        <v>2380</v>
      </c>
      <c r="Z32" s="1537" t="str">
        <f t="shared" si="15"/>
        <v>建筑类型</v>
      </c>
      <c r="AA32" s="1534">
        <f t="shared" si="12"/>
        <v>1</v>
      </c>
      <c r="AB32" s="1534">
        <f t="shared" si="13"/>
        <v>1</v>
      </c>
      <c r="AC32" s="1534">
        <f t="shared" si="14"/>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4"/>
      <c r="M33" s="2946"/>
      <c r="N33" s="2946"/>
      <c r="O33" s="2946"/>
      <c r="P33" s="3577"/>
      <c r="Q33" s="715" t="str">
        <f t="shared" si="8"/>
        <v>项目建筑规模</v>
      </c>
      <c r="R33" s="716" t="s">
        <v>21</v>
      </c>
      <c r="S33" s="717" t="e">
        <f t="shared" si="9"/>
        <v>#N/A</v>
      </c>
      <c r="T33" s="716" t="s">
        <v>21</v>
      </c>
      <c r="U33" s="717" t="e">
        <f t="shared" si="10"/>
        <v>#N/A</v>
      </c>
      <c r="V33" s="716" t="s">
        <v>21</v>
      </c>
      <c r="W33" s="717" t="e">
        <f t="shared" si="11"/>
        <v>#N/A</v>
      </c>
      <c r="X33" s="718"/>
      <c r="Y33" s="3501"/>
      <c r="Z33" s="719" t="str">
        <f t="shared" si="15"/>
        <v>项目建筑规模</v>
      </c>
      <c r="AA33" s="1534" t="e">
        <f t="shared" si="12"/>
        <v>#N/A</v>
      </c>
      <c r="AB33" s="1534" t="e">
        <f t="shared" si="13"/>
        <v>#N/A</v>
      </c>
      <c r="AC33" s="1534" t="e">
        <f t="shared" si="14"/>
        <v>#N/A</v>
      </c>
    </row>
    <row r="34" spans="1:29" ht="15">
      <c r="A34" s="431"/>
      <c r="B34" s="381" t="s">
        <v>2382</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5"/>
      <c r="M34" s="2939"/>
      <c r="N34" s="2939"/>
      <c r="O34" s="2939"/>
      <c r="P34" s="3577"/>
      <c r="Q34" s="1533" t="str">
        <f t="shared" si="8"/>
        <v>建筑结构</v>
      </c>
      <c r="R34" s="713" t="s">
        <v>21</v>
      </c>
      <c r="S34" s="714">
        <f t="shared" si="9"/>
        <v>100</v>
      </c>
      <c r="T34" s="713" t="s">
        <v>21</v>
      </c>
      <c r="U34" s="714">
        <f t="shared" si="10"/>
        <v>100</v>
      </c>
      <c r="V34" s="713" t="s">
        <v>21</v>
      </c>
      <c r="W34" s="714">
        <f t="shared" si="11"/>
        <v>100</v>
      </c>
      <c r="X34" s="1536"/>
      <c r="Y34" s="3501"/>
      <c r="Z34" s="1537" t="str">
        <f t="shared" si="15"/>
        <v>建筑结构</v>
      </c>
      <c r="AA34" s="1534">
        <f t="shared" si="12"/>
        <v>1</v>
      </c>
      <c r="AB34" s="1534">
        <f t="shared" si="13"/>
        <v>1</v>
      </c>
      <c r="AC34" s="1534">
        <f t="shared" si="14"/>
        <v>1</v>
      </c>
    </row>
    <row r="35" spans="1:29" ht="15">
      <c r="A35" s="431"/>
      <c r="B35" s="381" t="s">
        <v>2383</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5"/>
      <c r="M35" s="2939"/>
      <c r="N35" s="2939"/>
      <c r="O35" s="2939"/>
      <c r="P35" s="3577"/>
      <c r="Q35" s="1533" t="str">
        <f t="shared" si="8"/>
        <v>建筑品质</v>
      </c>
      <c r="R35" s="713" t="s">
        <v>21</v>
      </c>
      <c r="S35" s="714">
        <f t="shared" si="9"/>
        <v>100</v>
      </c>
      <c r="T35" s="713" t="s">
        <v>21</v>
      </c>
      <c r="U35" s="714">
        <f t="shared" si="10"/>
        <v>100</v>
      </c>
      <c r="V35" s="713" t="s">
        <v>21</v>
      </c>
      <c r="W35" s="714">
        <f t="shared" si="11"/>
        <v>100</v>
      </c>
      <c r="X35" s="1536"/>
      <c r="Y35" s="3501"/>
      <c r="Z35" s="1537" t="str">
        <f t="shared" si="15"/>
        <v>建筑品质</v>
      </c>
      <c r="AA35" s="1534">
        <f t="shared" si="12"/>
        <v>1</v>
      </c>
      <c r="AB35" s="1534">
        <f t="shared" si="13"/>
        <v>1</v>
      </c>
      <c r="AC35" s="1534">
        <f t="shared" si="14"/>
        <v>1</v>
      </c>
    </row>
    <row r="36" spans="1:29" ht="15">
      <c r="A36" s="431"/>
      <c r="B36" s="381" t="s">
        <v>2384</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5"/>
      <c r="M36" s="2939"/>
      <c r="N36" s="2939"/>
      <c r="O36" s="2939"/>
      <c r="P36" s="3577"/>
      <c r="Q36" s="1533" t="str">
        <f t="shared" si="8"/>
        <v>公共部分装修</v>
      </c>
      <c r="R36" s="713" t="s">
        <v>21</v>
      </c>
      <c r="S36" s="714">
        <f t="shared" si="9"/>
        <v>100</v>
      </c>
      <c r="T36" s="713" t="s">
        <v>21</v>
      </c>
      <c r="U36" s="714">
        <f t="shared" si="10"/>
        <v>100</v>
      </c>
      <c r="V36" s="713" t="s">
        <v>21</v>
      </c>
      <c r="W36" s="714">
        <f t="shared" si="11"/>
        <v>100</v>
      </c>
      <c r="X36" s="1536"/>
      <c r="Y36" s="3501"/>
      <c r="Z36" s="1537" t="str">
        <f t="shared" si="15"/>
        <v>公共部分装修</v>
      </c>
      <c r="AA36" s="1534">
        <f t="shared" si="12"/>
        <v>1</v>
      </c>
      <c r="AB36" s="1534">
        <f t="shared" si="13"/>
        <v>1</v>
      </c>
      <c r="AC36" s="1534">
        <f t="shared" si="14"/>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577"/>
      <c r="Q37" s="1524" t="str">
        <f t="shared" si="8"/>
        <v>成新度</v>
      </c>
      <c r="R37" s="709" t="s">
        <v>21</v>
      </c>
      <c r="S37" s="710" t="e">
        <f t="shared" si="9"/>
        <v>#N/A</v>
      </c>
      <c r="T37" s="709" t="s">
        <v>21</v>
      </c>
      <c r="U37" s="710" t="e">
        <f t="shared" si="10"/>
        <v>#N/A</v>
      </c>
      <c r="V37" s="709" t="s">
        <v>21</v>
      </c>
      <c r="W37" s="710" t="e">
        <f t="shared" si="11"/>
        <v>#N/A</v>
      </c>
      <c r="X37" s="711"/>
      <c r="Y37" s="3501"/>
      <c r="Z37" s="55" t="str">
        <f t="shared" si="15"/>
        <v>成新度</v>
      </c>
      <c r="AA37" s="712" t="e">
        <f t="shared" si="12"/>
        <v>#N/A</v>
      </c>
      <c r="AB37" s="712" t="e">
        <f t="shared" si="13"/>
        <v>#N/A</v>
      </c>
      <c r="AC37" s="712" t="e">
        <f t="shared" si="14"/>
        <v>#N/A</v>
      </c>
    </row>
    <row r="38" spans="1:29" ht="15">
      <c r="A38" s="431"/>
      <c r="B38" s="381" t="s">
        <v>2386</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5"/>
      <c r="M38" s="2939"/>
      <c r="N38" s="2939"/>
      <c r="O38" s="2939"/>
      <c r="P38" s="3577" t="s">
        <v>2380</v>
      </c>
      <c r="Q38" s="1533" t="str">
        <f t="shared" si="8"/>
        <v>物业管理</v>
      </c>
      <c r="R38" s="713" t="s">
        <v>21</v>
      </c>
      <c r="S38" s="714">
        <f t="shared" si="9"/>
        <v>100</v>
      </c>
      <c r="T38" s="713" t="s">
        <v>21</v>
      </c>
      <c r="U38" s="714">
        <f t="shared" si="10"/>
        <v>100</v>
      </c>
      <c r="V38" s="713" t="s">
        <v>21</v>
      </c>
      <c r="W38" s="714">
        <f t="shared" si="11"/>
        <v>100</v>
      </c>
      <c r="X38" s="1536"/>
      <c r="Y38" s="3501" t="s">
        <v>2380</v>
      </c>
      <c r="Z38" s="1537" t="str">
        <f t="shared" si="15"/>
        <v>物业管理</v>
      </c>
      <c r="AA38" s="1534">
        <f t="shared" si="12"/>
        <v>1</v>
      </c>
      <c r="AB38" s="1534">
        <f t="shared" si="13"/>
        <v>1</v>
      </c>
      <c r="AC38" s="1534">
        <f t="shared" si="14"/>
        <v>1</v>
      </c>
    </row>
    <row r="39" spans="1:29" ht="15">
      <c r="A39" s="431"/>
      <c r="B39" s="381" t="s">
        <v>2387</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5"/>
      <c r="M39" s="2939"/>
      <c r="N39" s="2939"/>
      <c r="O39" s="2939"/>
      <c r="P39" s="3577"/>
      <c r="Q39" s="1533" t="str">
        <f t="shared" si="8"/>
        <v>市政基础设施</v>
      </c>
      <c r="R39" s="713" t="s">
        <v>21</v>
      </c>
      <c r="S39" s="714">
        <f t="shared" si="9"/>
        <v>100</v>
      </c>
      <c r="T39" s="713" t="s">
        <v>21</v>
      </c>
      <c r="U39" s="714">
        <f t="shared" si="10"/>
        <v>100</v>
      </c>
      <c r="V39" s="713" t="s">
        <v>21</v>
      </c>
      <c r="W39" s="714">
        <f t="shared" si="11"/>
        <v>100</v>
      </c>
      <c r="X39" s="1536"/>
      <c r="Y39" s="3501"/>
      <c r="Z39" s="1537" t="str">
        <f t="shared" si="15"/>
        <v>市政基础设施</v>
      </c>
      <c r="AA39" s="1534">
        <f t="shared" si="12"/>
        <v>1</v>
      </c>
      <c r="AB39" s="1534">
        <f t="shared" si="13"/>
        <v>1</v>
      </c>
      <c r="AC39" s="1534">
        <f t="shared" si="14"/>
        <v>1</v>
      </c>
    </row>
    <row r="40" spans="1:29" ht="15">
      <c r="A40" s="431"/>
      <c r="B40" s="381" t="s">
        <v>2388</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5"/>
      <c r="M40" s="2939"/>
      <c r="N40" s="2939"/>
      <c r="O40" s="2939"/>
      <c r="P40" s="3577"/>
      <c r="Q40" s="1533" t="str">
        <f t="shared" si="8"/>
        <v>房型</v>
      </c>
      <c r="R40" s="713" t="s">
        <v>21</v>
      </c>
      <c r="S40" s="714">
        <f t="shared" si="9"/>
        <v>100</v>
      </c>
      <c r="T40" s="713" t="s">
        <v>21</v>
      </c>
      <c r="U40" s="714">
        <f t="shared" si="10"/>
        <v>100</v>
      </c>
      <c r="V40" s="713" t="s">
        <v>21</v>
      </c>
      <c r="W40" s="714">
        <f t="shared" si="11"/>
        <v>100</v>
      </c>
      <c r="X40" s="1536"/>
      <c r="Y40" s="3501"/>
      <c r="Z40" s="1537" t="str">
        <f t="shared" si="15"/>
        <v>房型</v>
      </c>
      <c r="AA40" s="1534">
        <f t="shared" si="12"/>
        <v>1</v>
      </c>
      <c r="AB40" s="1534">
        <f t="shared" si="13"/>
        <v>1</v>
      </c>
      <c r="AC40" s="1534">
        <f t="shared" si="14"/>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4"/>
      <c r="M41" s="2946"/>
      <c r="N41" s="2946"/>
      <c r="O41" s="2946"/>
      <c r="P41" s="3577"/>
      <c r="Q41" s="715" t="str">
        <f t="shared" si="8"/>
        <v>单套/主力户型建筑面积</v>
      </c>
      <c r="R41" s="716" t="s">
        <v>21</v>
      </c>
      <c r="S41" s="717">
        <f t="shared" si="9"/>
        <v>100</v>
      </c>
      <c r="T41" s="716" t="s">
        <v>21</v>
      </c>
      <c r="U41" s="717">
        <f t="shared" si="10"/>
        <v>100</v>
      </c>
      <c r="V41" s="716" t="s">
        <v>21</v>
      </c>
      <c r="W41" s="717">
        <f t="shared" si="11"/>
        <v>100</v>
      </c>
      <c r="X41" s="718"/>
      <c r="Y41" s="3501"/>
      <c r="Z41" s="719" t="str">
        <f t="shared" si="15"/>
        <v>单套/主力户型建筑面积</v>
      </c>
      <c r="AA41" s="1534">
        <f t="shared" si="12"/>
        <v>1</v>
      </c>
      <c r="AB41" s="1534">
        <f t="shared" si="13"/>
        <v>1</v>
      </c>
      <c r="AC41" s="1534">
        <f t="shared" si="14"/>
        <v>1</v>
      </c>
    </row>
    <row r="42" spans="1:29" ht="15">
      <c r="A42" s="431"/>
      <c r="B42" s="381" t="s">
        <v>2390</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5"/>
      <c r="M42" s="2939"/>
      <c r="N42" s="2939"/>
      <c r="O42" s="2939"/>
      <c r="P42" s="3577"/>
      <c r="Q42" s="1533" t="str">
        <f t="shared" si="8"/>
        <v>内部装修</v>
      </c>
      <c r="R42" s="713" t="s">
        <v>21</v>
      </c>
      <c r="S42" s="714">
        <f t="shared" si="9"/>
        <v>100</v>
      </c>
      <c r="T42" s="713" t="s">
        <v>21</v>
      </c>
      <c r="U42" s="714">
        <f t="shared" si="10"/>
        <v>100</v>
      </c>
      <c r="V42" s="713" t="s">
        <v>21</v>
      </c>
      <c r="W42" s="714">
        <f t="shared" si="11"/>
        <v>100</v>
      </c>
      <c r="X42" s="1536"/>
      <c r="Y42" s="3501"/>
      <c r="Z42" s="1537" t="str">
        <f t="shared" si="15"/>
        <v>内部装修</v>
      </c>
      <c r="AA42" s="1534">
        <f t="shared" si="12"/>
        <v>1</v>
      </c>
      <c r="AB42" s="1534">
        <f t="shared" si="13"/>
        <v>1</v>
      </c>
      <c r="AC42" s="1534">
        <f t="shared" si="14"/>
        <v>1</v>
      </c>
    </row>
    <row r="43" spans="1:29" ht="15">
      <c r="A43" s="431"/>
      <c r="B43" s="381" t="s">
        <v>2391</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5"/>
      <c r="M43" s="2939"/>
      <c r="N43" s="2939"/>
      <c r="O43" s="2939"/>
      <c r="P43" s="3577"/>
      <c r="Q43" s="1533" t="str">
        <f t="shared" si="8"/>
        <v>内部装修维护情况</v>
      </c>
      <c r="R43" s="713" t="s">
        <v>21</v>
      </c>
      <c r="S43" s="714">
        <f t="shared" si="9"/>
        <v>100</v>
      </c>
      <c r="T43" s="713" t="s">
        <v>21</v>
      </c>
      <c r="U43" s="714">
        <f t="shared" si="10"/>
        <v>100</v>
      </c>
      <c r="V43" s="713" t="s">
        <v>21</v>
      </c>
      <c r="W43" s="714">
        <f t="shared" si="11"/>
        <v>100</v>
      </c>
      <c r="X43" s="1536"/>
      <c r="Y43" s="3501"/>
      <c r="Z43" s="1537" t="str">
        <f t="shared" si="15"/>
        <v>内部装修维护情况</v>
      </c>
      <c r="AA43" s="1534">
        <f t="shared" si="12"/>
        <v>1</v>
      </c>
      <c r="AB43" s="1534">
        <f t="shared" si="13"/>
        <v>1</v>
      </c>
      <c r="AC43" s="1534">
        <f t="shared" si="14"/>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0"/>
      <c r="M44" s="2941"/>
      <c r="N44" s="2941"/>
      <c r="O44" s="2941"/>
      <c r="P44" s="3577"/>
      <c r="Q44" s="1524">
        <f t="shared" si="8"/>
        <v>111</v>
      </c>
      <c r="R44" s="709" t="s">
        <v>21</v>
      </c>
      <c r="S44" s="710">
        <f t="shared" si="9"/>
        <v>100</v>
      </c>
      <c r="T44" s="709" t="s">
        <v>21</v>
      </c>
      <c r="U44" s="710">
        <f t="shared" si="10"/>
        <v>100</v>
      </c>
      <c r="V44" s="709" t="s">
        <v>21</v>
      </c>
      <c r="W44" s="710">
        <f t="shared" si="11"/>
        <v>100</v>
      </c>
      <c r="X44" s="711"/>
      <c r="Y44" s="3501"/>
      <c r="Z44" s="55">
        <f t="shared" si="15"/>
        <v>111</v>
      </c>
      <c r="AA44" s="712">
        <f t="shared" si="12"/>
        <v>1</v>
      </c>
      <c r="AB44" s="712">
        <f t="shared" si="13"/>
        <v>1</v>
      </c>
      <c r="AC44" s="712">
        <f t="shared" si="14"/>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5"/>
      <c r="M45" s="2939"/>
      <c r="N45" s="2939"/>
      <c r="O45" s="2939"/>
      <c r="P45" s="3577"/>
      <c r="Q45" s="1533">
        <f t="shared" si="8"/>
        <v>111</v>
      </c>
      <c r="R45" s="713" t="s">
        <v>21</v>
      </c>
      <c r="S45" s="714">
        <f t="shared" si="9"/>
        <v>100</v>
      </c>
      <c r="T45" s="713" t="s">
        <v>21</v>
      </c>
      <c r="U45" s="714">
        <f t="shared" si="10"/>
        <v>100</v>
      </c>
      <c r="V45" s="713" t="s">
        <v>21</v>
      </c>
      <c r="W45" s="714">
        <f t="shared" si="11"/>
        <v>100</v>
      </c>
      <c r="X45" s="1536"/>
      <c r="Y45" s="3501"/>
      <c r="Z45" s="1537">
        <f t="shared" si="15"/>
        <v>111</v>
      </c>
      <c r="AA45" s="1534">
        <f t="shared" si="12"/>
        <v>1</v>
      </c>
      <c r="AB45" s="1534">
        <f t="shared" si="13"/>
        <v>1</v>
      </c>
      <c r="AC45" s="1534">
        <f t="shared" si="14"/>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5"/>
      <c r="M46" s="2939"/>
      <c r="N46" s="2939"/>
      <c r="O46" s="2939"/>
      <c r="P46" s="3578"/>
      <c r="Q46" s="1533">
        <f t="shared" si="8"/>
        <v>111</v>
      </c>
      <c r="R46" s="713" t="s">
        <v>20</v>
      </c>
      <c r="S46" s="714">
        <f t="shared" si="9"/>
        <v>100</v>
      </c>
      <c r="T46" s="713" t="s">
        <v>20</v>
      </c>
      <c r="U46" s="714">
        <f t="shared" si="10"/>
        <v>100</v>
      </c>
      <c r="V46" s="713" t="s">
        <v>20</v>
      </c>
      <c r="W46" s="714">
        <f t="shared" si="11"/>
        <v>100</v>
      </c>
      <c r="X46" s="1536"/>
      <c r="Y46" s="3579"/>
      <c r="Z46" s="1537">
        <f t="shared" si="15"/>
        <v>111</v>
      </c>
      <c r="AA46" s="1534">
        <f t="shared" si="12"/>
        <v>1</v>
      </c>
      <c r="AB46" s="1534">
        <f t="shared" si="13"/>
        <v>1</v>
      </c>
      <c r="AC46" s="1534">
        <f t="shared" si="14"/>
        <v>1</v>
      </c>
    </row>
    <row r="47" spans="1:29" ht="15">
      <c r="A47" s="438" t="s">
        <v>2392</v>
      </c>
      <c r="B47" s="439"/>
      <c r="C47" s="1314" t="s">
        <v>19</v>
      </c>
      <c r="D47" s="1315"/>
      <c r="E47" s="1316"/>
      <c r="F47" s="1317"/>
      <c r="G47" s="1318"/>
      <c r="H47" s="1319"/>
      <c r="I47" s="1316"/>
      <c r="J47" s="1319"/>
      <c r="K47" s="2097"/>
      <c r="L47" s="2947"/>
      <c r="M47" s="2948"/>
      <c r="N47" s="2939"/>
      <c r="O47" s="2948"/>
      <c r="P47" s="3496" t="str">
        <f>A47</f>
        <v>成交单价（元/平方米）</v>
      </c>
      <c r="Q47" s="3496"/>
      <c r="R47" s="3575">
        <f>E47</f>
        <v>0</v>
      </c>
      <c r="S47" s="3575"/>
      <c r="T47" s="3575">
        <f>G47</f>
        <v>0</v>
      </c>
      <c r="U47" s="3575"/>
      <c r="V47" s="3575">
        <f>I47</f>
        <v>0</v>
      </c>
      <c r="W47" s="3575"/>
      <c r="X47" s="698"/>
      <c r="Y47" s="720"/>
      <c r="Z47" s="698"/>
      <c r="AA47" s="698"/>
      <c r="AB47" s="698"/>
      <c r="AC47" s="698"/>
    </row>
    <row r="48" spans="1:29" ht="15.75" thickBot="1">
      <c r="A48" s="445" t="s">
        <v>2393</v>
      </c>
      <c r="B48" s="446"/>
      <c r="C48" s="1320" t="e">
        <f>R49</f>
        <v>#DIV/0!</v>
      </c>
      <c r="D48" s="2535" t="s">
        <v>2873</v>
      </c>
      <c r="E48" s="1321" t="e">
        <f>R48</f>
        <v>#DIV/0!</v>
      </c>
      <c r="F48" s="2536"/>
      <c r="G48" s="1320" t="e">
        <f>T48</f>
        <v>#DIV/0!</v>
      </c>
      <c r="H48" s="2536"/>
      <c r="I48" s="1321" t="e">
        <f>V48</f>
        <v>#DIV/0!</v>
      </c>
      <c r="J48" s="2536"/>
      <c r="K48" s="2537">
        <f>F48+H48+J48</f>
        <v>0</v>
      </c>
      <c r="L48" s="2947"/>
      <c r="M48" s="2948"/>
      <c r="N48" s="2948"/>
      <c r="O48" s="2948"/>
      <c r="P48" s="3496" t="str">
        <f>A48</f>
        <v>比较价值（元/平方米）</v>
      </c>
      <c r="Q48" s="3496"/>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698"/>
      <c r="Y48" s="698"/>
      <c r="Z48" s="698"/>
      <c r="AA48" s="698"/>
      <c r="AB48" s="698"/>
      <c r="AC48" s="698"/>
    </row>
    <row r="49" spans="1:29" ht="15.75" thickBot="1">
      <c r="A49" s="449" t="s">
        <v>2394</v>
      </c>
      <c r="B49" s="450"/>
      <c r="C49" s="1322" t="e">
        <f>R49</f>
        <v>#DIV/0!</v>
      </c>
      <c r="D49" s="1323"/>
      <c r="E49" s="1323"/>
      <c r="F49" s="1323"/>
      <c r="G49" s="1323"/>
      <c r="H49" s="1323"/>
      <c r="I49" s="1323"/>
      <c r="J49" s="1323"/>
      <c r="K49" s="2098"/>
      <c r="L49" s="2947"/>
      <c r="M49" s="2948"/>
      <c r="N49" s="2948"/>
      <c r="O49" s="2948"/>
      <c r="P49" s="3490" t="str">
        <f>A49</f>
        <v>估价对象XX用房的比较价值（楼面单价，元/平方米）</v>
      </c>
      <c r="Q49" s="3491"/>
      <c r="R49" s="3574" t="e">
        <f>IF(F1="售价",ROUND(IF(D48="简单平均",AVERAGE(R48:V48),R48*F48+T48*H48+V48*J48),0),ROUND(IF(D48="简单平均",AVERAGE(R48:V48),R48*F48+T48*H48+V48*J48),1))</f>
        <v>#DIV/0!</v>
      </c>
      <c r="S49" s="3574"/>
      <c r="T49" s="3574"/>
      <c r="U49" s="3574"/>
      <c r="V49" s="3574"/>
      <c r="W49" s="3574"/>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100"/>
    </row>
    <row r="55" spans="1:29" s="459" customFormat="1">
      <c r="A55" s="2951"/>
      <c r="B55" s="2954"/>
      <c r="C55" s="2955"/>
      <c r="D55" s="2951"/>
      <c r="E55" s="2951"/>
      <c r="F55" s="2951"/>
      <c r="G55" s="2951"/>
      <c r="H55" s="2951"/>
      <c r="I55" s="2951"/>
      <c r="J55" s="2951"/>
      <c r="K55" s="2956"/>
      <c r="L55" s="2950"/>
      <c r="M55" s="2951"/>
      <c r="N55" s="2951"/>
      <c r="O55" s="2951"/>
      <c r="P55" s="2100"/>
    </row>
    <row r="56" spans="1:29">
      <c r="A56" s="2948"/>
      <c r="B56" s="2954"/>
      <c r="C56" s="2955"/>
      <c r="D56" s="2948"/>
      <c r="E56" s="2948"/>
      <c r="F56" s="2948"/>
      <c r="G56" s="2948"/>
      <c r="H56" s="2948"/>
      <c r="I56" s="2948"/>
      <c r="J56" s="2948"/>
      <c r="K56" s="2953"/>
      <c r="L56" s="2949"/>
      <c r="M56" s="2948"/>
      <c r="N56" s="2948"/>
      <c r="O56" s="2948"/>
    </row>
    <row r="57" spans="1:29" ht="21.75" thickBot="1">
      <c r="A57" s="702" t="s">
        <v>2398</v>
      </c>
      <c r="B57" s="698"/>
      <c r="C57" s="703"/>
      <c r="D57" s="703"/>
      <c r="E57" s="703"/>
      <c r="F57" s="704"/>
      <c r="G57" s="704"/>
      <c r="H57" s="703"/>
      <c r="I57" s="703"/>
      <c r="J57" s="703"/>
      <c r="K57" s="1071"/>
      <c r="L57" s="1072"/>
      <c r="M57" s="1070"/>
      <c r="N57" s="1070"/>
      <c r="O57" s="1070"/>
      <c r="P57" s="2101"/>
      <c r="Q57" s="461"/>
    </row>
    <row r="58" spans="1:29" s="465" customFormat="1" ht="15">
      <c r="A58" s="462" t="s">
        <v>2399</v>
      </c>
      <c r="B58" s="463"/>
      <c r="C58" s="1346" t="str">
        <f>YEAR(C7)&amp;"-"&amp;MONTH(C7)</f>
        <v>2021-12</v>
      </c>
      <c r="D58" s="1345">
        <f>EDATE(C58,-1)</f>
        <v>44501</v>
      </c>
      <c r="E58" s="1345">
        <f>EDATE(D58,-1)</f>
        <v>44470</v>
      </c>
      <c r="F58" s="1345">
        <f t="shared" ref="F58:O58" si="16">EDATE(E58,-1)</f>
        <v>44440</v>
      </c>
      <c r="G58" s="1345">
        <f t="shared" si="16"/>
        <v>44409</v>
      </c>
      <c r="H58" s="1345">
        <f t="shared" si="16"/>
        <v>44378</v>
      </c>
      <c r="I58" s="1345">
        <f t="shared" si="16"/>
        <v>44348</v>
      </c>
      <c r="J58" s="1345">
        <f t="shared" si="16"/>
        <v>44317</v>
      </c>
      <c r="K58" s="1345">
        <f t="shared" si="16"/>
        <v>44287</v>
      </c>
      <c r="L58" s="1345">
        <f t="shared" si="16"/>
        <v>44256</v>
      </c>
      <c r="M58" s="1345">
        <f t="shared" si="16"/>
        <v>44228</v>
      </c>
      <c r="N58" s="1345">
        <f t="shared" si="16"/>
        <v>44197</v>
      </c>
      <c r="O58" s="1345">
        <f t="shared" si="16"/>
        <v>44166</v>
      </c>
      <c r="P58" s="1341"/>
    </row>
    <row r="59" spans="1:29" s="113" customFormat="1" ht="15">
      <c r="A59" s="466"/>
      <c r="B59" s="2102"/>
      <c r="C59" s="1343">
        <v>100</v>
      </c>
      <c r="D59" s="468"/>
      <c r="E59" s="469"/>
      <c r="F59" s="469"/>
      <c r="G59" s="469"/>
      <c r="H59" s="469"/>
      <c r="I59" s="469"/>
      <c r="J59" s="469"/>
      <c r="K59" s="469"/>
      <c r="L59" s="469"/>
      <c r="M59" s="470"/>
      <c r="N59" s="469"/>
      <c r="O59" s="470"/>
      <c r="P59" s="2103"/>
    </row>
    <row r="60" spans="1:29" s="113" customFormat="1" ht="15.75" thickBot="1">
      <c r="A60" s="472" t="s">
        <v>2400</v>
      </c>
      <c r="B60" s="473"/>
      <c r="C60" s="474"/>
      <c r="D60" s="475"/>
      <c r="E60" s="475"/>
      <c r="F60" s="475"/>
      <c r="G60" s="475"/>
      <c r="H60" s="475"/>
      <c r="I60" s="475"/>
      <c r="J60" s="475"/>
      <c r="K60" s="475"/>
      <c r="L60" s="475"/>
      <c r="M60" s="476"/>
      <c r="N60" s="475"/>
      <c r="O60" s="476"/>
      <c r="P60" s="2103"/>
      <c r="Q60" s="461"/>
    </row>
    <row r="61" spans="1:29" s="113" customFormat="1" ht="15">
      <c r="A61" s="478" t="s">
        <v>2401</v>
      </c>
      <c r="B61" s="467"/>
      <c r="C61" s="479" t="s">
        <v>2402</v>
      </c>
      <c r="D61" s="480"/>
      <c r="E61" s="480"/>
      <c r="F61" s="480"/>
      <c r="G61" s="480"/>
      <c r="H61" s="480"/>
      <c r="I61" s="480"/>
      <c r="J61" s="480"/>
      <c r="K61" s="480"/>
      <c r="L61" s="481"/>
      <c r="M61" s="482"/>
      <c r="N61" s="1062"/>
      <c r="O61" s="1062"/>
      <c r="P61" s="2104"/>
      <c r="Q61" s="461"/>
    </row>
    <row r="62" spans="1:29" s="113" customFormat="1" ht="15.75" thickBot="1">
      <c r="A62" s="478"/>
      <c r="B62" s="467"/>
      <c r="C62" s="468">
        <v>100</v>
      </c>
      <c r="D62" s="469"/>
      <c r="E62" s="469"/>
      <c r="F62" s="469"/>
      <c r="G62" s="469"/>
      <c r="H62" s="469"/>
      <c r="I62" s="469"/>
      <c r="J62" s="469"/>
      <c r="K62" s="469"/>
      <c r="L62" s="469"/>
      <c r="M62" s="471"/>
      <c r="N62" s="1062"/>
      <c r="O62" s="1062"/>
      <c r="P62" s="2103"/>
      <c r="Q62" s="461"/>
    </row>
    <row r="63" spans="1:29">
      <c r="A63" s="484" t="s">
        <v>2403</v>
      </c>
      <c r="B63" s="485" t="s">
        <v>2369</v>
      </c>
      <c r="C63" s="486">
        <f>C9</f>
        <v>0</v>
      </c>
      <c r="D63" s="487"/>
      <c r="E63" s="487"/>
      <c r="F63" s="487"/>
      <c r="G63" s="487"/>
      <c r="H63" s="487"/>
      <c r="I63" s="487"/>
      <c r="J63" s="487"/>
      <c r="K63" s="488"/>
      <c r="L63" s="489"/>
      <c r="M63" s="490"/>
      <c r="N63" s="1063"/>
      <c r="O63" s="1063"/>
      <c r="P63" s="2105"/>
      <c r="Q63" s="461"/>
    </row>
    <row r="64" spans="1:29" ht="15.75" thickBot="1">
      <c r="A64" s="491"/>
      <c r="B64" s="492"/>
      <c r="C64" s="493">
        <v>100</v>
      </c>
      <c r="D64" s="493"/>
      <c r="E64" s="493"/>
      <c r="F64" s="493"/>
      <c r="G64" s="493"/>
      <c r="H64" s="493"/>
      <c r="I64" s="493"/>
      <c r="J64" s="493"/>
      <c r="K64" s="493"/>
      <c r="L64" s="493"/>
      <c r="M64" s="494"/>
      <c r="N64" s="1064"/>
      <c r="O64" s="1064"/>
      <c r="P64" s="2105"/>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3"/>
      <c r="O65" s="1063"/>
      <c r="P65" s="2105"/>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4"/>
      <c r="O66" s="1064"/>
      <c r="P66" s="2105"/>
      <c r="Q66" s="461"/>
    </row>
    <row r="67" spans="1:17" ht="15.75" thickTop="1">
      <c r="A67" s="491"/>
      <c r="B67" s="503" t="s">
        <v>2373</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4"/>
      <c r="O67" s="1064"/>
      <c r="P67" s="2105"/>
      <c r="Q67" s="461"/>
    </row>
    <row r="68" spans="1:17" ht="15">
      <c r="A68" s="491"/>
      <c r="B68" s="505"/>
      <c r="C68" s="506"/>
      <c r="D68" s="506"/>
      <c r="E68" s="506"/>
      <c r="F68" s="506"/>
      <c r="G68" s="506"/>
      <c r="H68" s="506"/>
      <c r="I68" s="506"/>
      <c r="J68" s="506"/>
      <c r="K68" s="507"/>
      <c r="L68" s="508"/>
      <c r="M68" s="509"/>
      <c r="N68" s="1063"/>
      <c r="O68" s="1063"/>
      <c r="P68" s="2105"/>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4"/>
      <c r="O69" s="1064"/>
      <c r="P69" s="2105"/>
      <c r="Q69" s="461"/>
    </row>
    <row r="70" spans="1:17" s="430" customFormat="1" ht="15.75" thickTop="1">
      <c r="A70" s="510"/>
      <c r="B70" s="495">
        <f>B12</f>
        <v>111</v>
      </c>
      <c r="C70" s="511"/>
      <c r="D70" s="511"/>
      <c r="E70" s="511"/>
      <c r="F70" s="511"/>
      <c r="G70" s="511"/>
      <c r="H70" s="512"/>
      <c r="I70" s="512"/>
      <c r="J70" s="512"/>
      <c r="K70" s="512"/>
      <c r="L70" s="513"/>
      <c r="M70" s="514"/>
      <c r="N70" s="1065"/>
      <c r="O70" s="1065"/>
      <c r="P70" s="2106"/>
      <c r="Q70" s="516"/>
    </row>
    <row r="71" spans="1:17" s="430" customFormat="1" ht="15.75" thickBot="1">
      <c r="A71" s="510"/>
      <c r="B71" s="500"/>
      <c r="C71" s="517"/>
      <c r="D71" s="493"/>
      <c r="E71" s="493"/>
      <c r="F71" s="493"/>
      <c r="G71" s="493"/>
      <c r="H71" s="493"/>
      <c r="I71" s="493"/>
      <c r="J71" s="493"/>
      <c r="K71" s="493"/>
      <c r="L71" s="493"/>
      <c r="M71" s="494"/>
      <c r="N71" s="1064"/>
      <c r="O71" s="1064"/>
      <c r="P71" s="2106"/>
      <c r="Q71" s="516"/>
    </row>
    <row r="72" spans="1:17" s="430" customFormat="1" ht="15.75" thickTop="1">
      <c r="A72" s="510"/>
      <c r="B72" s="495">
        <f>B13</f>
        <v>111</v>
      </c>
      <c r="C72" s="511"/>
      <c r="D72" s="511"/>
      <c r="E72" s="511"/>
      <c r="F72" s="511"/>
      <c r="G72" s="511"/>
      <c r="H72" s="512"/>
      <c r="I72" s="512"/>
      <c r="J72" s="512"/>
      <c r="K72" s="512"/>
      <c r="L72" s="513"/>
      <c r="M72" s="514"/>
      <c r="N72" s="1065"/>
      <c r="O72" s="1065"/>
      <c r="P72" s="2107"/>
      <c r="Q72" s="518"/>
    </row>
    <row r="73" spans="1:17" s="430" customFormat="1" ht="15.75" thickBot="1">
      <c r="A73" s="510"/>
      <c r="B73" s="500"/>
      <c r="C73" s="517"/>
      <c r="D73" s="517"/>
      <c r="E73" s="517"/>
      <c r="F73" s="517"/>
      <c r="G73" s="517"/>
      <c r="H73" s="519"/>
      <c r="I73" s="519"/>
      <c r="J73" s="519"/>
      <c r="K73" s="519"/>
      <c r="L73" s="519"/>
      <c r="M73" s="520"/>
      <c r="N73" s="1065"/>
      <c r="O73" s="1065"/>
      <c r="P73" s="2106"/>
      <c r="Q73" s="516"/>
    </row>
    <row r="74" spans="1:17" s="430" customFormat="1" ht="15.75" thickTop="1">
      <c r="A74" s="510"/>
      <c r="B74" s="503">
        <f>B14</f>
        <v>111</v>
      </c>
      <c r="C74" s="511"/>
      <c r="D74" s="511"/>
      <c r="E74" s="511"/>
      <c r="F74" s="511"/>
      <c r="G74" s="480"/>
      <c r="H74" s="521"/>
      <c r="I74" s="521"/>
      <c r="J74" s="521"/>
      <c r="K74" s="521"/>
      <c r="L74" s="522"/>
      <c r="M74" s="523"/>
      <c r="N74" s="1065"/>
      <c r="O74" s="1065"/>
      <c r="P74" s="2108"/>
      <c r="Q74" s="516"/>
    </row>
    <row r="75" spans="1:17" s="430" customFormat="1" ht="15.75" thickBot="1">
      <c r="A75" s="525"/>
      <c r="B75" s="526"/>
      <c r="C75" s="527"/>
      <c r="D75" s="527"/>
      <c r="E75" s="527"/>
      <c r="F75" s="527"/>
      <c r="G75" s="527"/>
      <c r="H75" s="528"/>
      <c r="I75" s="528"/>
      <c r="J75" s="528"/>
      <c r="K75" s="528"/>
      <c r="L75" s="528"/>
      <c r="M75" s="529"/>
      <c r="N75" s="1065"/>
      <c r="O75" s="1065"/>
      <c r="P75" s="2106"/>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3"/>
      <c r="O76" s="1063"/>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5"/>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3"/>
      <c r="O78" s="1063"/>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5"/>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3"/>
      <c r="O80" s="1063"/>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5"/>
      <c r="Q81" s="461"/>
    </row>
    <row r="82" spans="1:17" ht="15.75" thickTop="1">
      <c r="A82" s="491"/>
      <c r="B82" s="503" t="s">
        <v>1940</v>
      </c>
      <c r="C82" s="496" t="s">
        <v>2419</v>
      </c>
      <c r="D82" s="496" t="s">
        <v>2420</v>
      </c>
      <c r="E82" s="496" t="s">
        <v>2421</v>
      </c>
      <c r="F82" s="496" t="s">
        <v>2422</v>
      </c>
      <c r="G82" s="496" t="s">
        <v>2423</v>
      </c>
      <c r="H82" s="496"/>
      <c r="I82" s="496"/>
      <c r="J82" s="496"/>
      <c r="K82" s="496"/>
      <c r="L82" s="496"/>
      <c r="M82" s="1289"/>
      <c r="N82" s="1064"/>
      <c r="O82" s="1064"/>
      <c r="P82" s="2105"/>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4"/>
      <c r="O83" s="1064"/>
      <c r="P83" s="2105"/>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3"/>
      <c r="O84" s="1063"/>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5"/>
      <c r="Q85" s="461"/>
    </row>
    <row r="86" spans="1:17" s="113" customFormat="1" ht="15.75" thickTop="1">
      <c r="A86" s="536"/>
      <c r="B86" s="495" t="s">
        <v>2425</v>
      </c>
      <c r="C86" s="511"/>
      <c r="D86" s="511"/>
      <c r="E86" s="511"/>
      <c r="F86" s="511"/>
      <c r="G86" s="511"/>
      <c r="H86" s="511"/>
      <c r="I86" s="511"/>
      <c r="J86" s="511"/>
      <c r="K86" s="511"/>
      <c r="L86" s="537"/>
      <c r="M86" s="538"/>
      <c r="N86" s="1062"/>
      <c r="O86" s="1062"/>
      <c r="P86" s="2105"/>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4"/>
      <c r="O87" s="1064"/>
      <c r="P87" s="2105"/>
      <c r="Q87" s="461"/>
    </row>
    <row r="88" spans="1:17" s="113" customFormat="1" ht="15.75" thickTop="1">
      <c r="A88" s="536"/>
      <c r="B88" s="495" t="s">
        <v>2426</v>
      </c>
      <c r="C88" s="511"/>
      <c r="D88" s="511"/>
      <c r="E88" s="511"/>
      <c r="F88" s="2110"/>
      <c r="G88" s="511"/>
      <c r="H88" s="511"/>
      <c r="I88" s="511"/>
      <c r="J88" s="511"/>
      <c r="K88" s="511"/>
      <c r="L88" s="511"/>
      <c r="M88" s="538"/>
      <c r="N88" s="1062"/>
      <c r="O88" s="1062"/>
      <c r="P88" s="2105"/>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4"/>
      <c r="O89" s="1064"/>
      <c r="P89" s="2105"/>
      <c r="Q89" s="461"/>
    </row>
    <row r="90" spans="1:17" s="430" customFormat="1" ht="15.75" thickTop="1">
      <c r="A90" s="510"/>
      <c r="B90" s="495">
        <f>B27</f>
        <v>111</v>
      </c>
      <c r="C90" s="511"/>
      <c r="D90" s="511"/>
      <c r="E90" s="511"/>
      <c r="F90" s="511"/>
      <c r="G90" s="511"/>
      <c r="H90" s="512"/>
      <c r="I90" s="512"/>
      <c r="J90" s="512"/>
      <c r="K90" s="512"/>
      <c r="L90" s="513"/>
      <c r="M90" s="514"/>
      <c r="N90" s="1065"/>
      <c r="O90" s="1065"/>
      <c r="P90" s="2106"/>
      <c r="Q90" s="516"/>
    </row>
    <row r="91" spans="1:17" s="430" customFormat="1" ht="15.75" thickBot="1">
      <c r="A91" s="510"/>
      <c r="B91" s="500"/>
      <c r="C91" s="517"/>
      <c r="D91" s="517"/>
      <c r="E91" s="517"/>
      <c r="F91" s="517"/>
      <c r="G91" s="517"/>
      <c r="H91" s="519"/>
      <c r="I91" s="519"/>
      <c r="J91" s="519"/>
      <c r="K91" s="519"/>
      <c r="L91" s="519"/>
      <c r="M91" s="520"/>
      <c r="N91" s="1065"/>
      <c r="O91" s="1065"/>
      <c r="P91" s="2106"/>
      <c r="Q91" s="516"/>
    </row>
    <row r="92" spans="1:17" ht="15.75" thickTop="1">
      <c r="A92" s="491"/>
      <c r="B92" s="495">
        <f>B28</f>
        <v>111</v>
      </c>
      <c r="C92" s="511"/>
      <c r="D92" s="511"/>
      <c r="E92" s="511"/>
      <c r="F92" s="511"/>
      <c r="G92" s="540"/>
      <c r="H92" s="540"/>
      <c r="I92" s="540"/>
      <c r="J92" s="540"/>
      <c r="K92" s="541"/>
      <c r="L92" s="542"/>
      <c r="M92" s="543"/>
      <c r="N92" s="1063"/>
      <c r="O92" s="1063"/>
      <c r="P92" s="2105"/>
      <c r="Q92" s="461"/>
    </row>
    <row r="93" spans="1:17" ht="15.75" thickBot="1">
      <c r="A93" s="491"/>
      <c r="B93" s="500"/>
      <c r="C93" s="517"/>
      <c r="D93" s="493"/>
      <c r="E93" s="493"/>
      <c r="F93" s="493"/>
      <c r="G93" s="493"/>
      <c r="H93" s="493"/>
      <c r="I93" s="493"/>
      <c r="J93" s="493"/>
      <c r="K93" s="493"/>
      <c r="L93" s="493"/>
      <c r="M93" s="494"/>
      <c r="N93" s="1064"/>
      <c r="O93" s="1064"/>
      <c r="P93" s="2105"/>
      <c r="Q93" s="461"/>
    </row>
    <row r="94" spans="1:17" ht="15.75" thickTop="1">
      <c r="A94" s="491"/>
      <c r="B94" s="495">
        <f>B29</f>
        <v>111</v>
      </c>
      <c r="C94" s="511"/>
      <c r="D94" s="511"/>
      <c r="E94" s="511"/>
      <c r="F94" s="511"/>
      <c r="G94" s="540"/>
      <c r="H94" s="540"/>
      <c r="I94" s="540"/>
      <c r="J94" s="540"/>
      <c r="K94" s="541"/>
      <c r="L94" s="542"/>
      <c r="M94" s="543"/>
      <c r="N94" s="1063"/>
      <c r="O94" s="1063"/>
      <c r="P94" s="2105"/>
      <c r="Q94" s="461"/>
    </row>
    <row r="95" spans="1:17" ht="15.75" thickBot="1">
      <c r="A95" s="491"/>
      <c r="B95" s="500"/>
      <c r="C95" s="517"/>
      <c r="D95" s="517"/>
      <c r="E95" s="517"/>
      <c r="F95" s="517"/>
      <c r="G95" s="493"/>
      <c r="H95" s="493"/>
      <c r="I95" s="493"/>
      <c r="J95" s="493"/>
      <c r="K95" s="493"/>
      <c r="L95" s="493"/>
      <c r="M95" s="494"/>
      <c r="N95" s="1064"/>
      <c r="O95" s="1064"/>
      <c r="P95" s="2105"/>
      <c r="Q95" s="461"/>
    </row>
    <row r="96" spans="1:17" ht="15.75" thickTop="1">
      <c r="A96" s="491"/>
      <c r="B96" s="495">
        <f>B30</f>
        <v>111</v>
      </c>
      <c r="C96" s="511"/>
      <c r="D96" s="511"/>
      <c r="E96" s="511"/>
      <c r="F96" s="511"/>
      <c r="G96" s="540"/>
      <c r="H96" s="540"/>
      <c r="I96" s="540"/>
      <c r="J96" s="540"/>
      <c r="K96" s="541"/>
      <c r="L96" s="542"/>
      <c r="M96" s="543"/>
      <c r="N96" s="1063"/>
      <c r="O96" s="1063"/>
      <c r="P96" s="2105"/>
      <c r="Q96" s="461"/>
    </row>
    <row r="97" spans="1:17" ht="15.75" thickBot="1">
      <c r="A97" s="491"/>
      <c r="B97" s="500"/>
      <c r="C97" s="527"/>
      <c r="D97" s="527"/>
      <c r="E97" s="527"/>
      <c r="F97" s="527"/>
      <c r="G97" s="493"/>
      <c r="H97" s="493"/>
      <c r="I97" s="493"/>
      <c r="J97" s="493"/>
      <c r="K97" s="493"/>
      <c r="L97" s="493"/>
      <c r="M97" s="494"/>
      <c r="N97" s="1064"/>
      <c r="O97" s="1064"/>
      <c r="P97" s="2105"/>
      <c r="Q97" s="461"/>
    </row>
    <row r="98" spans="1:17" ht="15.75" thickTop="1">
      <c r="A98" s="491"/>
      <c r="B98" s="503">
        <f>B31</f>
        <v>111</v>
      </c>
      <c r="C98" s="544"/>
      <c r="D98" s="544"/>
      <c r="E98" s="544"/>
      <c r="F98" s="544"/>
      <c r="G98" s="544"/>
      <c r="H98" s="544"/>
      <c r="I98" s="544"/>
      <c r="J98" s="544"/>
      <c r="K98" s="545"/>
      <c r="L98" s="546"/>
      <c r="M98" s="547"/>
      <c r="N98" s="1063"/>
      <c r="O98" s="1063"/>
      <c r="P98" s="2105"/>
      <c r="Q98" s="461"/>
    </row>
    <row r="99" spans="1:17" ht="15.75" thickBot="1">
      <c r="A99" s="2111"/>
      <c r="B99" s="526"/>
      <c r="C99" s="548"/>
      <c r="D99" s="548"/>
      <c r="E99" s="548"/>
      <c r="F99" s="548"/>
      <c r="G99" s="548"/>
      <c r="H99" s="548"/>
      <c r="I99" s="548"/>
      <c r="J99" s="548"/>
      <c r="K99" s="548"/>
      <c r="L99" s="548"/>
      <c r="M99" s="549"/>
      <c r="N99" s="1064"/>
      <c r="O99" s="1064"/>
      <c r="P99" s="2105"/>
      <c r="Q99" s="461"/>
    </row>
    <row r="100" spans="1:17">
      <c r="A100" s="484" t="s">
        <v>2378</v>
      </c>
      <c r="B100" s="485" t="s">
        <v>2427</v>
      </c>
      <c r="C100" s="487"/>
      <c r="D100" s="487"/>
      <c r="E100" s="487"/>
      <c r="F100" s="487"/>
      <c r="G100" s="487"/>
      <c r="H100" s="487"/>
      <c r="I100" s="487"/>
      <c r="J100" s="487"/>
      <c r="K100" s="488"/>
      <c r="L100" s="489"/>
      <c r="M100" s="490"/>
      <c r="N100" s="1063"/>
      <c r="O100" s="1063"/>
      <c r="P100" s="2105"/>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4"/>
      <c r="O101" s="1064"/>
      <c r="P101" s="2105"/>
      <c r="Q101" s="461"/>
    </row>
    <row r="102" spans="1:17"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2"/>
      <c r="O102" s="1062"/>
      <c r="P102" s="2105"/>
      <c r="Q102" s="461"/>
    </row>
    <row r="103" spans="1:17" s="430" customFormat="1">
      <c r="A103" s="550"/>
      <c r="B103" s="551"/>
      <c r="C103" s="552"/>
      <c r="D103" s="552"/>
      <c r="E103" s="552"/>
      <c r="F103" s="552"/>
      <c r="G103" s="552"/>
      <c r="H103" s="552"/>
      <c r="I103" s="552"/>
      <c r="J103" s="553"/>
      <c r="K103" s="553"/>
      <c r="L103" s="554"/>
      <c r="M103" s="555"/>
      <c r="N103" s="1065"/>
      <c r="O103" s="1065"/>
      <c r="P103" s="2106"/>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6"/>
      <c r="Q104" s="516"/>
    </row>
    <row r="105" spans="1:17" ht="15" thickTop="1">
      <c r="A105" s="556"/>
      <c r="B105" s="495" t="s">
        <v>2429</v>
      </c>
      <c r="C105" s="511"/>
      <c r="D105" s="511"/>
      <c r="E105" s="540"/>
      <c r="F105" s="540"/>
      <c r="G105" s="540"/>
      <c r="H105" s="540"/>
      <c r="I105" s="540"/>
      <c r="J105" s="540"/>
      <c r="K105" s="541"/>
      <c r="L105" s="542"/>
      <c r="M105" s="543"/>
      <c r="N105" s="1063"/>
      <c r="O105" s="1063"/>
      <c r="P105" s="2105"/>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4"/>
      <c r="O106" s="1064"/>
      <c r="P106" s="2105"/>
      <c r="Q106" s="461"/>
    </row>
    <row r="107" spans="1:17" ht="15" thickTop="1">
      <c r="A107" s="556"/>
      <c r="B107" s="495" t="s">
        <v>2430</v>
      </c>
      <c r="C107" s="540"/>
      <c r="D107" s="540"/>
      <c r="E107" s="540"/>
      <c r="F107" s="540"/>
      <c r="G107" s="540"/>
      <c r="H107" s="540"/>
      <c r="I107" s="540"/>
      <c r="J107" s="540"/>
      <c r="K107" s="541"/>
      <c r="L107" s="542"/>
      <c r="M107" s="543"/>
      <c r="N107" s="1063"/>
      <c r="O107" s="1063"/>
      <c r="P107" s="2105"/>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4"/>
      <c r="O108" s="1064"/>
      <c r="P108" s="2105"/>
      <c r="Q108" s="461"/>
    </row>
    <row r="109" spans="1:17" ht="15" thickTop="1">
      <c r="A109" s="556"/>
      <c r="B109" s="495" t="s">
        <v>2431</v>
      </c>
      <c r="C109" s="511"/>
      <c r="D109" s="511"/>
      <c r="E109" s="511"/>
      <c r="F109" s="540"/>
      <c r="G109" s="540"/>
      <c r="H109" s="540"/>
      <c r="I109" s="540"/>
      <c r="J109" s="540"/>
      <c r="K109" s="541"/>
      <c r="L109" s="542"/>
      <c r="M109" s="543"/>
      <c r="N109" s="1063"/>
      <c r="O109" s="1063"/>
      <c r="P109" s="2105"/>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4"/>
      <c r="O110" s="1064"/>
      <c r="P110" s="2105"/>
      <c r="Q110" s="461"/>
    </row>
    <row r="111" spans="1:17" s="430" customFormat="1" ht="15" thickTop="1">
      <c r="A111" s="550"/>
      <c r="B111" s="495" t="s">
        <v>1870</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6"/>
      <c r="Q113" s="516"/>
    </row>
    <row r="114" spans="1:17" ht="15" thickTop="1">
      <c r="A114" s="556"/>
      <c r="B114" s="495" t="s">
        <v>2432</v>
      </c>
      <c r="C114" s="511"/>
      <c r="D114" s="511"/>
      <c r="E114" s="540"/>
      <c r="F114" s="540"/>
      <c r="G114" s="540"/>
      <c r="H114" s="540"/>
      <c r="I114" s="540"/>
      <c r="J114" s="540"/>
      <c r="K114" s="541"/>
      <c r="L114" s="542"/>
      <c r="M114" s="543"/>
      <c r="N114" s="1063"/>
      <c r="O114" s="1063"/>
      <c r="P114" s="2105"/>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4"/>
      <c r="O115" s="1064"/>
      <c r="P115" s="2105"/>
      <c r="Q115" s="461"/>
    </row>
    <row r="116" spans="1:17" ht="15" thickTop="1">
      <c r="A116" s="556"/>
      <c r="B116" s="495" t="s">
        <v>2433</v>
      </c>
      <c r="C116" s="511"/>
      <c r="D116" s="511"/>
      <c r="E116" s="511"/>
      <c r="F116" s="511"/>
      <c r="G116" s="511"/>
      <c r="H116" s="540"/>
      <c r="I116" s="540"/>
      <c r="J116" s="540"/>
      <c r="K116" s="541"/>
      <c r="L116" s="542"/>
      <c r="M116" s="543"/>
      <c r="N116" s="1063"/>
      <c r="O116" s="1063"/>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5"/>
      <c r="Q117" s="461"/>
    </row>
    <row r="118" spans="1:17" ht="15" thickTop="1">
      <c r="A118" s="556"/>
      <c r="B118" s="495" t="s">
        <v>2434</v>
      </c>
      <c r="C118" s="540"/>
      <c r="D118" s="540"/>
      <c r="E118" s="540"/>
      <c r="F118" s="540"/>
      <c r="G118" s="540"/>
      <c r="H118" s="540"/>
      <c r="I118" s="540"/>
      <c r="J118" s="540"/>
      <c r="K118" s="541"/>
      <c r="L118" s="542"/>
      <c r="M118" s="543"/>
      <c r="N118" s="1063"/>
      <c r="O118" s="1063"/>
      <c r="P118" s="2105"/>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4"/>
      <c r="O119" s="1064"/>
      <c r="P119" s="2105"/>
      <c r="Q119" s="461"/>
    </row>
    <row r="120" spans="1:17" s="430" customFormat="1" ht="28.5" thickTop="1">
      <c r="A120" s="550"/>
      <c r="B120" s="495" t="s">
        <v>2389</v>
      </c>
      <c r="C120" s="511"/>
      <c r="D120" s="511"/>
      <c r="E120" s="511"/>
      <c r="F120" s="511"/>
      <c r="G120" s="511"/>
      <c r="H120" s="511"/>
      <c r="I120" s="511"/>
      <c r="J120" s="511"/>
      <c r="K120" s="511"/>
      <c r="L120" s="537"/>
      <c r="M120" s="538"/>
      <c r="N120" s="1065"/>
      <c r="O120" s="1065"/>
      <c r="P120" s="210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2435</v>
      </c>
      <c r="C122" s="511"/>
      <c r="D122" s="511"/>
      <c r="E122" s="511"/>
      <c r="F122" s="540"/>
      <c r="G122" s="540"/>
      <c r="H122" s="540"/>
      <c r="I122" s="540"/>
      <c r="J122" s="540"/>
      <c r="K122" s="541"/>
      <c r="L122" s="542"/>
      <c r="M122" s="543"/>
      <c r="N122" s="1063"/>
      <c r="O122" s="1063"/>
      <c r="P122" s="2105"/>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4"/>
      <c r="O123" s="1064"/>
      <c r="P123" s="2105"/>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3"/>
      <c r="O124" s="1063"/>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6"/>
      <c r="Q127" s="516"/>
    </row>
    <row r="128" spans="1:17" ht="15" thickTop="1">
      <c r="A128" s="556"/>
      <c r="B128" s="495">
        <f>B45</f>
        <v>111</v>
      </c>
      <c r="C128" s="511"/>
      <c r="D128" s="511"/>
      <c r="E128" s="511"/>
      <c r="F128" s="511"/>
      <c r="G128" s="540"/>
      <c r="H128" s="540"/>
      <c r="I128" s="540"/>
      <c r="J128" s="540"/>
      <c r="K128" s="541"/>
      <c r="L128" s="542"/>
      <c r="M128" s="543"/>
      <c r="N128" s="1063"/>
      <c r="O128" s="1063"/>
      <c r="P128" s="2105"/>
      <c r="Q128" s="461"/>
    </row>
    <row r="129" spans="1:17" ht="15.75" thickBot="1">
      <c r="A129" s="491"/>
      <c r="B129" s="500"/>
      <c r="C129" s="517"/>
      <c r="D129" s="517"/>
      <c r="E129" s="517"/>
      <c r="F129" s="517"/>
      <c r="G129" s="493"/>
      <c r="H129" s="493"/>
      <c r="I129" s="493"/>
      <c r="J129" s="493"/>
      <c r="K129" s="493"/>
      <c r="L129" s="493"/>
      <c r="M129" s="494"/>
      <c r="N129" s="1064"/>
      <c r="O129" s="1064"/>
      <c r="P129" s="2105"/>
      <c r="Q129" s="461"/>
    </row>
    <row r="130" spans="1:17" ht="15" thickTop="1">
      <c r="A130" s="556"/>
      <c r="B130" s="503">
        <f>B46</f>
        <v>111</v>
      </c>
      <c r="C130" s="511"/>
      <c r="D130" s="511"/>
      <c r="E130" s="511"/>
      <c r="F130" s="511"/>
      <c r="G130" s="544"/>
      <c r="H130" s="544"/>
      <c r="I130" s="544"/>
      <c r="J130" s="544"/>
      <c r="K130" s="480"/>
      <c r="L130" s="481"/>
      <c r="M130" s="547"/>
      <c r="N130" s="1063"/>
      <c r="O130" s="1063"/>
      <c r="P130" s="2105"/>
      <c r="Q130" s="461"/>
    </row>
    <row r="131" spans="1:17" ht="15.75"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2437</v>
      </c>
    </row>
    <row r="137" spans="1:17" ht="15">
      <c r="B137" s="2113" t="s">
        <v>2438</v>
      </c>
      <c r="C137" s="2114"/>
      <c r="D137" s="2114"/>
      <c r="E137" s="2114"/>
      <c r="F137" s="2114"/>
      <c r="G137" s="2115"/>
      <c r="H137" s="2116"/>
      <c r="I137" s="2117" t="s">
        <v>2439</v>
      </c>
      <c r="J137" s="2114"/>
      <c r="K137" s="2118"/>
    </row>
    <row r="138" spans="1:17" ht="15">
      <c r="B138" s="2119"/>
      <c r="C138" s="142" t="s">
        <v>2440</v>
      </c>
      <c r="D138" s="142" t="s">
        <v>2441</v>
      </c>
      <c r="E138" s="2120" t="s">
        <v>2442</v>
      </c>
      <c r="F138" s="2121" t="s">
        <v>2443</v>
      </c>
      <c r="G138" s="142" t="s">
        <v>2441</v>
      </c>
      <c r="H138" s="143" t="s">
        <v>2442</v>
      </c>
      <c r="I138" s="2122"/>
      <c r="J138" s="142" t="s">
        <v>2444</v>
      </c>
      <c r="K138" s="143" t="s">
        <v>2445</v>
      </c>
    </row>
    <row r="139" spans="1:17" ht="15">
      <c r="B139" s="997">
        <v>6</v>
      </c>
      <c r="C139" s="998">
        <v>96</v>
      </c>
      <c r="D139" s="2123" t="s">
        <v>2446</v>
      </c>
      <c r="E139" s="999">
        <v>100</v>
      </c>
      <c r="F139" s="1000">
        <v>102.5</v>
      </c>
      <c r="G139" s="2123" t="s">
        <v>2446</v>
      </c>
      <c r="H139" s="1001">
        <v>105</v>
      </c>
      <c r="I139" s="2124" t="s">
        <v>2447</v>
      </c>
      <c r="J139" s="998">
        <v>20</v>
      </c>
      <c r="K139" s="1002">
        <f>C145/(J139-2)</f>
        <v>4.0555555555555553E-3</v>
      </c>
    </row>
    <row r="140" spans="1:17" ht="15">
      <c r="B140" s="1003">
        <v>5</v>
      </c>
      <c r="C140" s="1004">
        <v>100</v>
      </c>
      <c r="D140" s="1004"/>
      <c r="E140" s="1005"/>
      <c r="F140" s="1006">
        <v>102</v>
      </c>
      <c r="G140" s="1004"/>
      <c r="H140" s="1007"/>
      <c r="I140" s="2125" t="s">
        <v>2448</v>
      </c>
      <c r="J140" s="277">
        <f>ROUNDUP((J139-1)/2,0)</f>
        <v>10</v>
      </c>
      <c r="K140" s="1008">
        <v>100</v>
      </c>
    </row>
    <row r="141" spans="1:17" ht="15">
      <c r="B141" s="1003">
        <v>4</v>
      </c>
      <c r="C141" s="1004">
        <v>102</v>
      </c>
      <c r="D141" s="1004"/>
      <c r="E141" s="1005"/>
      <c r="F141" s="1006">
        <v>101.5</v>
      </c>
      <c r="G141" s="1004"/>
      <c r="H141" s="1007"/>
      <c r="I141" s="2125" t="s">
        <v>2449</v>
      </c>
      <c r="J141" s="277">
        <v>1</v>
      </c>
      <c r="K141" s="1009">
        <f>ROUND(100+(J141-J140)*K139*100,1)</f>
        <v>96.4</v>
      </c>
    </row>
    <row r="142" spans="1:17" ht="15">
      <c r="B142" s="1003">
        <v>3</v>
      </c>
      <c r="C142" s="1004">
        <v>103</v>
      </c>
      <c r="D142" s="1004"/>
      <c r="E142" s="1005"/>
      <c r="F142" s="1006">
        <v>101</v>
      </c>
      <c r="G142" s="1004"/>
      <c r="H142" s="1007"/>
      <c r="I142" s="2125" t="s">
        <v>2450</v>
      </c>
      <c r="J142" s="277">
        <f>J139</f>
        <v>20</v>
      </c>
      <c r="K142" s="1010">
        <v>95</v>
      </c>
    </row>
    <row r="143" spans="1:17" ht="15">
      <c r="B143" s="1003">
        <v>2</v>
      </c>
      <c r="C143" s="1004">
        <v>100</v>
      </c>
      <c r="D143" s="1004"/>
      <c r="E143" s="1005"/>
      <c r="F143" s="1006">
        <v>100.5</v>
      </c>
      <c r="G143" s="1004"/>
      <c r="H143" s="1007"/>
      <c r="I143" s="2125" t="s">
        <v>2451</v>
      </c>
      <c r="J143" s="1004">
        <v>15</v>
      </c>
      <c r="K143" s="1009">
        <f>ROUND(100+(J143-J140)*K139*100,1)</f>
        <v>102</v>
      </c>
    </row>
    <row r="144" spans="1:17" ht="15">
      <c r="B144" s="1003">
        <v>1</v>
      </c>
      <c r="C144" s="1004">
        <v>98</v>
      </c>
      <c r="D144" s="2126" t="s">
        <v>2452</v>
      </c>
      <c r="E144" s="1005">
        <v>102</v>
      </c>
      <c r="F144" s="1011">
        <v>100</v>
      </c>
      <c r="G144" s="2126" t="s">
        <v>2452</v>
      </c>
      <c r="H144" s="1007">
        <v>105</v>
      </c>
      <c r="I144" s="2125" t="s">
        <v>2451</v>
      </c>
      <c r="J144" s="1004">
        <v>18</v>
      </c>
      <c r="K144" s="1009">
        <f>ROUND(100+(J144-J140)*K139*100,1)</f>
        <v>103.2</v>
      </c>
    </row>
    <row r="145" spans="2:11" ht="15.75" thickBot="1">
      <c r="B145" s="2127" t="s">
        <v>2453</v>
      </c>
      <c r="C145" s="1012">
        <f>ROUND(MAX(C139:C144)/MIN(C139:C144)-1,3)</f>
        <v>7.2999999999999995E-2</v>
      </c>
      <c r="D145" s="1013"/>
      <c r="E145" s="1013"/>
      <c r="F145" s="2128" t="s">
        <v>2454</v>
      </c>
      <c r="G145" s="2129"/>
      <c r="H145" s="2130"/>
      <c r="I145" s="2131" t="s">
        <v>2451</v>
      </c>
      <c r="J145" s="1014">
        <v>8</v>
      </c>
      <c r="K145" s="1015">
        <f>ROUND(100+(J145-J140)*K139*100,1)</f>
        <v>99.2</v>
      </c>
    </row>
    <row r="147" spans="2:11">
      <c r="B147" s="2112" t="s">
        <v>2455</v>
      </c>
    </row>
    <row r="148" spans="2:11">
      <c r="B148" s="2112"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1" t="s">
        <v>2457</v>
      </c>
      <c r="C1" s="1404" t="s">
        <v>2345</v>
      </c>
      <c r="D1" s="1391"/>
      <c r="E1" s="2540"/>
      <c r="F1" s="2062"/>
      <c r="G1" s="1401" t="s">
        <v>2458</v>
      </c>
      <c r="H1" s="1400"/>
      <c r="I1" s="1400"/>
      <c r="J1" s="1400"/>
      <c r="K1" s="1402"/>
      <c r="L1" s="1403"/>
      <c r="M1" s="1404"/>
      <c r="N1" s="1404"/>
      <c r="O1" s="1404"/>
      <c r="P1" s="2132"/>
      <c r="Q1" s="2133"/>
      <c r="R1" s="2133"/>
      <c r="S1" s="2133"/>
      <c r="T1" s="2133"/>
      <c r="U1" s="2133"/>
      <c r="V1" s="2133"/>
      <c r="W1" s="2133"/>
      <c r="X1" s="2133"/>
      <c r="Y1" s="2133"/>
      <c r="Z1" s="2133"/>
      <c r="AA1" s="2133"/>
      <c r="AB1" s="2133"/>
      <c r="AC1" s="2134"/>
    </row>
    <row r="2" spans="1:29" s="358" customFormat="1" ht="28.5" customHeight="1" thickTop="1">
      <c r="A2" s="1387" t="s">
        <v>2142</v>
      </c>
      <c r="B2" s="1324" t="e">
        <f ca="1">IF(C2="——",ROUND(C49*D3/10000,0),ROUND(C49*D3/10000,0)-D2)</f>
        <v>#DIV/0!</v>
      </c>
      <c r="C2" s="2064"/>
      <c r="D2" s="1273" t="e">
        <f ca="1">SUMIF(INDIRECT("'"&amp;F2&amp;"'"&amp;"!A:A"),"承租人权益价值",INDIRECT("'"&amp;F2&amp;"'"&amp;"!c:c"))</f>
        <v>#REF!</v>
      </c>
      <c r="E2" s="2065" t="s">
        <v>2143</v>
      </c>
      <c r="F2" s="2066"/>
      <c r="G2" s="1038"/>
      <c r="H2" s="1038"/>
      <c r="I2" s="1038"/>
      <c r="J2" s="1038"/>
      <c r="K2" s="1038"/>
      <c r="L2" s="2957"/>
      <c r="M2" s="2958"/>
      <c r="N2" s="2958"/>
      <c r="O2" s="2958"/>
      <c r="P2" s="2135"/>
      <c r="Q2" s="1042"/>
      <c r="R2" s="1042"/>
      <c r="S2" s="1042"/>
      <c r="T2" s="1042"/>
      <c r="U2" s="1042"/>
      <c r="V2" s="1042"/>
      <c r="W2" s="1042"/>
      <c r="X2" s="1042"/>
      <c r="Y2" s="1042"/>
      <c r="Z2" s="1042"/>
      <c r="AA2" s="1042"/>
      <c r="AB2" s="1042"/>
      <c r="AC2" s="2136"/>
    </row>
    <row r="3" spans="1:29" s="358" customFormat="1" ht="28.5" customHeight="1" thickBot="1">
      <c r="A3" s="209" t="s">
        <v>2144</v>
      </c>
      <c r="B3" s="566" t="e">
        <f ca="1">IF(C2="——",C49,ROUND(B2*10000/D3,0))</f>
        <v>#DIV/0!</v>
      </c>
      <c r="C3" s="360" t="s">
        <v>2459</v>
      </c>
      <c r="D3" s="359">
        <f>IF(D1="",'数据-汇总表'!E3,SUMIF('数据-汇总表'!$C19:$C33,D1,'数据-汇总表'!$E19:$E33))</f>
        <v>66539.560000000012</v>
      </c>
      <c r="E3" s="2137"/>
      <c r="F3" s="1039"/>
      <c r="G3" s="1038"/>
      <c r="H3" s="1038"/>
      <c r="I3" s="1038"/>
      <c r="J3" s="1038"/>
      <c r="K3" s="1040"/>
      <c r="L3" s="2957"/>
      <c r="M3" s="2958"/>
      <c r="N3" s="2958"/>
      <c r="O3" s="2958"/>
      <c r="P3" s="2135"/>
      <c r="Q3" s="1042"/>
      <c r="R3" s="1042"/>
      <c r="S3" s="1042"/>
      <c r="T3" s="1042"/>
      <c r="U3" s="1042"/>
      <c r="V3" s="1042"/>
      <c r="W3" s="1042"/>
      <c r="X3" s="1042"/>
      <c r="Y3" s="1042"/>
      <c r="Z3" s="1042"/>
      <c r="AA3" s="1042"/>
      <c r="AB3" s="1042"/>
      <c r="AC3" s="2137"/>
    </row>
    <row r="4" spans="1:29" ht="15">
      <c r="A4" s="361" t="s">
        <v>2460</v>
      </c>
      <c r="B4" s="362"/>
      <c r="C4" s="3493" t="s">
        <v>2461</v>
      </c>
      <c r="D4" s="3506"/>
      <c r="E4" s="3507" t="s">
        <v>2462</v>
      </c>
      <c r="F4" s="3508"/>
      <c r="G4" s="3493" t="s">
        <v>2463</v>
      </c>
      <c r="H4" s="3506"/>
      <c r="I4" s="3493" t="s">
        <v>2464</v>
      </c>
      <c r="J4" s="3506"/>
      <c r="K4" s="567" t="s">
        <v>2465</v>
      </c>
      <c r="L4" s="2938"/>
      <c r="M4" s="2939"/>
      <c r="N4" s="2939"/>
      <c r="O4" s="2939"/>
      <c r="P4" s="3509" t="s">
        <v>2466</v>
      </c>
      <c r="Q4" s="3510"/>
      <c r="R4" s="3515" t="s">
        <v>2462</v>
      </c>
      <c r="S4" s="3516"/>
      <c r="T4" s="3515" t="s">
        <v>2463</v>
      </c>
      <c r="U4" s="3516"/>
      <c r="V4" s="3502" t="s">
        <v>2464</v>
      </c>
      <c r="W4" s="3502"/>
      <c r="X4" s="1536"/>
      <c r="Y4" s="3515" t="s">
        <v>2466</v>
      </c>
      <c r="Z4" s="3516"/>
      <c r="AA4" s="3503" t="s">
        <v>2462</v>
      </c>
      <c r="AB4" s="3502" t="s">
        <v>2463</v>
      </c>
      <c r="AC4" s="3503" t="s">
        <v>2464</v>
      </c>
    </row>
    <row r="5" spans="1:29" ht="15">
      <c r="A5" s="364"/>
      <c r="B5" s="365"/>
      <c r="C5" s="3523" t="s">
        <v>2357</v>
      </c>
      <c r="D5" s="3524"/>
      <c r="E5" s="3532" t="s">
        <v>2358</v>
      </c>
      <c r="F5" s="3533"/>
      <c r="G5" s="3523" t="s">
        <v>2359</v>
      </c>
      <c r="H5" s="3524"/>
      <c r="I5" s="3523" t="s">
        <v>2360</v>
      </c>
      <c r="J5" s="3524"/>
      <c r="K5" s="567"/>
      <c r="L5" s="2938"/>
      <c r="M5" s="2939"/>
      <c r="N5" s="2939"/>
      <c r="O5" s="2939"/>
      <c r="P5" s="3511"/>
      <c r="Q5" s="3512"/>
      <c r="R5" s="3517"/>
      <c r="S5" s="3518"/>
      <c r="T5" s="3517"/>
      <c r="U5" s="3518"/>
      <c r="V5" s="3502"/>
      <c r="W5" s="3502"/>
      <c r="X5" s="1536"/>
      <c r="Y5" s="3517"/>
      <c r="Z5" s="3518"/>
      <c r="AA5" s="3504"/>
      <c r="AB5" s="3502"/>
      <c r="AC5" s="3504"/>
    </row>
    <row r="6" spans="1:29" ht="15.75" thickBot="1">
      <c r="A6" s="366"/>
      <c r="B6" s="367"/>
      <c r="C6" s="3521" t="s">
        <v>2361</v>
      </c>
      <c r="D6" s="3522"/>
      <c r="E6" s="3582" t="s">
        <v>2361</v>
      </c>
      <c r="F6" s="3583"/>
      <c r="G6" s="3521" t="s">
        <v>2361</v>
      </c>
      <c r="H6" s="3522"/>
      <c r="I6" s="3521" t="s">
        <v>2361</v>
      </c>
      <c r="J6" s="3522"/>
      <c r="K6" s="567" t="s">
        <v>2362</v>
      </c>
      <c r="L6" s="2938"/>
      <c r="M6" s="2939"/>
      <c r="N6" s="2939"/>
      <c r="O6" s="2939"/>
      <c r="P6" s="3513"/>
      <c r="Q6" s="3514"/>
      <c r="R6" s="3517"/>
      <c r="S6" s="3518"/>
      <c r="T6" s="3519"/>
      <c r="U6" s="3520"/>
      <c r="V6" s="3502"/>
      <c r="W6" s="3502"/>
      <c r="X6" s="1536"/>
      <c r="Y6" s="3519"/>
      <c r="Z6" s="3520"/>
      <c r="AA6" s="3505"/>
      <c r="AB6" s="3502"/>
      <c r="AC6" s="3505"/>
    </row>
    <row r="7" spans="1:29" s="113" customFormat="1" ht="15.75" thickBot="1">
      <c r="A7" s="368" t="s">
        <v>2363</v>
      </c>
      <c r="B7" s="369"/>
      <c r="C7" s="370">
        <f>'数据-取费表'!B2</f>
        <v>44541</v>
      </c>
      <c r="D7" s="371">
        <v>100</v>
      </c>
      <c r="E7" s="372"/>
      <c r="F7" s="373">
        <f>SUMIF(58:58,YEAR(E7)&amp;"-"&amp;MONTH(E7),59:59)</f>
        <v>0</v>
      </c>
      <c r="G7" s="372"/>
      <c r="H7" s="371">
        <f>SUMIF(58:58,YEAR(G7)&amp;"-"&amp;MONTH(G7),59:59)</f>
        <v>0</v>
      </c>
      <c r="I7" s="372"/>
      <c r="J7" s="371">
        <f>SUMIF(58:58,YEAR(I7)&amp;"-"&amp;MONTH(I7),59:59)</f>
        <v>0</v>
      </c>
      <c r="K7" s="568"/>
      <c r="L7" s="2940"/>
      <c r="M7" s="2941"/>
      <c r="N7" s="2941"/>
      <c r="O7" s="2941"/>
      <c r="P7" s="3525" t="s">
        <v>2364</v>
      </c>
      <c r="Q7" s="3527"/>
      <c r="R7" s="709" t="s">
        <v>17</v>
      </c>
      <c r="S7" s="710">
        <f t="shared" ref="S7:S15" si="0">F7</f>
        <v>0</v>
      </c>
      <c r="T7" s="709" t="s">
        <v>17</v>
      </c>
      <c r="U7" s="710">
        <f t="shared" ref="U7:U15" si="1">H7</f>
        <v>0</v>
      </c>
      <c r="V7" s="709" t="s">
        <v>17</v>
      </c>
      <c r="W7" s="710">
        <f t="shared" ref="W7:W15" si="2">J7</f>
        <v>0</v>
      </c>
      <c r="X7" s="711"/>
      <c r="Y7" s="3525" t="s">
        <v>2364</v>
      </c>
      <c r="Z7" s="3526"/>
      <c r="AA7" s="712" t="e">
        <f>D7/F7</f>
        <v>#DIV/0!</v>
      </c>
      <c r="AB7" s="712" t="e">
        <f>D7/H7</f>
        <v>#DIV/0!</v>
      </c>
      <c r="AC7" s="712"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525" t="s">
        <v>2367</v>
      </c>
      <c r="Q8" s="3526"/>
      <c r="R8" s="709" t="s">
        <v>17</v>
      </c>
      <c r="S8" s="710">
        <f t="shared" si="0"/>
        <v>0</v>
      </c>
      <c r="T8" s="709" t="s">
        <v>17</v>
      </c>
      <c r="U8" s="710">
        <f t="shared" si="1"/>
        <v>0</v>
      </c>
      <c r="V8" s="709" t="s">
        <v>17</v>
      </c>
      <c r="W8" s="710">
        <f t="shared" si="2"/>
        <v>0</v>
      </c>
      <c r="X8" s="711"/>
      <c r="Y8" s="3525" t="s">
        <v>2367</v>
      </c>
      <c r="Z8" s="3526"/>
      <c r="AA8" s="712" t="e">
        <f t="shared" ref="AA8:AA46" si="3">D8/F8</f>
        <v>#DIV/0!</v>
      </c>
      <c r="AB8" s="712" t="e">
        <f t="shared" ref="AB8:AB46" si="4">D8/H8</f>
        <v>#DIV/0!</v>
      </c>
      <c r="AC8" s="712"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495" t="s">
        <v>2370</v>
      </c>
      <c r="Q9" s="1524" t="str">
        <f t="shared" ref="Q9:Q15" si="6">B9</f>
        <v>用途</v>
      </c>
      <c r="R9" s="709" t="s">
        <v>17</v>
      </c>
      <c r="S9" s="710">
        <f t="shared" si="0"/>
        <v>100</v>
      </c>
      <c r="T9" s="709" t="s">
        <v>17</v>
      </c>
      <c r="U9" s="710">
        <f t="shared" si="1"/>
        <v>100</v>
      </c>
      <c r="V9" s="709" t="s">
        <v>17</v>
      </c>
      <c r="W9" s="710">
        <f t="shared" si="2"/>
        <v>100</v>
      </c>
      <c r="X9" s="711"/>
      <c r="Y9" s="3386" t="s">
        <v>2371</v>
      </c>
      <c r="Z9" s="55" t="str">
        <f t="shared" ref="Z9:Z15" si="7">Q9</f>
        <v>用途</v>
      </c>
      <c r="AA9" s="712">
        <f t="shared" si="3"/>
        <v>1</v>
      </c>
      <c r="AB9" s="712">
        <f t="shared" si="4"/>
        <v>1</v>
      </c>
      <c r="AC9" s="712">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495"/>
      <c r="Q10" s="1524"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495"/>
      <c r="Q11" s="1524"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712"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495"/>
      <c r="Q12" s="1524">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495"/>
      <c r="Q13" s="1524">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495"/>
      <c r="Q14" s="1524">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712">
        <f t="shared" si="5"/>
        <v>1</v>
      </c>
    </row>
    <row r="15" spans="1:29" ht="71.25">
      <c r="A15" s="399" t="s">
        <v>2374</v>
      </c>
      <c r="B15" s="65" t="s">
        <v>2468</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580" t="s">
        <v>2375</v>
      </c>
      <c r="Q15" s="1533" t="str">
        <f t="shared" si="6"/>
        <v>商业繁华度</v>
      </c>
      <c r="R15" s="713" t="s">
        <v>17</v>
      </c>
      <c r="S15" s="714">
        <f t="shared" si="0"/>
        <v>100</v>
      </c>
      <c r="T15" s="713" t="s">
        <v>17</v>
      </c>
      <c r="U15" s="714">
        <f t="shared" si="1"/>
        <v>100</v>
      </c>
      <c r="V15" s="713" t="s">
        <v>17</v>
      </c>
      <c r="W15" s="714">
        <f t="shared" si="2"/>
        <v>100</v>
      </c>
      <c r="X15" s="1536"/>
      <c r="Y15" s="3498" t="s">
        <v>2375</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5"/>
      <c r="M16" s="2939"/>
      <c r="N16" s="2939"/>
      <c r="O16" s="2939"/>
      <c r="P16" s="3581"/>
      <c r="Q16" s="1533"/>
      <c r="R16" s="713"/>
      <c r="S16" s="714"/>
      <c r="T16" s="713"/>
      <c r="U16" s="714"/>
      <c r="V16" s="713"/>
      <c r="W16" s="714"/>
      <c r="X16" s="1536"/>
      <c r="Y16" s="3499"/>
      <c r="Z16" s="1537"/>
      <c r="AA16" s="1534">
        <v>1</v>
      </c>
      <c r="AB16" s="1534">
        <v>1</v>
      </c>
      <c r="AC16" s="1534">
        <v>1</v>
      </c>
    </row>
    <row r="17" spans="1:29" ht="85.5">
      <c r="A17" s="387"/>
      <c r="B17" s="410" t="s">
        <v>1939</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581"/>
      <c r="Q17" s="1533" t="str">
        <f>B17</f>
        <v>交通便捷度</v>
      </c>
      <c r="R17" s="713" t="s">
        <v>17</v>
      </c>
      <c r="S17" s="714">
        <f>F17</f>
        <v>100</v>
      </c>
      <c r="T17" s="713" t="s">
        <v>17</v>
      </c>
      <c r="U17" s="714">
        <f>H17</f>
        <v>100</v>
      </c>
      <c r="V17" s="713" t="s">
        <v>17</v>
      </c>
      <c r="W17" s="714">
        <f>J17</f>
        <v>100</v>
      </c>
      <c r="X17" s="1536"/>
      <c r="Y17" s="349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5"/>
      <c r="M18" s="2939"/>
      <c r="N18" s="2939"/>
      <c r="O18" s="2939"/>
      <c r="P18" s="3581"/>
      <c r="Q18" s="1533"/>
      <c r="R18" s="713"/>
      <c r="S18" s="714"/>
      <c r="T18" s="713"/>
      <c r="U18" s="714"/>
      <c r="V18" s="713"/>
      <c r="W18" s="714"/>
      <c r="X18" s="1536"/>
      <c r="Y18" s="3499"/>
      <c r="Z18" s="1537"/>
      <c r="AA18" s="1534">
        <v>1</v>
      </c>
      <c r="AB18" s="1534">
        <v>1</v>
      </c>
      <c r="AC18" s="1534">
        <v>1</v>
      </c>
    </row>
    <row r="19" spans="1:29" ht="42.75">
      <c r="A19" s="387"/>
      <c r="B19" s="410" t="s">
        <v>2469</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581"/>
      <c r="Q19" s="1533" t="str">
        <f>B19</f>
        <v>公共配套设施</v>
      </c>
      <c r="R19" s="713" t="s">
        <v>17</v>
      </c>
      <c r="S19" s="714">
        <f>F19</f>
        <v>100</v>
      </c>
      <c r="T19" s="713" t="s">
        <v>17</v>
      </c>
      <c r="U19" s="714">
        <f>H19</f>
        <v>100</v>
      </c>
      <c r="V19" s="713" t="s">
        <v>17</v>
      </c>
      <c r="W19" s="714">
        <f>J19</f>
        <v>100</v>
      </c>
      <c r="X19" s="1536"/>
      <c r="Y19" s="349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5"/>
      <c r="M20" s="2939"/>
      <c r="N20" s="2939"/>
      <c r="O20" s="2939"/>
      <c r="P20" s="3581"/>
      <c r="Q20" s="1533"/>
      <c r="R20" s="713"/>
      <c r="S20" s="714"/>
      <c r="T20" s="713"/>
      <c r="U20" s="714"/>
      <c r="V20" s="713"/>
      <c r="W20" s="714"/>
      <c r="X20" s="1536"/>
      <c r="Y20" s="3499"/>
      <c r="Z20" s="1537"/>
      <c r="AA20" s="1534">
        <v>1</v>
      </c>
      <c r="AB20" s="1534">
        <v>1</v>
      </c>
      <c r="AC20" s="1534">
        <v>1</v>
      </c>
    </row>
    <row r="21" spans="1:29" ht="28.5">
      <c r="A21" s="387"/>
      <c r="B21" s="1291" t="s">
        <v>2470</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581"/>
      <c r="Q21" s="1533" t="str">
        <f>B21</f>
        <v>基础设施水平</v>
      </c>
      <c r="R21" s="713" t="s">
        <v>17</v>
      </c>
      <c r="S21" s="714">
        <f>F21</f>
        <v>100</v>
      </c>
      <c r="T21" s="713" t="s">
        <v>17</v>
      </c>
      <c r="U21" s="714">
        <f>H21</f>
        <v>100</v>
      </c>
      <c r="V21" s="713" t="s">
        <v>17</v>
      </c>
      <c r="W21" s="714">
        <f>J21</f>
        <v>100</v>
      </c>
      <c r="X21" s="1536"/>
      <c r="Y21" s="3499"/>
      <c r="Z21" s="1537" t="str">
        <f>Q21</f>
        <v>基础设施水平</v>
      </c>
      <c r="AA21" s="1534">
        <f>D21/F21</f>
        <v>1</v>
      </c>
      <c r="AB21" s="1534">
        <f>D21/H21</f>
        <v>1</v>
      </c>
      <c r="AC21" s="1534">
        <f>D21/J21</f>
        <v>1</v>
      </c>
    </row>
    <row r="22" spans="1:29" ht="15">
      <c r="A22" s="387"/>
      <c r="B22" s="1291"/>
      <c r="C22" s="2084"/>
      <c r="D22" s="407"/>
      <c r="E22" s="406"/>
      <c r="F22" s="408"/>
      <c r="G22" s="406"/>
      <c r="H22" s="407"/>
      <c r="I22" s="406"/>
      <c r="J22" s="407"/>
      <c r="K22" s="1290"/>
      <c r="L22" s="2945"/>
      <c r="M22" s="2939"/>
      <c r="N22" s="2939"/>
      <c r="O22" s="2939"/>
      <c r="P22" s="3581"/>
      <c r="Q22" s="1533"/>
      <c r="R22" s="713"/>
      <c r="S22" s="714"/>
      <c r="T22" s="713"/>
      <c r="U22" s="714"/>
      <c r="V22" s="713"/>
      <c r="W22" s="714"/>
      <c r="X22" s="1536"/>
      <c r="Y22" s="3499"/>
      <c r="Z22" s="1537"/>
      <c r="AA22" s="1534">
        <v>1</v>
      </c>
      <c r="AB22" s="1534">
        <v>1</v>
      </c>
      <c r="AC22" s="1534">
        <v>1</v>
      </c>
    </row>
    <row r="23" spans="1:29" ht="57">
      <c r="A23" s="387"/>
      <c r="B23" s="410" t="s">
        <v>1941</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581"/>
      <c r="Q23" s="1533" t="str">
        <f>B23</f>
        <v>自然及人文环境</v>
      </c>
      <c r="R23" s="713" t="s">
        <v>17</v>
      </c>
      <c r="S23" s="714">
        <f>F23</f>
        <v>100</v>
      </c>
      <c r="T23" s="713" t="s">
        <v>17</v>
      </c>
      <c r="U23" s="714">
        <f>H23</f>
        <v>100</v>
      </c>
      <c r="V23" s="713" t="s">
        <v>17</v>
      </c>
      <c r="W23" s="714">
        <f>J23</f>
        <v>100</v>
      </c>
      <c r="X23" s="1536"/>
      <c r="Y23" s="3499"/>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5"/>
      <c r="M24" s="2939"/>
      <c r="N24" s="2939"/>
      <c r="O24" s="2939"/>
      <c r="P24" s="3581"/>
      <c r="Q24" s="1533"/>
      <c r="R24" s="713"/>
      <c r="S24" s="714"/>
      <c r="T24" s="713"/>
      <c r="U24" s="714"/>
      <c r="V24" s="713"/>
      <c r="W24" s="714"/>
      <c r="X24" s="1536"/>
      <c r="Y24" s="3499"/>
      <c r="Z24" s="1537"/>
      <c r="AA24" s="1534">
        <v>1</v>
      </c>
      <c r="AB24" s="1534">
        <v>1</v>
      </c>
      <c r="AC24" s="1534">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581"/>
      <c r="Q25" s="1533" t="str">
        <f t="shared" ref="Q25:Q46" si="8">B25</f>
        <v>临街状况</v>
      </c>
      <c r="R25" s="713" t="s">
        <v>17</v>
      </c>
      <c r="S25" s="714">
        <f>F25</f>
        <v>100</v>
      </c>
      <c r="T25" s="713" t="s">
        <v>17</v>
      </c>
      <c r="U25" s="714">
        <f>H25</f>
        <v>100</v>
      </c>
      <c r="V25" s="713" t="s">
        <v>17</v>
      </c>
      <c r="W25" s="714">
        <f>J25</f>
        <v>100</v>
      </c>
      <c r="X25" s="1536"/>
      <c r="Y25" s="3499"/>
      <c r="Z25" s="1537" t="str">
        <f>Q25</f>
        <v>临街状况</v>
      </c>
      <c r="AA25" s="1534">
        <f t="shared" si="3"/>
        <v>1</v>
      </c>
      <c r="AB25" s="1534">
        <f t="shared" si="4"/>
        <v>1</v>
      </c>
      <c r="AC25" s="1534">
        <f t="shared" si="5"/>
        <v>1</v>
      </c>
    </row>
    <row r="26" spans="1:29" ht="15">
      <c r="A26" s="387"/>
      <c r="B26" s="1293" t="s">
        <v>2472</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581"/>
      <c r="Q26" s="1533" t="str">
        <f t="shared" si="8"/>
        <v>平面位置/可视性</v>
      </c>
      <c r="R26" s="713" t="s">
        <v>17</v>
      </c>
      <c r="S26" s="714">
        <f>F26</f>
        <v>100</v>
      </c>
      <c r="T26" s="713" t="s">
        <v>17</v>
      </c>
      <c r="U26" s="714">
        <f>H26</f>
        <v>100</v>
      </c>
      <c r="V26" s="713" t="s">
        <v>17</v>
      </c>
      <c r="W26" s="714">
        <f>J26</f>
        <v>100</v>
      </c>
      <c r="X26" s="1536"/>
      <c r="Y26" s="3499"/>
      <c r="Z26" s="1537" t="str">
        <f>Q26</f>
        <v>平面位置/可视性</v>
      </c>
      <c r="AA26" s="1534">
        <f t="shared" si="3"/>
        <v>1</v>
      </c>
      <c r="AB26" s="1534">
        <f t="shared" si="4"/>
        <v>1</v>
      </c>
      <c r="AC26" s="1534">
        <f t="shared" si="5"/>
        <v>1</v>
      </c>
    </row>
    <row r="27" spans="1:29" s="113" customFormat="1" ht="15">
      <c r="A27" s="390"/>
      <c r="B27" s="410" t="s">
        <v>2473</v>
      </c>
      <c r="C27" s="2139"/>
      <c r="D27" s="421">
        <v>100</v>
      </c>
      <c r="E27" s="2139"/>
      <c r="F27" s="423">
        <f>SUMIF(90:90,E27,91:91)-SUMIF(90:90,C27,91:91)+100</f>
        <v>100</v>
      </c>
      <c r="G27" s="2139"/>
      <c r="H27" s="421">
        <f>SUMIF(90:90,G27,91:91)-SUMIF(90:90,C27,91:91)+100</f>
        <v>100</v>
      </c>
      <c r="I27" s="2139"/>
      <c r="J27" s="421">
        <f>SUMIF(90:90,I27,91:91)-SUMIF(90:90,C27,91:91)+100</f>
        <v>100</v>
      </c>
      <c r="K27" s="569"/>
      <c r="L27" s="2940"/>
      <c r="M27" s="2941"/>
      <c r="N27" s="2941"/>
      <c r="O27" s="2941"/>
      <c r="P27" s="3581"/>
      <c r="Q27" s="1524" t="str">
        <f t="shared" si="8"/>
        <v>人流量</v>
      </c>
      <c r="R27" s="709" t="s">
        <v>17</v>
      </c>
      <c r="S27" s="710">
        <f>F27</f>
        <v>100</v>
      </c>
      <c r="T27" s="709" t="s">
        <v>17</v>
      </c>
      <c r="U27" s="710">
        <f>H27</f>
        <v>100</v>
      </c>
      <c r="V27" s="709" t="s">
        <v>17</v>
      </c>
      <c r="W27" s="710">
        <f>J27</f>
        <v>100</v>
      </c>
      <c r="X27" s="711"/>
      <c r="Y27" s="3499"/>
      <c r="Z27" s="55" t="str">
        <f>Q27</f>
        <v>人流量</v>
      </c>
      <c r="AA27" s="1534">
        <f>D27/F27</f>
        <v>1</v>
      </c>
      <c r="AB27" s="1534">
        <f>D27/H27</f>
        <v>1</v>
      </c>
      <c r="AC27" s="1534">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581"/>
      <c r="Q28" s="1533" t="str">
        <f t="shared" si="8"/>
        <v>楼层</v>
      </c>
      <c r="R28" s="713" t="s">
        <v>17</v>
      </c>
      <c r="S28" s="714">
        <f t="shared" ref="S28:S46" si="9">F28</f>
        <v>100</v>
      </c>
      <c r="T28" s="713" t="s">
        <v>17</v>
      </c>
      <c r="U28" s="714">
        <f t="shared" ref="U28:U46" si="10">H28</f>
        <v>100</v>
      </c>
      <c r="V28" s="713" t="s">
        <v>17</v>
      </c>
      <c r="W28" s="714">
        <f t="shared" ref="W28:W46" si="11">J28</f>
        <v>100</v>
      </c>
      <c r="X28" s="1536"/>
      <c r="Y28" s="3499"/>
      <c r="Z28" s="1537" t="str">
        <f t="shared" ref="Z28:Z46" si="12">Q28</f>
        <v>楼层</v>
      </c>
      <c r="AA28" s="1534">
        <f t="shared" si="3"/>
        <v>1</v>
      </c>
      <c r="AB28" s="1534">
        <f t="shared" si="4"/>
        <v>1</v>
      </c>
      <c r="AC28" s="1534">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581"/>
      <c r="Q29" s="1533">
        <f t="shared" si="8"/>
        <v>111</v>
      </c>
      <c r="R29" s="713" t="s">
        <v>17</v>
      </c>
      <c r="S29" s="714">
        <f t="shared" si="9"/>
        <v>100</v>
      </c>
      <c r="T29" s="713" t="s">
        <v>17</v>
      </c>
      <c r="U29" s="714">
        <f t="shared" si="10"/>
        <v>100</v>
      </c>
      <c r="V29" s="713" t="s">
        <v>17</v>
      </c>
      <c r="W29" s="714">
        <f t="shared" si="11"/>
        <v>100</v>
      </c>
      <c r="X29" s="1536"/>
      <c r="Y29" s="3499"/>
      <c r="Z29" s="1537">
        <f t="shared" si="12"/>
        <v>111</v>
      </c>
      <c r="AA29" s="1534">
        <f t="shared" si="3"/>
        <v>1</v>
      </c>
      <c r="AB29" s="1534">
        <f t="shared" si="4"/>
        <v>1</v>
      </c>
      <c r="AC29" s="1534">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581"/>
      <c r="Q30" s="1533">
        <f t="shared" si="8"/>
        <v>111</v>
      </c>
      <c r="R30" s="713" t="s">
        <v>17</v>
      </c>
      <c r="S30" s="714">
        <f t="shared" si="9"/>
        <v>100</v>
      </c>
      <c r="T30" s="713" t="s">
        <v>17</v>
      </c>
      <c r="U30" s="714">
        <f t="shared" si="10"/>
        <v>100</v>
      </c>
      <c r="V30" s="713" t="s">
        <v>17</v>
      </c>
      <c r="W30" s="714">
        <f t="shared" si="11"/>
        <v>100</v>
      </c>
      <c r="X30" s="1536"/>
      <c r="Y30" s="3499"/>
      <c r="Z30" s="1537">
        <f t="shared" si="12"/>
        <v>111</v>
      </c>
      <c r="AA30" s="1534">
        <f t="shared" si="3"/>
        <v>1</v>
      </c>
      <c r="AB30" s="1534">
        <f t="shared" si="4"/>
        <v>1</v>
      </c>
      <c r="AC30" s="1534">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581"/>
      <c r="Q31" s="1533">
        <f t="shared" si="8"/>
        <v>111</v>
      </c>
      <c r="R31" s="713" t="s">
        <v>17</v>
      </c>
      <c r="S31" s="714">
        <f t="shared" si="9"/>
        <v>100</v>
      </c>
      <c r="T31" s="713" t="s">
        <v>17</v>
      </c>
      <c r="U31" s="714">
        <f t="shared" si="10"/>
        <v>100</v>
      </c>
      <c r="V31" s="713" t="s">
        <v>17</v>
      </c>
      <c r="W31" s="714">
        <f t="shared" si="11"/>
        <v>100</v>
      </c>
      <c r="X31" s="1536"/>
      <c r="Y31" s="3499"/>
      <c r="Z31" s="1537">
        <f t="shared" si="12"/>
        <v>111</v>
      </c>
      <c r="AA31" s="1534">
        <f t="shared" si="3"/>
        <v>1</v>
      </c>
      <c r="AB31" s="1534">
        <f t="shared" si="4"/>
        <v>1</v>
      </c>
      <c r="AC31" s="1534">
        <f t="shared" si="5"/>
        <v>1</v>
      </c>
    </row>
    <row r="32" spans="1:29" ht="15">
      <c r="A32" s="399" t="s">
        <v>2378</v>
      </c>
      <c r="B32" s="67" t="s">
        <v>2475</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5"/>
      <c r="M32" s="2939"/>
      <c r="N32" s="2939"/>
      <c r="O32" s="2939"/>
      <c r="P32" s="3576" t="s">
        <v>2380</v>
      </c>
      <c r="Q32" s="1533" t="str">
        <f t="shared" si="8"/>
        <v>商业类型</v>
      </c>
      <c r="R32" s="713" t="s">
        <v>17</v>
      </c>
      <c r="S32" s="714">
        <f t="shared" si="9"/>
        <v>100</v>
      </c>
      <c r="T32" s="713" t="s">
        <v>17</v>
      </c>
      <c r="U32" s="714">
        <f t="shared" si="10"/>
        <v>100</v>
      </c>
      <c r="V32" s="713" t="s">
        <v>17</v>
      </c>
      <c r="W32" s="714">
        <f t="shared" si="11"/>
        <v>100</v>
      </c>
      <c r="X32" s="1536"/>
      <c r="Y32" s="3501" t="s">
        <v>2380</v>
      </c>
      <c r="Z32" s="1537" t="str">
        <f t="shared" si="12"/>
        <v>商业类型</v>
      </c>
      <c r="AA32" s="1534">
        <f t="shared" si="3"/>
        <v>1</v>
      </c>
      <c r="AB32" s="1534">
        <f t="shared" si="4"/>
        <v>1</v>
      </c>
      <c r="AC32" s="1534">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577"/>
      <c r="Q33" s="715" t="str">
        <f t="shared" si="8"/>
        <v>项目建筑规模</v>
      </c>
      <c r="R33" s="716" t="s">
        <v>17</v>
      </c>
      <c r="S33" s="717" t="e">
        <f t="shared" si="9"/>
        <v>#N/A</v>
      </c>
      <c r="T33" s="716" t="s">
        <v>17</v>
      </c>
      <c r="U33" s="717" t="e">
        <f t="shared" si="10"/>
        <v>#N/A</v>
      </c>
      <c r="V33" s="716" t="s">
        <v>17</v>
      </c>
      <c r="W33" s="717" t="e">
        <f t="shared" si="11"/>
        <v>#N/A</v>
      </c>
      <c r="X33" s="718"/>
      <c r="Y33" s="3501"/>
      <c r="Z33" s="719" t="str">
        <f t="shared" si="12"/>
        <v>项目建筑规模</v>
      </c>
      <c r="AA33" s="1534" t="e">
        <f t="shared" si="3"/>
        <v>#N/A</v>
      </c>
      <c r="AB33" s="1534" t="e">
        <f t="shared" si="4"/>
        <v>#N/A</v>
      </c>
      <c r="AC33" s="1534" t="e">
        <f t="shared" si="5"/>
        <v>#N/A</v>
      </c>
    </row>
    <row r="34" spans="1:29" ht="15">
      <c r="A34" s="431"/>
      <c r="B34" s="381" t="s">
        <v>2382</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5"/>
      <c r="M34" s="2939"/>
      <c r="N34" s="2939"/>
      <c r="O34" s="2939"/>
      <c r="P34" s="3577"/>
      <c r="Q34" s="1533" t="str">
        <f t="shared" si="8"/>
        <v>建筑结构</v>
      </c>
      <c r="R34" s="713" t="s">
        <v>17</v>
      </c>
      <c r="S34" s="714">
        <f t="shared" si="9"/>
        <v>100</v>
      </c>
      <c r="T34" s="713" t="s">
        <v>17</v>
      </c>
      <c r="U34" s="714">
        <f t="shared" si="10"/>
        <v>100</v>
      </c>
      <c r="V34" s="713" t="s">
        <v>17</v>
      </c>
      <c r="W34" s="714">
        <f t="shared" si="11"/>
        <v>100</v>
      </c>
      <c r="X34" s="1536"/>
      <c r="Y34" s="3501"/>
      <c r="Z34" s="1537" t="str">
        <f t="shared" si="12"/>
        <v>建筑结构</v>
      </c>
      <c r="AA34" s="1534">
        <f t="shared" si="3"/>
        <v>1</v>
      </c>
      <c r="AB34" s="1534">
        <f t="shared" si="4"/>
        <v>1</v>
      </c>
      <c r="AC34" s="1534">
        <f t="shared" si="5"/>
        <v>1</v>
      </c>
    </row>
    <row r="35" spans="1:29" ht="15">
      <c r="A35" s="431"/>
      <c r="B35" s="381" t="s">
        <v>2476</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5"/>
      <c r="M35" s="2939"/>
      <c r="N35" s="2939"/>
      <c r="O35" s="2939"/>
      <c r="P35" s="3577"/>
      <c r="Q35" s="1533" t="str">
        <f t="shared" si="8"/>
        <v>公共部分装修</v>
      </c>
      <c r="R35" s="713" t="s">
        <v>17</v>
      </c>
      <c r="S35" s="714">
        <f t="shared" si="9"/>
        <v>100</v>
      </c>
      <c r="T35" s="713" t="s">
        <v>17</v>
      </c>
      <c r="U35" s="714">
        <f t="shared" si="10"/>
        <v>100</v>
      </c>
      <c r="V35" s="713" t="s">
        <v>17</v>
      </c>
      <c r="W35" s="714">
        <f t="shared" si="11"/>
        <v>100</v>
      </c>
      <c r="X35" s="1536"/>
      <c r="Y35" s="3501"/>
      <c r="Z35" s="1537" t="str">
        <f t="shared" si="12"/>
        <v>公共部分装修</v>
      </c>
      <c r="AA35" s="1534">
        <f t="shared" si="3"/>
        <v>1</v>
      </c>
      <c r="AB35" s="1534">
        <f t="shared" si="4"/>
        <v>1</v>
      </c>
      <c r="AC35" s="1534">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577"/>
      <c r="Q36" s="1533" t="str">
        <f t="shared" si="8"/>
        <v>成新度</v>
      </c>
      <c r="R36" s="713" t="s">
        <v>17</v>
      </c>
      <c r="S36" s="714" t="e">
        <f t="shared" si="9"/>
        <v>#N/A</v>
      </c>
      <c r="T36" s="713" t="s">
        <v>17</v>
      </c>
      <c r="U36" s="714" t="e">
        <f t="shared" si="10"/>
        <v>#N/A</v>
      </c>
      <c r="V36" s="713" t="s">
        <v>17</v>
      </c>
      <c r="W36" s="714" t="e">
        <f t="shared" si="11"/>
        <v>#N/A</v>
      </c>
      <c r="X36" s="1536"/>
      <c r="Y36" s="3501"/>
      <c r="Z36" s="1537" t="str">
        <f t="shared" si="12"/>
        <v>成新度</v>
      </c>
      <c r="AA36" s="1534" t="e">
        <f t="shared" si="3"/>
        <v>#N/A</v>
      </c>
      <c r="AB36" s="1534" t="e">
        <f t="shared" si="4"/>
        <v>#N/A</v>
      </c>
      <c r="AC36" s="1534" t="e">
        <f t="shared" si="5"/>
        <v>#N/A</v>
      </c>
    </row>
    <row r="37" spans="1:29" s="113" customFormat="1" ht="15">
      <c r="A37" s="432"/>
      <c r="B37" s="381" t="s">
        <v>2478</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0"/>
      <c r="M37" s="2941"/>
      <c r="N37" s="2941"/>
      <c r="O37" s="2941"/>
      <c r="P37" s="3577"/>
      <c r="Q37" s="1524" t="str">
        <f t="shared" si="8"/>
        <v>市政基础设施</v>
      </c>
      <c r="R37" s="709" t="s">
        <v>17</v>
      </c>
      <c r="S37" s="710">
        <f t="shared" si="9"/>
        <v>100</v>
      </c>
      <c r="T37" s="709" t="s">
        <v>17</v>
      </c>
      <c r="U37" s="710">
        <f t="shared" si="10"/>
        <v>100</v>
      </c>
      <c r="V37" s="709" t="s">
        <v>17</v>
      </c>
      <c r="W37" s="710">
        <f t="shared" si="11"/>
        <v>100</v>
      </c>
      <c r="X37" s="711"/>
      <c r="Y37" s="3501"/>
      <c r="Z37" s="55" t="str">
        <f t="shared" si="12"/>
        <v>市政基础设施</v>
      </c>
      <c r="AA37" s="712">
        <f t="shared" si="3"/>
        <v>1</v>
      </c>
      <c r="AB37" s="712">
        <f t="shared" si="4"/>
        <v>1</v>
      </c>
      <c r="AC37" s="712">
        <f t="shared" si="5"/>
        <v>1</v>
      </c>
    </row>
    <row r="38" spans="1:29" ht="15">
      <c r="A38" s="431"/>
      <c r="B38" s="381" t="s">
        <v>2479</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5"/>
      <c r="M38" s="2939"/>
      <c r="N38" s="2939"/>
      <c r="O38" s="2939"/>
      <c r="P38" s="3577" t="s">
        <v>2380</v>
      </c>
      <c r="Q38" s="1533" t="str">
        <f t="shared" si="8"/>
        <v>业态</v>
      </c>
      <c r="R38" s="713" t="s">
        <v>17</v>
      </c>
      <c r="S38" s="714">
        <f t="shared" si="9"/>
        <v>100</v>
      </c>
      <c r="T38" s="713" t="s">
        <v>17</v>
      </c>
      <c r="U38" s="714">
        <f t="shared" si="10"/>
        <v>100</v>
      </c>
      <c r="V38" s="713" t="s">
        <v>17</v>
      </c>
      <c r="W38" s="714">
        <f t="shared" si="11"/>
        <v>100</v>
      </c>
      <c r="X38" s="1536"/>
      <c r="Y38" s="3501" t="s">
        <v>2380</v>
      </c>
      <c r="Z38" s="1537" t="str">
        <f t="shared" si="12"/>
        <v>业态</v>
      </c>
      <c r="AA38" s="1534">
        <f t="shared" si="3"/>
        <v>1</v>
      </c>
      <c r="AB38" s="1534">
        <f t="shared" si="4"/>
        <v>1</v>
      </c>
      <c r="AC38" s="1534">
        <f t="shared" si="5"/>
        <v>1</v>
      </c>
    </row>
    <row r="39" spans="1:29" ht="15">
      <c r="A39" s="431"/>
      <c r="B39" s="381" t="s">
        <v>2480</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5"/>
      <c r="M39" s="2939"/>
      <c r="N39" s="2939"/>
      <c r="O39" s="2939"/>
      <c r="P39" s="3577"/>
      <c r="Q39" s="1533" t="str">
        <f t="shared" si="8"/>
        <v>层高</v>
      </c>
      <c r="R39" s="713" t="s">
        <v>17</v>
      </c>
      <c r="S39" s="714">
        <f t="shared" si="9"/>
        <v>100</v>
      </c>
      <c r="T39" s="713" t="s">
        <v>17</v>
      </c>
      <c r="U39" s="714">
        <f t="shared" si="10"/>
        <v>100</v>
      </c>
      <c r="V39" s="713" t="s">
        <v>17</v>
      </c>
      <c r="W39" s="714">
        <f t="shared" si="11"/>
        <v>100</v>
      </c>
      <c r="X39" s="1536"/>
      <c r="Y39" s="3501"/>
      <c r="Z39" s="1537" t="str">
        <f t="shared" si="12"/>
        <v>层高</v>
      </c>
      <c r="AA39" s="1534">
        <f t="shared" si="3"/>
        <v>1</v>
      </c>
      <c r="AB39" s="1534">
        <f t="shared" si="4"/>
        <v>1</v>
      </c>
      <c r="AC39" s="1534">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577"/>
      <c r="Q40" s="1533" t="str">
        <f t="shared" si="8"/>
        <v>单套建筑面积</v>
      </c>
      <c r="R40" s="713" t="s">
        <v>17</v>
      </c>
      <c r="S40" s="714">
        <f t="shared" si="9"/>
        <v>100</v>
      </c>
      <c r="T40" s="713" t="s">
        <v>17</v>
      </c>
      <c r="U40" s="714">
        <f t="shared" si="10"/>
        <v>100</v>
      </c>
      <c r="V40" s="713" t="s">
        <v>17</v>
      </c>
      <c r="W40" s="714">
        <f t="shared" si="11"/>
        <v>100</v>
      </c>
      <c r="X40" s="1536"/>
      <c r="Y40" s="3501"/>
      <c r="Z40" s="1537" t="str">
        <f t="shared" si="12"/>
        <v>单套建筑面积</v>
      </c>
      <c r="AA40" s="1534">
        <f t="shared" si="3"/>
        <v>1</v>
      </c>
      <c r="AB40" s="1534">
        <f t="shared" si="4"/>
        <v>1</v>
      </c>
      <c r="AC40" s="1534">
        <f t="shared" si="5"/>
        <v>1</v>
      </c>
    </row>
    <row r="41" spans="1:29" s="430" customFormat="1" ht="15">
      <c r="A41" s="427"/>
      <c r="B41" s="1535"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577"/>
      <c r="Q41" s="715" t="str">
        <f t="shared" si="8"/>
        <v>进深比</v>
      </c>
      <c r="R41" s="716" t="s">
        <v>17</v>
      </c>
      <c r="S41" s="717">
        <f t="shared" si="9"/>
        <v>100</v>
      </c>
      <c r="T41" s="716" t="s">
        <v>17</v>
      </c>
      <c r="U41" s="717">
        <f t="shared" si="10"/>
        <v>100</v>
      </c>
      <c r="V41" s="716" t="s">
        <v>17</v>
      </c>
      <c r="W41" s="717">
        <f t="shared" si="11"/>
        <v>100</v>
      </c>
      <c r="X41" s="718"/>
      <c r="Y41" s="3501"/>
      <c r="Z41" s="719" t="str">
        <f t="shared" si="12"/>
        <v>进深比</v>
      </c>
      <c r="AA41" s="1534">
        <f t="shared" si="3"/>
        <v>1</v>
      </c>
      <c r="AB41" s="1534">
        <f t="shared" si="4"/>
        <v>1</v>
      </c>
      <c r="AC41" s="1534">
        <f t="shared" si="5"/>
        <v>1</v>
      </c>
    </row>
    <row r="42" spans="1:29" ht="15">
      <c r="A42" s="431"/>
      <c r="B42" s="381" t="s">
        <v>2483</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5"/>
      <c r="M42" s="2939"/>
      <c r="N42" s="2939"/>
      <c r="O42" s="2939"/>
      <c r="P42" s="3577"/>
      <c r="Q42" s="1533" t="str">
        <f t="shared" si="8"/>
        <v>内部装修</v>
      </c>
      <c r="R42" s="713" t="s">
        <v>17</v>
      </c>
      <c r="S42" s="714">
        <f t="shared" si="9"/>
        <v>100</v>
      </c>
      <c r="T42" s="713" t="s">
        <v>17</v>
      </c>
      <c r="U42" s="714">
        <f t="shared" si="10"/>
        <v>100</v>
      </c>
      <c r="V42" s="713" t="s">
        <v>17</v>
      </c>
      <c r="W42" s="714">
        <f t="shared" si="11"/>
        <v>100</v>
      </c>
      <c r="X42" s="1536"/>
      <c r="Y42" s="3501"/>
      <c r="Z42" s="1537" t="str">
        <f t="shared" si="12"/>
        <v>内部装修</v>
      </c>
      <c r="AA42" s="1534">
        <f t="shared" si="3"/>
        <v>1</v>
      </c>
      <c r="AB42" s="1534">
        <f t="shared" si="4"/>
        <v>1</v>
      </c>
      <c r="AC42" s="1534">
        <f t="shared" si="5"/>
        <v>1</v>
      </c>
    </row>
    <row r="43" spans="1:29" ht="15">
      <c r="A43" s="431"/>
      <c r="B43" s="381" t="s">
        <v>2391</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5"/>
      <c r="M43" s="2939"/>
      <c r="N43" s="2939"/>
      <c r="O43" s="2939"/>
      <c r="P43" s="3577"/>
      <c r="Q43" s="1533" t="str">
        <f t="shared" si="8"/>
        <v>内部装修维护情况</v>
      </c>
      <c r="R43" s="713" t="s">
        <v>17</v>
      </c>
      <c r="S43" s="714">
        <f t="shared" si="9"/>
        <v>100</v>
      </c>
      <c r="T43" s="713" t="s">
        <v>17</v>
      </c>
      <c r="U43" s="714">
        <f t="shared" si="10"/>
        <v>100</v>
      </c>
      <c r="V43" s="713" t="s">
        <v>17</v>
      </c>
      <c r="W43" s="714">
        <f t="shared" si="11"/>
        <v>100</v>
      </c>
      <c r="X43" s="1536"/>
      <c r="Y43" s="3501"/>
      <c r="Z43" s="1537" t="str">
        <f t="shared" si="12"/>
        <v>内部装修维护情况</v>
      </c>
      <c r="AA43" s="1534">
        <f t="shared" si="3"/>
        <v>1</v>
      </c>
      <c r="AB43" s="1534">
        <f t="shared" si="4"/>
        <v>1</v>
      </c>
      <c r="AC43" s="1534">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577"/>
      <c r="Q44" s="1524">
        <f t="shared" si="8"/>
        <v>111</v>
      </c>
      <c r="R44" s="709" t="s">
        <v>17</v>
      </c>
      <c r="S44" s="710">
        <f t="shared" si="9"/>
        <v>100</v>
      </c>
      <c r="T44" s="709" t="s">
        <v>17</v>
      </c>
      <c r="U44" s="710">
        <f t="shared" si="10"/>
        <v>100</v>
      </c>
      <c r="V44" s="709" t="s">
        <v>17</v>
      </c>
      <c r="W44" s="710">
        <f t="shared" si="11"/>
        <v>100</v>
      </c>
      <c r="X44" s="711"/>
      <c r="Y44" s="3501"/>
      <c r="Z44" s="55">
        <f t="shared" si="12"/>
        <v>111</v>
      </c>
      <c r="AA44" s="712">
        <f t="shared" si="3"/>
        <v>1</v>
      </c>
      <c r="AB44" s="712">
        <f t="shared" si="4"/>
        <v>1</v>
      </c>
      <c r="AC44" s="712">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577"/>
      <c r="Q45" s="1533">
        <f t="shared" si="8"/>
        <v>111</v>
      </c>
      <c r="R45" s="713" t="s">
        <v>17</v>
      </c>
      <c r="S45" s="714">
        <f t="shared" si="9"/>
        <v>100</v>
      </c>
      <c r="T45" s="713" t="s">
        <v>17</v>
      </c>
      <c r="U45" s="714">
        <f t="shared" si="10"/>
        <v>100</v>
      </c>
      <c r="V45" s="713" t="s">
        <v>17</v>
      </c>
      <c r="W45" s="714">
        <f t="shared" si="11"/>
        <v>100</v>
      </c>
      <c r="X45" s="1536"/>
      <c r="Y45" s="3501"/>
      <c r="Z45" s="1537">
        <f t="shared" si="12"/>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578"/>
      <c r="Q46" s="1533">
        <f t="shared" si="8"/>
        <v>111</v>
      </c>
      <c r="R46" s="713" t="s">
        <v>17</v>
      </c>
      <c r="S46" s="714">
        <f t="shared" si="9"/>
        <v>100</v>
      </c>
      <c r="T46" s="713" t="s">
        <v>17</v>
      </c>
      <c r="U46" s="714">
        <f t="shared" si="10"/>
        <v>100</v>
      </c>
      <c r="V46" s="713" t="s">
        <v>17</v>
      </c>
      <c r="W46" s="714">
        <f t="shared" si="11"/>
        <v>100</v>
      </c>
      <c r="X46" s="1536"/>
      <c r="Y46" s="3579"/>
      <c r="Z46" s="1537">
        <f t="shared" si="12"/>
        <v>111</v>
      </c>
      <c r="AA46" s="1534">
        <f t="shared" si="3"/>
        <v>1</v>
      </c>
      <c r="AB46" s="1534">
        <f t="shared" si="4"/>
        <v>1</v>
      </c>
      <c r="AC46" s="1534">
        <f t="shared" si="5"/>
        <v>1</v>
      </c>
    </row>
    <row r="47" spans="1:29" ht="15">
      <c r="A47" s="438" t="s">
        <v>2392</v>
      </c>
      <c r="B47" s="439"/>
      <c r="C47" s="1314" t="s">
        <v>1</v>
      </c>
      <c r="D47" s="1315"/>
      <c r="E47" s="1316"/>
      <c r="F47" s="1317"/>
      <c r="G47" s="1318"/>
      <c r="H47" s="1319"/>
      <c r="I47" s="1316"/>
      <c r="J47" s="1319"/>
      <c r="K47" s="722"/>
      <c r="L47" s="2947"/>
      <c r="M47" s="2948"/>
      <c r="N47" s="2939"/>
      <c r="O47" s="2948"/>
      <c r="P47" s="3496" t="str">
        <f>A47</f>
        <v>成交单价（元/平方米）</v>
      </c>
      <c r="Q47" s="3496"/>
      <c r="R47" s="3502">
        <f>E47</f>
        <v>0</v>
      </c>
      <c r="S47" s="3502"/>
      <c r="T47" s="3502">
        <f>G47</f>
        <v>0</v>
      </c>
      <c r="U47" s="3502"/>
      <c r="V47" s="3502">
        <f>I47</f>
        <v>0</v>
      </c>
      <c r="W47" s="3502"/>
      <c r="X47" s="698"/>
      <c r="Y47" s="720"/>
      <c r="Z47" s="698"/>
      <c r="AA47" s="698"/>
      <c r="AB47" s="698"/>
      <c r="AC47" s="698"/>
    </row>
    <row r="48" spans="1:29" ht="15.75" thickBot="1">
      <c r="A48" s="445" t="s">
        <v>2484</v>
      </c>
      <c r="B48" s="446"/>
      <c r="C48" s="1320" t="e">
        <f>R49</f>
        <v>#DIV/0!</v>
      </c>
      <c r="D48" s="2535" t="s">
        <v>2873</v>
      </c>
      <c r="E48" s="1321" t="e">
        <f>R48</f>
        <v>#DIV/0!</v>
      </c>
      <c r="F48" s="2536"/>
      <c r="G48" s="1320" t="e">
        <f>T48</f>
        <v>#DIV/0!</v>
      </c>
      <c r="H48" s="2536"/>
      <c r="I48" s="1321" t="e">
        <f>V48</f>
        <v>#DIV/0!</v>
      </c>
      <c r="J48" s="2536"/>
      <c r="K48" s="2538">
        <f>F48+H48+J48</f>
        <v>0</v>
      </c>
      <c r="L48" s="2947"/>
      <c r="M48" s="2948"/>
      <c r="N48" s="2939"/>
      <c r="O48" s="2948"/>
      <c r="P48" s="3496" t="str">
        <f>A48</f>
        <v>比较价值（元/平方米）</v>
      </c>
      <c r="Q48" s="3496"/>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698"/>
      <c r="Y48" s="698"/>
      <c r="Z48" s="698"/>
      <c r="AA48" s="698"/>
      <c r="AB48" s="698"/>
      <c r="AC48" s="698"/>
    </row>
    <row r="49" spans="1:29" ht="15.75" thickBot="1">
      <c r="A49" s="449" t="s">
        <v>2485</v>
      </c>
      <c r="B49" s="450"/>
      <c r="C49" s="1323" t="e">
        <f>R49</f>
        <v>#DIV/0!</v>
      </c>
      <c r="D49" s="1323"/>
      <c r="E49" s="1323"/>
      <c r="F49" s="1323"/>
      <c r="G49" s="1323"/>
      <c r="H49" s="1323"/>
      <c r="I49" s="1323"/>
      <c r="J49" s="1323"/>
      <c r="K49" s="723"/>
      <c r="L49" s="2947"/>
      <c r="M49" s="2948"/>
      <c r="N49" s="2939"/>
      <c r="O49" s="2948"/>
      <c r="P49" s="3490" t="str">
        <f>A49</f>
        <v>估价对象XX用房的比较价值（楼面单价，元/平方米）</v>
      </c>
      <c r="Q49" s="3491"/>
      <c r="R49" s="3574" t="e">
        <f>IF(F1="售价",ROUND(IF(D48="简单平均",AVERAGE(R48:V48),R48*F48+T48*H48+V48*J48),0),ROUND(IF(D48="简单平均",AVERAGE(R48:V48),R48*F48+T48*H48+V48*J48),1))</f>
        <v>#DIV/0!</v>
      </c>
      <c r="S49" s="3574"/>
      <c r="T49" s="3574"/>
      <c r="U49" s="3574"/>
      <c r="V49" s="3574"/>
      <c r="W49" s="3574"/>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2" t="s">
        <v>2489</v>
      </c>
      <c r="B57" s="698"/>
      <c r="C57" s="703"/>
      <c r="D57" s="703"/>
      <c r="E57" s="703"/>
      <c r="F57" s="704"/>
      <c r="G57" s="704"/>
      <c r="H57" s="703"/>
      <c r="I57" s="703"/>
      <c r="J57" s="703"/>
      <c r="K57" s="705"/>
      <c r="L57" s="1072"/>
      <c r="M57" s="1070"/>
      <c r="N57" s="1070"/>
      <c r="O57" s="1070"/>
      <c r="P57" s="2961"/>
      <c r="Q57" s="2962"/>
      <c r="R57" s="2948"/>
      <c r="S57" s="2948"/>
      <c r="T57" s="2948"/>
      <c r="U57" s="2948"/>
      <c r="V57" s="2948"/>
      <c r="W57" s="2948"/>
      <c r="X57" s="2948"/>
      <c r="Y57" s="2948"/>
      <c r="Z57" s="2948"/>
      <c r="AA57" s="2948"/>
      <c r="AB57" s="2948"/>
      <c r="AC57" s="2948"/>
    </row>
    <row r="58" spans="1:29" s="465" customFormat="1" ht="15">
      <c r="A58" s="462" t="s">
        <v>2363</v>
      </c>
      <c r="B58" s="463"/>
      <c r="C58" s="1344" t="str">
        <f>YEAR(C7)&amp;"-"&amp;MONTH(C7)</f>
        <v>2021-12</v>
      </c>
      <c r="D58" s="1345">
        <f>EDATE(C58,-1)</f>
        <v>44501</v>
      </c>
      <c r="E58" s="1345">
        <f t="shared" ref="E58:N58" si="13">EDATE(D58,-1)</f>
        <v>44470</v>
      </c>
      <c r="F58" s="1345">
        <f t="shared" si="13"/>
        <v>44440</v>
      </c>
      <c r="G58" s="1345">
        <f t="shared" si="13"/>
        <v>44409</v>
      </c>
      <c r="H58" s="1345">
        <f t="shared" si="13"/>
        <v>44378</v>
      </c>
      <c r="I58" s="1345">
        <f t="shared" si="13"/>
        <v>44348</v>
      </c>
      <c r="J58" s="1345">
        <f t="shared" si="13"/>
        <v>44317</v>
      </c>
      <c r="K58" s="1345">
        <f t="shared" si="13"/>
        <v>44287</v>
      </c>
      <c r="L58" s="1345">
        <f t="shared" si="13"/>
        <v>44256</v>
      </c>
      <c r="M58" s="1345">
        <f t="shared" si="13"/>
        <v>44228</v>
      </c>
      <c r="N58" s="1345">
        <f t="shared" si="13"/>
        <v>44197</v>
      </c>
      <c r="O58" s="1345">
        <f>EDATE(N58,-1)</f>
        <v>44166</v>
      </c>
      <c r="P58" s="2963"/>
      <c r="Q58" s="2964"/>
      <c r="R58" s="2964"/>
      <c r="S58" s="2964"/>
      <c r="T58" s="2964"/>
      <c r="U58" s="2964"/>
      <c r="V58" s="2964"/>
      <c r="W58" s="2964"/>
      <c r="X58" s="2964"/>
      <c r="Y58" s="2964"/>
      <c r="Z58" s="2964"/>
      <c r="AA58" s="2964"/>
      <c r="AB58" s="2964"/>
      <c r="AC58" s="2964"/>
    </row>
    <row r="59" spans="1:29" s="113" customFormat="1" ht="15">
      <c r="A59" s="466"/>
      <c r="B59" s="467"/>
      <c r="C59" s="1343">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2400</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2365</v>
      </c>
      <c r="B61" s="467"/>
      <c r="C61" s="479" t="s">
        <v>2467</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2403</v>
      </c>
      <c r="B63" s="485" t="s">
        <v>2369</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2373</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2374</v>
      </c>
      <c r="B76" s="485" t="s">
        <v>2411</v>
      </c>
      <c r="C76" s="530" t="s">
        <v>2412</v>
      </c>
      <c r="D76" s="530" t="s">
        <v>2413</v>
      </c>
      <c r="E76" s="530" t="s">
        <v>2414</v>
      </c>
      <c r="F76" s="530" t="s">
        <v>2415</v>
      </c>
      <c r="G76" s="530" t="s">
        <v>2416</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2417</v>
      </c>
      <c r="C78" s="535" t="s">
        <v>2412</v>
      </c>
      <c r="D78" s="535" t="s">
        <v>2413</v>
      </c>
      <c r="E78" s="535" t="s">
        <v>2414</v>
      </c>
      <c r="F78" s="535" t="s">
        <v>2415</v>
      </c>
      <c r="G78" s="535" t="s">
        <v>2416</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2418</v>
      </c>
      <c r="C80" s="535" t="s">
        <v>2412</v>
      </c>
      <c r="D80" s="535" t="s">
        <v>2413</v>
      </c>
      <c r="E80" s="535" t="s">
        <v>2414</v>
      </c>
      <c r="F80" s="535" t="s">
        <v>2415</v>
      </c>
      <c r="G80" s="535" t="s">
        <v>2416</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2470</v>
      </c>
      <c r="C82" s="616" t="s">
        <v>2490</v>
      </c>
      <c r="D82" s="616" t="s">
        <v>2491</v>
      </c>
      <c r="E82" s="616" t="s">
        <v>2492</v>
      </c>
      <c r="F82" s="616" t="s">
        <v>2493</v>
      </c>
      <c r="G82" s="616" t="s">
        <v>2494</v>
      </c>
      <c r="H82" s="496"/>
      <c r="I82" s="496"/>
      <c r="J82" s="496"/>
      <c r="K82" s="496"/>
      <c r="L82" s="496"/>
      <c r="M82" s="1289"/>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2424</v>
      </c>
      <c r="C84" s="535" t="s">
        <v>2412</v>
      </c>
      <c r="D84" s="535" t="s">
        <v>2413</v>
      </c>
      <c r="E84" s="535" t="s">
        <v>2414</v>
      </c>
      <c r="F84" s="535" t="s">
        <v>2415</v>
      </c>
      <c r="G84" s="535" t="s">
        <v>2416</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2495</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10"/>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1"/>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2378</v>
      </c>
      <c r="B100" s="485" t="s">
        <v>2496</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2428</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2429</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2431</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1870</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2433</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2497</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2498</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2499</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2500</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2435</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1"/>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0" t="s">
        <v>2501</v>
      </c>
      <c r="C1" s="1390" t="s">
        <v>2345</v>
      </c>
      <c r="D1" s="1391"/>
      <c r="E1" s="1400"/>
      <c r="F1" s="2062"/>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IF(C2="——",ROUND(C50*D3/10000,0),ROUND(C50*D3/10000,0)-D2)</f>
        <v>#DIV/0!</v>
      </c>
      <c r="C2" s="2064"/>
      <c r="D2" s="1273" t="e">
        <f ca="1">SUMIF(INDIRECT("'"&amp;F2&amp;"'"&amp;"!A:A"),"承租人权益价值",INDIRECT("'"&amp;F2&amp;"'"&amp;"!c:c"))</f>
        <v>#REF!</v>
      </c>
      <c r="E2" s="2065" t="s">
        <v>2143</v>
      </c>
      <c r="F2" s="2066"/>
      <c r="G2" s="1038"/>
      <c r="H2" s="1038"/>
      <c r="I2" s="1038"/>
      <c r="J2" s="1038"/>
      <c r="K2" s="1038"/>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2144</v>
      </c>
      <c r="B3" s="566" t="e">
        <f ca="1">IF(C2="——",C50,ROUND(B2*10000/D3,0))</f>
        <v>#DIV/0!</v>
      </c>
      <c r="C3" s="360" t="s">
        <v>2459</v>
      </c>
      <c r="D3" s="359">
        <f>IF(D1="",'数据-汇总表'!E3,SUMIF('数据-汇总表'!$C19:$C33,D1,'数据-汇总表'!$E19:$E33))</f>
        <v>66539.560000000012</v>
      </c>
      <c r="E3" s="2137"/>
      <c r="F3" s="1039"/>
      <c r="G3" s="1038"/>
      <c r="H3" s="1038"/>
      <c r="I3" s="1038"/>
      <c r="J3" s="1038"/>
      <c r="K3" s="1040"/>
      <c r="L3" s="2957"/>
      <c r="M3" s="2958"/>
      <c r="N3" s="2958"/>
      <c r="O3" s="2958"/>
      <c r="P3" s="707"/>
      <c r="Q3" s="707"/>
      <c r="R3" s="707"/>
      <c r="S3" s="707"/>
      <c r="T3" s="707"/>
      <c r="U3" s="707"/>
      <c r="V3" s="707"/>
      <c r="W3" s="707"/>
      <c r="X3" s="707"/>
      <c r="Y3" s="707"/>
      <c r="Z3" s="707"/>
      <c r="AA3" s="707"/>
      <c r="AB3" s="707"/>
      <c r="AC3" s="708"/>
    </row>
    <row r="4" spans="1:29" ht="15">
      <c r="A4" s="361" t="s">
        <v>2460</v>
      </c>
      <c r="B4" s="362"/>
      <c r="C4" s="3493" t="s">
        <v>2461</v>
      </c>
      <c r="D4" s="3506"/>
      <c r="E4" s="3507" t="s">
        <v>2462</v>
      </c>
      <c r="F4" s="3508"/>
      <c r="G4" s="3493" t="s">
        <v>2463</v>
      </c>
      <c r="H4" s="3506"/>
      <c r="I4" s="3493" t="s">
        <v>2464</v>
      </c>
      <c r="J4" s="3506"/>
      <c r="K4" s="567" t="s">
        <v>2465</v>
      </c>
      <c r="L4" s="2938"/>
      <c r="M4" s="2939"/>
      <c r="N4" s="2939"/>
      <c r="O4" s="2939"/>
      <c r="P4" s="3590" t="s">
        <v>2466</v>
      </c>
      <c r="Q4" s="3591"/>
      <c r="R4" s="3594" t="s">
        <v>2462</v>
      </c>
      <c r="S4" s="3595"/>
      <c r="T4" s="3594" t="s">
        <v>2463</v>
      </c>
      <c r="U4" s="3595"/>
      <c r="V4" s="3596" t="s">
        <v>2464</v>
      </c>
      <c r="W4" s="3596"/>
      <c r="X4" s="2141"/>
      <c r="Y4" s="3594" t="s">
        <v>2466</v>
      </c>
      <c r="Z4" s="3595"/>
      <c r="AA4" s="3598" t="s">
        <v>2462</v>
      </c>
      <c r="AB4" s="3598" t="s">
        <v>2463</v>
      </c>
      <c r="AC4" s="3587" t="s">
        <v>2464</v>
      </c>
    </row>
    <row r="5" spans="1:29" ht="15">
      <c r="A5" s="364"/>
      <c r="B5" s="365"/>
      <c r="C5" s="3523" t="s">
        <v>2357</v>
      </c>
      <c r="D5" s="3524"/>
      <c r="E5" s="3532" t="s">
        <v>2358</v>
      </c>
      <c r="F5" s="3533"/>
      <c r="G5" s="3523" t="s">
        <v>2359</v>
      </c>
      <c r="H5" s="3524"/>
      <c r="I5" s="3523" t="s">
        <v>2360</v>
      </c>
      <c r="J5" s="3524"/>
      <c r="K5" s="567"/>
      <c r="L5" s="2938"/>
      <c r="M5" s="2939"/>
      <c r="N5" s="2939"/>
      <c r="O5" s="2939"/>
      <c r="P5" s="3592"/>
      <c r="Q5" s="3512"/>
      <c r="R5" s="3517"/>
      <c r="S5" s="3518"/>
      <c r="T5" s="3517"/>
      <c r="U5" s="3518"/>
      <c r="V5" s="3502"/>
      <c r="W5" s="3502"/>
      <c r="X5" s="1536"/>
      <c r="Y5" s="3517"/>
      <c r="Z5" s="3518"/>
      <c r="AA5" s="3504"/>
      <c r="AB5" s="3504"/>
      <c r="AC5" s="3588"/>
    </row>
    <row r="6" spans="1:29" ht="15.75" thickBot="1">
      <c r="A6" s="366"/>
      <c r="B6" s="367"/>
      <c r="C6" s="3521" t="s">
        <v>2361</v>
      </c>
      <c r="D6" s="3522"/>
      <c r="E6" s="3582" t="s">
        <v>2361</v>
      </c>
      <c r="F6" s="3583"/>
      <c r="G6" s="3521" t="s">
        <v>2361</v>
      </c>
      <c r="H6" s="3522"/>
      <c r="I6" s="3521" t="s">
        <v>2361</v>
      </c>
      <c r="J6" s="3522"/>
      <c r="K6" s="567" t="s">
        <v>2362</v>
      </c>
      <c r="L6" s="2938"/>
      <c r="M6" s="2939"/>
      <c r="N6" s="2939"/>
      <c r="O6" s="2939"/>
      <c r="P6" s="3593"/>
      <c r="Q6" s="3514"/>
      <c r="R6" s="3517"/>
      <c r="S6" s="3518"/>
      <c r="T6" s="3519"/>
      <c r="U6" s="3520"/>
      <c r="V6" s="3502"/>
      <c r="W6" s="3502"/>
      <c r="X6" s="1536"/>
      <c r="Y6" s="3519"/>
      <c r="Z6" s="3520"/>
      <c r="AA6" s="3505"/>
      <c r="AB6" s="3505"/>
      <c r="AC6" s="3589"/>
    </row>
    <row r="7" spans="1:29" s="113" customFormat="1" ht="15.75" thickBot="1">
      <c r="A7" s="368" t="s">
        <v>2363</v>
      </c>
      <c r="B7" s="369"/>
      <c r="C7" s="370">
        <f>'数据-取费表'!B2</f>
        <v>44541</v>
      </c>
      <c r="D7" s="371">
        <v>100</v>
      </c>
      <c r="E7" s="372"/>
      <c r="F7" s="373">
        <f>SUMIF(59:59,YEAR(E7)&amp;"-"&amp;MONTH(E7),60:60)</f>
        <v>0</v>
      </c>
      <c r="G7" s="372"/>
      <c r="H7" s="371">
        <f>SUMIF(59:59,YEAR(G7)&amp;"-"&amp;MONTH(G7),60:60)</f>
        <v>0</v>
      </c>
      <c r="I7" s="372"/>
      <c r="J7" s="371">
        <f>SUMIF(59:59,YEAR(I7)&amp;"-"&amp;MONTH(I7),60:60)</f>
        <v>0</v>
      </c>
      <c r="K7" s="568"/>
      <c r="L7" s="2940"/>
      <c r="M7" s="2941"/>
      <c r="N7" s="2941"/>
      <c r="O7" s="2941"/>
      <c r="P7" s="3597" t="s">
        <v>2364</v>
      </c>
      <c r="Q7" s="3527"/>
      <c r="R7" s="709" t="s">
        <v>17</v>
      </c>
      <c r="S7" s="710">
        <f t="shared" ref="S7:S15" si="0">F7</f>
        <v>0</v>
      </c>
      <c r="T7" s="709" t="s">
        <v>17</v>
      </c>
      <c r="U7" s="710">
        <f t="shared" ref="U7:U15" si="1">H7</f>
        <v>0</v>
      </c>
      <c r="V7" s="709" t="s">
        <v>17</v>
      </c>
      <c r="W7" s="710">
        <f t="shared" ref="W7:W15" si="2">J7</f>
        <v>0</v>
      </c>
      <c r="X7" s="711"/>
      <c r="Y7" s="3525" t="s">
        <v>2364</v>
      </c>
      <c r="Z7" s="3526"/>
      <c r="AA7" s="712" t="e">
        <f>D7/F7</f>
        <v>#DIV/0!</v>
      </c>
      <c r="AB7" s="712" t="e">
        <f>D7/H7</f>
        <v>#DIV/0!</v>
      </c>
      <c r="AC7" s="2142"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597" t="s">
        <v>2367</v>
      </c>
      <c r="Q8" s="3526"/>
      <c r="R8" s="709" t="s">
        <v>17</v>
      </c>
      <c r="S8" s="710">
        <f t="shared" si="0"/>
        <v>0</v>
      </c>
      <c r="T8" s="709" t="s">
        <v>17</v>
      </c>
      <c r="U8" s="710">
        <f t="shared" si="1"/>
        <v>0</v>
      </c>
      <c r="V8" s="709" t="s">
        <v>17</v>
      </c>
      <c r="W8" s="710">
        <f t="shared" si="2"/>
        <v>0</v>
      </c>
      <c r="X8" s="711"/>
      <c r="Y8" s="3525" t="s">
        <v>2367</v>
      </c>
      <c r="Z8" s="3526"/>
      <c r="AA8" s="712" t="e">
        <f t="shared" ref="AA8:AA47" si="3">D8/F8</f>
        <v>#DIV/0!</v>
      </c>
      <c r="AB8" s="712" t="e">
        <f t="shared" ref="AB8:AB47" si="4">D8/H8</f>
        <v>#DIV/0!</v>
      </c>
      <c r="AC8" s="2142"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495" t="s">
        <v>2370</v>
      </c>
      <c r="Q9" s="1524" t="str">
        <f t="shared" ref="Q9:Q15" si="6">B9</f>
        <v>用途</v>
      </c>
      <c r="R9" s="709" t="s">
        <v>17</v>
      </c>
      <c r="S9" s="710">
        <f t="shared" si="0"/>
        <v>100</v>
      </c>
      <c r="T9" s="709" t="s">
        <v>17</v>
      </c>
      <c r="U9" s="710">
        <f t="shared" si="1"/>
        <v>100</v>
      </c>
      <c r="V9" s="709" t="s">
        <v>17</v>
      </c>
      <c r="W9" s="710">
        <f t="shared" si="2"/>
        <v>100</v>
      </c>
      <c r="X9" s="711"/>
      <c r="Y9" s="3386" t="s">
        <v>2371</v>
      </c>
      <c r="Z9" s="55" t="str">
        <f t="shared" ref="Z9:Z15" si="7">Q9</f>
        <v>用途</v>
      </c>
      <c r="AA9" s="712">
        <f t="shared" si="3"/>
        <v>1</v>
      </c>
      <c r="AB9" s="712">
        <f t="shared" si="4"/>
        <v>1</v>
      </c>
      <c r="AC9" s="2142">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495"/>
      <c r="Q10" s="1524"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2142">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495"/>
      <c r="Q11" s="1524"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0"/>
      <c r="M12" s="2941"/>
      <c r="N12" s="2941"/>
      <c r="O12" s="2941"/>
      <c r="P12" s="3495"/>
      <c r="Q12" s="1524">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5"/>
      <c r="M13" s="2939"/>
      <c r="N13" s="2939"/>
      <c r="O13" s="2939"/>
      <c r="P13" s="3495"/>
      <c r="Q13" s="1524">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5"/>
      <c r="M14" s="2939"/>
      <c r="N14" s="2939"/>
      <c r="O14" s="2939"/>
      <c r="P14" s="3495"/>
      <c r="Q14" s="1524">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2142">
        <f t="shared" si="5"/>
        <v>1</v>
      </c>
    </row>
    <row r="15" spans="1:29" ht="71.25">
      <c r="A15" s="399" t="s">
        <v>2374</v>
      </c>
      <c r="B15" s="585" t="s">
        <v>2502</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580" t="s">
        <v>2375</v>
      </c>
      <c r="Q15" s="1533" t="str">
        <f t="shared" si="6"/>
        <v>办公集聚程度</v>
      </c>
      <c r="R15" s="713" t="s">
        <v>17</v>
      </c>
      <c r="S15" s="714">
        <f t="shared" si="0"/>
        <v>100</v>
      </c>
      <c r="T15" s="713" t="s">
        <v>17</v>
      </c>
      <c r="U15" s="714">
        <f t="shared" si="1"/>
        <v>100</v>
      </c>
      <c r="V15" s="713" t="s">
        <v>17</v>
      </c>
      <c r="W15" s="714">
        <f t="shared" si="2"/>
        <v>100</v>
      </c>
      <c r="X15" s="1536"/>
      <c r="Y15" s="3498" t="s">
        <v>2375</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5"/>
      <c r="M16" s="2939"/>
      <c r="N16" s="2939"/>
      <c r="O16" s="2939"/>
      <c r="P16" s="3581"/>
      <c r="Q16" s="1533"/>
      <c r="R16" s="713"/>
      <c r="S16" s="714"/>
      <c r="T16" s="713"/>
      <c r="U16" s="714"/>
      <c r="V16" s="713"/>
      <c r="W16" s="714"/>
      <c r="X16" s="1536"/>
      <c r="Y16" s="3499"/>
      <c r="Z16" s="1537"/>
      <c r="AA16" s="1534">
        <v>1</v>
      </c>
      <c r="AB16" s="1534">
        <v>1</v>
      </c>
      <c r="AC16" s="2145">
        <v>1</v>
      </c>
    </row>
    <row r="17" spans="1:29" ht="71.25">
      <c r="A17" s="387"/>
      <c r="B17" s="587" t="s">
        <v>1939</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581"/>
      <c r="Q17" s="1533" t="str">
        <f>B17</f>
        <v>交通便捷度</v>
      </c>
      <c r="R17" s="713" t="s">
        <v>17</v>
      </c>
      <c r="S17" s="714">
        <f>F17</f>
        <v>100</v>
      </c>
      <c r="T17" s="713" t="s">
        <v>17</v>
      </c>
      <c r="U17" s="714">
        <f>H17</f>
        <v>100</v>
      </c>
      <c r="V17" s="713" t="s">
        <v>17</v>
      </c>
      <c r="W17" s="714">
        <f>J17</f>
        <v>100</v>
      </c>
      <c r="X17" s="1536"/>
      <c r="Y17" s="3499"/>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5"/>
      <c r="M18" s="2939"/>
      <c r="N18" s="2939"/>
      <c r="O18" s="2939"/>
      <c r="P18" s="3581"/>
      <c r="Q18" s="1533"/>
      <c r="R18" s="713"/>
      <c r="S18" s="714"/>
      <c r="T18" s="713"/>
      <c r="U18" s="714"/>
      <c r="V18" s="713"/>
      <c r="W18" s="714"/>
      <c r="X18" s="1536"/>
      <c r="Y18" s="3499"/>
      <c r="Z18" s="1537"/>
      <c r="AA18" s="1534">
        <v>1</v>
      </c>
      <c r="AB18" s="1534">
        <v>1</v>
      </c>
      <c r="AC18" s="2145">
        <v>1</v>
      </c>
    </row>
    <row r="19" spans="1:29" ht="42.75">
      <c r="A19" s="387"/>
      <c r="B19" s="587" t="s">
        <v>2503</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581"/>
      <c r="Q19" s="1533" t="str">
        <f>B19</f>
        <v>公共配套设施</v>
      </c>
      <c r="R19" s="713" t="s">
        <v>17</v>
      </c>
      <c r="S19" s="714">
        <f>F19</f>
        <v>100</v>
      </c>
      <c r="T19" s="713" t="s">
        <v>17</v>
      </c>
      <c r="U19" s="714">
        <f>H19</f>
        <v>100</v>
      </c>
      <c r="V19" s="713" t="s">
        <v>17</v>
      </c>
      <c r="W19" s="714">
        <f>J19</f>
        <v>100</v>
      </c>
      <c r="X19" s="1536"/>
      <c r="Y19" s="3499"/>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5"/>
      <c r="M20" s="2939"/>
      <c r="N20" s="2939"/>
      <c r="O20" s="2939"/>
      <c r="P20" s="3581"/>
      <c r="Q20" s="1533"/>
      <c r="R20" s="713"/>
      <c r="S20" s="714"/>
      <c r="T20" s="713"/>
      <c r="U20" s="714"/>
      <c r="V20" s="713"/>
      <c r="W20" s="714"/>
      <c r="X20" s="1536"/>
      <c r="Y20" s="3499"/>
      <c r="Z20" s="1537"/>
      <c r="AA20" s="1534">
        <v>1</v>
      </c>
      <c r="AB20" s="1534">
        <v>1</v>
      </c>
      <c r="AC20" s="2145">
        <v>1</v>
      </c>
    </row>
    <row r="21" spans="1:29" ht="28.5">
      <c r="A21" s="387"/>
      <c r="B21" s="589" t="s">
        <v>2504</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581"/>
      <c r="Q21" s="1533" t="str">
        <f>B21</f>
        <v>基础设施水平</v>
      </c>
      <c r="R21" s="713" t="s">
        <v>17</v>
      </c>
      <c r="S21" s="714">
        <f>F21</f>
        <v>100</v>
      </c>
      <c r="T21" s="713" t="s">
        <v>17</v>
      </c>
      <c r="U21" s="714">
        <f>H21</f>
        <v>100</v>
      </c>
      <c r="V21" s="713" t="s">
        <v>17</v>
      </c>
      <c r="W21" s="714">
        <f>J21</f>
        <v>100</v>
      </c>
      <c r="X21" s="1536"/>
      <c r="Y21" s="3499"/>
      <c r="Z21" s="1537" t="str">
        <f>Q21</f>
        <v>基础设施水平</v>
      </c>
      <c r="AA21" s="1534">
        <f>D21/F21</f>
        <v>1</v>
      </c>
      <c r="AB21" s="1534">
        <f>D21/H21</f>
        <v>1</v>
      </c>
      <c r="AC21" s="2145">
        <f>D21/J21</f>
        <v>1</v>
      </c>
    </row>
    <row r="22" spans="1:29" ht="15">
      <c r="A22" s="387"/>
      <c r="B22" s="589"/>
      <c r="C22" s="2147"/>
      <c r="D22" s="407"/>
      <c r="E22" s="406"/>
      <c r="F22" s="407"/>
      <c r="G22" s="2087"/>
      <c r="H22" s="407"/>
      <c r="I22" s="2087"/>
      <c r="J22" s="407"/>
      <c r="K22" s="1290"/>
      <c r="L22" s="2945"/>
      <c r="M22" s="2939"/>
      <c r="N22" s="2939"/>
      <c r="O22" s="2939"/>
      <c r="P22" s="3581"/>
      <c r="Q22" s="1533"/>
      <c r="R22" s="713"/>
      <c r="S22" s="714"/>
      <c r="T22" s="713"/>
      <c r="U22" s="714"/>
      <c r="V22" s="713"/>
      <c r="W22" s="714"/>
      <c r="X22" s="1536"/>
      <c r="Y22" s="3499"/>
      <c r="Z22" s="1537"/>
      <c r="AA22" s="1534">
        <v>1</v>
      </c>
      <c r="AB22" s="1534">
        <v>1</v>
      </c>
      <c r="AC22" s="2145">
        <v>1</v>
      </c>
    </row>
    <row r="23" spans="1:29" ht="42.75">
      <c r="A23" s="387"/>
      <c r="B23" s="587" t="s">
        <v>2505</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581"/>
      <c r="Q23" s="1533" t="str">
        <f>B23</f>
        <v>环境质量</v>
      </c>
      <c r="R23" s="713" t="s">
        <v>17</v>
      </c>
      <c r="S23" s="714">
        <f>F23</f>
        <v>100</v>
      </c>
      <c r="T23" s="713" t="s">
        <v>17</v>
      </c>
      <c r="U23" s="714">
        <f>H23</f>
        <v>100</v>
      </c>
      <c r="V23" s="713" t="s">
        <v>17</v>
      </c>
      <c r="W23" s="714">
        <f>J23</f>
        <v>100</v>
      </c>
      <c r="X23" s="1536"/>
      <c r="Y23" s="3499"/>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5"/>
      <c r="M24" s="2939"/>
      <c r="N24" s="2939"/>
      <c r="O24" s="2939"/>
      <c r="P24" s="3581"/>
      <c r="Q24" s="1533"/>
      <c r="R24" s="713"/>
      <c r="S24" s="714"/>
      <c r="T24" s="713"/>
      <c r="U24" s="714"/>
      <c r="V24" s="713"/>
      <c r="W24" s="714"/>
      <c r="X24" s="1536"/>
      <c r="Y24" s="3499"/>
      <c r="Z24" s="1537"/>
      <c r="AA24" s="1534">
        <v>1</v>
      </c>
      <c r="AB24" s="1534">
        <v>1</v>
      </c>
      <c r="AC24" s="2145">
        <v>1</v>
      </c>
    </row>
    <row r="25" spans="1:29" ht="27">
      <c r="A25" s="364"/>
      <c r="B25" s="587" t="s">
        <v>2506</v>
      </c>
      <c r="C25" s="2091"/>
      <c r="D25" s="394">
        <v>100</v>
      </c>
      <c r="E25" s="393"/>
      <c r="F25" s="394">
        <f>SUMIF(87:87,E26,88:88)-SUMIF(87:87,C26,88:88)+100</f>
        <v>100</v>
      </c>
      <c r="G25" s="2091"/>
      <c r="H25" s="394">
        <f>SUMIF(87:87,G26,88:88)-SUMIF(87:87,C26,88:88)+100</f>
        <v>100</v>
      </c>
      <c r="I25" s="393"/>
      <c r="J25" s="394">
        <f>SUMIF(87:87,I26,88:88)-SUMIF(87:87,C26,88:88)+100</f>
        <v>100</v>
      </c>
      <c r="K25" s="571"/>
      <c r="L25" s="2945"/>
      <c r="M25" s="2939"/>
      <c r="N25" s="2939"/>
      <c r="O25" s="2939"/>
      <c r="P25" s="3581"/>
      <c r="Q25" s="1533" t="str">
        <f>B25</f>
        <v>毗邻道路的类型与等级</v>
      </c>
      <c r="R25" s="713" t="s">
        <v>17</v>
      </c>
      <c r="S25" s="714">
        <f>F25</f>
        <v>100</v>
      </c>
      <c r="T25" s="713" t="s">
        <v>17</v>
      </c>
      <c r="U25" s="714">
        <f>H25</f>
        <v>100</v>
      </c>
      <c r="V25" s="713" t="s">
        <v>17</v>
      </c>
      <c r="W25" s="714">
        <f>J25</f>
        <v>100</v>
      </c>
      <c r="X25" s="1536"/>
      <c r="Y25" s="3499"/>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5"/>
      <c r="M26" s="2939"/>
      <c r="N26" s="2939"/>
      <c r="O26" s="2939"/>
      <c r="P26" s="3581"/>
      <c r="Q26" s="1533"/>
      <c r="R26" s="713"/>
      <c r="S26" s="714"/>
      <c r="T26" s="713"/>
      <c r="U26" s="714"/>
      <c r="V26" s="713"/>
      <c r="W26" s="714"/>
      <c r="X26" s="1536"/>
      <c r="Y26" s="3499"/>
      <c r="Z26" s="1537"/>
      <c r="AA26" s="1534">
        <v>1</v>
      </c>
      <c r="AB26" s="1534">
        <v>1</v>
      </c>
      <c r="AC26" s="2145">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581"/>
      <c r="Q27" s="1533" t="str">
        <f t="shared" ref="Q27:Q47" si="8">B27</f>
        <v>楼层</v>
      </c>
      <c r="R27" s="713" t="s">
        <v>17</v>
      </c>
      <c r="S27" s="714">
        <f>F27</f>
        <v>100</v>
      </c>
      <c r="T27" s="713" t="s">
        <v>17</v>
      </c>
      <c r="U27" s="714">
        <f>H27</f>
        <v>100</v>
      </c>
      <c r="V27" s="713" t="s">
        <v>17</v>
      </c>
      <c r="W27" s="714">
        <f>J27</f>
        <v>100</v>
      </c>
      <c r="X27" s="1536"/>
      <c r="Y27" s="3499"/>
      <c r="Z27" s="1537" t="str">
        <f>Q27</f>
        <v>楼层</v>
      </c>
      <c r="AA27" s="1534">
        <f t="shared" si="3"/>
        <v>1</v>
      </c>
      <c r="AB27" s="1534">
        <f t="shared" si="4"/>
        <v>1</v>
      </c>
      <c r="AC27" s="2145">
        <f t="shared" si="5"/>
        <v>1</v>
      </c>
    </row>
    <row r="28" spans="1:29" s="113" customFormat="1" ht="15">
      <c r="A28" s="390"/>
      <c r="B28" s="587" t="s">
        <v>2507</v>
      </c>
      <c r="C28" s="2148"/>
      <c r="D28" s="421">
        <v>100</v>
      </c>
      <c r="E28" s="2139"/>
      <c r="F28" s="421">
        <f>SUMIF(91:91,E28,92:92)-SUMIF(91:91,C28,92:92)+100</f>
        <v>100</v>
      </c>
      <c r="G28" s="2148"/>
      <c r="H28" s="421">
        <f>SUMIF(91:91,G28,92:92)-SUMIF(91:91,C28,92:92)+100</f>
        <v>100</v>
      </c>
      <c r="I28" s="2139"/>
      <c r="J28" s="421">
        <f>SUMIF(91:91,I28,92:92)-SUMIF(91:91,C28,92:92)+100</f>
        <v>100</v>
      </c>
      <c r="K28" s="569"/>
      <c r="L28" s="2940"/>
      <c r="M28" s="2941"/>
      <c r="N28" s="2941"/>
      <c r="O28" s="2941"/>
      <c r="P28" s="3581"/>
      <c r="Q28" s="1524" t="str">
        <f t="shared" si="8"/>
        <v>朝向</v>
      </c>
      <c r="R28" s="709" t="s">
        <v>17</v>
      </c>
      <c r="S28" s="710">
        <f>F28</f>
        <v>100</v>
      </c>
      <c r="T28" s="709" t="s">
        <v>17</v>
      </c>
      <c r="U28" s="710">
        <f>H28</f>
        <v>100</v>
      </c>
      <c r="V28" s="709" t="s">
        <v>17</v>
      </c>
      <c r="W28" s="710">
        <f>J28</f>
        <v>100</v>
      </c>
      <c r="X28" s="711"/>
      <c r="Y28" s="3499"/>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5"/>
      <c r="M29" s="2939"/>
      <c r="N29" s="2939"/>
      <c r="O29" s="2939"/>
      <c r="P29" s="3581"/>
      <c r="Q29" s="1533">
        <f t="shared" si="8"/>
        <v>111</v>
      </c>
      <c r="R29" s="713" t="s">
        <v>17</v>
      </c>
      <c r="S29" s="714">
        <f t="shared" ref="S29:S47" si="9">F29</f>
        <v>100</v>
      </c>
      <c r="T29" s="713" t="s">
        <v>17</v>
      </c>
      <c r="U29" s="714">
        <f t="shared" ref="U29:U47" si="10">H29</f>
        <v>100</v>
      </c>
      <c r="V29" s="713" t="s">
        <v>17</v>
      </c>
      <c r="W29" s="714">
        <f t="shared" ref="W29:W47" si="11">J29</f>
        <v>100</v>
      </c>
      <c r="X29" s="1536"/>
      <c r="Y29" s="3499"/>
      <c r="Z29" s="1537">
        <f t="shared" ref="Z29:Z47" si="12">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5"/>
      <c r="M30" s="2939"/>
      <c r="N30" s="2939"/>
      <c r="O30" s="2939"/>
      <c r="P30" s="3581"/>
      <c r="Q30" s="1533">
        <f t="shared" si="8"/>
        <v>111</v>
      </c>
      <c r="R30" s="713" t="s">
        <v>17</v>
      </c>
      <c r="S30" s="714">
        <f t="shared" si="9"/>
        <v>100</v>
      </c>
      <c r="T30" s="713" t="s">
        <v>17</v>
      </c>
      <c r="U30" s="714">
        <f t="shared" si="10"/>
        <v>100</v>
      </c>
      <c r="V30" s="713" t="s">
        <v>17</v>
      </c>
      <c r="W30" s="714">
        <f t="shared" si="11"/>
        <v>100</v>
      </c>
      <c r="X30" s="1536"/>
      <c r="Y30" s="3499"/>
      <c r="Z30" s="1537">
        <f t="shared" si="12"/>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5"/>
      <c r="M31" s="2939"/>
      <c r="N31" s="2939"/>
      <c r="O31" s="2939"/>
      <c r="P31" s="3581"/>
      <c r="Q31" s="1533">
        <f t="shared" si="8"/>
        <v>111</v>
      </c>
      <c r="R31" s="713" t="s">
        <v>17</v>
      </c>
      <c r="S31" s="714">
        <f t="shared" si="9"/>
        <v>100</v>
      </c>
      <c r="T31" s="713" t="s">
        <v>17</v>
      </c>
      <c r="U31" s="714">
        <f t="shared" si="10"/>
        <v>100</v>
      </c>
      <c r="V31" s="713" t="s">
        <v>17</v>
      </c>
      <c r="W31" s="714">
        <f t="shared" si="11"/>
        <v>100</v>
      </c>
      <c r="X31" s="1536"/>
      <c r="Y31" s="3499"/>
      <c r="Z31" s="1537">
        <f t="shared" si="12"/>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5"/>
      <c r="M32" s="2939"/>
      <c r="N32" s="2939"/>
      <c r="O32" s="2939"/>
      <c r="P32" s="3581"/>
      <c r="Q32" s="1533">
        <f t="shared" si="8"/>
        <v>111</v>
      </c>
      <c r="R32" s="713" t="s">
        <v>17</v>
      </c>
      <c r="S32" s="714">
        <f t="shared" si="9"/>
        <v>100</v>
      </c>
      <c r="T32" s="713" t="s">
        <v>17</v>
      </c>
      <c r="U32" s="714">
        <f t="shared" si="10"/>
        <v>100</v>
      </c>
      <c r="V32" s="713" t="s">
        <v>17</v>
      </c>
      <c r="W32" s="714">
        <f t="shared" si="11"/>
        <v>100</v>
      </c>
      <c r="X32" s="1536"/>
      <c r="Y32" s="3499"/>
      <c r="Z32" s="1537">
        <f t="shared" si="12"/>
        <v>111</v>
      </c>
      <c r="AA32" s="1534">
        <f t="shared" si="3"/>
        <v>1</v>
      </c>
      <c r="AB32" s="1534">
        <f t="shared" si="4"/>
        <v>1</v>
      </c>
      <c r="AC32" s="2145">
        <f t="shared" si="5"/>
        <v>1</v>
      </c>
    </row>
    <row r="33" spans="1:29" ht="15">
      <c r="A33" s="399" t="s">
        <v>2378</v>
      </c>
      <c r="B33" s="67" t="s">
        <v>2508</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5"/>
      <c r="M33" s="2939"/>
      <c r="N33" s="2939"/>
      <c r="O33" s="2939"/>
      <c r="P33" s="3576" t="s">
        <v>2380</v>
      </c>
      <c r="Q33" s="1533" t="str">
        <f t="shared" si="8"/>
        <v>建筑类型</v>
      </c>
      <c r="R33" s="713" t="s">
        <v>17</v>
      </c>
      <c r="S33" s="714">
        <f t="shared" si="9"/>
        <v>100</v>
      </c>
      <c r="T33" s="713" t="s">
        <v>17</v>
      </c>
      <c r="U33" s="714">
        <f t="shared" si="10"/>
        <v>100</v>
      </c>
      <c r="V33" s="713" t="s">
        <v>17</v>
      </c>
      <c r="W33" s="714">
        <f t="shared" si="11"/>
        <v>100</v>
      </c>
      <c r="X33" s="1536"/>
      <c r="Y33" s="3501" t="s">
        <v>2380</v>
      </c>
      <c r="Z33" s="1537" t="str">
        <f t="shared" si="12"/>
        <v>建筑类型</v>
      </c>
      <c r="AA33" s="1534">
        <f t="shared" si="3"/>
        <v>1</v>
      </c>
      <c r="AB33" s="1534">
        <f t="shared" si="4"/>
        <v>1</v>
      </c>
      <c r="AC33" s="2145">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577"/>
      <c r="Q34" s="715" t="str">
        <f t="shared" si="8"/>
        <v>项目建筑规模</v>
      </c>
      <c r="R34" s="716" t="s">
        <v>17</v>
      </c>
      <c r="S34" s="717" t="e">
        <f t="shared" si="9"/>
        <v>#N/A</v>
      </c>
      <c r="T34" s="716" t="s">
        <v>17</v>
      </c>
      <c r="U34" s="717" t="e">
        <f t="shared" si="10"/>
        <v>#N/A</v>
      </c>
      <c r="V34" s="716" t="s">
        <v>17</v>
      </c>
      <c r="W34" s="717" t="e">
        <f t="shared" si="11"/>
        <v>#N/A</v>
      </c>
      <c r="X34" s="718"/>
      <c r="Y34" s="3501"/>
      <c r="Z34" s="719" t="str">
        <f t="shared" si="12"/>
        <v>项目建筑规模</v>
      </c>
      <c r="AA34" s="1534" t="e">
        <f t="shared" si="3"/>
        <v>#N/A</v>
      </c>
      <c r="AB34" s="1534" t="e">
        <f t="shared" si="4"/>
        <v>#N/A</v>
      </c>
      <c r="AC34" s="2145"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577"/>
      <c r="Q35" s="1533" t="str">
        <f t="shared" si="8"/>
        <v>建筑结构</v>
      </c>
      <c r="R35" s="713" t="s">
        <v>17</v>
      </c>
      <c r="S35" s="714">
        <f t="shared" si="9"/>
        <v>100</v>
      </c>
      <c r="T35" s="713" t="s">
        <v>17</v>
      </c>
      <c r="U35" s="714">
        <f t="shared" si="10"/>
        <v>100</v>
      </c>
      <c r="V35" s="713" t="s">
        <v>17</v>
      </c>
      <c r="W35" s="714">
        <f t="shared" si="11"/>
        <v>100</v>
      </c>
      <c r="X35" s="1536"/>
      <c r="Y35" s="3501"/>
      <c r="Z35" s="1537" t="str">
        <f t="shared" si="12"/>
        <v>建筑结构</v>
      </c>
      <c r="AA35" s="1534">
        <f t="shared" si="3"/>
        <v>1</v>
      </c>
      <c r="AB35" s="1534">
        <f t="shared" si="4"/>
        <v>1</v>
      </c>
      <c r="AC35" s="2145">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577"/>
      <c r="Q36" s="1533" t="str">
        <f t="shared" si="8"/>
        <v>公共部分装修</v>
      </c>
      <c r="R36" s="713" t="s">
        <v>17</v>
      </c>
      <c r="S36" s="714">
        <f t="shared" si="9"/>
        <v>100</v>
      </c>
      <c r="T36" s="713" t="s">
        <v>17</v>
      </c>
      <c r="U36" s="714">
        <f t="shared" si="10"/>
        <v>100</v>
      </c>
      <c r="V36" s="713" t="s">
        <v>17</v>
      </c>
      <c r="W36" s="714">
        <f t="shared" si="11"/>
        <v>100</v>
      </c>
      <c r="X36" s="1536"/>
      <c r="Y36" s="3501"/>
      <c r="Z36" s="1537" t="str">
        <f t="shared" si="12"/>
        <v>公共部分装修</v>
      </c>
      <c r="AA36" s="1534">
        <f t="shared" si="3"/>
        <v>1</v>
      </c>
      <c r="AB36" s="1534">
        <f t="shared" si="4"/>
        <v>1</v>
      </c>
      <c r="AC36" s="2145">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577"/>
      <c r="Q37" s="1533" t="str">
        <f t="shared" si="8"/>
        <v>成新度</v>
      </c>
      <c r="R37" s="713" t="s">
        <v>17</v>
      </c>
      <c r="S37" s="714" t="e">
        <f t="shared" si="9"/>
        <v>#N/A</v>
      </c>
      <c r="T37" s="713" t="s">
        <v>17</v>
      </c>
      <c r="U37" s="714" t="e">
        <f t="shared" si="10"/>
        <v>#N/A</v>
      </c>
      <c r="V37" s="713" t="s">
        <v>17</v>
      </c>
      <c r="W37" s="714" t="e">
        <f t="shared" si="11"/>
        <v>#N/A</v>
      </c>
      <c r="X37" s="1536"/>
      <c r="Y37" s="3501"/>
      <c r="Z37" s="1537" t="str">
        <f t="shared" si="12"/>
        <v>成新度</v>
      </c>
      <c r="AA37" s="1534" t="e">
        <f t="shared" si="3"/>
        <v>#N/A</v>
      </c>
      <c r="AB37" s="1534" t="e">
        <f t="shared" si="4"/>
        <v>#N/A</v>
      </c>
      <c r="AC37" s="2145"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577"/>
      <c r="Q38" s="1524" t="str">
        <f t="shared" si="8"/>
        <v>写字楼等级</v>
      </c>
      <c r="R38" s="709" t="s">
        <v>17</v>
      </c>
      <c r="S38" s="710">
        <f t="shared" si="9"/>
        <v>100</v>
      </c>
      <c r="T38" s="709" t="s">
        <v>17</v>
      </c>
      <c r="U38" s="710">
        <f t="shared" si="10"/>
        <v>100</v>
      </c>
      <c r="V38" s="709" t="s">
        <v>17</v>
      </c>
      <c r="W38" s="710">
        <f t="shared" si="11"/>
        <v>100</v>
      </c>
      <c r="X38" s="711"/>
      <c r="Y38" s="3501"/>
      <c r="Z38" s="55" t="str">
        <f t="shared" si="12"/>
        <v>写字楼等级</v>
      </c>
      <c r="AA38" s="712">
        <f t="shared" si="3"/>
        <v>1</v>
      </c>
      <c r="AB38" s="712">
        <f t="shared" si="4"/>
        <v>1</v>
      </c>
      <c r="AC38" s="2142">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577" t="s">
        <v>2380</v>
      </c>
      <c r="Q39" s="1533" t="str">
        <f t="shared" si="8"/>
        <v>物业管理</v>
      </c>
      <c r="R39" s="713" t="s">
        <v>17</v>
      </c>
      <c r="S39" s="714">
        <f t="shared" si="9"/>
        <v>100</v>
      </c>
      <c r="T39" s="713" t="s">
        <v>17</v>
      </c>
      <c r="U39" s="714">
        <f t="shared" si="10"/>
        <v>100</v>
      </c>
      <c r="V39" s="713" t="s">
        <v>17</v>
      </c>
      <c r="W39" s="714">
        <f t="shared" si="11"/>
        <v>100</v>
      </c>
      <c r="X39" s="1536"/>
      <c r="Y39" s="3501" t="s">
        <v>2380</v>
      </c>
      <c r="Z39" s="1537" t="str">
        <f t="shared" si="12"/>
        <v>物业管理</v>
      </c>
      <c r="AA39" s="1534">
        <f t="shared" si="3"/>
        <v>1</v>
      </c>
      <c r="AB39" s="1534">
        <f t="shared" si="4"/>
        <v>1</v>
      </c>
      <c r="AC39" s="2145">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577"/>
      <c r="Q40" s="1533" t="str">
        <f t="shared" si="8"/>
        <v>市政基础设施</v>
      </c>
      <c r="R40" s="713" t="s">
        <v>17</v>
      </c>
      <c r="S40" s="714">
        <f t="shared" si="9"/>
        <v>100</v>
      </c>
      <c r="T40" s="713" t="s">
        <v>17</v>
      </c>
      <c r="U40" s="714">
        <f t="shared" si="10"/>
        <v>100</v>
      </c>
      <c r="V40" s="713" t="s">
        <v>17</v>
      </c>
      <c r="W40" s="714">
        <f t="shared" si="11"/>
        <v>100</v>
      </c>
      <c r="X40" s="1536"/>
      <c r="Y40" s="3501"/>
      <c r="Z40" s="1537" t="str">
        <f t="shared" si="12"/>
        <v>市政基础设施</v>
      </c>
      <c r="AA40" s="1534">
        <f t="shared" si="3"/>
        <v>1</v>
      </c>
      <c r="AB40" s="1534">
        <f t="shared" si="4"/>
        <v>1</v>
      </c>
      <c r="AC40" s="2145">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577"/>
      <c r="Q41" s="1533" t="str">
        <f t="shared" si="8"/>
        <v>层高</v>
      </c>
      <c r="R41" s="713" t="s">
        <v>17</v>
      </c>
      <c r="S41" s="714">
        <f t="shared" si="9"/>
        <v>100</v>
      </c>
      <c r="T41" s="713" t="s">
        <v>17</v>
      </c>
      <c r="U41" s="714">
        <f t="shared" si="10"/>
        <v>100</v>
      </c>
      <c r="V41" s="713" t="s">
        <v>17</v>
      </c>
      <c r="W41" s="714">
        <f t="shared" si="11"/>
        <v>100</v>
      </c>
      <c r="X41" s="1536"/>
      <c r="Y41" s="3501"/>
      <c r="Z41" s="1537" t="str">
        <f t="shared" si="12"/>
        <v>层高</v>
      </c>
      <c r="AA41" s="1534">
        <f t="shared" si="3"/>
        <v>1</v>
      </c>
      <c r="AB41" s="1534">
        <f t="shared" si="4"/>
        <v>1</v>
      </c>
      <c r="AC41" s="2145">
        <f t="shared" si="5"/>
        <v>1</v>
      </c>
    </row>
    <row r="42" spans="1:29" s="430" customFormat="1" ht="15">
      <c r="A42" s="427"/>
      <c r="B42" s="1535"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577"/>
      <c r="Q42" s="715" t="str">
        <f t="shared" si="8"/>
        <v>单套建筑面积</v>
      </c>
      <c r="R42" s="716" t="s">
        <v>17</v>
      </c>
      <c r="S42" s="717">
        <f t="shared" si="9"/>
        <v>100</v>
      </c>
      <c r="T42" s="716" t="s">
        <v>17</v>
      </c>
      <c r="U42" s="717">
        <f t="shared" si="10"/>
        <v>100</v>
      </c>
      <c r="V42" s="716" t="s">
        <v>17</v>
      </c>
      <c r="W42" s="717">
        <f t="shared" si="11"/>
        <v>100</v>
      </c>
      <c r="X42" s="718"/>
      <c r="Y42" s="3501"/>
      <c r="Z42" s="719" t="str">
        <f t="shared" si="12"/>
        <v>单套建筑面积</v>
      </c>
      <c r="AA42" s="1534">
        <f t="shared" si="3"/>
        <v>1</v>
      </c>
      <c r="AB42" s="1534">
        <f t="shared" si="4"/>
        <v>1</v>
      </c>
      <c r="AC42" s="2145">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577"/>
      <c r="Q43" s="1533" t="str">
        <f t="shared" si="8"/>
        <v>内部装修</v>
      </c>
      <c r="R43" s="713" t="s">
        <v>17</v>
      </c>
      <c r="S43" s="714">
        <f t="shared" si="9"/>
        <v>100</v>
      </c>
      <c r="T43" s="713" t="s">
        <v>17</v>
      </c>
      <c r="U43" s="714">
        <f t="shared" si="10"/>
        <v>100</v>
      </c>
      <c r="V43" s="713" t="s">
        <v>17</v>
      </c>
      <c r="W43" s="714">
        <f t="shared" si="11"/>
        <v>100</v>
      </c>
      <c r="X43" s="1536"/>
      <c r="Y43" s="3501"/>
      <c r="Z43" s="1537" t="str">
        <f t="shared" si="12"/>
        <v>内部装修</v>
      </c>
      <c r="AA43" s="1534">
        <f t="shared" si="3"/>
        <v>1</v>
      </c>
      <c r="AB43" s="1534">
        <f t="shared" si="4"/>
        <v>1</v>
      </c>
      <c r="AC43" s="2145">
        <f t="shared" si="5"/>
        <v>1</v>
      </c>
    </row>
    <row r="44" spans="1:29" ht="15">
      <c r="A44" s="431"/>
      <c r="B44" s="381" t="s">
        <v>2391</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5"/>
      <c r="M44" s="2939"/>
      <c r="N44" s="2939"/>
      <c r="O44" s="2939"/>
      <c r="P44" s="3577"/>
      <c r="Q44" s="1533" t="str">
        <f t="shared" si="8"/>
        <v>内部装修维护情况</v>
      </c>
      <c r="R44" s="713" t="s">
        <v>17</v>
      </c>
      <c r="S44" s="714">
        <f t="shared" si="9"/>
        <v>100</v>
      </c>
      <c r="T44" s="713" t="s">
        <v>17</v>
      </c>
      <c r="U44" s="714">
        <f t="shared" si="10"/>
        <v>100</v>
      </c>
      <c r="V44" s="713" t="s">
        <v>17</v>
      </c>
      <c r="W44" s="714">
        <f t="shared" si="11"/>
        <v>100</v>
      </c>
      <c r="X44" s="1536"/>
      <c r="Y44" s="3501"/>
      <c r="Z44" s="1537" t="str">
        <f t="shared" si="12"/>
        <v>内部装修维护情况</v>
      </c>
      <c r="AA44" s="1534">
        <f t="shared" si="3"/>
        <v>1</v>
      </c>
      <c r="AB44" s="1534">
        <f t="shared" si="4"/>
        <v>1</v>
      </c>
      <c r="AC44" s="2145">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577"/>
      <c r="Q45" s="1524">
        <f t="shared" si="8"/>
        <v>111</v>
      </c>
      <c r="R45" s="709" t="s">
        <v>17</v>
      </c>
      <c r="S45" s="710">
        <f t="shared" si="9"/>
        <v>100</v>
      </c>
      <c r="T45" s="709" t="s">
        <v>17</v>
      </c>
      <c r="U45" s="710">
        <f t="shared" si="10"/>
        <v>100</v>
      </c>
      <c r="V45" s="709" t="s">
        <v>17</v>
      </c>
      <c r="W45" s="710">
        <f t="shared" si="11"/>
        <v>100</v>
      </c>
      <c r="X45" s="711"/>
      <c r="Y45" s="3501"/>
      <c r="Z45" s="55">
        <f t="shared" si="12"/>
        <v>111</v>
      </c>
      <c r="AA45" s="712">
        <f t="shared" si="3"/>
        <v>1</v>
      </c>
      <c r="AB45" s="712">
        <f t="shared" si="4"/>
        <v>1</v>
      </c>
      <c r="AC45" s="2142">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577"/>
      <c r="Q46" s="1533">
        <f t="shared" si="8"/>
        <v>111</v>
      </c>
      <c r="R46" s="713" t="s">
        <v>17</v>
      </c>
      <c r="S46" s="714">
        <f t="shared" si="9"/>
        <v>100</v>
      </c>
      <c r="T46" s="713" t="s">
        <v>17</v>
      </c>
      <c r="U46" s="714">
        <f t="shared" si="10"/>
        <v>100</v>
      </c>
      <c r="V46" s="713" t="s">
        <v>17</v>
      </c>
      <c r="W46" s="714">
        <f t="shared" si="11"/>
        <v>100</v>
      </c>
      <c r="X46" s="1536"/>
      <c r="Y46" s="3501"/>
      <c r="Z46" s="1537">
        <f t="shared" si="12"/>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578"/>
      <c r="Q47" s="1533">
        <f t="shared" si="8"/>
        <v>111</v>
      </c>
      <c r="R47" s="713" t="s">
        <v>17</v>
      </c>
      <c r="S47" s="714">
        <f t="shared" si="9"/>
        <v>100</v>
      </c>
      <c r="T47" s="713" t="s">
        <v>17</v>
      </c>
      <c r="U47" s="714">
        <f t="shared" si="10"/>
        <v>100</v>
      </c>
      <c r="V47" s="713" t="s">
        <v>17</v>
      </c>
      <c r="W47" s="714">
        <f t="shared" si="11"/>
        <v>100</v>
      </c>
      <c r="X47" s="1536"/>
      <c r="Y47" s="3579"/>
      <c r="Z47" s="1537">
        <f t="shared" si="12"/>
        <v>111</v>
      </c>
      <c r="AA47" s="1534">
        <f t="shared" si="3"/>
        <v>1</v>
      </c>
      <c r="AB47" s="1534">
        <f t="shared" si="4"/>
        <v>1</v>
      </c>
      <c r="AC47" s="2145">
        <f t="shared" si="5"/>
        <v>1</v>
      </c>
    </row>
    <row r="48" spans="1:29" ht="15">
      <c r="A48" s="438" t="s">
        <v>2392</v>
      </c>
      <c r="B48" s="439"/>
      <c r="C48" s="1314" t="s">
        <v>1</v>
      </c>
      <c r="D48" s="1315"/>
      <c r="E48" s="1316"/>
      <c r="F48" s="1317"/>
      <c r="G48" s="1318"/>
      <c r="H48" s="1319"/>
      <c r="I48" s="1316"/>
      <c r="J48" s="444"/>
      <c r="K48" s="722"/>
      <c r="L48" s="2947"/>
      <c r="M48" s="2939"/>
      <c r="N48" s="2939"/>
      <c r="O48" s="2939"/>
      <c r="P48" s="3495" t="str">
        <f>A48</f>
        <v>成交单价（元/平方米）</v>
      </c>
      <c r="Q48" s="3496"/>
      <c r="R48" s="3575">
        <f>E48</f>
        <v>0</v>
      </c>
      <c r="S48" s="3575"/>
      <c r="T48" s="3575">
        <f>G48</f>
        <v>0</v>
      </c>
      <c r="U48" s="3575"/>
      <c r="V48" s="3575">
        <f>I48</f>
        <v>0</v>
      </c>
      <c r="W48" s="3575"/>
      <c r="X48" s="405"/>
      <c r="Y48" s="720"/>
      <c r="Z48" s="405"/>
      <c r="AA48" s="405"/>
      <c r="AB48" s="405"/>
      <c r="AC48" s="586"/>
    </row>
    <row r="49" spans="1:29" ht="15.75" thickBot="1">
      <c r="A49" s="445" t="s">
        <v>2484</v>
      </c>
      <c r="B49" s="446"/>
      <c r="C49" s="1320" t="e">
        <f>R50</f>
        <v>#DIV/0!</v>
      </c>
      <c r="D49" s="2535" t="s">
        <v>2873</v>
      </c>
      <c r="E49" s="1321" t="e">
        <f>R49</f>
        <v>#DIV/0!</v>
      </c>
      <c r="F49" s="2536"/>
      <c r="G49" s="1320" t="e">
        <f>T49</f>
        <v>#DIV/0!</v>
      </c>
      <c r="H49" s="2536"/>
      <c r="I49" s="1321" t="e">
        <f>V49</f>
        <v>#DIV/0!</v>
      </c>
      <c r="J49" s="2536"/>
      <c r="K49" s="2538">
        <f>F49+H49+J49</f>
        <v>0</v>
      </c>
      <c r="L49" s="2947"/>
      <c r="M49" s="2939"/>
      <c r="N49" s="2939"/>
      <c r="O49" s="2939"/>
      <c r="P49" s="3495" t="str">
        <f>A49</f>
        <v>比较价值（元/平方米）</v>
      </c>
      <c r="Q49" s="3496"/>
      <c r="R49" s="3575" t="e">
        <f>IF(F1="售价",ROUND(PRODUCT(R48,AA7:AA47),0),ROUND(PRODUCT(R48,AA7:AA47),1))</f>
        <v>#DIV/0!</v>
      </c>
      <c r="S49" s="3575"/>
      <c r="T49" s="3575" t="e">
        <f>IF(F1="售价",ROUND(PRODUCT(T48,AB7:AB47),0),ROUND(PRODUCT(T48,AB7:AB47),1))</f>
        <v>#DIV/0!</v>
      </c>
      <c r="U49" s="3575"/>
      <c r="V49" s="3575" t="e">
        <f>IF(F1="售价",ROUND(PRODUCT(V48,AC7:AC47),0),ROUND(PRODUCT(V48,AC7:AC47),1))</f>
        <v>#DIV/0!</v>
      </c>
      <c r="W49" s="3575"/>
      <c r="X49" s="405"/>
      <c r="Y49" s="405"/>
      <c r="Z49" s="405"/>
      <c r="AA49" s="405"/>
      <c r="AB49" s="405"/>
      <c r="AC49" s="586"/>
    </row>
    <row r="50" spans="1:29" ht="15.75" thickBot="1">
      <c r="A50" s="449" t="s">
        <v>2485</v>
      </c>
      <c r="B50" s="450"/>
      <c r="C50" s="1323" t="e">
        <f>R50</f>
        <v>#DIV/0!</v>
      </c>
      <c r="D50" s="1323"/>
      <c r="E50" s="1323"/>
      <c r="F50" s="1323"/>
      <c r="G50" s="1323"/>
      <c r="H50" s="1323"/>
      <c r="I50" s="1323"/>
      <c r="J50" s="451"/>
      <c r="K50" s="723"/>
      <c r="L50" s="2947"/>
      <c r="M50" s="2939"/>
      <c r="N50" s="2939"/>
      <c r="O50" s="2939"/>
      <c r="P50" s="3584" t="str">
        <f>A50</f>
        <v>估价对象XX用房的比较价值（楼面单价，元/平方米）</v>
      </c>
      <c r="Q50" s="3585"/>
      <c r="R50" s="3586" t="e">
        <f>IF(F1="售价",ROUND(IF(D49="简单平均",AVERAGE(R49:V49),R49*F49+T49*H49+V49*J49),0),ROUND(IF(D49="简单平均",AVERAGE(R49:V49),R49*F49+T49*H49+V49*J49),1))</f>
        <v>#DIV/0!</v>
      </c>
      <c r="S50" s="3586"/>
      <c r="T50" s="3586"/>
      <c r="U50" s="3586"/>
      <c r="V50" s="3586"/>
      <c r="W50" s="3586"/>
      <c r="X50" s="2129"/>
      <c r="Y50" s="2129"/>
      <c r="Z50" s="2129"/>
      <c r="AA50" s="2129"/>
      <c r="AB50" s="2129"/>
      <c r="AC50" s="2130"/>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2" t="s">
        <v>2489</v>
      </c>
      <c r="B58" s="698"/>
      <c r="C58" s="703"/>
      <c r="D58" s="703"/>
      <c r="E58" s="703"/>
      <c r="F58" s="704"/>
      <c r="G58" s="704"/>
      <c r="H58" s="703"/>
      <c r="I58" s="703"/>
      <c r="J58" s="703"/>
      <c r="K58" s="705"/>
      <c r="L58" s="1072"/>
      <c r="M58" s="1070"/>
      <c r="N58" s="2992"/>
      <c r="O58" s="2992"/>
      <c r="P58" s="2981"/>
      <c r="Q58" s="2962"/>
      <c r="R58" s="2948"/>
      <c r="S58" s="2948"/>
      <c r="T58" s="2948"/>
      <c r="U58" s="2948"/>
      <c r="V58" s="2948"/>
      <c r="W58" s="2948"/>
      <c r="X58" s="2948"/>
      <c r="Y58" s="2948"/>
      <c r="Z58" s="2948"/>
      <c r="AA58" s="2948"/>
      <c r="AB58" s="2948"/>
      <c r="AC58" s="2948"/>
    </row>
    <row r="59" spans="1:29" s="465" customFormat="1" ht="15">
      <c r="A59" s="462" t="s">
        <v>2363</v>
      </c>
      <c r="B59" s="463"/>
      <c r="C59" s="1344" t="str">
        <f>YEAR(C7)&amp;"-"&amp;MONTH(C7)</f>
        <v>2021-12</v>
      </c>
      <c r="D59" s="1345">
        <f>EDATE(C59,-1)</f>
        <v>44501</v>
      </c>
      <c r="E59" s="1345">
        <f>EDATE(D59,-1)</f>
        <v>44470</v>
      </c>
      <c r="F59" s="1345">
        <f t="shared" ref="F59:O59" si="13">EDATE(E59,-1)</f>
        <v>44440</v>
      </c>
      <c r="G59" s="1345">
        <f t="shared" si="13"/>
        <v>44409</v>
      </c>
      <c r="H59" s="1345">
        <f t="shared" si="13"/>
        <v>44378</v>
      </c>
      <c r="I59" s="1345">
        <f t="shared" si="13"/>
        <v>44348</v>
      </c>
      <c r="J59" s="1345">
        <f t="shared" si="13"/>
        <v>44317</v>
      </c>
      <c r="K59" s="1345">
        <f t="shared" si="13"/>
        <v>44287</v>
      </c>
      <c r="L59" s="1345">
        <f t="shared" si="13"/>
        <v>44256</v>
      </c>
      <c r="M59" s="1345">
        <f t="shared" si="13"/>
        <v>44228</v>
      </c>
      <c r="N59" s="1345">
        <f t="shared" si="13"/>
        <v>44197</v>
      </c>
      <c r="O59" s="1345">
        <f t="shared" si="13"/>
        <v>44166</v>
      </c>
      <c r="P59" s="2982"/>
      <c r="Q59" s="2964"/>
      <c r="R59" s="2964"/>
      <c r="S59" s="2964"/>
      <c r="T59" s="2964"/>
      <c r="U59" s="2964"/>
      <c r="V59" s="2964"/>
      <c r="W59" s="2964"/>
      <c r="X59" s="2964"/>
      <c r="Y59" s="2964"/>
      <c r="Z59" s="2964"/>
      <c r="AA59" s="2964"/>
      <c r="AB59" s="2964"/>
      <c r="AC59" s="2964"/>
    </row>
    <row r="60" spans="1:29" s="113" customFormat="1" ht="15">
      <c r="A60" s="466"/>
      <c r="B60" s="467"/>
      <c r="C60" s="1343">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2400</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2365</v>
      </c>
      <c r="B62" s="467"/>
      <c r="C62" s="479" t="s">
        <v>2467</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2403</v>
      </c>
      <c r="B64" s="485" t="s">
        <v>2369</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2373</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2374</v>
      </c>
      <c r="B77" s="485" t="s">
        <v>2512</v>
      </c>
      <c r="C77" s="530" t="s">
        <v>2412</v>
      </c>
      <c r="D77" s="530" t="s">
        <v>2413</v>
      </c>
      <c r="E77" s="530" t="s">
        <v>2414</v>
      </c>
      <c r="F77" s="530" t="s">
        <v>2415</v>
      </c>
      <c r="G77" s="530" t="s">
        <v>2416</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2417</v>
      </c>
      <c r="C79" s="535" t="s">
        <v>2412</v>
      </c>
      <c r="D79" s="535" t="s">
        <v>2413</v>
      </c>
      <c r="E79" s="535" t="s">
        <v>2414</v>
      </c>
      <c r="F79" s="535" t="s">
        <v>2415</v>
      </c>
      <c r="G79" s="535" t="s">
        <v>2416</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2418</v>
      </c>
      <c r="C81" s="535" t="s">
        <v>2412</v>
      </c>
      <c r="D81" s="535" t="s">
        <v>2413</v>
      </c>
      <c r="E81" s="535" t="s">
        <v>2414</v>
      </c>
      <c r="F81" s="535" t="s">
        <v>2415</v>
      </c>
      <c r="G81" s="535" t="s">
        <v>2416</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2504</v>
      </c>
      <c r="C83" s="616" t="s">
        <v>2490</v>
      </c>
      <c r="D83" s="616" t="s">
        <v>2491</v>
      </c>
      <c r="E83" s="616" t="s">
        <v>2492</v>
      </c>
      <c r="F83" s="616" t="s">
        <v>2493</v>
      </c>
      <c r="G83" s="616" t="s">
        <v>2494</v>
      </c>
      <c r="H83" s="496"/>
      <c r="I83" s="496"/>
      <c r="J83" s="496"/>
      <c r="K83" s="496"/>
      <c r="L83" s="496"/>
      <c r="M83" s="1289"/>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2513</v>
      </c>
      <c r="C85" s="535" t="s">
        <v>2412</v>
      </c>
      <c r="D85" s="535" t="s">
        <v>2413</v>
      </c>
      <c r="E85" s="535" t="s">
        <v>2414</v>
      </c>
      <c r="F85" s="535" t="s">
        <v>2415</v>
      </c>
      <c r="G85" s="535" t="s">
        <v>2416</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2514</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10"/>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1"/>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2378</v>
      </c>
      <c r="B101" s="485" t="s">
        <v>2427</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2428</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2429</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2431</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2515</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2432</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2433</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2516</v>
      </c>
      <c r="C119" s="540"/>
      <c r="D119" s="540"/>
      <c r="E119" s="540"/>
      <c r="F119" s="540"/>
      <c r="G119" s="540"/>
      <c r="H119" s="540"/>
      <c r="I119" s="540"/>
      <c r="J119" s="540"/>
      <c r="K119" s="540"/>
      <c r="L119" s="2151"/>
      <c r="M119" s="2152"/>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2499</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2435</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1"/>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0" t="s">
        <v>2517</v>
      </c>
      <c r="C1" s="1390" t="s">
        <v>2345</v>
      </c>
      <c r="D1" s="1391"/>
      <c r="E1" s="1400"/>
      <c r="F1" s="2062"/>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IF(C2="——",ROUND(C43*D3/10000,0),ROUND(C43*D3/10000,0)-D2)</f>
        <v>#DIV/0!</v>
      </c>
      <c r="C2" s="2064"/>
      <c r="D2" s="1037" t="e">
        <f ca="1">SUMIF(INDIRECT("'"&amp;F2&amp;"'"&amp;"!A:A"),"承租人权益价值",INDIRECT("'"&amp;F2&amp;"'"&amp;"!c:c"))</f>
        <v>#REF!</v>
      </c>
      <c r="E2" s="2065" t="s">
        <v>2143</v>
      </c>
      <c r="F2" s="2066"/>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2144</v>
      </c>
      <c r="B3" s="566" t="e">
        <f ca="1">IF(C2="——",C43,ROUND(B2*10000/D3,0))</f>
        <v>#DIV/0!</v>
      </c>
      <c r="C3" s="360" t="s">
        <v>2459</v>
      </c>
      <c r="D3" s="359">
        <f>IF(D1="",'数据-汇总表'!E3,SUMIF('数据-汇总表'!$C19:$C33,D1,'数据-汇总表'!$E19:$E33))</f>
        <v>66539.560000000012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2460</v>
      </c>
      <c r="B4" s="362"/>
      <c r="C4" s="3493" t="s">
        <v>2461</v>
      </c>
      <c r="D4" s="3506"/>
      <c r="E4" s="3507" t="s">
        <v>2462</v>
      </c>
      <c r="F4" s="3508"/>
      <c r="G4" s="3493" t="s">
        <v>2463</v>
      </c>
      <c r="H4" s="3506"/>
      <c r="I4" s="3493" t="s">
        <v>2464</v>
      </c>
      <c r="J4" s="3506"/>
      <c r="K4" s="567" t="s">
        <v>2465</v>
      </c>
      <c r="L4" s="1043"/>
      <c r="M4" s="1044"/>
      <c r="N4" s="1044"/>
      <c r="O4" s="1044"/>
      <c r="P4" s="3509" t="s">
        <v>2466</v>
      </c>
      <c r="Q4" s="3510"/>
      <c r="R4" s="3515" t="s">
        <v>2462</v>
      </c>
      <c r="S4" s="3516"/>
      <c r="T4" s="3515" t="s">
        <v>2463</v>
      </c>
      <c r="U4" s="3516"/>
      <c r="V4" s="3502" t="s">
        <v>2464</v>
      </c>
      <c r="W4" s="3502"/>
      <c r="X4" s="1536"/>
      <c r="Y4" s="3515" t="s">
        <v>2466</v>
      </c>
      <c r="Z4" s="3516"/>
      <c r="AA4" s="3503" t="s">
        <v>2462</v>
      </c>
      <c r="AB4" s="3504" t="s">
        <v>2463</v>
      </c>
      <c r="AC4" s="3503" t="s">
        <v>2464</v>
      </c>
    </row>
    <row r="5" spans="1:29" ht="15">
      <c r="A5" s="364"/>
      <c r="B5" s="365"/>
      <c r="C5" s="3523" t="s">
        <v>2357</v>
      </c>
      <c r="D5" s="3524"/>
      <c r="E5" s="3532" t="s">
        <v>2358</v>
      </c>
      <c r="F5" s="3533"/>
      <c r="G5" s="3523" t="s">
        <v>2359</v>
      </c>
      <c r="H5" s="3524"/>
      <c r="I5" s="3523" t="s">
        <v>2360</v>
      </c>
      <c r="J5" s="3524"/>
      <c r="K5" s="567"/>
      <c r="L5" s="1043"/>
      <c r="M5" s="1044"/>
      <c r="N5" s="1044"/>
      <c r="O5" s="1044"/>
      <c r="P5" s="3511"/>
      <c r="Q5" s="3512"/>
      <c r="R5" s="3517"/>
      <c r="S5" s="3518"/>
      <c r="T5" s="3517"/>
      <c r="U5" s="3518"/>
      <c r="V5" s="3502"/>
      <c r="W5" s="3502"/>
      <c r="X5" s="1536"/>
      <c r="Y5" s="3517"/>
      <c r="Z5" s="3518"/>
      <c r="AA5" s="3504"/>
      <c r="AB5" s="3504"/>
      <c r="AC5" s="3504"/>
    </row>
    <row r="6" spans="1:29" ht="15.75" thickBot="1">
      <c r="A6" s="366"/>
      <c r="B6" s="367"/>
      <c r="C6" s="3521" t="s">
        <v>2361</v>
      </c>
      <c r="D6" s="3522"/>
      <c r="E6" s="3582" t="s">
        <v>2361</v>
      </c>
      <c r="F6" s="3583"/>
      <c r="G6" s="3521" t="s">
        <v>2361</v>
      </c>
      <c r="H6" s="3522"/>
      <c r="I6" s="3521" t="s">
        <v>2361</v>
      </c>
      <c r="J6" s="3522"/>
      <c r="K6" s="567" t="s">
        <v>2362</v>
      </c>
      <c r="L6" s="1043"/>
      <c r="M6" s="1044"/>
      <c r="N6" s="1044"/>
      <c r="O6" s="1044"/>
      <c r="P6" s="3513"/>
      <c r="Q6" s="3514"/>
      <c r="R6" s="3517"/>
      <c r="S6" s="3518"/>
      <c r="T6" s="3519"/>
      <c r="U6" s="3520"/>
      <c r="V6" s="3502"/>
      <c r="W6" s="3502"/>
      <c r="X6" s="1536"/>
      <c r="Y6" s="3519"/>
      <c r="Z6" s="3520"/>
      <c r="AA6" s="3505"/>
      <c r="AB6" s="3505"/>
      <c r="AC6" s="3505"/>
    </row>
    <row r="7" spans="1:29" s="113" customFormat="1" ht="15.75" thickBot="1">
      <c r="A7" s="368" t="s">
        <v>2363</v>
      </c>
      <c r="B7" s="369"/>
      <c r="C7" s="370">
        <f>'数据-取费表'!B2</f>
        <v>44541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525" t="s">
        <v>2364</v>
      </c>
      <c r="Q7" s="3527"/>
      <c r="R7" s="709" t="s">
        <v>17</v>
      </c>
      <c r="S7" s="710">
        <f t="shared" ref="S7:S15" si="0">F7</f>
        <v>0</v>
      </c>
      <c r="T7" s="709" t="s">
        <v>17</v>
      </c>
      <c r="U7" s="710">
        <f t="shared" ref="U7:U15" si="1">H7</f>
        <v>0</v>
      </c>
      <c r="V7" s="709" t="s">
        <v>17</v>
      </c>
      <c r="W7" s="710">
        <f t="shared" ref="W7:W15" si="2">J7</f>
        <v>0</v>
      </c>
      <c r="X7" s="711"/>
      <c r="Y7" s="3525" t="s">
        <v>2364</v>
      </c>
      <c r="Z7" s="3526"/>
      <c r="AA7" s="712" t="e">
        <f>D7/F7</f>
        <v>#DIV/0!</v>
      </c>
      <c r="AB7" s="712" t="e">
        <f>D7/H7</f>
        <v>#DIV/0!</v>
      </c>
      <c r="AC7" s="712"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525" t="s">
        <v>2367</v>
      </c>
      <c r="Q8" s="3526"/>
      <c r="R8" s="709" t="s">
        <v>17</v>
      </c>
      <c r="S8" s="710">
        <f t="shared" si="0"/>
        <v>0</v>
      </c>
      <c r="T8" s="709" t="s">
        <v>17</v>
      </c>
      <c r="U8" s="710">
        <f t="shared" si="1"/>
        <v>0</v>
      </c>
      <c r="V8" s="709" t="s">
        <v>17</v>
      </c>
      <c r="W8" s="710">
        <f t="shared" si="2"/>
        <v>0</v>
      </c>
      <c r="X8" s="711"/>
      <c r="Y8" s="3525" t="s">
        <v>2367</v>
      </c>
      <c r="Z8" s="3526"/>
      <c r="AA8" s="712" t="e">
        <f t="shared" ref="AA8:AA40" si="3">D8/F8</f>
        <v>#DIV/0!</v>
      </c>
      <c r="AB8" s="712" t="e">
        <f t="shared" ref="AB8:AB40" si="4">D8/H8</f>
        <v>#DIV/0!</v>
      </c>
      <c r="AC8" s="712"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496" t="s">
        <v>2370</v>
      </c>
      <c r="Q9" s="1524" t="str">
        <f t="shared" ref="Q9:Q15" si="6">B9</f>
        <v>用途</v>
      </c>
      <c r="R9" s="709" t="s">
        <v>17</v>
      </c>
      <c r="S9" s="710">
        <f t="shared" si="0"/>
        <v>100</v>
      </c>
      <c r="T9" s="709" t="s">
        <v>17</v>
      </c>
      <c r="U9" s="710">
        <f t="shared" si="1"/>
        <v>100</v>
      </c>
      <c r="V9" s="709" t="s">
        <v>17</v>
      </c>
      <c r="W9" s="710">
        <f t="shared" si="2"/>
        <v>100</v>
      </c>
      <c r="X9" s="711"/>
      <c r="Y9" s="3386" t="s">
        <v>2371</v>
      </c>
      <c r="Z9" s="55" t="str">
        <f t="shared" ref="Z9:Z15" si="7">Q9</f>
        <v>用途</v>
      </c>
      <c r="AA9" s="712">
        <f t="shared" si="3"/>
        <v>1</v>
      </c>
      <c r="AB9" s="712">
        <f t="shared" si="4"/>
        <v>1</v>
      </c>
      <c r="AC9" s="712">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496"/>
      <c r="Q10" s="1524"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496"/>
      <c r="Q11" s="1524"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712"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496"/>
      <c r="Q12" s="1524">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496"/>
      <c r="Q13" s="1524">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496"/>
      <c r="Q14" s="1524">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712">
        <f t="shared" si="5"/>
        <v>1</v>
      </c>
    </row>
    <row r="15" spans="1:29" ht="57">
      <c r="A15" s="399" t="s">
        <v>2374</v>
      </c>
      <c r="B15" s="65" t="s">
        <v>2518</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498" t="s">
        <v>2375</v>
      </c>
      <c r="Q15" s="1533" t="str">
        <f t="shared" si="6"/>
        <v>产业集聚程度</v>
      </c>
      <c r="R15" s="713" t="s">
        <v>17</v>
      </c>
      <c r="S15" s="714">
        <f t="shared" si="0"/>
        <v>100</v>
      </c>
      <c r="T15" s="713" t="s">
        <v>17</v>
      </c>
      <c r="U15" s="714">
        <f t="shared" si="1"/>
        <v>100</v>
      </c>
      <c r="V15" s="713" t="s">
        <v>17</v>
      </c>
      <c r="W15" s="714">
        <f t="shared" si="2"/>
        <v>100</v>
      </c>
      <c r="X15" s="1536"/>
      <c r="Y15" s="3498" t="s">
        <v>2375</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3"/>
      <c r="M16" s="1044"/>
      <c r="N16" s="1044"/>
      <c r="O16" s="1052"/>
      <c r="P16" s="3499"/>
      <c r="Q16" s="1533"/>
      <c r="R16" s="713"/>
      <c r="S16" s="714"/>
      <c r="T16" s="713"/>
      <c r="U16" s="714"/>
      <c r="V16" s="713"/>
      <c r="W16" s="714"/>
      <c r="X16" s="1536"/>
      <c r="Y16" s="3499"/>
      <c r="Z16" s="1537"/>
      <c r="AA16" s="1534">
        <v>1</v>
      </c>
      <c r="AB16" s="1534">
        <v>1</v>
      </c>
      <c r="AC16" s="1534">
        <v>1</v>
      </c>
    </row>
    <row r="17" spans="1:29" ht="85.5">
      <c r="A17" s="387"/>
      <c r="B17" s="410" t="s">
        <v>1939</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499"/>
      <c r="Q17" s="1533" t="str">
        <f>B17</f>
        <v>交通便捷度</v>
      </c>
      <c r="R17" s="713" t="s">
        <v>17</v>
      </c>
      <c r="S17" s="714">
        <f>F17</f>
        <v>100</v>
      </c>
      <c r="T17" s="713" t="s">
        <v>17</v>
      </c>
      <c r="U17" s="714">
        <f>H17</f>
        <v>100</v>
      </c>
      <c r="V17" s="713" t="s">
        <v>17</v>
      </c>
      <c r="W17" s="714">
        <f>J17</f>
        <v>100</v>
      </c>
      <c r="X17" s="1536"/>
      <c r="Y17" s="3499"/>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3"/>
      <c r="M18" s="1044"/>
      <c r="N18" s="1044"/>
      <c r="O18" s="1052"/>
      <c r="P18" s="3499"/>
      <c r="Q18" s="1533"/>
      <c r="R18" s="713"/>
      <c r="S18" s="714"/>
      <c r="T18" s="713"/>
      <c r="U18" s="714"/>
      <c r="V18" s="713"/>
      <c r="W18" s="714"/>
      <c r="X18" s="1536"/>
      <c r="Y18" s="3499"/>
      <c r="Z18" s="1537"/>
      <c r="AA18" s="1534">
        <v>1</v>
      </c>
      <c r="AB18" s="1534">
        <v>1</v>
      </c>
      <c r="AC18" s="1534">
        <v>1</v>
      </c>
    </row>
    <row r="19" spans="1:29" ht="42.75">
      <c r="A19" s="387"/>
      <c r="B19" s="410" t="s">
        <v>2503</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499"/>
      <c r="Q19" s="1533" t="str">
        <f>B19</f>
        <v>公共配套设施</v>
      </c>
      <c r="R19" s="713" t="s">
        <v>17</v>
      </c>
      <c r="S19" s="714">
        <f>F19</f>
        <v>100</v>
      </c>
      <c r="T19" s="713" t="s">
        <v>17</v>
      </c>
      <c r="U19" s="714">
        <f>H19</f>
        <v>100</v>
      </c>
      <c r="V19" s="713" t="s">
        <v>17</v>
      </c>
      <c r="W19" s="714">
        <f>J19</f>
        <v>100</v>
      </c>
      <c r="X19" s="1536"/>
      <c r="Y19" s="3499"/>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3"/>
      <c r="M20" s="1044"/>
      <c r="N20" s="1044"/>
      <c r="O20" s="1052"/>
      <c r="P20" s="3499"/>
      <c r="Q20" s="1533"/>
      <c r="R20" s="713"/>
      <c r="S20" s="714"/>
      <c r="T20" s="713"/>
      <c r="U20" s="714"/>
      <c r="V20" s="713"/>
      <c r="W20" s="714"/>
      <c r="X20" s="1536"/>
      <c r="Y20" s="3499"/>
      <c r="Z20" s="1537"/>
      <c r="AA20" s="1534">
        <v>1</v>
      </c>
      <c r="AB20" s="1534">
        <v>1</v>
      </c>
      <c r="AC20" s="1534">
        <v>1</v>
      </c>
    </row>
    <row r="21" spans="1:29" ht="28.5">
      <c r="A21" s="387"/>
      <c r="B21" s="1291" t="s">
        <v>2504</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499"/>
      <c r="Q21" s="1533" t="str">
        <f>B21</f>
        <v>基础设施水平</v>
      </c>
      <c r="R21" s="713" t="s">
        <v>17</v>
      </c>
      <c r="S21" s="714">
        <f>F21</f>
        <v>100</v>
      </c>
      <c r="T21" s="713" t="s">
        <v>17</v>
      </c>
      <c r="U21" s="714">
        <f>H21</f>
        <v>100</v>
      </c>
      <c r="V21" s="713" t="s">
        <v>17</v>
      </c>
      <c r="W21" s="714">
        <f>J21</f>
        <v>100</v>
      </c>
      <c r="X21" s="1536"/>
      <c r="Y21" s="3499"/>
      <c r="Z21" s="1537" t="str">
        <f>Q21</f>
        <v>基础设施水平</v>
      </c>
      <c r="AA21" s="1534">
        <f>D21/F21</f>
        <v>1</v>
      </c>
      <c r="AB21" s="1534">
        <f>D21/H21</f>
        <v>1</v>
      </c>
      <c r="AC21" s="1534">
        <f>D21/J21</f>
        <v>1</v>
      </c>
    </row>
    <row r="22" spans="1:29" ht="15">
      <c r="A22" s="387"/>
      <c r="B22" s="1291"/>
      <c r="C22" s="2084"/>
      <c r="D22" s="407"/>
      <c r="E22" s="406"/>
      <c r="F22" s="408"/>
      <c r="G22" s="406"/>
      <c r="H22" s="407"/>
      <c r="I22" s="406"/>
      <c r="J22" s="407"/>
      <c r="K22" s="1290"/>
      <c r="L22" s="1053"/>
      <c r="M22" s="1044"/>
      <c r="N22" s="1044"/>
      <c r="O22" s="1052"/>
      <c r="P22" s="3499"/>
      <c r="Q22" s="1533"/>
      <c r="R22" s="713"/>
      <c r="S22" s="714"/>
      <c r="T22" s="713"/>
      <c r="U22" s="714"/>
      <c r="V22" s="713"/>
      <c r="W22" s="714"/>
      <c r="X22" s="1536"/>
      <c r="Y22" s="3499"/>
      <c r="Z22" s="1537"/>
      <c r="AA22" s="1534">
        <v>1</v>
      </c>
      <c r="AB22" s="1534">
        <v>1</v>
      </c>
      <c r="AC22" s="1534">
        <v>1</v>
      </c>
    </row>
    <row r="23" spans="1:29" ht="71.25">
      <c r="A23" s="387"/>
      <c r="B23" s="410" t="s">
        <v>2505</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499"/>
      <c r="Q23" s="1533" t="str">
        <f>B23</f>
        <v>环境质量</v>
      </c>
      <c r="R23" s="713" t="s">
        <v>17</v>
      </c>
      <c r="S23" s="714">
        <f>F23</f>
        <v>100</v>
      </c>
      <c r="T23" s="713" t="s">
        <v>17</v>
      </c>
      <c r="U23" s="714">
        <f>H23</f>
        <v>100</v>
      </c>
      <c r="V23" s="713" t="s">
        <v>17</v>
      </c>
      <c r="W23" s="714">
        <f>J23</f>
        <v>100</v>
      </c>
      <c r="X23" s="1536"/>
      <c r="Y23" s="3499"/>
      <c r="Z23" s="1537" t="str">
        <f>Q23</f>
        <v>环境质量</v>
      </c>
      <c r="AA23" s="1534">
        <f t="shared" si="3"/>
        <v>1</v>
      </c>
      <c r="AB23" s="1534">
        <f t="shared" si="4"/>
        <v>1</v>
      </c>
      <c r="AC23" s="1534">
        <f t="shared" si="5"/>
        <v>1</v>
      </c>
    </row>
    <row r="24" spans="1:29" ht="15">
      <c r="A24" s="387"/>
      <c r="B24" s="1291"/>
      <c r="C24" s="406"/>
      <c r="D24" s="407"/>
      <c r="E24" s="2081"/>
      <c r="F24" s="408"/>
      <c r="G24" s="2080"/>
      <c r="H24" s="407"/>
      <c r="I24" s="2081"/>
      <c r="J24" s="407"/>
      <c r="K24" s="572"/>
      <c r="L24" s="1053"/>
      <c r="M24" s="1044"/>
      <c r="N24" s="1044"/>
      <c r="O24" s="1052"/>
      <c r="P24" s="3499"/>
      <c r="Q24" s="1533"/>
      <c r="R24" s="713"/>
      <c r="S24" s="714"/>
      <c r="T24" s="713"/>
      <c r="U24" s="714"/>
      <c r="V24" s="713"/>
      <c r="W24" s="714"/>
      <c r="X24" s="1536"/>
      <c r="Y24" s="3499"/>
      <c r="Z24" s="1537"/>
      <c r="AA24" s="1534">
        <v>1</v>
      </c>
      <c r="AB24" s="1534">
        <v>1</v>
      </c>
      <c r="AC24" s="1534">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99"/>
      <c r="Q25" s="1533">
        <f>B25</f>
        <v>111</v>
      </c>
      <c r="R25" s="713" t="s">
        <v>17</v>
      </c>
      <c r="S25" s="714">
        <f>F25</f>
        <v>100</v>
      </c>
      <c r="T25" s="713" t="s">
        <v>17</v>
      </c>
      <c r="U25" s="714">
        <f>H25</f>
        <v>100</v>
      </c>
      <c r="V25" s="713" t="s">
        <v>17</v>
      </c>
      <c r="W25" s="714">
        <f>J25</f>
        <v>100</v>
      </c>
      <c r="X25" s="1536"/>
      <c r="Y25" s="3499"/>
      <c r="Z25" s="1537">
        <f>Q25</f>
        <v>111</v>
      </c>
      <c r="AA25" s="1534">
        <f t="shared" si="3"/>
        <v>1</v>
      </c>
      <c r="AB25" s="1534">
        <f t="shared" si="4"/>
        <v>1</v>
      </c>
      <c r="AC25" s="1534">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99"/>
      <c r="Q26" s="1533">
        <f t="shared" ref="Q26:Q40" si="8">B26</f>
        <v>111</v>
      </c>
      <c r="R26" s="713" t="s">
        <v>17</v>
      </c>
      <c r="S26" s="714">
        <f>F26</f>
        <v>100</v>
      </c>
      <c r="T26" s="713" t="s">
        <v>17</v>
      </c>
      <c r="U26" s="714">
        <f>H26</f>
        <v>100</v>
      </c>
      <c r="V26" s="713" t="s">
        <v>17</v>
      </c>
      <c r="W26" s="714">
        <f>J26</f>
        <v>100</v>
      </c>
      <c r="X26" s="1536"/>
      <c r="Y26" s="3499"/>
      <c r="Z26" s="1537">
        <f>Q26</f>
        <v>111</v>
      </c>
      <c r="AA26" s="1534">
        <f t="shared" si="3"/>
        <v>1</v>
      </c>
      <c r="AB26" s="1534">
        <f t="shared" si="4"/>
        <v>1</v>
      </c>
      <c r="AC26" s="1534">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99"/>
      <c r="Q27" s="1524">
        <f t="shared" si="8"/>
        <v>111</v>
      </c>
      <c r="R27" s="709" t="s">
        <v>17</v>
      </c>
      <c r="S27" s="710">
        <f>F27</f>
        <v>100</v>
      </c>
      <c r="T27" s="709" t="s">
        <v>17</v>
      </c>
      <c r="U27" s="710">
        <f>H27</f>
        <v>100</v>
      </c>
      <c r="V27" s="709" t="s">
        <v>17</v>
      </c>
      <c r="W27" s="710">
        <f>J27</f>
        <v>100</v>
      </c>
      <c r="X27" s="711"/>
      <c r="Y27" s="3499"/>
      <c r="Z27" s="55">
        <f>Q27</f>
        <v>111</v>
      </c>
      <c r="AA27" s="1534">
        <f>D27/F27</f>
        <v>1</v>
      </c>
      <c r="AB27" s="1534">
        <f>D27/H27</f>
        <v>1</v>
      </c>
      <c r="AC27" s="1534">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99"/>
      <c r="Q28" s="1533">
        <f t="shared" si="8"/>
        <v>111</v>
      </c>
      <c r="R28" s="713" t="s">
        <v>17</v>
      </c>
      <c r="S28" s="714">
        <f t="shared" ref="S28:S40" si="9">F28</f>
        <v>100</v>
      </c>
      <c r="T28" s="713" t="s">
        <v>17</v>
      </c>
      <c r="U28" s="714">
        <f t="shared" ref="U28:U40" si="10">H28</f>
        <v>100</v>
      </c>
      <c r="V28" s="713" t="s">
        <v>17</v>
      </c>
      <c r="W28" s="714">
        <f t="shared" ref="W28:W40" si="11">J28</f>
        <v>100</v>
      </c>
      <c r="X28" s="1536"/>
      <c r="Y28" s="3499"/>
      <c r="Z28" s="1537">
        <f t="shared" ref="Z28:Z40" si="12">Q28</f>
        <v>111</v>
      </c>
      <c r="AA28" s="1534">
        <f t="shared" si="3"/>
        <v>1</v>
      </c>
      <c r="AB28" s="1534">
        <f t="shared" si="4"/>
        <v>1</v>
      </c>
      <c r="AC28" s="1534">
        <f t="shared" si="5"/>
        <v>1</v>
      </c>
    </row>
    <row r="29" spans="1:29" ht="28.5">
      <c r="A29" s="425" t="s">
        <v>2378</v>
      </c>
      <c r="B29" s="67" t="s">
        <v>2508</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500" t="s">
        <v>2380</v>
      </c>
      <c r="Q29" s="1533" t="str">
        <f t="shared" si="8"/>
        <v>建筑类型</v>
      </c>
      <c r="R29" s="713" t="s">
        <v>17</v>
      </c>
      <c r="S29" s="714">
        <f t="shared" si="9"/>
        <v>100</v>
      </c>
      <c r="T29" s="713" t="s">
        <v>17</v>
      </c>
      <c r="U29" s="714">
        <f t="shared" si="10"/>
        <v>100</v>
      </c>
      <c r="V29" s="713" t="s">
        <v>17</v>
      </c>
      <c r="W29" s="714">
        <f t="shared" si="11"/>
        <v>100</v>
      </c>
      <c r="X29" s="1536"/>
      <c r="Y29" s="3501" t="s">
        <v>2380</v>
      </c>
      <c r="Z29" s="1537" t="str">
        <f t="shared" si="12"/>
        <v>建筑类型</v>
      </c>
      <c r="AA29" s="1534">
        <f t="shared" si="3"/>
        <v>1</v>
      </c>
      <c r="AB29" s="1534">
        <f t="shared" si="4"/>
        <v>1</v>
      </c>
      <c r="AC29" s="1534">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501"/>
      <c r="Q30" s="715" t="str">
        <f t="shared" si="8"/>
        <v>项目建筑规模</v>
      </c>
      <c r="R30" s="716" t="s">
        <v>17</v>
      </c>
      <c r="S30" s="717" t="e">
        <f t="shared" si="9"/>
        <v>#N/A</v>
      </c>
      <c r="T30" s="716" t="s">
        <v>17</v>
      </c>
      <c r="U30" s="717" t="e">
        <f t="shared" si="10"/>
        <v>#N/A</v>
      </c>
      <c r="V30" s="716" t="s">
        <v>17</v>
      </c>
      <c r="W30" s="717" t="e">
        <f t="shared" si="11"/>
        <v>#N/A</v>
      </c>
      <c r="X30" s="718"/>
      <c r="Y30" s="3501"/>
      <c r="Z30" s="719" t="str">
        <f t="shared" si="12"/>
        <v>项目建筑规模</v>
      </c>
      <c r="AA30" s="1534" t="e">
        <f t="shared" si="3"/>
        <v>#N/A</v>
      </c>
      <c r="AB30" s="1534" t="e">
        <f t="shared" si="4"/>
        <v>#N/A</v>
      </c>
      <c r="AC30" s="1534"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501"/>
      <c r="Q31" s="1533" t="str">
        <f t="shared" si="8"/>
        <v>建筑结构</v>
      </c>
      <c r="R31" s="713" t="s">
        <v>17</v>
      </c>
      <c r="S31" s="714">
        <f t="shared" si="9"/>
        <v>100</v>
      </c>
      <c r="T31" s="713" t="s">
        <v>17</v>
      </c>
      <c r="U31" s="714">
        <f t="shared" si="10"/>
        <v>100</v>
      </c>
      <c r="V31" s="713" t="s">
        <v>17</v>
      </c>
      <c r="W31" s="714">
        <f t="shared" si="11"/>
        <v>100</v>
      </c>
      <c r="X31" s="1536"/>
      <c r="Y31" s="3501"/>
      <c r="Z31" s="1537" t="str">
        <f t="shared" si="12"/>
        <v>建筑结构</v>
      </c>
      <c r="AA31" s="1534">
        <f t="shared" si="3"/>
        <v>1</v>
      </c>
      <c r="AB31" s="1534">
        <f t="shared" si="4"/>
        <v>1</v>
      </c>
      <c r="AC31" s="1534">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501"/>
      <c r="Q32" s="1533" t="str">
        <f t="shared" si="8"/>
        <v>公共部分装修</v>
      </c>
      <c r="R32" s="713" t="s">
        <v>17</v>
      </c>
      <c r="S32" s="714">
        <f t="shared" si="9"/>
        <v>100</v>
      </c>
      <c r="T32" s="713" t="s">
        <v>17</v>
      </c>
      <c r="U32" s="714">
        <f t="shared" si="10"/>
        <v>100</v>
      </c>
      <c r="V32" s="713" t="s">
        <v>17</v>
      </c>
      <c r="W32" s="714">
        <f t="shared" si="11"/>
        <v>100</v>
      </c>
      <c r="X32" s="1536"/>
      <c r="Y32" s="3501"/>
      <c r="Z32" s="1537" t="str">
        <f t="shared" si="12"/>
        <v>公共部分装修</v>
      </c>
      <c r="AA32" s="1534">
        <f t="shared" si="3"/>
        <v>1</v>
      </c>
      <c r="AB32" s="1534">
        <f t="shared" si="4"/>
        <v>1</v>
      </c>
      <c r="AC32" s="1534">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501"/>
      <c r="Q33" s="1533" t="str">
        <f t="shared" si="8"/>
        <v>成新度</v>
      </c>
      <c r="R33" s="713" t="s">
        <v>17</v>
      </c>
      <c r="S33" s="714" t="e">
        <f t="shared" si="9"/>
        <v>#N/A</v>
      </c>
      <c r="T33" s="713" t="s">
        <v>17</v>
      </c>
      <c r="U33" s="714" t="e">
        <f t="shared" si="10"/>
        <v>#N/A</v>
      </c>
      <c r="V33" s="713" t="s">
        <v>17</v>
      </c>
      <c r="W33" s="714" t="e">
        <f t="shared" si="11"/>
        <v>#N/A</v>
      </c>
      <c r="X33" s="1536"/>
      <c r="Y33" s="3501"/>
      <c r="Z33" s="1537" t="str">
        <f t="shared" si="12"/>
        <v>成新度</v>
      </c>
      <c r="AA33" s="1534" t="e">
        <f t="shared" si="3"/>
        <v>#N/A</v>
      </c>
      <c r="AB33" s="1534" t="e">
        <f t="shared" si="4"/>
        <v>#N/A</v>
      </c>
      <c r="AC33" s="1534"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501"/>
      <c r="Q34" s="1524" t="str">
        <f t="shared" si="8"/>
        <v>物业管理</v>
      </c>
      <c r="R34" s="709" t="s">
        <v>17</v>
      </c>
      <c r="S34" s="710">
        <f t="shared" si="9"/>
        <v>100</v>
      </c>
      <c r="T34" s="709" t="s">
        <v>17</v>
      </c>
      <c r="U34" s="710">
        <f t="shared" si="10"/>
        <v>100</v>
      </c>
      <c r="V34" s="709" t="s">
        <v>17</v>
      </c>
      <c r="W34" s="710">
        <f t="shared" si="11"/>
        <v>100</v>
      </c>
      <c r="X34" s="711"/>
      <c r="Y34" s="3501"/>
      <c r="Z34" s="55" t="str">
        <f t="shared" si="12"/>
        <v>物业管理</v>
      </c>
      <c r="AA34" s="712">
        <f t="shared" si="3"/>
        <v>1</v>
      </c>
      <c r="AB34" s="712">
        <f t="shared" si="4"/>
        <v>1</v>
      </c>
      <c r="AC34" s="712">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501" t="s">
        <v>2380</v>
      </c>
      <c r="Q35" s="1533" t="str">
        <f t="shared" si="8"/>
        <v>市政基础设施</v>
      </c>
      <c r="R35" s="713" t="s">
        <v>17</v>
      </c>
      <c r="S35" s="714">
        <f t="shared" si="9"/>
        <v>100</v>
      </c>
      <c r="T35" s="713" t="s">
        <v>17</v>
      </c>
      <c r="U35" s="714">
        <f t="shared" si="10"/>
        <v>100</v>
      </c>
      <c r="V35" s="713" t="s">
        <v>17</v>
      </c>
      <c r="W35" s="714">
        <f t="shared" si="11"/>
        <v>100</v>
      </c>
      <c r="X35" s="1536"/>
      <c r="Y35" s="3501" t="s">
        <v>2380</v>
      </c>
      <c r="Z35" s="1537" t="str">
        <f t="shared" si="12"/>
        <v>市政基础设施</v>
      </c>
      <c r="AA35" s="1534">
        <f t="shared" si="3"/>
        <v>1</v>
      </c>
      <c r="AB35" s="1534">
        <f t="shared" si="4"/>
        <v>1</v>
      </c>
      <c r="AC35" s="1534">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501"/>
      <c r="Q36" s="1533" t="str">
        <f t="shared" si="8"/>
        <v>内部装修</v>
      </c>
      <c r="R36" s="713" t="s">
        <v>17</v>
      </c>
      <c r="S36" s="714">
        <f t="shared" si="9"/>
        <v>100</v>
      </c>
      <c r="T36" s="713" t="s">
        <v>17</v>
      </c>
      <c r="U36" s="714">
        <f t="shared" si="10"/>
        <v>100</v>
      </c>
      <c r="V36" s="713" t="s">
        <v>17</v>
      </c>
      <c r="W36" s="714">
        <f t="shared" si="11"/>
        <v>100</v>
      </c>
      <c r="X36" s="1536"/>
      <c r="Y36" s="3501"/>
      <c r="Z36" s="1537" t="str">
        <f t="shared" si="12"/>
        <v>内部装修</v>
      </c>
      <c r="AA36" s="1534">
        <f t="shared" si="3"/>
        <v>1</v>
      </c>
      <c r="AB36" s="1534">
        <f t="shared" si="4"/>
        <v>1</v>
      </c>
      <c r="AC36" s="1534">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501"/>
      <c r="Q37" s="1533" t="str">
        <f t="shared" si="8"/>
        <v>内部装修状况</v>
      </c>
      <c r="R37" s="713" t="s">
        <v>17</v>
      </c>
      <c r="S37" s="714">
        <f t="shared" si="9"/>
        <v>100</v>
      </c>
      <c r="T37" s="713" t="s">
        <v>17</v>
      </c>
      <c r="U37" s="714">
        <f t="shared" si="10"/>
        <v>100</v>
      </c>
      <c r="V37" s="713" t="s">
        <v>17</v>
      </c>
      <c r="W37" s="714">
        <f t="shared" si="11"/>
        <v>100</v>
      </c>
      <c r="X37" s="1536"/>
      <c r="Y37" s="3501"/>
      <c r="Z37" s="1537" t="str">
        <f t="shared" si="12"/>
        <v>内部装修状况</v>
      </c>
      <c r="AA37" s="1534">
        <f t="shared" si="3"/>
        <v>1</v>
      </c>
      <c r="AB37" s="1534">
        <f t="shared" si="4"/>
        <v>1</v>
      </c>
      <c r="AC37" s="1534">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501"/>
      <c r="Q38" s="715">
        <f t="shared" si="8"/>
        <v>111</v>
      </c>
      <c r="R38" s="716" t="s">
        <v>17</v>
      </c>
      <c r="S38" s="717">
        <f t="shared" si="9"/>
        <v>100</v>
      </c>
      <c r="T38" s="716" t="s">
        <v>17</v>
      </c>
      <c r="U38" s="717">
        <f t="shared" si="10"/>
        <v>100</v>
      </c>
      <c r="V38" s="716" t="s">
        <v>17</v>
      </c>
      <c r="W38" s="717">
        <f t="shared" si="11"/>
        <v>100</v>
      </c>
      <c r="X38" s="718"/>
      <c r="Y38" s="3501"/>
      <c r="Z38" s="719">
        <f t="shared" si="12"/>
        <v>111</v>
      </c>
      <c r="AA38" s="1534">
        <f t="shared" si="3"/>
        <v>1</v>
      </c>
      <c r="AB38" s="1534">
        <f t="shared" si="4"/>
        <v>1</v>
      </c>
      <c r="AC38" s="1534">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501"/>
      <c r="Q39" s="1533">
        <f t="shared" si="8"/>
        <v>111</v>
      </c>
      <c r="R39" s="713" t="s">
        <v>17</v>
      </c>
      <c r="S39" s="714">
        <f t="shared" si="9"/>
        <v>100</v>
      </c>
      <c r="T39" s="713" t="s">
        <v>17</v>
      </c>
      <c r="U39" s="714">
        <f t="shared" si="10"/>
        <v>100</v>
      </c>
      <c r="V39" s="713" t="s">
        <v>17</v>
      </c>
      <c r="W39" s="714">
        <f t="shared" si="11"/>
        <v>100</v>
      </c>
      <c r="X39" s="1536"/>
      <c r="Y39" s="3501"/>
      <c r="Z39" s="1537">
        <f t="shared" si="12"/>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579"/>
      <c r="Q40" s="1533">
        <f t="shared" si="8"/>
        <v>111</v>
      </c>
      <c r="R40" s="713" t="s">
        <v>17</v>
      </c>
      <c r="S40" s="714">
        <f t="shared" si="9"/>
        <v>100</v>
      </c>
      <c r="T40" s="713" t="s">
        <v>17</v>
      </c>
      <c r="U40" s="714">
        <f t="shared" si="10"/>
        <v>100</v>
      </c>
      <c r="V40" s="713" t="s">
        <v>17</v>
      </c>
      <c r="W40" s="714">
        <f t="shared" si="11"/>
        <v>100</v>
      </c>
      <c r="X40" s="1536"/>
      <c r="Y40" s="3579"/>
      <c r="Z40" s="1537">
        <f t="shared" si="12"/>
        <v>111</v>
      </c>
      <c r="AA40" s="1534">
        <f t="shared" si="3"/>
        <v>1</v>
      </c>
      <c r="AB40" s="1534">
        <f t="shared" si="4"/>
        <v>1</v>
      </c>
      <c r="AC40" s="1534">
        <f t="shared" si="5"/>
        <v>1</v>
      </c>
    </row>
    <row r="41" spans="1:29" ht="15">
      <c r="A41" s="438" t="s">
        <v>2392</v>
      </c>
      <c r="B41" s="439"/>
      <c r="C41" s="1314" t="s">
        <v>1</v>
      </c>
      <c r="D41" s="1315"/>
      <c r="E41" s="1316"/>
      <c r="F41" s="1317"/>
      <c r="G41" s="1318"/>
      <c r="H41" s="1319"/>
      <c r="I41" s="1316"/>
      <c r="J41" s="1319"/>
      <c r="K41" s="722"/>
      <c r="L41" s="1056"/>
      <c r="M41" s="1057"/>
      <c r="N41" s="1044"/>
      <c r="O41" s="1057"/>
      <c r="P41" s="3496" t="str">
        <f>A41</f>
        <v>成交单价（元/平方米）</v>
      </c>
      <c r="Q41" s="3496"/>
      <c r="R41" s="3575">
        <f>E41</f>
        <v>0</v>
      </c>
      <c r="S41" s="3575"/>
      <c r="T41" s="3575">
        <f>G41</f>
        <v>0</v>
      </c>
      <c r="U41" s="3575"/>
      <c r="V41" s="3575">
        <f>I41</f>
        <v>0</v>
      </c>
      <c r="W41" s="3575"/>
      <c r="X41" s="698"/>
      <c r="Y41" s="720"/>
      <c r="Z41" s="698"/>
      <c r="AA41" s="698"/>
      <c r="AB41" s="698"/>
      <c r="AC41" s="698"/>
    </row>
    <row r="42" spans="1:29" ht="15.75" thickBot="1">
      <c r="A42" s="445" t="s">
        <v>2484</v>
      </c>
      <c r="B42" s="446"/>
      <c r="C42" s="1320" t="e">
        <f>R43</f>
        <v>#DIV/0!</v>
      </c>
      <c r="D42" s="2535" t="s">
        <v>2873</v>
      </c>
      <c r="E42" s="1321" t="e">
        <f>R42</f>
        <v>#DIV/0!</v>
      </c>
      <c r="F42" s="2536"/>
      <c r="G42" s="1320" t="e">
        <f>T42</f>
        <v>#DIV/0!</v>
      </c>
      <c r="H42" s="2536"/>
      <c r="I42" s="1321" t="e">
        <f>V42</f>
        <v>#DIV/0!</v>
      </c>
      <c r="J42" s="2536"/>
      <c r="K42" s="2538">
        <f>F42+H42+J42</f>
        <v>0</v>
      </c>
      <c r="L42" s="1056"/>
      <c r="M42" s="1057"/>
      <c r="N42" s="1044"/>
      <c r="O42" s="1057"/>
      <c r="P42" s="3496" t="str">
        <f>A42</f>
        <v>比较价值（元/平方米）</v>
      </c>
      <c r="Q42" s="3496"/>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698"/>
      <c r="Y42" s="698"/>
      <c r="Z42" s="698"/>
      <c r="AA42" s="698"/>
      <c r="AB42" s="698"/>
      <c r="AC42" s="698"/>
    </row>
    <row r="43" spans="1:29" ht="15.75" thickBot="1">
      <c r="A43" s="449" t="s">
        <v>2485</v>
      </c>
      <c r="B43" s="450"/>
      <c r="C43" s="1323" t="e">
        <f>R43</f>
        <v>#DIV/0!</v>
      </c>
      <c r="D43" s="1323"/>
      <c r="E43" s="1323"/>
      <c r="F43" s="1323"/>
      <c r="G43" s="1323"/>
      <c r="H43" s="1323"/>
      <c r="I43" s="1323"/>
      <c r="J43" s="1323"/>
      <c r="K43" s="723"/>
      <c r="L43" s="1056"/>
      <c r="M43" s="1057"/>
      <c r="N43" s="1057"/>
      <c r="O43" s="1057"/>
      <c r="P43" s="3490" t="str">
        <f>A43</f>
        <v>估价对象XX用房的比较价值（楼面单价，元/平方米）</v>
      </c>
      <c r="Q43" s="3491"/>
      <c r="R43" s="3574" t="e">
        <f>IF(F1="售价",ROUND(IF(D42="简单平均",AVERAGE(R42:V42),R42*F42+T42*H42+V42*J42),0),ROUND(IF(D42="简单平均",AVERAGE(R42:V42),R42*F42+T42*H42+V42*J42),1))</f>
        <v>#DIV/0!</v>
      </c>
      <c r="S43" s="3574"/>
      <c r="T43" s="3574"/>
      <c r="U43" s="3574"/>
      <c r="V43" s="3574"/>
      <c r="W43" s="3574"/>
      <c r="X43" s="698"/>
      <c r="Y43" s="698"/>
      <c r="Z43" s="698"/>
      <c r="AA43" s="698"/>
      <c r="AB43" s="698"/>
      <c r="AC43" s="698"/>
    </row>
    <row r="44" spans="1:29">
      <c r="A44" s="2948"/>
      <c r="B44" s="2948"/>
      <c r="C44" s="2948"/>
      <c r="D44" s="2948"/>
      <c r="E44" s="2948"/>
      <c r="F44" s="2948"/>
      <c r="G44" s="2952"/>
      <c r="H44" s="2948"/>
      <c r="I44" s="2948"/>
      <c r="J44" s="2948"/>
      <c r="K44" s="2953"/>
      <c r="L44" s="1019"/>
      <c r="M44" s="1057"/>
      <c r="N44" s="1057"/>
      <c r="O44" s="1057"/>
    </row>
    <row r="45" spans="1:29">
      <c r="A45" s="2948"/>
      <c r="B45" s="2948"/>
      <c r="C45" s="2948"/>
      <c r="D45" s="2948"/>
      <c r="E45" s="2948"/>
      <c r="F45" s="2948"/>
      <c r="G45" s="2948"/>
      <c r="H45" s="2948"/>
      <c r="I45" s="2948"/>
      <c r="J45" s="2948"/>
      <c r="K45" s="2953"/>
      <c r="L45" s="1019"/>
      <c r="M45" s="1057"/>
      <c r="N45" s="1057"/>
      <c r="O45" s="1057"/>
    </row>
    <row r="46" spans="1:29" ht="13.5" customHeight="1">
      <c r="A46" s="2948"/>
      <c r="B46" s="2948"/>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9"/>
      <c r="M46" s="1057"/>
      <c r="N46" s="1057"/>
      <c r="O46" s="1057"/>
    </row>
    <row r="47" spans="1:29" ht="13.5" customHeight="1">
      <c r="A47" s="2948"/>
      <c r="B47" s="2948"/>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9"/>
      <c r="M47" s="1057"/>
      <c r="N47" s="1057"/>
      <c r="O47" s="1057"/>
    </row>
    <row r="48" spans="1:29" s="459" customFormat="1" ht="13.5" customHeight="1">
      <c r="A48" s="2951"/>
      <c r="B48" s="2951"/>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0"/>
      <c r="M48" s="1058"/>
      <c r="N48" s="1058"/>
      <c r="O48" s="1058"/>
    </row>
    <row r="49" spans="1:17" s="459" customFormat="1">
      <c r="A49" s="2951"/>
      <c r="B49" s="2954"/>
      <c r="C49" s="2955"/>
      <c r="D49" s="2951"/>
      <c r="E49" s="2951"/>
      <c r="F49" s="2951"/>
      <c r="G49" s="2951"/>
      <c r="H49" s="2951"/>
      <c r="I49" s="2951"/>
      <c r="J49" s="2951"/>
      <c r="K49" s="2956"/>
      <c r="L49" s="1060"/>
      <c r="M49" s="1058"/>
      <c r="N49" s="1058"/>
      <c r="O49" s="1058"/>
    </row>
    <row r="50" spans="1:17">
      <c r="A50" s="2948"/>
      <c r="B50" s="2954"/>
      <c r="C50" s="2955"/>
      <c r="D50" s="2948"/>
      <c r="E50" s="2948"/>
      <c r="F50" s="2948"/>
      <c r="G50" s="2948"/>
      <c r="H50" s="2948"/>
      <c r="I50" s="2948"/>
      <c r="J50" s="2948"/>
      <c r="K50" s="2953"/>
      <c r="L50" s="1019"/>
      <c r="M50" s="1057"/>
      <c r="N50" s="1057"/>
      <c r="O50" s="1057"/>
    </row>
    <row r="51" spans="1:17" ht="21.75" thickBot="1">
      <c r="A51" s="702" t="s">
        <v>2489</v>
      </c>
      <c r="B51" s="698"/>
      <c r="C51" s="703"/>
      <c r="D51" s="703"/>
      <c r="E51" s="703"/>
      <c r="F51" s="704"/>
      <c r="G51" s="704"/>
      <c r="H51" s="703"/>
      <c r="I51" s="703"/>
      <c r="J51" s="703"/>
      <c r="K51" s="1071"/>
      <c r="L51" s="1072"/>
      <c r="M51" s="1070"/>
      <c r="N51" s="1070"/>
      <c r="O51" s="1070"/>
      <c r="P51" s="460"/>
      <c r="Q51" s="461"/>
    </row>
    <row r="52" spans="1:17" s="465" customFormat="1" ht="15">
      <c r="A52" s="462" t="s">
        <v>2363</v>
      </c>
      <c r="B52" s="463"/>
      <c r="C52" s="1344" t="str">
        <f>YEAR(C7)&amp;"-"&amp;MONTH(C7)</f>
        <v>2021-12</v>
      </c>
      <c r="D52" s="1345">
        <f>EDATE(C52,-1)</f>
        <v>44501</v>
      </c>
      <c r="E52" s="1345">
        <f t="shared" ref="E52:O52" si="13">EDATE(D52,-1)</f>
        <v>44470</v>
      </c>
      <c r="F52" s="1345">
        <f t="shared" si="13"/>
        <v>44440</v>
      </c>
      <c r="G52" s="1345">
        <f t="shared" si="13"/>
        <v>44409</v>
      </c>
      <c r="H52" s="1345">
        <f t="shared" si="13"/>
        <v>44378</v>
      </c>
      <c r="I52" s="1345">
        <f t="shared" si="13"/>
        <v>44348</v>
      </c>
      <c r="J52" s="1345">
        <f t="shared" si="13"/>
        <v>44317</v>
      </c>
      <c r="K52" s="1345">
        <f t="shared" si="13"/>
        <v>44287</v>
      </c>
      <c r="L52" s="1345">
        <f t="shared" si="13"/>
        <v>44256</v>
      </c>
      <c r="M52" s="1345">
        <f t="shared" si="13"/>
        <v>44228</v>
      </c>
      <c r="N52" s="1345">
        <f t="shared" si="13"/>
        <v>44197</v>
      </c>
      <c r="O52" s="1345">
        <f t="shared" si="13"/>
        <v>44166</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3"/>
      <c r="O54" s="2994"/>
      <c r="P54" s="461"/>
      <c r="Q54" s="461"/>
    </row>
    <row r="55" spans="1:17" s="113" customFormat="1" ht="15">
      <c r="A55" s="478" t="s">
        <v>2365</v>
      </c>
      <c r="B55" s="467"/>
      <c r="C55" s="479" t="s">
        <v>2467</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2403</v>
      </c>
      <c r="B57" s="485" t="s">
        <v>2369</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2373</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9"/>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1"/>
      <c r="B87" s="526"/>
      <c r="C87" s="527"/>
      <c r="D87" s="527"/>
      <c r="E87" s="527"/>
      <c r="F87" s="527"/>
      <c r="G87" s="548"/>
      <c r="H87" s="548"/>
      <c r="I87" s="548"/>
      <c r="J87" s="548"/>
      <c r="K87" s="548"/>
      <c r="L87" s="548"/>
      <c r="M87" s="549"/>
      <c r="N87" s="1064"/>
      <c r="O87" s="1064"/>
      <c r="P87" s="45"/>
      <c r="Q87" s="461"/>
    </row>
    <row r="88" spans="1:17">
      <c r="A88" s="484" t="s">
        <v>2378</v>
      </c>
      <c r="B88" s="485" t="s">
        <v>2427</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4"/>
      <c r="O89" s="1064"/>
      <c r="P89" s="45"/>
      <c r="Q89" s="461"/>
    </row>
    <row r="90" spans="1:17" ht="15.75" thickTop="1">
      <c r="A90" s="491"/>
      <c r="B90" s="495" t="s">
        <v>2428</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2429</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4"/>
      <c r="O94" s="1064"/>
      <c r="P94" s="45"/>
      <c r="Q94" s="461"/>
    </row>
    <row r="95" spans="1:17" ht="15" thickTop="1">
      <c r="A95" s="556"/>
      <c r="B95" s="495" t="s">
        <v>2431</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4"/>
      <c r="O96" s="1064"/>
      <c r="P96" s="45"/>
      <c r="Q96" s="461"/>
    </row>
    <row r="97" spans="1:17" ht="15" thickTop="1">
      <c r="A97" s="556"/>
      <c r="B97" s="495" t="s">
        <v>1870</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4"/>
      <c r="O99" s="1064"/>
      <c r="P99" s="45"/>
      <c r="Q99" s="461"/>
    </row>
    <row r="100" spans="1:17" s="430" customFormat="1" ht="15" thickTop="1">
      <c r="A100" s="550"/>
      <c r="B100" s="495" t="s">
        <v>2432</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5"/>
      <c r="O101" s="1065"/>
      <c r="P101" s="515"/>
      <c r="Q101" s="516"/>
    </row>
    <row r="102" spans="1:17" ht="15" thickTop="1">
      <c r="A102" s="556"/>
      <c r="B102" s="495" t="s">
        <v>2433</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4"/>
      <c r="O103" s="1064"/>
      <c r="P103" s="45"/>
      <c r="Q103" s="461"/>
    </row>
    <row r="104" spans="1:17" ht="15" thickTop="1">
      <c r="A104" s="556"/>
      <c r="B104" s="495" t="s">
        <v>2435</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4"/>
      <c r="O106" s="1064"/>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392"/>
      <c r="F1" s="2062"/>
      <c r="G1" s="1393" t="s">
        <v>2458</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2142</v>
      </c>
      <c r="B2" s="1324" t="e">
        <f ca="1">IF(C2="——",IF(B37="元/平方米",ROUND(C39*D3/10000,0),ROUND(F3*C39/10000,0)),IF(B37="元/平方米",ROUND(C39*D3/10000,0),ROUND(F3*C39/10000,0))-D2)</f>
        <v>#DIV/0!</v>
      </c>
      <c r="C2" s="2064"/>
      <c r="D2" s="1037" t="e">
        <f ca="1">SUMIF(INDIRECT("'"&amp;F2&amp;"'"&amp;"!A:A"),"承租人权益价值",INDIRECT("'"&amp;F2&amp;"'"&amp;"!c:c"))</f>
        <v>#REF!</v>
      </c>
      <c r="E2" s="2065" t="s">
        <v>2143</v>
      </c>
      <c r="F2" s="2066"/>
      <c r="G2" s="1038"/>
      <c r="H2" s="1038"/>
      <c r="I2" s="1038"/>
      <c r="J2" s="1038"/>
      <c r="K2" s="1040"/>
      <c r="L2" s="2957"/>
      <c r="M2" s="2958"/>
      <c r="N2" s="2958"/>
      <c r="O2" s="2958"/>
      <c r="P2" s="1325"/>
      <c r="Q2" s="707"/>
      <c r="R2" s="707"/>
      <c r="S2" s="707"/>
      <c r="T2" s="707"/>
      <c r="U2" s="707"/>
      <c r="V2" s="707"/>
      <c r="W2" s="707"/>
      <c r="X2" s="707"/>
      <c r="Y2" s="707"/>
      <c r="Z2" s="707"/>
      <c r="AA2" s="707"/>
      <c r="AB2" s="707"/>
      <c r="AC2" s="708"/>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8"/>
      <c r="H3" s="1038"/>
      <c r="I3" s="1038"/>
      <c r="J3" s="1038"/>
      <c r="K3" s="1040"/>
      <c r="L3" s="2957"/>
      <c r="M3" s="2958"/>
      <c r="N3" s="2958"/>
      <c r="O3" s="2958"/>
      <c r="P3" s="1325"/>
      <c r="Q3" s="707"/>
      <c r="R3" s="707"/>
      <c r="S3" s="707"/>
      <c r="T3" s="707"/>
      <c r="U3" s="707"/>
      <c r="V3" s="707"/>
      <c r="W3" s="707"/>
      <c r="X3" s="707"/>
      <c r="Y3" s="707"/>
      <c r="Z3" s="707"/>
      <c r="AA3" s="707"/>
      <c r="AB3" s="724"/>
      <c r="AC3" s="721"/>
    </row>
    <row r="4" spans="1:29" ht="15">
      <c r="A4" s="361" t="s">
        <v>2460</v>
      </c>
      <c r="B4" s="362"/>
      <c r="C4" s="3493" t="s">
        <v>2461</v>
      </c>
      <c r="D4" s="3506"/>
      <c r="E4" s="3507" t="s">
        <v>2462</v>
      </c>
      <c r="F4" s="3508"/>
      <c r="G4" s="3493" t="s">
        <v>2463</v>
      </c>
      <c r="H4" s="3506"/>
      <c r="I4" s="3493" t="s">
        <v>2464</v>
      </c>
      <c r="J4" s="3506"/>
      <c r="K4" s="567" t="s">
        <v>2465</v>
      </c>
      <c r="L4" s="2938"/>
      <c r="M4" s="2939"/>
      <c r="N4" s="2939"/>
      <c r="O4" s="2939"/>
      <c r="P4" s="3509" t="s">
        <v>2466</v>
      </c>
      <c r="Q4" s="3510"/>
      <c r="R4" s="3515" t="s">
        <v>2462</v>
      </c>
      <c r="S4" s="3516"/>
      <c r="T4" s="3515" t="s">
        <v>2463</v>
      </c>
      <c r="U4" s="3516"/>
      <c r="V4" s="3502" t="s">
        <v>2464</v>
      </c>
      <c r="W4" s="3502"/>
      <c r="X4" s="1536"/>
      <c r="Y4" s="3515" t="s">
        <v>2466</v>
      </c>
      <c r="Z4" s="3516"/>
      <c r="AA4" s="3503" t="s">
        <v>2462</v>
      </c>
      <c r="AB4" s="3504" t="s">
        <v>2463</v>
      </c>
      <c r="AC4" s="3503" t="s">
        <v>2464</v>
      </c>
    </row>
    <row r="5" spans="1:29" ht="15">
      <c r="A5" s="364"/>
      <c r="B5" s="365"/>
      <c r="C5" s="3523" t="s">
        <v>2357</v>
      </c>
      <c r="D5" s="3524"/>
      <c r="E5" s="3532" t="s">
        <v>2358</v>
      </c>
      <c r="F5" s="3533"/>
      <c r="G5" s="3523" t="s">
        <v>2359</v>
      </c>
      <c r="H5" s="3524"/>
      <c r="I5" s="3523" t="s">
        <v>2360</v>
      </c>
      <c r="J5" s="3524"/>
      <c r="K5" s="567"/>
      <c r="L5" s="2938"/>
      <c r="M5" s="2939"/>
      <c r="N5" s="2939"/>
      <c r="O5" s="2939"/>
      <c r="P5" s="3511"/>
      <c r="Q5" s="3512"/>
      <c r="R5" s="3517"/>
      <c r="S5" s="3518"/>
      <c r="T5" s="3517"/>
      <c r="U5" s="3518"/>
      <c r="V5" s="3502"/>
      <c r="W5" s="3502"/>
      <c r="X5" s="1536"/>
      <c r="Y5" s="3517"/>
      <c r="Z5" s="3518"/>
      <c r="AA5" s="3504"/>
      <c r="AB5" s="3504"/>
      <c r="AC5" s="3504"/>
    </row>
    <row r="6" spans="1:29" ht="15.75" thickBot="1">
      <c r="A6" s="366"/>
      <c r="B6" s="367"/>
      <c r="C6" s="3521" t="s">
        <v>2361</v>
      </c>
      <c r="D6" s="3522"/>
      <c r="E6" s="3582" t="s">
        <v>2361</v>
      </c>
      <c r="F6" s="3583"/>
      <c r="G6" s="3521" t="s">
        <v>2361</v>
      </c>
      <c r="H6" s="3522"/>
      <c r="I6" s="3521" t="s">
        <v>2361</v>
      </c>
      <c r="J6" s="3522"/>
      <c r="K6" s="567" t="s">
        <v>2362</v>
      </c>
      <c r="L6" s="2938"/>
      <c r="M6" s="2939"/>
      <c r="N6" s="2939"/>
      <c r="O6" s="2939"/>
      <c r="P6" s="3513"/>
      <c r="Q6" s="3514"/>
      <c r="R6" s="3517"/>
      <c r="S6" s="3518"/>
      <c r="T6" s="3519"/>
      <c r="U6" s="3520"/>
      <c r="V6" s="3502"/>
      <c r="W6" s="3502"/>
      <c r="X6" s="1536"/>
      <c r="Y6" s="3519"/>
      <c r="Z6" s="3520"/>
      <c r="AA6" s="3505"/>
      <c r="AB6" s="3505"/>
      <c r="AC6" s="3505"/>
    </row>
    <row r="7" spans="1:29" s="113" customFormat="1" ht="15.75" thickBot="1">
      <c r="A7" s="368" t="s">
        <v>2363</v>
      </c>
      <c r="B7" s="369"/>
      <c r="C7" s="370">
        <f>'数据-取费表'!B2</f>
        <v>44541</v>
      </c>
      <c r="D7" s="371">
        <v>100</v>
      </c>
      <c r="E7" s="372"/>
      <c r="F7" s="373">
        <f>SUMIF(48:48,YEAR(E7)&amp;"-"&amp;MONTH(E7),49:49)</f>
        <v>0</v>
      </c>
      <c r="G7" s="372"/>
      <c r="H7" s="371">
        <f>SUMIF(48:48,YEAR(G7)&amp;"-"&amp;MONTH(G7),49:49)</f>
        <v>0</v>
      </c>
      <c r="I7" s="372"/>
      <c r="J7" s="371">
        <f>SUMIF(48:48,YEAR(I7)&amp;"-"&amp;MONTH(I7),49:49)</f>
        <v>0</v>
      </c>
      <c r="K7" s="568"/>
      <c r="L7" s="2940"/>
      <c r="M7" s="2941"/>
      <c r="N7" s="2941"/>
      <c r="O7" s="2941"/>
      <c r="P7" s="3525" t="s">
        <v>2364</v>
      </c>
      <c r="Q7" s="3527"/>
      <c r="R7" s="709" t="s">
        <v>17</v>
      </c>
      <c r="S7" s="710">
        <f t="shared" ref="S7:S14" si="0">F7</f>
        <v>0</v>
      </c>
      <c r="T7" s="709" t="s">
        <v>17</v>
      </c>
      <c r="U7" s="710">
        <f t="shared" ref="U7:U14" si="1">H7</f>
        <v>0</v>
      </c>
      <c r="V7" s="709" t="s">
        <v>17</v>
      </c>
      <c r="W7" s="710">
        <f t="shared" ref="W7:W14" si="2">J7</f>
        <v>0</v>
      </c>
      <c r="X7" s="711"/>
      <c r="Y7" s="3525" t="s">
        <v>2364</v>
      </c>
      <c r="Z7" s="3526"/>
      <c r="AA7" s="712" t="e">
        <f>D7/F7</f>
        <v>#DIV/0!</v>
      </c>
      <c r="AB7" s="712" t="e">
        <f>D7/H7</f>
        <v>#DIV/0!</v>
      </c>
      <c r="AC7" s="712"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525" t="s">
        <v>2367</v>
      </c>
      <c r="Q8" s="3526"/>
      <c r="R8" s="709" t="s">
        <v>17</v>
      </c>
      <c r="S8" s="710">
        <f t="shared" si="0"/>
        <v>0</v>
      </c>
      <c r="T8" s="709" t="s">
        <v>17</v>
      </c>
      <c r="U8" s="710">
        <f t="shared" si="1"/>
        <v>0</v>
      </c>
      <c r="V8" s="709" t="s">
        <v>17</v>
      </c>
      <c r="W8" s="710">
        <f t="shared" si="2"/>
        <v>0</v>
      </c>
      <c r="X8" s="711"/>
      <c r="Y8" s="3525" t="s">
        <v>2367</v>
      </c>
      <c r="Z8" s="3526"/>
      <c r="AA8" s="712" t="e">
        <f t="shared" ref="AA8:AA36" si="3">D8/F8</f>
        <v>#DIV/0!</v>
      </c>
      <c r="AB8" s="712" t="e">
        <f t="shared" ref="AB8:AB36" si="4">D8/H8</f>
        <v>#DIV/0!</v>
      </c>
      <c r="AC8" s="712"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496" t="s">
        <v>2370</v>
      </c>
      <c r="Q9" s="1524" t="str">
        <f t="shared" ref="Q9:Q14" si="6">B9</f>
        <v>用途</v>
      </c>
      <c r="R9" s="709" t="s">
        <v>17</v>
      </c>
      <c r="S9" s="710">
        <f t="shared" si="0"/>
        <v>100</v>
      </c>
      <c r="T9" s="709" t="s">
        <v>17</v>
      </c>
      <c r="U9" s="710">
        <f t="shared" si="1"/>
        <v>100</v>
      </c>
      <c r="V9" s="709" t="s">
        <v>17</v>
      </c>
      <c r="W9" s="710">
        <f t="shared" si="2"/>
        <v>100</v>
      </c>
      <c r="X9" s="711"/>
      <c r="Y9" s="3386" t="s">
        <v>2371</v>
      </c>
      <c r="Z9" s="55" t="str">
        <f t="shared" ref="Z9:Z14" si="7">Q9</f>
        <v>用途</v>
      </c>
      <c r="AA9" s="712">
        <f t="shared" si="3"/>
        <v>1</v>
      </c>
      <c r="AB9" s="712">
        <f t="shared" si="4"/>
        <v>1</v>
      </c>
      <c r="AC9" s="712">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496"/>
      <c r="Q10" s="1524"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496"/>
      <c r="Q11" s="1524">
        <f t="shared" si="6"/>
        <v>111</v>
      </c>
      <c r="R11" s="709" t="s">
        <v>17</v>
      </c>
      <c r="S11" s="710">
        <f t="shared" si="0"/>
        <v>100</v>
      </c>
      <c r="T11" s="709" t="s">
        <v>17</v>
      </c>
      <c r="U11" s="710">
        <f t="shared" si="1"/>
        <v>100</v>
      </c>
      <c r="V11" s="709" t="s">
        <v>17</v>
      </c>
      <c r="W11" s="710">
        <f t="shared" si="2"/>
        <v>100</v>
      </c>
      <c r="X11" s="711"/>
      <c r="Y11" s="3386"/>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496"/>
      <c r="Q12" s="1524">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496"/>
      <c r="Q13" s="1524">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85.5">
      <c r="A14" s="361" t="s">
        <v>2374</v>
      </c>
      <c r="B14" s="585" t="s">
        <v>2524</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498" t="s">
        <v>2375</v>
      </c>
      <c r="Q14" s="1533" t="str">
        <f t="shared" si="6"/>
        <v>交通便捷度</v>
      </c>
      <c r="R14" s="713" t="s">
        <v>17</v>
      </c>
      <c r="S14" s="714">
        <f t="shared" si="0"/>
        <v>100</v>
      </c>
      <c r="T14" s="713" t="s">
        <v>17</v>
      </c>
      <c r="U14" s="714">
        <f t="shared" si="1"/>
        <v>100</v>
      </c>
      <c r="V14" s="713" t="s">
        <v>17</v>
      </c>
      <c r="W14" s="714">
        <f t="shared" si="2"/>
        <v>100</v>
      </c>
      <c r="X14" s="1536"/>
      <c r="Y14" s="3498" t="s">
        <v>2375</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5"/>
      <c r="M15" s="2939"/>
      <c r="N15" s="2939"/>
      <c r="O15" s="2939"/>
      <c r="P15" s="3499"/>
      <c r="Q15" s="1533"/>
      <c r="R15" s="713"/>
      <c r="S15" s="714"/>
      <c r="T15" s="713"/>
      <c r="U15" s="714"/>
      <c r="V15" s="713"/>
      <c r="W15" s="714"/>
      <c r="X15" s="1536"/>
      <c r="Y15" s="3499"/>
      <c r="Z15" s="1537"/>
      <c r="AA15" s="1534">
        <v>1</v>
      </c>
      <c r="AB15" s="1534">
        <v>1</v>
      </c>
      <c r="AC15" s="1534">
        <v>1</v>
      </c>
    </row>
    <row r="16" spans="1:29" ht="42.75">
      <c r="A16" s="364"/>
      <c r="B16" s="587" t="s">
        <v>2503</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499"/>
      <c r="Q16" s="1533" t="str">
        <f>B16</f>
        <v>公共配套设施</v>
      </c>
      <c r="R16" s="713" t="s">
        <v>17</v>
      </c>
      <c r="S16" s="714">
        <f>F16</f>
        <v>100</v>
      </c>
      <c r="T16" s="713" t="s">
        <v>17</v>
      </c>
      <c r="U16" s="714">
        <f>H16</f>
        <v>100</v>
      </c>
      <c r="V16" s="713" t="s">
        <v>17</v>
      </c>
      <c r="W16" s="714">
        <f>J16</f>
        <v>100</v>
      </c>
      <c r="X16" s="1536"/>
      <c r="Y16" s="3499"/>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5"/>
      <c r="M17" s="2939"/>
      <c r="N17" s="2939"/>
      <c r="O17" s="2939"/>
      <c r="P17" s="3499"/>
      <c r="Q17" s="1533"/>
      <c r="R17" s="713"/>
      <c r="S17" s="714"/>
      <c r="T17" s="713"/>
      <c r="U17" s="714"/>
      <c r="V17" s="713"/>
      <c r="W17" s="714"/>
      <c r="X17" s="1536"/>
      <c r="Y17" s="3499"/>
      <c r="Z17" s="1537"/>
      <c r="AA17" s="1534">
        <v>1</v>
      </c>
      <c r="AB17" s="1534">
        <v>1</v>
      </c>
      <c r="AC17" s="1534">
        <v>1</v>
      </c>
    </row>
    <row r="18" spans="1:29" ht="28.5">
      <c r="A18" s="364"/>
      <c r="B18" s="589" t="s">
        <v>2504</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499"/>
      <c r="Q18" s="1533" t="str">
        <f>B18</f>
        <v>基础设施水平</v>
      </c>
      <c r="R18" s="713" t="s">
        <v>17</v>
      </c>
      <c r="S18" s="714">
        <f>F18</f>
        <v>100</v>
      </c>
      <c r="T18" s="713" t="s">
        <v>17</v>
      </c>
      <c r="U18" s="714">
        <f>H18</f>
        <v>100</v>
      </c>
      <c r="V18" s="713" t="s">
        <v>17</v>
      </c>
      <c r="W18" s="714">
        <f>J18</f>
        <v>100</v>
      </c>
      <c r="X18" s="1536"/>
      <c r="Y18" s="3499"/>
      <c r="Z18" s="1537" t="str">
        <f>Q18</f>
        <v>基础设施水平</v>
      </c>
      <c r="AA18" s="1534">
        <f>D18/F18</f>
        <v>1</v>
      </c>
      <c r="AB18" s="1534">
        <f>D18/H18</f>
        <v>1</v>
      </c>
      <c r="AC18" s="1534">
        <f>D18/J18</f>
        <v>1</v>
      </c>
    </row>
    <row r="19" spans="1:29" ht="15">
      <c r="A19" s="364"/>
      <c r="B19" s="589"/>
      <c r="C19" s="2084"/>
      <c r="D19" s="409"/>
      <c r="E19" s="2084"/>
      <c r="F19" s="412"/>
      <c r="G19" s="2084"/>
      <c r="H19" s="407"/>
      <c r="I19" s="406"/>
      <c r="J19" s="407"/>
      <c r="K19" s="1290"/>
      <c r="L19" s="2945"/>
      <c r="M19" s="2939"/>
      <c r="N19" s="2939"/>
      <c r="O19" s="2939"/>
      <c r="P19" s="3499"/>
      <c r="Q19" s="1533"/>
      <c r="R19" s="713"/>
      <c r="S19" s="714"/>
      <c r="T19" s="713"/>
      <c r="U19" s="714"/>
      <c r="V19" s="713"/>
      <c r="W19" s="714"/>
      <c r="X19" s="1536"/>
      <c r="Y19" s="3499"/>
      <c r="Z19" s="1537"/>
      <c r="AA19" s="1534">
        <v>1</v>
      </c>
      <c r="AB19" s="1534">
        <v>1</v>
      </c>
      <c r="AC19" s="1534">
        <v>1</v>
      </c>
    </row>
    <row r="20" spans="1:29" ht="57">
      <c r="A20" s="364"/>
      <c r="B20" s="587" t="s">
        <v>2525</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499"/>
      <c r="Q20" s="1533" t="str">
        <f>B20</f>
        <v>自然及人文环境</v>
      </c>
      <c r="R20" s="713" t="s">
        <v>17</v>
      </c>
      <c r="S20" s="714">
        <f>F20</f>
        <v>100</v>
      </c>
      <c r="T20" s="713" t="s">
        <v>17</v>
      </c>
      <c r="U20" s="714">
        <f>H20</f>
        <v>100</v>
      </c>
      <c r="V20" s="713" t="s">
        <v>17</v>
      </c>
      <c r="W20" s="714">
        <f>J20</f>
        <v>100</v>
      </c>
      <c r="X20" s="1536"/>
      <c r="Y20" s="3499"/>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5"/>
      <c r="M21" s="2939"/>
      <c r="N21" s="2939"/>
      <c r="O21" s="2939"/>
      <c r="P21" s="3499"/>
      <c r="Q21" s="1533"/>
      <c r="R21" s="713"/>
      <c r="S21" s="714"/>
      <c r="T21" s="713"/>
      <c r="U21" s="714"/>
      <c r="V21" s="713"/>
      <c r="W21" s="714"/>
      <c r="X21" s="1536"/>
      <c r="Y21" s="3499"/>
      <c r="Z21" s="1537"/>
      <c r="AA21" s="1534">
        <v>1</v>
      </c>
      <c r="AB21" s="1534">
        <v>1</v>
      </c>
      <c r="AC21" s="1534">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499"/>
      <c r="Q22" s="1533" t="str">
        <f>B22</f>
        <v>楼层</v>
      </c>
      <c r="R22" s="713" t="s">
        <v>17</v>
      </c>
      <c r="S22" s="714">
        <f>F22</f>
        <v>100</v>
      </c>
      <c r="T22" s="713" t="s">
        <v>17</v>
      </c>
      <c r="U22" s="714">
        <f>H22</f>
        <v>100</v>
      </c>
      <c r="V22" s="713" t="s">
        <v>17</v>
      </c>
      <c r="W22" s="714">
        <f>J22</f>
        <v>100</v>
      </c>
      <c r="X22" s="1536"/>
      <c r="Y22" s="3499"/>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499"/>
      <c r="Q23" s="1533">
        <f>B23</f>
        <v>111</v>
      </c>
      <c r="R23" s="713" t="s">
        <v>17</v>
      </c>
      <c r="S23" s="714">
        <f>F23</f>
        <v>100</v>
      </c>
      <c r="T23" s="713" t="s">
        <v>17</v>
      </c>
      <c r="U23" s="714">
        <f>H23</f>
        <v>100</v>
      </c>
      <c r="V23" s="713" t="s">
        <v>17</v>
      </c>
      <c r="W23" s="714">
        <f>J23</f>
        <v>100</v>
      </c>
      <c r="X23" s="1536"/>
      <c r="Y23" s="3499"/>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499"/>
      <c r="Q24" s="1533">
        <f t="shared" ref="Q24:Q36" si="8">B24</f>
        <v>111</v>
      </c>
      <c r="R24" s="713" t="s">
        <v>17</v>
      </c>
      <c r="S24" s="714">
        <f>F24</f>
        <v>100</v>
      </c>
      <c r="T24" s="713" t="s">
        <v>17</v>
      </c>
      <c r="U24" s="714">
        <f>H24</f>
        <v>100</v>
      </c>
      <c r="V24" s="713" t="s">
        <v>17</v>
      </c>
      <c r="W24" s="714">
        <f>J24</f>
        <v>100</v>
      </c>
      <c r="X24" s="1536"/>
      <c r="Y24" s="3499"/>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499"/>
      <c r="Q25" s="1524">
        <f t="shared" si="8"/>
        <v>111</v>
      </c>
      <c r="R25" s="709" t="s">
        <v>17</v>
      </c>
      <c r="S25" s="710">
        <f>F25</f>
        <v>100</v>
      </c>
      <c r="T25" s="709" t="s">
        <v>17</v>
      </c>
      <c r="U25" s="710">
        <f>H25</f>
        <v>100</v>
      </c>
      <c r="V25" s="709" t="s">
        <v>17</v>
      </c>
      <c r="W25" s="710">
        <f>J25</f>
        <v>100</v>
      </c>
      <c r="X25" s="711"/>
      <c r="Y25" s="3499"/>
      <c r="Z25" s="55">
        <f>Q25</f>
        <v>111</v>
      </c>
      <c r="AA25" s="1534">
        <f>D25/F25</f>
        <v>1</v>
      </c>
      <c r="AB25" s="1534">
        <f>D25/H25</f>
        <v>1</v>
      </c>
      <c r="AC25" s="1534">
        <f>D25/J25</f>
        <v>1</v>
      </c>
    </row>
    <row r="26" spans="1:29" ht="28.5">
      <c r="A26" s="608" t="s">
        <v>2378</v>
      </c>
      <c r="B26" s="66" t="s">
        <v>2527</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500" t="s">
        <v>2380</v>
      </c>
      <c r="Q26" s="1533" t="str">
        <f t="shared" si="8"/>
        <v>配套类型</v>
      </c>
      <c r="R26" s="713" t="s">
        <v>17</v>
      </c>
      <c r="S26" s="714">
        <f t="shared" ref="S26:S36" si="9">F26</f>
        <v>100</v>
      </c>
      <c r="T26" s="713" t="s">
        <v>17</v>
      </c>
      <c r="U26" s="714">
        <f t="shared" ref="U26:U36" si="10">H26</f>
        <v>100</v>
      </c>
      <c r="V26" s="713" t="s">
        <v>17</v>
      </c>
      <c r="W26" s="714">
        <f t="shared" ref="W26:W36" si="11">J26</f>
        <v>100</v>
      </c>
      <c r="X26" s="1536"/>
      <c r="Y26" s="3501" t="s">
        <v>2380</v>
      </c>
      <c r="Z26" s="1537" t="str">
        <f t="shared" ref="Z26:Z36" si="12">Q26</f>
        <v>配套类型</v>
      </c>
      <c r="AA26" s="1534">
        <f t="shared" si="3"/>
        <v>1</v>
      </c>
      <c r="AB26" s="1534">
        <f t="shared" si="4"/>
        <v>1</v>
      </c>
      <c r="AC26" s="1534">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501"/>
      <c r="Q27" s="715" t="str">
        <f t="shared" si="8"/>
        <v>项目停车位配比</v>
      </c>
      <c r="R27" s="716" t="s">
        <v>17</v>
      </c>
      <c r="S27" s="717">
        <f t="shared" si="9"/>
        <v>100</v>
      </c>
      <c r="T27" s="716" t="s">
        <v>17</v>
      </c>
      <c r="U27" s="717">
        <f t="shared" si="10"/>
        <v>100</v>
      </c>
      <c r="V27" s="716" t="s">
        <v>17</v>
      </c>
      <c r="W27" s="717">
        <f t="shared" si="11"/>
        <v>100</v>
      </c>
      <c r="X27" s="718"/>
      <c r="Y27" s="3501"/>
      <c r="Z27" s="719" t="str">
        <f t="shared" si="12"/>
        <v>项目停车位配比</v>
      </c>
      <c r="AA27" s="1534">
        <f t="shared" si="3"/>
        <v>1</v>
      </c>
      <c r="AB27" s="1534">
        <f t="shared" si="4"/>
        <v>1</v>
      </c>
      <c r="AC27" s="1534">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501"/>
      <c r="Q28" s="1533" t="str">
        <f t="shared" si="8"/>
        <v>公共部分装修</v>
      </c>
      <c r="R28" s="713" t="s">
        <v>17</v>
      </c>
      <c r="S28" s="714">
        <f t="shared" si="9"/>
        <v>100</v>
      </c>
      <c r="T28" s="713" t="s">
        <v>17</v>
      </c>
      <c r="U28" s="714">
        <f t="shared" si="10"/>
        <v>100</v>
      </c>
      <c r="V28" s="713" t="s">
        <v>17</v>
      </c>
      <c r="W28" s="714">
        <f t="shared" si="11"/>
        <v>100</v>
      </c>
      <c r="X28" s="1536"/>
      <c r="Y28" s="3501"/>
      <c r="Z28" s="1537" t="str">
        <f t="shared" si="12"/>
        <v>公共部分装修</v>
      </c>
      <c r="AA28" s="1534">
        <f t="shared" si="3"/>
        <v>1</v>
      </c>
      <c r="AB28" s="1534">
        <f t="shared" si="4"/>
        <v>1</v>
      </c>
      <c r="AC28" s="1534">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501"/>
      <c r="Q29" s="1533" t="str">
        <f t="shared" si="8"/>
        <v>成新率</v>
      </c>
      <c r="R29" s="713" t="s">
        <v>17</v>
      </c>
      <c r="S29" s="714" t="e">
        <f t="shared" si="9"/>
        <v>#N/A</v>
      </c>
      <c r="T29" s="713" t="s">
        <v>17</v>
      </c>
      <c r="U29" s="714" t="e">
        <f t="shared" si="10"/>
        <v>#N/A</v>
      </c>
      <c r="V29" s="713" t="s">
        <v>17</v>
      </c>
      <c r="W29" s="714" t="e">
        <f t="shared" si="11"/>
        <v>#N/A</v>
      </c>
      <c r="X29" s="1536"/>
      <c r="Y29" s="3501"/>
      <c r="Z29" s="1537" t="str">
        <f t="shared" si="12"/>
        <v>成新率</v>
      </c>
      <c r="AA29" s="1534" t="e">
        <f t="shared" si="3"/>
        <v>#N/A</v>
      </c>
      <c r="AB29" s="1534" t="e">
        <f t="shared" si="4"/>
        <v>#N/A</v>
      </c>
      <c r="AC29" s="1534"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501"/>
      <c r="Q30" s="1533" t="str">
        <f t="shared" si="8"/>
        <v>物业等级</v>
      </c>
      <c r="R30" s="713" t="s">
        <v>17</v>
      </c>
      <c r="S30" s="714">
        <f t="shared" si="9"/>
        <v>100</v>
      </c>
      <c r="T30" s="713" t="s">
        <v>17</v>
      </c>
      <c r="U30" s="714">
        <f t="shared" si="10"/>
        <v>100</v>
      </c>
      <c r="V30" s="713" t="s">
        <v>17</v>
      </c>
      <c r="W30" s="714">
        <f t="shared" si="11"/>
        <v>100</v>
      </c>
      <c r="X30" s="1536"/>
      <c r="Y30" s="3501"/>
      <c r="Z30" s="1537" t="str">
        <f t="shared" si="12"/>
        <v>物业等级</v>
      </c>
      <c r="AA30" s="1534">
        <f t="shared" si="3"/>
        <v>1</v>
      </c>
      <c r="AB30" s="1534">
        <f t="shared" si="4"/>
        <v>1</v>
      </c>
      <c r="AC30" s="1534">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501"/>
      <c r="Q31" s="1524" t="str">
        <f t="shared" si="8"/>
        <v>停车位面积</v>
      </c>
      <c r="R31" s="709" t="s">
        <v>17</v>
      </c>
      <c r="S31" s="710" t="e">
        <f t="shared" si="9"/>
        <v>#N/A</v>
      </c>
      <c r="T31" s="709" t="s">
        <v>17</v>
      </c>
      <c r="U31" s="710" t="e">
        <f t="shared" si="10"/>
        <v>#N/A</v>
      </c>
      <c r="V31" s="709" t="s">
        <v>17</v>
      </c>
      <c r="W31" s="710" t="e">
        <f t="shared" si="11"/>
        <v>#N/A</v>
      </c>
      <c r="X31" s="711"/>
      <c r="Y31" s="3501"/>
      <c r="Z31" s="55" t="str">
        <f t="shared" si="12"/>
        <v>停车位面积</v>
      </c>
      <c r="AA31" s="712" t="e">
        <f t="shared" si="3"/>
        <v>#N/A</v>
      </c>
      <c r="AB31" s="712" t="e">
        <f t="shared" si="4"/>
        <v>#N/A</v>
      </c>
      <c r="AC31" s="712"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501" t="s">
        <v>2380</v>
      </c>
      <c r="Q32" s="1533" t="str">
        <f t="shared" si="8"/>
        <v>车位类型</v>
      </c>
      <c r="R32" s="713" t="s">
        <v>17</v>
      </c>
      <c r="S32" s="714">
        <f t="shared" si="9"/>
        <v>100</v>
      </c>
      <c r="T32" s="713" t="s">
        <v>17</v>
      </c>
      <c r="U32" s="714">
        <f t="shared" si="10"/>
        <v>100</v>
      </c>
      <c r="V32" s="713" t="s">
        <v>17</v>
      </c>
      <c r="W32" s="714">
        <f t="shared" si="11"/>
        <v>100</v>
      </c>
      <c r="X32" s="1536"/>
      <c r="Y32" s="3501" t="s">
        <v>2380</v>
      </c>
      <c r="Z32" s="1537" t="str">
        <f t="shared" si="12"/>
        <v>车位类型</v>
      </c>
      <c r="AA32" s="1534">
        <f t="shared" si="3"/>
        <v>1</v>
      </c>
      <c r="AB32" s="1534">
        <f t="shared" si="4"/>
        <v>1</v>
      </c>
      <c r="AC32" s="1534">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501"/>
      <c r="Q33" s="1533" t="str">
        <f t="shared" si="8"/>
        <v>是否直接入户</v>
      </c>
      <c r="R33" s="713" t="s">
        <v>17</v>
      </c>
      <c r="S33" s="714">
        <f t="shared" si="9"/>
        <v>100</v>
      </c>
      <c r="T33" s="713" t="s">
        <v>17</v>
      </c>
      <c r="U33" s="714">
        <f t="shared" si="10"/>
        <v>100</v>
      </c>
      <c r="V33" s="713" t="s">
        <v>17</v>
      </c>
      <c r="W33" s="714">
        <f t="shared" si="11"/>
        <v>100</v>
      </c>
      <c r="X33" s="1536"/>
      <c r="Y33" s="3501"/>
      <c r="Z33" s="1537" t="str">
        <f t="shared" si="12"/>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501"/>
      <c r="Q34" s="1533">
        <f t="shared" si="8"/>
        <v>111</v>
      </c>
      <c r="R34" s="713" t="s">
        <v>17</v>
      </c>
      <c r="S34" s="714">
        <f t="shared" si="9"/>
        <v>100</v>
      </c>
      <c r="T34" s="713" t="s">
        <v>17</v>
      </c>
      <c r="U34" s="714">
        <f t="shared" si="10"/>
        <v>100</v>
      </c>
      <c r="V34" s="713" t="s">
        <v>17</v>
      </c>
      <c r="W34" s="714">
        <f t="shared" si="11"/>
        <v>100</v>
      </c>
      <c r="X34" s="1536"/>
      <c r="Y34" s="3501"/>
      <c r="Z34" s="1537">
        <f t="shared" si="12"/>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501"/>
      <c r="Q35" s="715">
        <f t="shared" si="8"/>
        <v>111</v>
      </c>
      <c r="R35" s="716" t="s">
        <v>17</v>
      </c>
      <c r="S35" s="717">
        <f t="shared" si="9"/>
        <v>100</v>
      </c>
      <c r="T35" s="716" t="s">
        <v>17</v>
      </c>
      <c r="U35" s="717">
        <f t="shared" si="10"/>
        <v>100</v>
      </c>
      <c r="V35" s="716" t="s">
        <v>17</v>
      </c>
      <c r="W35" s="717">
        <f t="shared" si="11"/>
        <v>100</v>
      </c>
      <c r="X35" s="718"/>
      <c r="Y35" s="3501"/>
      <c r="Z35" s="719">
        <f t="shared" si="12"/>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501"/>
      <c r="Q36" s="1533">
        <f t="shared" si="8"/>
        <v>111</v>
      </c>
      <c r="R36" s="713" t="s">
        <v>17</v>
      </c>
      <c r="S36" s="714">
        <f t="shared" si="9"/>
        <v>100</v>
      </c>
      <c r="T36" s="713" t="s">
        <v>17</v>
      </c>
      <c r="U36" s="714">
        <f t="shared" si="10"/>
        <v>100</v>
      </c>
      <c r="V36" s="713" t="s">
        <v>17</v>
      </c>
      <c r="W36" s="714">
        <f t="shared" si="11"/>
        <v>100</v>
      </c>
      <c r="X36" s="1536"/>
      <c r="Y36" s="3501"/>
      <c r="Z36" s="1537">
        <f t="shared" si="12"/>
        <v>111</v>
      </c>
      <c r="AA36" s="1534">
        <f t="shared" si="3"/>
        <v>1</v>
      </c>
      <c r="AB36" s="1534">
        <f t="shared" si="4"/>
        <v>1</v>
      </c>
      <c r="AC36" s="1534">
        <f t="shared" si="5"/>
        <v>1</v>
      </c>
    </row>
    <row r="37" spans="1:29" ht="15">
      <c r="A37" s="438" t="s">
        <v>2535</v>
      </c>
      <c r="B37" s="2156" t="s">
        <v>2536</v>
      </c>
      <c r="C37" s="1314" t="s">
        <v>1</v>
      </c>
      <c r="D37" s="1315"/>
      <c r="E37" s="1316"/>
      <c r="F37" s="1317"/>
      <c r="G37" s="1318"/>
      <c r="H37" s="1319"/>
      <c r="I37" s="1316"/>
      <c r="J37" s="1319"/>
      <c r="K37" s="576"/>
      <c r="L37" s="2947"/>
      <c r="M37" s="2948"/>
      <c r="N37" s="2939"/>
      <c r="O37" s="2948"/>
      <c r="P37" s="3496" t="str">
        <f>A37</f>
        <v>成交单价</v>
      </c>
      <c r="Q37" s="3496"/>
      <c r="R37" s="3575">
        <f>E37</f>
        <v>0</v>
      </c>
      <c r="S37" s="3575"/>
      <c r="T37" s="3575">
        <f>G37</f>
        <v>0</v>
      </c>
      <c r="U37" s="3575"/>
      <c r="V37" s="3575">
        <f>I37</f>
        <v>0</v>
      </c>
      <c r="W37" s="3575"/>
      <c r="X37" s="698"/>
      <c r="Y37" s="720"/>
      <c r="Z37" s="698"/>
      <c r="AA37" s="698"/>
      <c r="AB37" s="698"/>
      <c r="AC37" s="698"/>
    </row>
    <row r="38" spans="1:29" ht="15.75" thickBot="1">
      <c r="A38" s="445" t="s">
        <v>2537</v>
      </c>
      <c r="B38" s="446" t="str">
        <f>B37</f>
        <v>元/车位</v>
      </c>
      <c r="C38" s="1320" t="e">
        <f>R39</f>
        <v>#DIV/0!</v>
      </c>
      <c r="D38" s="2535" t="s">
        <v>2873</v>
      </c>
      <c r="E38" s="1321" t="e">
        <f>R38</f>
        <v>#DIV/0!</v>
      </c>
      <c r="F38" s="2536"/>
      <c r="G38" s="1320" t="e">
        <f>T38</f>
        <v>#DIV/0!</v>
      </c>
      <c r="H38" s="2536"/>
      <c r="I38" s="1321" t="e">
        <f>V38</f>
        <v>#DIV/0!</v>
      </c>
      <c r="J38" s="2536"/>
      <c r="K38" s="2538">
        <f>F38+H38+J38</f>
        <v>0</v>
      </c>
      <c r="L38" s="2947"/>
      <c r="M38" s="2948"/>
      <c r="N38" s="2948"/>
      <c r="O38" s="2948"/>
      <c r="P38" s="3496" t="str">
        <f>A38</f>
        <v>比较价值（元/平方米）</v>
      </c>
      <c r="Q38" s="3496"/>
      <c r="R38" s="3575" t="e">
        <f>IF(F1="售价",ROUND(PRODUCT(R37,AA7:AA36),0),ROUND(PRODUCT(R37,AA7:AA36),1))</f>
        <v>#DIV/0!</v>
      </c>
      <c r="S38" s="3575"/>
      <c r="T38" s="3575" t="e">
        <f>IF(F1="售价",ROUND(PRODUCT(T37,AB7:AB36),0),ROUND(PRODUCT(T37,AB7:AB36),1))</f>
        <v>#DIV/0!</v>
      </c>
      <c r="U38" s="3575"/>
      <c r="V38" s="3575" t="e">
        <f>IF(F1="售价",ROUND(PRODUCT(V37,AC7:AC36),0),ROUND(PRODUCT(V37,AC7:AC36),1))</f>
        <v>#DIV/0!</v>
      </c>
      <c r="W38" s="3575"/>
      <c r="X38" s="698"/>
      <c r="Y38" s="698"/>
      <c r="Z38" s="698"/>
      <c r="AA38" s="698"/>
      <c r="AB38" s="698"/>
      <c r="AC38" s="698"/>
    </row>
    <row r="39" spans="1:29" ht="15.75" thickBot="1">
      <c r="A39" s="449" t="s">
        <v>2538</v>
      </c>
      <c r="B39" s="450"/>
      <c r="C39" s="1323" t="e">
        <f>R39</f>
        <v>#DIV/0!</v>
      </c>
      <c r="D39" s="1323"/>
      <c r="E39" s="1323"/>
      <c r="F39" s="1323"/>
      <c r="G39" s="1323"/>
      <c r="H39" s="1323"/>
      <c r="I39" s="1323"/>
      <c r="J39" s="1323"/>
      <c r="K39" s="577"/>
      <c r="L39" s="2947"/>
      <c r="M39" s="2948"/>
      <c r="N39" s="2948"/>
      <c r="O39" s="2948"/>
      <c r="P39" s="3490" t="str">
        <f>A39</f>
        <v>估价对象XX用房的比较价值（楼面单价，元/平方米）</v>
      </c>
      <c r="Q39" s="3491"/>
      <c r="R39" s="3599" t="e">
        <f>IF(F1="售价",ROUND(IF(D38="简单平均",AVERAGE(R38:W38),R38*F38+T38*H38+V38*J38),0),ROUND(IF(D38="简单平均",AVERAGE(R38:V38),R38*F38+T38*H38+V38*J38),1))</f>
        <v>#DIV/0!</v>
      </c>
      <c r="S39" s="3599"/>
      <c r="T39" s="3599"/>
      <c r="U39" s="3599"/>
      <c r="V39" s="3599"/>
      <c r="W39" s="3599"/>
      <c r="X39" s="698"/>
      <c r="Y39" s="698"/>
      <c r="Z39" s="698"/>
      <c r="AA39" s="698"/>
      <c r="AB39" s="698"/>
      <c r="AC39" s="698"/>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6" t="s">
        <v>2542</v>
      </c>
      <c r="B47" s="1057"/>
      <c r="C47" s="1070"/>
      <c r="D47" s="1070"/>
      <c r="E47" s="1070"/>
      <c r="F47" s="1327"/>
      <c r="G47" s="1327"/>
      <c r="H47" s="1070"/>
      <c r="I47" s="1070"/>
      <c r="J47" s="1070"/>
      <c r="K47" s="1071"/>
      <c r="L47" s="1072"/>
      <c r="M47" s="1070"/>
      <c r="N47" s="2992"/>
      <c r="O47" s="2992"/>
      <c r="P47" s="2981"/>
      <c r="Q47" s="2962"/>
      <c r="R47" s="2948"/>
      <c r="S47" s="2948"/>
      <c r="T47" s="2948"/>
      <c r="U47" s="2948"/>
      <c r="V47" s="2948"/>
      <c r="W47" s="2948"/>
      <c r="X47" s="2948"/>
      <c r="Y47" s="2948"/>
      <c r="Z47" s="2948"/>
      <c r="AA47" s="2948"/>
      <c r="AB47" s="2948"/>
      <c r="AC47" s="2948"/>
    </row>
    <row r="48" spans="1:29" s="465" customFormat="1" ht="15">
      <c r="A48" s="462" t="s">
        <v>2543</v>
      </c>
      <c r="B48" s="463"/>
      <c r="C48" s="1344" t="str">
        <f>YEAR(C7)&amp;"-"&amp;MONTH(C7)</f>
        <v>2021-12</v>
      </c>
      <c r="D48" s="1345">
        <f>EDATE(C48,-1)</f>
        <v>44501</v>
      </c>
      <c r="E48" s="1345">
        <f t="shared" ref="E48:O48" si="13">EDATE(D48,-1)</f>
        <v>44470</v>
      </c>
      <c r="F48" s="1345">
        <f t="shared" si="13"/>
        <v>44440</v>
      </c>
      <c r="G48" s="1345">
        <f t="shared" si="13"/>
        <v>44409</v>
      </c>
      <c r="H48" s="1345">
        <f t="shared" si="13"/>
        <v>44378</v>
      </c>
      <c r="I48" s="1345">
        <f t="shared" si="13"/>
        <v>44348</v>
      </c>
      <c r="J48" s="1345">
        <f t="shared" si="13"/>
        <v>44317</v>
      </c>
      <c r="K48" s="1345">
        <f t="shared" si="13"/>
        <v>44287</v>
      </c>
      <c r="L48" s="1345">
        <f t="shared" si="13"/>
        <v>44256</v>
      </c>
      <c r="M48" s="1345">
        <f t="shared" si="13"/>
        <v>44228</v>
      </c>
      <c r="N48" s="1345">
        <f t="shared" si="13"/>
        <v>44197</v>
      </c>
      <c r="O48" s="1345">
        <f t="shared" si="13"/>
        <v>44166</v>
      </c>
      <c r="P48" s="2982"/>
      <c r="Q48" s="2964"/>
      <c r="R48" s="2964"/>
      <c r="S48" s="2964"/>
      <c r="T48" s="2964"/>
      <c r="U48" s="2964"/>
      <c r="V48" s="2964"/>
      <c r="W48" s="2964"/>
      <c r="X48" s="2964"/>
      <c r="Y48" s="2964"/>
      <c r="Z48" s="2964"/>
      <c r="AA48" s="2964"/>
      <c r="AB48" s="2964"/>
      <c r="AC48" s="2964"/>
    </row>
    <row r="49" spans="1:29" s="113" customFormat="1" ht="15">
      <c r="A49" s="466"/>
      <c r="B49" s="467"/>
      <c r="C49" s="1337">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2400</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2365</v>
      </c>
      <c r="B51" s="467"/>
      <c r="C51" s="479" t="s">
        <v>2467</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2403</v>
      </c>
      <c r="B53" s="485" t="s">
        <v>2369</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2418</v>
      </c>
      <c r="C65" s="535" t="s">
        <v>2412</v>
      </c>
      <c r="D65" s="535" t="s">
        <v>2413</v>
      </c>
      <c r="E65" s="535" t="s">
        <v>2414</v>
      </c>
      <c r="F65" s="535" t="s">
        <v>2415</v>
      </c>
      <c r="G65" s="535" t="s">
        <v>2416</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2504</v>
      </c>
      <c r="C67" s="616" t="s">
        <v>2490</v>
      </c>
      <c r="D67" s="616" t="s">
        <v>2491</v>
      </c>
      <c r="E67" s="616" t="s">
        <v>2492</v>
      </c>
      <c r="F67" s="616" t="s">
        <v>2493</v>
      </c>
      <c r="G67" s="616" t="s">
        <v>2494</v>
      </c>
      <c r="H67" s="496"/>
      <c r="I67" s="496"/>
      <c r="J67" s="496"/>
      <c r="K67" s="496"/>
      <c r="L67" s="496"/>
      <c r="M67" s="1289"/>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2424</v>
      </c>
      <c r="C69" s="535" t="s">
        <v>2412</v>
      </c>
      <c r="D69" s="535" t="s">
        <v>2413</v>
      </c>
      <c r="E69" s="535" t="s">
        <v>2414</v>
      </c>
      <c r="F69" s="535" t="s">
        <v>2415</v>
      </c>
      <c r="G69" s="535" t="s">
        <v>2416</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2544</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2378</v>
      </c>
      <c r="B79" s="485" t="s">
        <v>2545</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2546</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2431</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2548</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2549</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2550</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2551</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400"/>
      <c r="F1" s="2062"/>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IF(C2="——",ROUND(C37*D3/10000,0),ROUND(C37*D3/10000,0)-D2)</f>
        <v>#DIV/0!</v>
      </c>
      <c r="C2" s="2064"/>
      <c r="D2" s="1037" t="e">
        <f ca="1">SUMIF(INDIRECT("'"&amp;F2&amp;"'"&amp;"!A:A"),"承租人权益价值",INDIRECT("'"&amp;F2&amp;"'"&amp;"!c:c"))</f>
        <v>#REF!</v>
      </c>
      <c r="E2" s="2065" t="s">
        <v>2143</v>
      </c>
      <c r="F2" s="2066"/>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2144</v>
      </c>
      <c r="B3" s="566" t="e">
        <f ca="1">IF(C2="——",C37,ROUND(B2*10000/D3,0))</f>
        <v>#DIV/0!</v>
      </c>
      <c r="C3" s="360" t="s">
        <v>2459</v>
      </c>
      <c r="D3" s="359">
        <f>SUMIF('数据-汇总表'!$C19:$C33,D1,'数据-汇总表'!$E19:$E33)</f>
        <v>0</v>
      </c>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2460</v>
      </c>
      <c r="B4" s="362"/>
      <c r="C4" s="3493" t="s">
        <v>2461</v>
      </c>
      <c r="D4" s="3506"/>
      <c r="E4" s="3507" t="s">
        <v>2462</v>
      </c>
      <c r="F4" s="3508"/>
      <c r="G4" s="3493" t="s">
        <v>2463</v>
      </c>
      <c r="H4" s="3506"/>
      <c r="I4" s="3493" t="s">
        <v>2464</v>
      </c>
      <c r="J4" s="3506"/>
      <c r="K4" s="567" t="s">
        <v>2465</v>
      </c>
      <c r="L4" s="2938"/>
      <c r="M4" s="2939"/>
      <c r="N4" s="2939"/>
      <c r="O4" s="2939"/>
      <c r="P4" s="3509" t="s">
        <v>2466</v>
      </c>
      <c r="Q4" s="3510"/>
      <c r="R4" s="3515" t="s">
        <v>2462</v>
      </c>
      <c r="S4" s="3516"/>
      <c r="T4" s="3515" t="s">
        <v>2463</v>
      </c>
      <c r="U4" s="3516"/>
      <c r="V4" s="3502" t="s">
        <v>2464</v>
      </c>
      <c r="W4" s="3502"/>
      <c r="X4" s="1536"/>
      <c r="Y4" s="3515" t="s">
        <v>2466</v>
      </c>
      <c r="Z4" s="3516"/>
      <c r="AA4" s="3503" t="s">
        <v>2462</v>
      </c>
      <c r="AB4" s="3504" t="s">
        <v>2463</v>
      </c>
      <c r="AC4" s="3503" t="s">
        <v>2464</v>
      </c>
    </row>
    <row r="5" spans="1:29" ht="15">
      <c r="A5" s="364"/>
      <c r="B5" s="365"/>
      <c r="C5" s="3523" t="s">
        <v>2357</v>
      </c>
      <c r="D5" s="3524"/>
      <c r="E5" s="3532" t="s">
        <v>2358</v>
      </c>
      <c r="F5" s="3533"/>
      <c r="G5" s="3523" t="s">
        <v>2359</v>
      </c>
      <c r="H5" s="3524"/>
      <c r="I5" s="3523" t="s">
        <v>2360</v>
      </c>
      <c r="J5" s="3524"/>
      <c r="K5" s="567"/>
      <c r="L5" s="2938"/>
      <c r="M5" s="2939"/>
      <c r="N5" s="2939"/>
      <c r="O5" s="2939"/>
      <c r="P5" s="3511"/>
      <c r="Q5" s="3512"/>
      <c r="R5" s="3517"/>
      <c r="S5" s="3518"/>
      <c r="T5" s="3517"/>
      <c r="U5" s="3518"/>
      <c r="V5" s="3502"/>
      <c r="W5" s="3502"/>
      <c r="X5" s="1536"/>
      <c r="Y5" s="3517"/>
      <c r="Z5" s="3518"/>
      <c r="AA5" s="3504"/>
      <c r="AB5" s="3504"/>
      <c r="AC5" s="3504"/>
    </row>
    <row r="6" spans="1:29" ht="15.75" thickBot="1">
      <c r="A6" s="366"/>
      <c r="B6" s="367"/>
      <c r="C6" s="3521" t="s">
        <v>2361</v>
      </c>
      <c r="D6" s="3522"/>
      <c r="E6" s="3582" t="s">
        <v>2361</v>
      </c>
      <c r="F6" s="3583"/>
      <c r="G6" s="3521" t="s">
        <v>2361</v>
      </c>
      <c r="H6" s="3522"/>
      <c r="I6" s="3521" t="s">
        <v>2361</v>
      </c>
      <c r="J6" s="3522"/>
      <c r="K6" s="567" t="s">
        <v>2362</v>
      </c>
      <c r="L6" s="2938"/>
      <c r="M6" s="2939"/>
      <c r="N6" s="2939"/>
      <c r="O6" s="2939"/>
      <c r="P6" s="3513"/>
      <c r="Q6" s="3514"/>
      <c r="R6" s="3517"/>
      <c r="S6" s="3518"/>
      <c r="T6" s="3519"/>
      <c r="U6" s="3520"/>
      <c r="V6" s="3502"/>
      <c r="W6" s="3502"/>
      <c r="X6" s="1536"/>
      <c r="Y6" s="3519"/>
      <c r="Z6" s="3520"/>
      <c r="AA6" s="3505"/>
      <c r="AB6" s="3505"/>
      <c r="AC6" s="3505"/>
    </row>
    <row r="7" spans="1:29" s="113" customFormat="1" ht="15.75" thickBot="1">
      <c r="A7" s="368" t="s">
        <v>2363</v>
      </c>
      <c r="B7" s="369"/>
      <c r="C7" s="370">
        <f>'数据-取费表'!B2</f>
        <v>44541</v>
      </c>
      <c r="D7" s="371">
        <v>100</v>
      </c>
      <c r="E7" s="372"/>
      <c r="F7" s="373">
        <f>SUMIF(46:46,YEAR(E7)&amp;"-"&amp;MONTH(E7),47:47)</f>
        <v>0</v>
      </c>
      <c r="G7" s="2157"/>
      <c r="H7" s="371">
        <f>SUMIF(46:46,YEAR(G7)&amp;"-"&amp;MONTH(G7),47:47)</f>
        <v>0</v>
      </c>
      <c r="I7" s="372"/>
      <c r="J7" s="371">
        <f>SUMIF(46:46,YEAR(I7)&amp;"-"&amp;MONTH(I7),47:47)</f>
        <v>0</v>
      </c>
      <c r="K7" s="568"/>
      <c r="L7" s="2940"/>
      <c r="M7" s="2941"/>
      <c r="N7" s="2941"/>
      <c r="O7" s="2941"/>
      <c r="P7" s="3525" t="s">
        <v>2364</v>
      </c>
      <c r="Q7" s="3527"/>
      <c r="R7" s="709" t="s">
        <v>17</v>
      </c>
      <c r="S7" s="710">
        <f t="shared" ref="S7:S14" si="0">F7</f>
        <v>0</v>
      </c>
      <c r="T7" s="709" t="s">
        <v>17</v>
      </c>
      <c r="U7" s="710">
        <f t="shared" ref="U7:U14" si="1">H7</f>
        <v>0</v>
      </c>
      <c r="V7" s="709" t="s">
        <v>17</v>
      </c>
      <c r="W7" s="710">
        <f t="shared" ref="W7:W14" si="2">J7</f>
        <v>0</v>
      </c>
      <c r="X7" s="711"/>
      <c r="Y7" s="3525" t="s">
        <v>2364</v>
      </c>
      <c r="Z7" s="3526"/>
      <c r="AA7" s="712" t="e">
        <f>D7/F7</f>
        <v>#DIV/0!</v>
      </c>
      <c r="AB7" s="712" t="e">
        <f>D7/H7</f>
        <v>#DIV/0!</v>
      </c>
      <c r="AC7" s="712"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525" t="s">
        <v>2367</v>
      </c>
      <c r="Q8" s="3526"/>
      <c r="R8" s="709" t="s">
        <v>17</v>
      </c>
      <c r="S8" s="710">
        <f t="shared" si="0"/>
        <v>0</v>
      </c>
      <c r="T8" s="709" t="s">
        <v>17</v>
      </c>
      <c r="U8" s="710">
        <f t="shared" si="1"/>
        <v>0</v>
      </c>
      <c r="V8" s="709" t="s">
        <v>17</v>
      </c>
      <c r="W8" s="710">
        <f t="shared" si="2"/>
        <v>0</v>
      </c>
      <c r="X8" s="711"/>
      <c r="Y8" s="3525" t="s">
        <v>2367</v>
      </c>
      <c r="Z8" s="3526"/>
      <c r="AA8" s="712" t="e">
        <f t="shared" ref="AA8:AA34" si="3">D8/F8</f>
        <v>#DIV/0!</v>
      </c>
      <c r="AB8" s="712" t="e">
        <f t="shared" ref="AB8:AB34" si="4">D8/H8</f>
        <v>#DIV/0!</v>
      </c>
      <c r="AC8" s="712"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496" t="s">
        <v>2370</v>
      </c>
      <c r="Q9" s="1524" t="str">
        <f t="shared" ref="Q9:Q14" si="6">B9</f>
        <v>用途</v>
      </c>
      <c r="R9" s="709" t="s">
        <v>17</v>
      </c>
      <c r="S9" s="710">
        <f t="shared" si="0"/>
        <v>100</v>
      </c>
      <c r="T9" s="709" t="s">
        <v>17</v>
      </c>
      <c r="U9" s="710">
        <f t="shared" si="1"/>
        <v>100</v>
      </c>
      <c r="V9" s="709" t="s">
        <v>17</v>
      </c>
      <c r="W9" s="710">
        <f t="shared" si="2"/>
        <v>100</v>
      </c>
      <c r="X9" s="711"/>
      <c r="Y9" s="3386" t="s">
        <v>2371</v>
      </c>
      <c r="Z9" s="55" t="str">
        <f t="shared" ref="Z9:Z14" si="7">Q9</f>
        <v>用途</v>
      </c>
      <c r="AA9" s="712">
        <f t="shared" si="3"/>
        <v>1</v>
      </c>
      <c r="AB9" s="712">
        <f t="shared" si="4"/>
        <v>1</v>
      </c>
      <c r="AC9" s="712">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496"/>
      <c r="Q10" s="1524"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496"/>
      <c r="Q11" s="1524">
        <f t="shared" si="6"/>
        <v>111</v>
      </c>
      <c r="R11" s="709" t="s">
        <v>17</v>
      </c>
      <c r="S11" s="710">
        <f t="shared" si="0"/>
        <v>100</v>
      </c>
      <c r="T11" s="709" t="s">
        <v>17</v>
      </c>
      <c r="U11" s="710">
        <f t="shared" si="1"/>
        <v>100</v>
      </c>
      <c r="V11" s="709" t="s">
        <v>17</v>
      </c>
      <c r="W11" s="710">
        <f t="shared" si="2"/>
        <v>100</v>
      </c>
      <c r="X11" s="711"/>
      <c r="Y11" s="3386"/>
      <c r="Z11" s="55">
        <f t="shared" si="7"/>
        <v>111</v>
      </c>
      <c r="AA11" s="712">
        <f t="shared" si="3"/>
        <v>1</v>
      </c>
      <c r="AB11" s="712">
        <f t="shared" si="4"/>
        <v>1</v>
      </c>
      <c r="AC11" s="712">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496"/>
      <c r="Q12" s="1524">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5"/>
      <c r="M13" s="2939"/>
      <c r="N13" s="2939"/>
      <c r="O13" s="2997"/>
      <c r="P13" s="3496"/>
      <c r="Q13" s="1524">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85.5">
      <c r="A14" s="399" t="s">
        <v>2374</v>
      </c>
      <c r="B14" s="65" t="s">
        <v>2524</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498" t="s">
        <v>2375</v>
      </c>
      <c r="Q14" s="1533" t="str">
        <f t="shared" si="6"/>
        <v>交通便捷度</v>
      </c>
      <c r="R14" s="713" t="s">
        <v>17</v>
      </c>
      <c r="S14" s="714">
        <f t="shared" si="0"/>
        <v>100</v>
      </c>
      <c r="T14" s="713" t="s">
        <v>17</v>
      </c>
      <c r="U14" s="714">
        <f t="shared" si="1"/>
        <v>100</v>
      </c>
      <c r="V14" s="713" t="s">
        <v>17</v>
      </c>
      <c r="W14" s="714">
        <f t="shared" si="2"/>
        <v>100</v>
      </c>
      <c r="X14" s="1536"/>
      <c r="Y14" s="3498" t="s">
        <v>2375</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5"/>
      <c r="M15" s="2939"/>
      <c r="N15" s="2939"/>
      <c r="O15" s="2997"/>
      <c r="P15" s="3499"/>
      <c r="Q15" s="1533"/>
      <c r="R15" s="713"/>
      <c r="S15" s="714"/>
      <c r="T15" s="713"/>
      <c r="U15" s="714"/>
      <c r="V15" s="713"/>
      <c r="W15" s="714"/>
      <c r="X15" s="1536"/>
      <c r="Y15" s="3499"/>
      <c r="Z15" s="1537"/>
      <c r="AA15" s="1534">
        <v>1</v>
      </c>
      <c r="AB15" s="1534">
        <v>1</v>
      </c>
      <c r="AC15" s="1534">
        <v>1</v>
      </c>
    </row>
    <row r="16" spans="1:29" ht="42.75">
      <c r="A16" s="387"/>
      <c r="B16" s="410" t="s">
        <v>2503</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499"/>
      <c r="Q16" s="1533" t="str">
        <f>B16</f>
        <v>公共配套设施</v>
      </c>
      <c r="R16" s="713" t="s">
        <v>17</v>
      </c>
      <c r="S16" s="714">
        <f>F16</f>
        <v>100</v>
      </c>
      <c r="T16" s="713" t="s">
        <v>17</v>
      </c>
      <c r="U16" s="714">
        <f>H16</f>
        <v>100</v>
      </c>
      <c r="V16" s="713" t="s">
        <v>17</v>
      </c>
      <c r="W16" s="714">
        <f>J16</f>
        <v>100</v>
      </c>
      <c r="X16" s="1536"/>
      <c r="Y16" s="3499"/>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5"/>
      <c r="M17" s="2939"/>
      <c r="N17" s="2939"/>
      <c r="O17" s="2997"/>
      <c r="P17" s="3499"/>
      <c r="Q17" s="1533"/>
      <c r="R17" s="713"/>
      <c r="S17" s="714"/>
      <c r="T17" s="713"/>
      <c r="U17" s="714"/>
      <c r="V17" s="713"/>
      <c r="W17" s="714"/>
      <c r="X17" s="1536"/>
      <c r="Y17" s="3499"/>
      <c r="Z17" s="1537"/>
      <c r="AA17" s="1534">
        <v>1</v>
      </c>
      <c r="AB17" s="1534">
        <v>1</v>
      </c>
      <c r="AC17" s="1534">
        <v>1</v>
      </c>
    </row>
    <row r="18" spans="1:29" ht="28.5">
      <c r="A18" s="387"/>
      <c r="B18" s="1291" t="s">
        <v>2504</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499"/>
      <c r="Q18" s="1533" t="str">
        <f>B18</f>
        <v>基础设施水平</v>
      </c>
      <c r="R18" s="713" t="s">
        <v>17</v>
      </c>
      <c r="S18" s="714">
        <f>F18</f>
        <v>100</v>
      </c>
      <c r="T18" s="713" t="s">
        <v>17</v>
      </c>
      <c r="U18" s="714">
        <f>H18</f>
        <v>100</v>
      </c>
      <c r="V18" s="713" t="s">
        <v>17</v>
      </c>
      <c r="W18" s="714">
        <f>J18</f>
        <v>100</v>
      </c>
      <c r="X18" s="1536"/>
      <c r="Y18" s="3499"/>
      <c r="Z18" s="1537" t="str">
        <f>Q18</f>
        <v>基础设施水平</v>
      </c>
      <c r="AA18" s="1534">
        <f>D18/F18</f>
        <v>1</v>
      </c>
      <c r="AB18" s="1534">
        <f>D18/H18</f>
        <v>1</v>
      </c>
      <c r="AC18" s="1534">
        <f>D18/J18</f>
        <v>1</v>
      </c>
    </row>
    <row r="19" spans="1:29" ht="15">
      <c r="A19" s="387"/>
      <c r="B19" s="1291"/>
      <c r="C19" s="2084"/>
      <c r="D19" s="409"/>
      <c r="E19" s="2084"/>
      <c r="F19" s="412"/>
      <c r="G19" s="2084"/>
      <c r="H19" s="407"/>
      <c r="I19" s="406"/>
      <c r="J19" s="407"/>
      <c r="K19" s="1290"/>
      <c r="L19" s="2945"/>
      <c r="M19" s="2939"/>
      <c r="N19" s="2939"/>
      <c r="O19" s="2997"/>
      <c r="P19" s="3499"/>
      <c r="Q19" s="1533"/>
      <c r="R19" s="713"/>
      <c r="S19" s="714"/>
      <c r="T19" s="713"/>
      <c r="U19" s="714"/>
      <c r="V19" s="713"/>
      <c r="W19" s="714"/>
      <c r="X19" s="1536"/>
      <c r="Y19" s="3499"/>
      <c r="Z19" s="1537"/>
      <c r="AA19" s="1534">
        <v>1</v>
      </c>
      <c r="AB19" s="1534">
        <v>1</v>
      </c>
      <c r="AC19" s="1534">
        <v>1</v>
      </c>
    </row>
    <row r="20" spans="1:29" ht="57">
      <c r="A20" s="387"/>
      <c r="B20" s="410" t="s">
        <v>2525</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499"/>
      <c r="Q20" s="1533" t="str">
        <f>B20</f>
        <v>自然及人文环境</v>
      </c>
      <c r="R20" s="713" t="s">
        <v>17</v>
      </c>
      <c r="S20" s="714">
        <f>F20</f>
        <v>100</v>
      </c>
      <c r="T20" s="713" t="s">
        <v>17</v>
      </c>
      <c r="U20" s="714">
        <f>H20</f>
        <v>100</v>
      </c>
      <c r="V20" s="713" t="s">
        <v>17</v>
      </c>
      <c r="W20" s="714">
        <f>J20</f>
        <v>100</v>
      </c>
      <c r="X20" s="1536"/>
      <c r="Y20" s="3499"/>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5"/>
      <c r="M21" s="2939"/>
      <c r="N21" s="2939"/>
      <c r="O21" s="2997"/>
      <c r="P21" s="3499"/>
      <c r="Q21" s="1533"/>
      <c r="R21" s="713"/>
      <c r="S21" s="714"/>
      <c r="T21" s="713"/>
      <c r="U21" s="714"/>
      <c r="V21" s="713"/>
      <c r="W21" s="714"/>
      <c r="X21" s="1536"/>
      <c r="Y21" s="3499"/>
      <c r="Z21" s="1537"/>
      <c r="AA21" s="1534">
        <v>1</v>
      </c>
      <c r="AB21" s="1534">
        <v>1</v>
      </c>
      <c r="AC21" s="1534">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499"/>
      <c r="Q22" s="1533" t="str">
        <f>B22</f>
        <v>楼层</v>
      </c>
      <c r="R22" s="713" t="s">
        <v>17</v>
      </c>
      <c r="S22" s="714">
        <f>F22</f>
        <v>100</v>
      </c>
      <c r="T22" s="713" t="s">
        <v>17</v>
      </c>
      <c r="U22" s="714">
        <f>H22</f>
        <v>100</v>
      </c>
      <c r="V22" s="713" t="s">
        <v>17</v>
      </c>
      <c r="W22" s="714">
        <f>J22</f>
        <v>100</v>
      </c>
      <c r="X22" s="1536"/>
      <c r="Y22" s="3499"/>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499"/>
      <c r="Q23" s="1533">
        <f>B23</f>
        <v>111</v>
      </c>
      <c r="R23" s="713" t="s">
        <v>17</v>
      </c>
      <c r="S23" s="714">
        <f>F23</f>
        <v>100</v>
      </c>
      <c r="T23" s="713" t="s">
        <v>17</v>
      </c>
      <c r="U23" s="714">
        <f>H23</f>
        <v>100</v>
      </c>
      <c r="V23" s="713" t="s">
        <v>17</v>
      </c>
      <c r="W23" s="714">
        <f>J23</f>
        <v>100</v>
      </c>
      <c r="X23" s="1536"/>
      <c r="Y23" s="3499"/>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499"/>
      <c r="Q24" s="1533">
        <f t="shared" ref="Q24:Q34" si="8">B24</f>
        <v>111</v>
      </c>
      <c r="R24" s="713" t="s">
        <v>17</v>
      </c>
      <c r="S24" s="714">
        <f>F24</f>
        <v>100</v>
      </c>
      <c r="T24" s="713" t="s">
        <v>17</v>
      </c>
      <c r="U24" s="714">
        <f>H24</f>
        <v>100</v>
      </c>
      <c r="V24" s="713" t="s">
        <v>17</v>
      </c>
      <c r="W24" s="714">
        <f>J24</f>
        <v>100</v>
      </c>
      <c r="X24" s="1536"/>
      <c r="Y24" s="3499"/>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0"/>
      <c r="M25" s="2941"/>
      <c r="N25" s="2941"/>
      <c r="O25" s="2995"/>
      <c r="P25" s="3499"/>
      <c r="Q25" s="1524">
        <f t="shared" si="8"/>
        <v>111</v>
      </c>
      <c r="R25" s="709" t="s">
        <v>17</v>
      </c>
      <c r="S25" s="710">
        <f>F25</f>
        <v>100</v>
      </c>
      <c r="T25" s="709" t="s">
        <v>17</v>
      </c>
      <c r="U25" s="710">
        <f>H25</f>
        <v>100</v>
      </c>
      <c r="V25" s="709" t="s">
        <v>17</v>
      </c>
      <c r="W25" s="710">
        <f>J25</f>
        <v>100</v>
      </c>
      <c r="X25" s="711"/>
      <c r="Y25" s="3499"/>
      <c r="Z25" s="55">
        <f>Q25</f>
        <v>111</v>
      </c>
      <c r="AA25" s="1534">
        <f>D25/F25</f>
        <v>1</v>
      </c>
      <c r="AB25" s="1534">
        <f>D25/H25</f>
        <v>1</v>
      </c>
      <c r="AC25" s="1534">
        <f>D25/J25</f>
        <v>1</v>
      </c>
    </row>
    <row r="26" spans="1:29" ht="28.5">
      <c r="A26" s="425" t="s">
        <v>2378</v>
      </c>
      <c r="B26" s="67" t="s">
        <v>2529</v>
      </c>
      <c r="C26" s="2150"/>
      <c r="D26" s="426">
        <v>100</v>
      </c>
      <c r="E26" s="2150"/>
      <c r="F26" s="623">
        <f>SUMIF(77:77,E26,78:78)-SUMIF(77:77,C26,78:78)+100</f>
        <v>100</v>
      </c>
      <c r="G26" s="2150"/>
      <c r="H26" s="426">
        <f>SUMIF(77:77,G26,78:78)-SUMIF(77:77,C26,78:78)+100</f>
        <v>100</v>
      </c>
      <c r="I26" s="2150"/>
      <c r="J26" s="426">
        <f>SUMIF(77:77,I26,78:78)-SUMIF(77:77,C26,78:78)+100</f>
        <v>100</v>
      </c>
      <c r="K26" s="569"/>
      <c r="L26" s="2945"/>
      <c r="M26" s="2939"/>
      <c r="N26" s="2939"/>
      <c r="O26" s="2997"/>
      <c r="P26" s="3500" t="s">
        <v>2380</v>
      </c>
      <c r="Q26" s="1533" t="str">
        <f t="shared" si="8"/>
        <v>公共部分装修</v>
      </c>
      <c r="R26" s="713" t="s">
        <v>17</v>
      </c>
      <c r="S26" s="714">
        <f t="shared" ref="S26:S34" si="9">F26</f>
        <v>100</v>
      </c>
      <c r="T26" s="713" t="s">
        <v>17</v>
      </c>
      <c r="U26" s="714">
        <f t="shared" ref="U26:U34" si="10">H26</f>
        <v>100</v>
      </c>
      <c r="V26" s="713" t="s">
        <v>17</v>
      </c>
      <c r="W26" s="714">
        <f t="shared" ref="W26:W34" si="11">J26</f>
        <v>100</v>
      </c>
      <c r="X26" s="1536"/>
      <c r="Y26" s="3501" t="s">
        <v>2380</v>
      </c>
      <c r="Z26" s="1537" t="str">
        <f t="shared" ref="Z26:Z34" si="12">Q26</f>
        <v>公共部分装修</v>
      </c>
      <c r="AA26" s="1534">
        <f t="shared" si="3"/>
        <v>1</v>
      </c>
      <c r="AB26" s="1534">
        <f t="shared" si="4"/>
        <v>1</v>
      </c>
      <c r="AC26" s="1534">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501"/>
      <c r="Q27" s="715" t="str">
        <f t="shared" si="8"/>
        <v>成新率</v>
      </c>
      <c r="R27" s="716" t="s">
        <v>17</v>
      </c>
      <c r="S27" s="717" t="e">
        <f t="shared" si="9"/>
        <v>#N/A</v>
      </c>
      <c r="T27" s="716" t="s">
        <v>17</v>
      </c>
      <c r="U27" s="717" t="e">
        <f t="shared" si="10"/>
        <v>#N/A</v>
      </c>
      <c r="V27" s="716" t="s">
        <v>17</v>
      </c>
      <c r="W27" s="717" t="e">
        <f t="shared" si="11"/>
        <v>#N/A</v>
      </c>
      <c r="X27" s="718"/>
      <c r="Y27" s="3501"/>
      <c r="Z27" s="719" t="str">
        <f t="shared" si="12"/>
        <v>成新率</v>
      </c>
      <c r="AA27" s="1534" t="e">
        <f t="shared" si="3"/>
        <v>#N/A</v>
      </c>
      <c r="AB27" s="1534" t="e">
        <f t="shared" si="4"/>
        <v>#N/A</v>
      </c>
      <c r="AC27" s="1534"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501"/>
      <c r="Q28" s="1533" t="str">
        <f t="shared" si="8"/>
        <v>物业等级</v>
      </c>
      <c r="R28" s="713" t="s">
        <v>17</v>
      </c>
      <c r="S28" s="714">
        <f t="shared" si="9"/>
        <v>100</v>
      </c>
      <c r="T28" s="713" t="s">
        <v>17</v>
      </c>
      <c r="U28" s="714">
        <f t="shared" si="10"/>
        <v>100</v>
      </c>
      <c r="V28" s="713" t="s">
        <v>17</v>
      </c>
      <c r="W28" s="714">
        <f t="shared" si="11"/>
        <v>100</v>
      </c>
      <c r="X28" s="1536"/>
      <c r="Y28" s="3501"/>
      <c r="Z28" s="1537" t="str">
        <f t="shared" si="12"/>
        <v>物业等级</v>
      </c>
      <c r="AA28" s="1534">
        <f t="shared" si="3"/>
        <v>1</v>
      </c>
      <c r="AB28" s="1534">
        <f t="shared" si="4"/>
        <v>1</v>
      </c>
      <c r="AC28" s="1534">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501"/>
      <c r="Q29" s="1533" t="str">
        <f t="shared" si="8"/>
        <v>有无电梯</v>
      </c>
      <c r="R29" s="713" t="s">
        <v>17</v>
      </c>
      <c r="S29" s="714">
        <f t="shared" si="9"/>
        <v>100</v>
      </c>
      <c r="T29" s="713" t="s">
        <v>17</v>
      </c>
      <c r="U29" s="714">
        <f t="shared" si="10"/>
        <v>100</v>
      </c>
      <c r="V29" s="713" t="s">
        <v>17</v>
      </c>
      <c r="W29" s="714">
        <f t="shared" si="11"/>
        <v>100</v>
      </c>
      <c r="X29" s="1536"/>
      <c r="Y29" s="3501"/>
      <c r="Z29" s="1537" t="str">
        <f t="shared" si="12"/>
        <v>有无电梯</v>
      </c>
      <c r="AA29" s="1534">
        <f t="shared" si="3"/>
        <v>1</v>
      </c>
      <c r="AB29" s="1534">
        <f t="shared" si="4"/>
        <v>1</v>
      </c>
      <c r="AC29" s="1534">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501"/>
      <c r="Q30" s="1533" t="str">
        <f t="shared" si="8"/>
        <v>建筑面积</v>
      </c>
      <c r="R30" s="713" t="s">
        <v>17</v>
      </c>
      <c r="S30" s="714" t="e">
        <f t="shared" si="9"/>
        <v>#N/A</v>
      </c>
      <c r="T30" s="713" t="s">
        <v>17</v>
      </c>
      <c r="U30" s="714" t="e">
        <f t="shared" si="10"/>
        <v>#N/A</v>
      </c>
      <c r="V30" s="713" t="s">
        <v>17</v>
      </c>
      <c r="W30" s="714" t="e">
        <f t="shared" si="11"/>
        <v>#N/A</v>
      </c>
      <c r="X30" s="1536"/>
      <c r="Y30" s="3501"/>
      <c r="Z30" s="1537" t="str">
        <f t="shared" si="12"/>
        <v>建筑面积</v>
      </c>
      <c r="AA30" s="1534" t="e">
        <f t="shared" si="3"/>
        <v>#N/A</v>
      </c>
      <c r="AB30" s="1534" t="e">
        <f t="shared" si="4"/>
        <v>#N/A</v>
      </c>
      <c r="AC30" s="1534"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501"/>
      <c r="Q31" s="1524" t="str">
        <f t="shared" si="8"/>
        <v>是否封闭</v>
      </c>
      <c r="R31" s="709" t="s">
        <v>17</v>
      </c>
      <c r="S31" s="710">
        <f t="shared" si="9"/>
        <v>100</v>
      </c>
      <c r="T31" s="709" t="s">
        <v>17</v>
      </c>
      <c r="U31" s="710">
        <f t="shared" si="10"/>
        <v>100</v>
      </c>
      <c r="V31" s="709" t="s">
        <v>17</v>
      </c>
      <c r="W31" s="710">
        <f t="shared" si="11"/>
        <v>100</v>
      </c>
      <c r="X31" s="711"/>
      <c r="Y31" s="3501"/>
      <c r="Z31" s="55" t="str">
        <f t="shared" si="12"/>
        <v>是否封闭</v>
      </c>
      <c r="AA31" s="712">
        <f t="shared" si="3"/>
        <v>1</v>
      </c>
      <c r="AB31" s="712">
        <f t="shared" si="4"/>
        <v>1</v>
      </c>
      <c r="AC31" s="712">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501" t="s">
        <v>2380</v>
      </c>
      <c r="Q32" s="1533">
        <f t="shared" si="8"/>
        <v>111</v>
      </c>
      <c r="R32" s="713" t="s">
        <v>17</v>
      </c>
      <c r="S32" s="714">
        <f t="shared" si="9"/>
        <v>100</v>
      </c>
      <c r="T32" s="713" t="s">
        <v>17</v>
      </c>
      <c r="U32" s="714">
        <f t="shared" si="10"/>
        <v>100</v>
      </c>
      <c r="V32" s="713" t="s">
        <v>17</v>
      </c>
      <c r="W32" s="714">
        <f t="shared" si="11"/>
        <v>100</v>
      </c>
      <c r="X32" s="1536"/>
      <c r="Y32" s="3501" t="s">
        <v>2380</v>
      </c>
      <c r="Z32" s="1537">
        <f t="shared" si="12"/>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501"/>
      <c r="Q33" s="1533">
        <f t="shared" si="8"/>
        <v>111</v>
      </c>
      <c r="R33" s="713" t="s">
        <v>17</v>
      </c>
      <c r="S33" s="714">
        <f t="shared" si="9"/>
        <v>100</v>
      </c>
      <c r="T33" s="713" t="s">
        <v>17</v>
      </c>
      <c r="U33" s="714">
        <f t="shared" si="10"/>
        <v>100</v>
      </c>
      <c r="V33" s="713" t="s">
        <v>17</v>
      </c>
      <c r="W33" s="714">
        <f t="shared" si="11"/>
        <v>100</v>
      </c>
      <c r="X33" s="1536"/>
      <c r="Y33" s="3501"/>
      <c r="Z33" s="1537">
        <f t="shared" si="12"/>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5"/>
      <c r="M34" s="2939"/>
      <c r="N34" s="2939"/>
      <c r="O34" s="2997"/>
      <c r="P34" s="3501"/>
      <c r="Q34" s="1533">
        <f t="shared" si="8"/>
        <v>111</v>
      </c>
      <c r="R34" s="713" t="s">
        <v>17</v>
      </c>
      <c r="S34" s="714">
        <f t="shared" si="9"/>
        <v>100</v>
      </c>
      <c r="T34" s="713" t="s">
        <v>17</v>
      </c>
      <c r="U34" s="714">
        <f t="shared" si="10"/>
        <v>100</v>
      </c>
      <c r="V34" s="713" t="s">
        <v>17</v>
      </c>
      <c r="W34" s="714">
        <f t="shared" si="11"/>
        <v>100</v>
      </c>
      <c r="X34" s="1536"/>
      <c r="Y34" s="3501"/>
      <c r="Z34" s="1537">
        <f t="shared" si="12"/>
        <v>111</v>
      </c>
      <c r="AA34" s="1534">
        <f t="shared" si="3"/>
        <v>1</v>
      </c>
      <c r="AB34" s="1534">
        <f t="shared" si="4"/>
        <v>1</v>
      </c>
      <c r="AC34" s="1534">
        <f t="shared" si="5"/>
        <v>1</v>
      </c>
    </row>
    <row r="35" spans="1:30" ht="15">
      <c r="A35" s="438" t="s">
        <v>2392</v>
      </c>
      <c r="B35" s="439"/>
      <c r="C35" s="1314" t="s">
        <v>1</v>
      </c>
      <c r="D35" s="1315"/>
      <c r="E35" s="1316"/>
      <c r="F35" s="1317"/>
      <c r="G35" s="1318"/>
      <c r="H35" s="1319"/>
      <c r="I35" s="1316"/>
      <c r="J35" s="1319"/>
      <c r="K35" s="722"/>
      <c r="L35" s="2947"/>
      <c r="M35" s="2948"/>
      <c r="N35" s="2939"/>
      <c r="O35" s="2948"/>
      <c r="P35" s="3496" t="str">
        <f>A35</f>
        <v>成交单价（元/平方米）</v>
      </c>
      <c r="Q35" s="3496"/>
      <c r="R35" s="3575">
        <f>E35</f>
        <v>0</v>
      </c>
      <c r="S35" s="3575"/>
      <c r="T35" s="3575">
        <f>G35</f>
        <v>0</v>
      </c>
      <c r="U35" s="3575"/>
      <c r="V35" s="3575">
        <f>I35</f>
        <v>0</v>
      </c>
      <c r="W35" s="3575"/>
      <c r="X35" s="698"/>
      <c r="Y35" s="720"/>
      <c r="Z35" s="698"/>
      <c r="AA35" s="698"/>
      <c r="AB35" s="698"/>
      <c r="AC35" s="698"/>
    </row>
    <row r="36" spans="1:30" ht="15.75" thickBot="1">
      <c r="A36" s="445" t="s">
        <v>2484</v>
      </c>
      <c r="B36" s="446"/>
      <c r="C36" s="1320" t="e">
        <f>R37</f>
        <v>#DIV/0!</v>
      </c>
      <c r="D36" s="2535" t="s">
        <v>2873</v>
      </c>
      <c r="E36" s="1321" t="e">
        <f>R36</f>
        <v>#DIV/0!</v>
      </c>
      <c r="F36" s="2536"/>
      <c r="G36" s="1320" t="e">
        <f>T36</f>
        <v>#DIV/0!</v>
      </c>
      <c r="H36" s="2536"/>
      <c r="I36" s="1321" t="e">
        <f>V36</f>
        <v>#DIV/0!</v>
      </c>
      <c r="J36" s="2536"/>
      <c r="K36" s="2538">
        <f>F36+H36+J36</f>
        <v>0</v>
      </c>
      <c r="L36" s="2947"/>
      <c r="M36" s="2948"/>
      <c r="N36" s="2939"/>
      <c r="O36" s="2948"/>
      <c r="P36" s="3496" t="str">
        <f>A36</f>
        <v>比较价值（元/平方米）</v>
      </c>
      <c r="Q36" s="3496"/>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698"/>
      <c r="Y36" s="698"/>
      <c r="Z36" s="698"/>
      <c r="AA36" s="698"/>
      <c r="AB36" s="698"/>
      <c r="AC36" s="698"/>
    </row>
    <row r="37" spans="1:30" ht="15.75" thickBot="1">
      <c r="A37" s="449" t="s">
        <v>2485</v>
      </c>
      <c r="B37" s="450"/>
      <c r="C37" s="1323" t="e">
        <f>R37</f>
        <v>#DIV/0!</v>
      </c>
      <c r="D37" s="1323"/>
      <c r="E37" s="1323"/>
      <c r="F37" s="1323"/>
      <c r="G37" s="1323"/>
      <c r="H37" s="1323"/>
      <c r="I37" s="1323"/>
      <c r="J37" s="1323"/>
      <c r="K37" s="723"/>
      <c r="L37" s="2947"/>
      <c r="M37" s="2948"/>
      <c r="N37" s="2948"/>
      <c r="O37" s="2948"/>
      <c r="P37" s="3490" t="str">
        <f>A37</f>
        <v>估价对象XX用房的比较价值（楼面单价，元/平方米）</v>
      </c>
      <c r="Q37" s="3491"/>
      <c r="R37" s="3599" t="e">
        <f>IF(F1="售价",ROUND(IF(D36="简单平均",AVERAGE(R36:W36),R36*F36+T36*H36+V36*J36),0),ROUND(IF(D36="简单平均",AVERAGE(R36:V36),R36*F36+T36*H36+V36*J36),1))</f>
        <v>#DIV/0!</v>
      </c>
      <c r="S37" s="3599"/>
      <c r="T37" s="3599"/>
      <c r="U37" s="3599"/>
      <c r="V37" s="3599"/>
      <c r="W37" s="3599"/>
      <c r="X37" s="698"/>
      <c r="Y37" s="698"/>
      <c r="Z37" s="698"/>
      <c r="AA37" s="698"/>
      <c r="AB37" s="698"/>
      <c r="AC37" s="698"/>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2" t="s">
        <v>2489</v>
      </c>
      <c r="B45" s="698"/>
      <c r="C45" s="703"/>
      <c r="D45" s="703"/>
      <c r="E45" s="703"/>
      <c r="F45" s="704"/>
      <c r="G45" s="704"/>
      <c r="H45" s="703"/>
      <c r="I45" s="703"/>
      <c r="J45" s="703"/>
      <c r="K45" s="705"/>
      <c r="L45" s="706"/>
      <c r="M45" s="703"/>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2363</v>
      </c>
      <c r="B46" s="463"/>
      <c r="C46" s="1344" t="str">
        <f>YEAR(C7)&amp;"-"&amp;MONTH(C7)</f>
        <v>2021-12</v>
      </c>
      <c r="D46" s="1345">
        <f>EDATE(C46,-1)</f>
        <v>44501</v>
      </c>
      <c r="E46" s="1345">
        <f t="shared" ref="E46:O46" si="13">EDATE(D46,-1)</f>
        <v>44470</v>
      </c>
      <c r="F46" s="1345">
        <f t="shared" si="13"/>
        <v>44440</v>
      </c>
      <c r="G46" s="1345">
        <f t="shared" si="13"/>
        <v>44409</v>
      </c>
      <c r="H46" s="1345">
        <f t="shared" si="13"/>
        <v>44378</v>
      </c>
      <c r="I46" s="1345">
        <f t="shared" si="13"/>
        <v>44348</v>
      </c>
      <c r="J46" s="1345">
        <f t="shared" si="13"/>
        <v>44317</v>
      </c>
      <c r="K46" s="1345">
        <f t="shared" si="13"/>
        <v>44287</v>
      </c>
      <c r="L46" s="1345">
        <f t="shared" si="13"/>
        <v>44256</v>
      </c>
      <c r="M46" s="1345">
        <f t="shared" si="13"/>
        <v>44228</v>
      </c>
      <c r="N46" s="1345">
        <f t="shared" si="13"/>
        <v>44197</v>
      </c>
      <c r="O46" s="1345">
        <f t="shared" si="13"/>
        <v>44166</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3">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2400</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2365</v>
      </c>
      <c r="B49" s="467"/>
      <c r="C49" s="479" t="s">
        <v>2467</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2403</v>
      </c>
      <c r="B51" s="485" t="s">
        <v>2369</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2555</v>
      </c>
      <c r="C63" s="535" t="s">
        <v>2412</v>
      </c>
      <c r="D63" s="535" t="s">
        <v>2413</v>
      </c>
      <c r="E63" s="535" t="s">
        <v>2414</v>
      </c>
      <c r="F63" s="535" t="s">
        <v>2415</v>
      </c>
      <c r="G63" s="535" t="s">
        <v>2416</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2504</v>
      </c>
      <c r="C65" s="616" t="s">
        <v>2490</v>
      </c>
      <c r="D65" s="616" t="s">
        <v>2491</v>
      </c>
      <c r="E65" s="616" t="s">
        <v>2492</v>
      </c>
      <c r="F65" s="616" t="s">
        <v>2493</v>
      </c>
      <c r="G65" s="616" t="s">
        <v>2494</v>
      </c>
      <c r="H65" s="496"/>
      <c r="I65" s="496"/>
      <c r="J65" s="496"/>
      <c r="K65" s="496"/>
      <c r="L65" s="496"/>
      <c r="M65" s="1289"/>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2424</v>
      </c>
      <c r="C67" s="535" t="s">
        <v>2412</v>
      </c>
      <c r="D67" s="535" t="s">
        <v>2413</v>
      </c>
      <c r="E67" s="535" t="s">
        <v>2414</v>
      </c>
      <c r="F67" s="535" t="s">
        <v>2415</v>
      </c>
      <c r="G67" s="535" t="s">
        <v>2416</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2544</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2378</v>
      </c>
      <c r="B77" s="485" t="s">
        <v>2431</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2548</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2556</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2557</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2558</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6"/>
      <c r="B98" s="1066"/>
      <c r="C98" s="1066"/>
      <c r="D98" s="1066"/>
      <c r="E98" s="1066"/>
      <c r="F98" s="1066"/>
      <c r="G98" s="1066"/>
      <c r="H98" s="1066"/>
      <c r="I98" s="1066"/>
      <c r="J98" s="1066"/>
      <c r="K98" s="1067"/>
      <c r="L98" s="1068"/>
      <c r="M98" s="1066"/>
      <c r="N98" s="2948"/>
      <c r="O98" s="2948"/>
      <c r="P98" s="2948"/>
      <c r="Q98" s="2948"/>
      <c r="R98" s="2948"/>
      <c r="S98" s="2948"/>
      <c r="T98" s="2948"/>
      <c r="U98" s="2948"/>
      <c r="V98" s="2948"/>
      <c r="W98" s="2948"/>
      <c r="X98" s="2948"/>
      <c r="Y98" s="2948"/>
      <c r="Z98" s="2948"/>
      <c r="AA98" s="2948"/>
      <c r="AB98" s="2948"/>
      <c r="AC98" s="2948"/>
      <c r="AD98" s="2948"/>
    </row>
    <row r="99" spans="1:30">
      <c r="A99" s="1066"/>
      <c r="B99" s="1066"/>
      <c r="C99" s="1066"/>
      <c r="D99" s="1066"/>
      <c r="E99" s="1066"/>
      <c r="F99" s="1066"/>
      <c r="G99" s="1066"/>
      <c r="H99" s="1066"/>
      <c r="I99" s="1066"/>
      <c r="J99" s="1066"/>
      <c r="K99" s="1067"/>
      <c r="L99" s="1068"/>
      <c r="M99" s="1066"/>
      <c r="N99" s="2948"/>
      <c r="O99" s="2948"/>
      <c r="P99" s="2948"/>
      <c r="Q99" s="2948"/>
      <c r="R99" s="2948"/>
      <c r="S99" s="2948"/>
      <c r="T99" s="2948"/>
      <c r="U99" s="2948"/>
      <c r="V99" s="2948"/>
      <c r="W99" s="2948"/>
      <c r="X99" s="2948"/>
      <c r="Y99" s="2948"/>
      <c r="Z99" s="2948"/>
      <c r="AA99" s="2948"/>
      <c r="AB99" s="2948"/>
      <c r="AC99" s="2948"/>
      <c r="AD99" s="2948"/>
    </row>
    <row r="100" spans="1:30">
      <c r="A100" s="1066"/>
      <c r="B100" s="1066"/>
      <c r="C100" s="1066"/>
      <c r="D100" s="1066"/>
      <c r="E100" s="1066"/>
      <c r="F100" s="1066"/>
      <c r="G100" s="1066"/>
      <c r="H100" s="1066"/>
      <c r="I100" s="1066"/>
      <c r="J100" s="1066"/>
      <c r="K100" s="1067"/>
      <c r="L100" s="1068"/>
      <c r="M100" s="1066"/>
      <c r="N100" s="2948"/>
      <c r="O100" s="2948"/>
      <c r="P100" s="2948"/>
      <c r="Q100" s="2948"/>
      <c r="R100" s="2948"/>
      <c r="S100" s="2948"/>
      <c r="T100" s="2948"/>
      <c r="U100" s="2948"/>
      <c r="V100" s="2948"/>
      <c r="W100" s="2948"/>
      <c r="X100" s="2948"/>
      <c r="Y100" s="2948"/>
      <c r="Z100" s="2948"/>
      <c r="AA100" s="2948"/>
      <c r="AB100" s="2948"/>
      <c r="AC100" s="2948"/>
      <c r="AD100" s="2948"/>
    </row>
    <row r="101" spans="1:30">
      <c r="A101" s="1066"/>
      <c r="B101" s="1066"/>
      <c r="C101" s="1066"/>
      <c r="D101" s="1066"/>
      <c r="E101" s="1066"/>
      <c r="F101" s="1066"/>
      <c r="G101" s="1066"/>
      <c r="H101" s="1066"/>
      <c r="I101" s="1066"/>
      <c r="J101" s="1066"/>
      <c r="K101" s="1067"/>
      <c r="L101" s="1068"/>
      <c r="M101" s="1066"/>
      <c r="N101" s="2948"/>
      <c r="O101" s="2948"/>
      <c r="P101" s="2948"/>
      <c r="Q101" s="2948"/>
      <c r="R101" s="2948"/>
      <c r="S101" s="2948"/>
      <c r="T101" s="2948"/>
      <c r="U101" s="2948"/>
      <c r="V101" s="2948"/>
      <c r="W101" s="2948"/>
      <c r="X101" s="2948"/>
      <c r="Y101" s="2948"/>
      <c r="Z101" s="2948"/>
      <c r="AA101" s="2948"/>
      <c r="AB101" s="2948"/>
      <c r="AC101" s="2948"/>
      <c r="AD101" s="2948"/>
    </row>
    <row r="102" spans="1:30">
      <c r="A102" s="1066"/>
      <c r="B102" s="1066"/>
      <c r="C102" s="1066"/>
      <c r="D102" s="1066"/>
      <c r="E102" s="1066"/>
      <c r="F102" s="1066"/>
      <c r="G102" s="1066"/>
      <c r="H102" s="1066"/>
      <c r="I102" s="1066"/>
      <c r="J102" s="1066"/>
      <c r="K102" s="1067"/>
      <c r="L102" s="1068"/>
      <c r="M102" s="1066"/>
      <c r="N102" s="2948"/>
      <c r="O102" s="2948"/>
      <c r="P102" s="2948"/>
      <c r="Q102" s="2948"/>
      <c r="R102" s="2948"/>
      <c r="S102" s="2948"/>
      <c r="T102" s="2948"/>
      <c r="U102" s="2948"/>
      <c r="V102" s="2948"/>
      <c r="W102" s="2948"/>
      <c r="X102" s="2948"/>
      <c r="Y102" s="2948"/>
      <c r="Z102" s="2948"/>
      <c r="AA102" s="2948"/>
      <c r="AB102" s="2948"/>
      <c r="AC102" s="2948"/>
      <c r="AD102" s="2948"/>
    </row>
    <row r="103" spans="1:30">
      <c r="A103" s="1066"/>
      <c r="B103" s="1066"/>
      <c r="C103" s="1066"/>
      <c r="D103" s="1066"/>
      <c r="E103" s="1066"/>
      <c r="F103" s="1066"/>
      <c r="G103" s="1066"/>
      <c r="H103" s="1066"/>
      <c r="I103" s="1066"/>
      <c r="J103" s="1066"/>
      <c r="K103" s="1067"/>
      <c r="L103" s="1068"/>
      <c r="M103" s="1066"/>
      <c r="N103" s="1066"/>
      <c r="O103" s="1066"/>
      <c r="P103" s="2948"/>
      <c r="Q103" s="2948"/>
      <c r="R103" s="2948"/>
      <c r="S103" s="2948"/>
      <c r="T103" s="2948"/>
      <c r="U103" s="2948"/>
      <c r="V103" s="2948"/>
      <c r="W103" s="2948"/>
      <c r="X103" s="2948"/>
      <c r="Y103" s="2948"/>
      <c r="Z103" s="2948"/>
      <c r="AA103" s="2948"/>
      <c r="AB103" s="2948"/>
      <c r="AC103" s="2948"/>
      <c r="AD103" s="2948"/>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2609</v>
      </c>
      <c r="D1" s="694"/>
      <c r="E1" s="694"/>
      <c r="F1" s="693" t="s">
        <v>2458</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2142</v>
      </c>
      <c r="B2" s="627" t="e">
        <f>F61</f>
        <v>#DIV/0!</v>
      </c>
      <c r="C2" s="1038"/>
      <c r="D2" s="1038"/>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2144</v>
      </c>
      <c r="B3" s="566" t="e">
        <f>ROUND(IF(D3="",B2*10000/'数据-汇总表'!E3,B2*10000/D3),0)</f>
        <v>#DIV/0!</v>
      </c>
      <c r="C3" s="209" t="s">
        <v>2561</v>
      </c>
      <c r="D3" s="1353"/>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2460</v>
      </c>
      <c r="B4" s="362"/>
      <c r="C4" s="3493" t="s">
        <v>2461</v>
      </c>
      <c r="D4" s="3506"/>
      <c r="E4" s="3507" t="s">
        <v>2462</v>
      </c>
      <c r="F4" s="3508"/>
      <c r="G4" s="3493" t="s">
        <v>2463</v>
      </c>
      <c r="H4" s="3506"/>
      <c r="I4" s="3493" t="s">
        <v>2464</v>
      </c>
      <c r="J4" s="3506"/>
      <c r="K4" s="567" t="s">
        <v>2465</v>
      </c>
      <c r="L4" s="2938"/>
      <c r="M4" s="2939"/>
      <c r="N4" s="2939"/>
      <c r="O4" s="2939"/>
      <c r="P4" s="3509" t="s">
        <v>2466</v>
      </c>
      <c r="Q4" s="3510"/>
      <c r="R4" s="3515" t="s">
        <v>2462</v>
      </c>
      <c r="S4" s="3516"/>
      <c r="T4" s="3515" t="s">
        <v>2463</v>
      </c>
      <c r="U4" s="3516"/>
      <c r="V4" s="3502" t="s">
        <v>2464</v>
      </c>
      <c r="W4" s="3502"/>
      <c r="X4" s="1536"/>
      <c r="Y4" s="3515" t="s">
        <v>2466</v>
      </c>
      <c r="Z4" s="3516"/>
      <c r="AA4" s="3503" t="s">
        <v>2462</v>
      </c>
      <c r="AB4" s="3504" t="s">
        <v>2463</v>
      </c>
      <c r="AC4" s="3503" t="s">
        <v>2464</v>
      </c>
    </row>
    <row r="5" spans="1:29" ht="15">
      <c r="A5" s="364"/>
      <c r="B5" s="365"/>
      <c r="C5" s="3523" t="s">
        <v>2357</v>
      </c>
      <c r="D5" s="3524"/>
      <c r="E5" s="3532" t="s">
        <v>2358</v>
      </c>
      <c r="F5" s="3533"/>
      <c r="G5" s="3523" t="s">
        <v>2359</v>
      </c>
      <c r="H5" s="3524"/>
      <c r="I5" s="3523" t="s">
        <v>2360</v>
      </c>
      <c r="J5" s="3524"/>
      <c r="K5" s="567"/>
      <c r="L5" s="2938"/>
      <c r="M5" s="2939"/>
      <c r="N5" s="2939"/>
      <c r="O5" s="2939"/>
      <c r="P5" s="3511"/>
      <c r="Q5" s="3512"/>
      <c r="R5" s="3517"/>
      <c r="S5" s="3518"/>
      <c r="T5" s="3517"/>
      <c r="U5" s="3518"/>
      <c r="V5" s="3502"/>
      <c r="W5" s="3502"/>
      <c r="X5" s="1536"/>
      <c r="Y5" s="3517"/>
      <c r="Z5" s="3518"/>
      <c r="AA5" s="3504"/>
      <c r="AB5" s="3504"/>
      <c r="AC5" s="3504"/>
    </row>
    <row r="6" spans="1:29" ht="15.75" thickBot="1">
      <c r="A6" s="366"/>
      <c r="B6" s="367"/>
      <c r="C6" s="3600" t="s">
        <v>2610</v>
      </c>
      <c r="D6" s="3601"/>
      <c r="E6" s="3602" t="s">
        <v>2610</v>
      </c>
      <c r="F6" s="3603"/>
      <c r="G6" s="3600" t="s">
        <v>2610</v>
      </c>
      <c r="H6" s="3601"/>
      <c r="I6" s="3600" t="s">
        <v>2610</v>
      </c>
      <c r="J6" s="3601"/>
      <c r="K6" s="567" t="s">
        <v>2362</v>
      </c>
      <c r="L6" s="2938"/>
      <c r="M6" s="2939"/>
      <c r="N6" s="2939"/>
      <c r="O6" s="2939"/>
      <c r="P6" s="3513"/>
      <c r="Q6" s="3514"/>
      <c r="R6" s="3517"/>
      <c r="S6" s="3518"/>
      <c r="T6" s="3519"/>
      <c r="U6" s="3520"/>
      <c r="V6" s="3502"/>
      <c r="W6" s="3502"/>
      <c r="X6" s="1536"/>
      <c r="Y6" s="3519"/>
      <c r="Z6" s="3520"/>
      <c r="AA6" s="3505"/>
      <c r="AB6" s="3505"/>
      <c r="AC6" s="3505"/>
    </row>
    <row r="7" spans="1:29" s="113" customFormat="1" ht="15.75" thickBot="1">
      <c r="A7" s="368" t="s">
        <v>2363</v>
      </c>
      <c r="B7" s="369"/>
      <c r="C7" s="370">
        <f>'数据-取费表'!B2</f>
        <v>44541</v>
      </c>
      <c r="D7" s="371">
        <v>100</v>
      </c>
      <c r="E7" s="372"/>
      <c r="F7" s="373">
        <f>SUMIF(65:65,YEAR(E7)&amp;"-"&amp;INT((MONTH(E7)+2)/3),66:66)</f>
        <v>0</v>
      </c>
      <c r="G7" s="2157"/>
      <c r="H7" s="371">
        <f>SUMIF(65:65,YEAR(G7)&amp;"-"&amp;INT((MONTH(G7)+2)/3),66:66)</f>
        <v>0</v>
      </c>
      <c r="I7" s="2157"/>
      <c r="J7" s="371">
        <f>SUMIF(65:65,YEAR(I7)&amp;"-"&amp;INT((MONTH(I7)+2)/3),66:66)</f>
        <v>0</v>
      </c>
      <c r="K7" s="568"/>
      <c r="L7" s="2940"/>
      <c r="M7" s="2941"/>
      <c r="N7" s="2941"/>
      <c r="O7" s="2941"/>
      <c r="P7" s="3525" t="s">
        <v>2364</v>
      </c>
      <c r="Q7" s="3527"/>
      <c r="R7" s="709" t="s">
        <v>17</v>
      </c>
      <c r="S7" s="710">
        <f t="shared" ref="S7:S15" si="0">F7</f>
        <v>0</v>
      </c>
      <c r="T7" s="709" t="s">
        <v>17</v>
      </c>
      <c r="U7" s="710">
        <f t="shared" ref="U7:U15" si="1">H7</f>
        <v>0</v>
      </c>
      <c r="V7" s="709" t="s">
        <v>17</v>
      </c>
      <c r="W7" s="710">
        <f t="shared" ref="W7:W15" si="2">J7</f>
        <v>0</v>
      </c>
      <c r="X7" s="711"/>
      <c r="Y7" s="3525" t="s">
        <v>2364</v>
      </c>
      <c r="Z7" s="3526"/>
      <c r="AA7" s="712" t="e">
        <f>D7/F7</f>
        <v>#DIV/0!</v>
      </c>
      <c r="AB7" s="712" t="e">
        <f>D7/H7</f>
        <v>#DIV/0!</v>
      </c>
      <c r="AC7" s="712"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525" t="s">
        <v>2367</v>
      </c>
      <c r="Q8" s="3526"/>
      <c r="R8" s="709" t="s">
        <v>17</v>
      </c>
      <c r="S8" s="710">
        <f t="shared" si="0"/>
        <v>0</v>
      </c>
      <c r="T8" s="709" t="s">
        <v>17</v>
      </c>
      <c r="U8" s="710">
        <f t="shared" si="1"/>
        <v>0</v>
      </c>
      <c r="V8" s="709" t="s">
        <v>17</v>
      </c>
      <c r="W8" s="710">
        <f t="shared" si="2"/>
        <v>0</v>
      </c>
      <c r="X8" s="711"/>
      <c r="Y8" s="3525" t="s">
        <v>2367</v>
      </c>
      <c r="Z8" s="3526"/>
      <c r="AA8" s="712" t="e">
        <f t="shared" ref="AA8:AA40" si="3">D8/F8</f>
        <v>#DIV/0!</v>
      </c>
      <c r="AB8" s="712" t="e">
        <f t="shared" ref="AB8:AB40" si="4">D8/H8</f>
        <v>#DIV/0!</v>
      </c>
      <c r="AC8" s="712" t="e">
        <f t="shared" ref="AC8:AC40" si="5">D8/J8</f>
        <v>#DIV/0!</v>
      </c>
    </row>
    <row r="9" spans="1:29" s="113" customFormat="1">
      <c r="A9" s="375" t="s">
        <v>2368</v>
      </c>
      <c r="B9" s="67" t="s">
        <v>2369</v>
      </c>
      <c r="C9" s="2160"/>
      <c r="D9" s="131">
        <v>100</v>
      </c>
      <c r="E9" s="2160"/>
      <c r="F9" s="131">
        <f>SUMIF(70:70,E9,71:71)-SUMIF(70:70,C9,71:71)+100</f>
        <v>100</v>
      </c>
      <c r="G9" s="2160"/>
      <c r="H9" s="131">
        <f>SUMIF(70:70,G9,71:71)-SUMIF(70:70,C9,71:71)+100</f>
        <v>100</v>
      </c>
      <c r="I9" s="2160"/>
      <c r="J9" s="131">
        <f>SUMIF(70:70,I9,71:71)-SUMIF(70:70,C9,71:71)+100</f>
        <v>100</v>
      </c>
      <c r="K9" s="568"/>
      <c r="L9" s="2940"/>
      <c r="M9" s="2941"/>
      <c r="N9" s="2941"/>
      <c r="O9" s="2995"/>
      <c r="P9" s="3496" t="s">
        <v>2370</v>
      </c>
      <c r="Q9" s="1524" t="str">
        <f t="shared" ref="Q9:Q15" si="6">B9</f>
        <v>用途</v>
      </c>
      <c r="R9" s="709" t="s">
        <v>17</v>
      </c>
      <c r="S9" s="710">
        <f t="shared" si="0"/>
        <v>100</v>
      </c>
      <c r="T9" s="709" t="s">
        <v>17</v>
      </c>
      <c r="U9" s="710">
        <f t="shared" si="1"/>
        <v>100</v>
      </c>
      <c r="V9" s="709" t="s">
        <v>17</v>
      </c>
      <c r="W9" s="710">
        <f t="shared" si="2"/>
        <v>100</v>
      </c>
      <c r="X9" s="711"/>
      <c r="Y9" s="3386" t="s">
        <v>2371</v>
      </c>
      <c r="Z9" s="55" t="str">
        <f t="shared" ref="Z9:Z15" si="7">Q9</f>
        <v>用途</v>
      </c>
      <c r="AA9" s="712">
        <f t="shared" si="3"/>
        <v>1</v>
      </c>
      <c r="AB9" s="712">
        <f t="shared" si="4"/>
        <v>1</v>
      </c>
      <c r="AC9" s="712">
        <f t="shared" si="5"/>
        <v>1</v>
      </c>
    </row>
    <row r="10" spans="1:29" s="386" customFormat="1" ht="27">
      <c r="A10" s="380"/>
      <c r="B10" s="381" t="s">
        <v>2372</v>
      </c>
      <c r="C10" s="391"/>
      <c r="D10" s="132">
        <v>100</v>
      </c>
      <c r="E10" s="391"/>
      <c r="F10" s="132">
        <f>ROUND(100/'数据-取费表'!G16,0)</f>
        <v>107</v>
      </c>
      <c r="G10" s="391"/>
      <c r="H10" s="132">
        <f>ROUND(100/'数据-取费表'!G16,0)</f>
        <v>107</v>
      </c>
      <c r="I10" s="391"/>
      <c r="J10" s="132">
        <f>ROUND(100/'数据-取费表'!G16,0)</f>
        <v>107</v>
      </c>
      <c r="K10" s="628"/>
      <c r="L10" s="2942"/>
      <c r="M10" s="2943"/>
      <c r="N10" s="2943"/>
      <c r="O10" s="2996"/>
      <c r="P10" s="3496"/>
      <c r="Q10" s="1524" t="str">
        <f t="shared" si="6"/>
        <v>土地使用年限（年）</v>
      </c>
      <c r="R10" s="709" t="s">
        <v>17</v>
      </c>
      <c r="S10" s="710">
        <f t="shared" si="0"/>
        <v>107</v>
      </c>
      <c r="T10" s="709" t="s">
        <v>17</v>
      </c>
      <c r="U10" s="710">
        <f t="shared" si="1"/>
        <v>107</v>
      </c>
      <c r="V10" s="709" t="s">
        <v>17</v>
      </c>
      <c r="W10" s="710">
        <f t="shared" si="2"/>
        <v>107</v>
      </c>
      <c r="X10" s="711"/>
      <c r="Y10" s="3386"/>
      <c r="Z10" s="55" t="str">
        <f t="shared" si="7"/>
        <v>土地使用年限（年）</v>
      </c>
      <c r="AA10" s="712">
        <f t="shared" si="3"/>
        <v>0.93457943925233644</v>
      </c>
      <c r="AB10" s="712">
        <f t="shared" si="4"/>
        <v>0.93457943925233644</v>
      </c>
      <c r="AC10" s="712">
        <f t="shared" si="5"/>
        <v>0.93457943925233644</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496"/>
      <c r="Q11" s="1524"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712"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496"/>
      <c r="Q12" s="1524">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496"/>
      <c r="Q13" s="1524">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496"/>
      <c r="Q14" s="1524">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712">
        <f t="shared" si="5"/>
        <v>1</v>
      </c>
    </row>
    <row r="15" spans="1:29" ht="57">
      <c r="A15" s="399" t="s">
        <v>2374</v>
      </c>
      <c r="B15" s="585" t="s">
        <v>2611</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498" t="s">
        <v>2375</v>
      </c>
      <c r="Q15" s="1533" t="str">
        <f t="shared" si="6"/>
        <v>产业集聚程度</v>
      </c>
      <c r="R15" s="713" t="s">
        <v>17</v>
      </c>
      <c r="S15" s="714">
        <f t="shared" si="0"/>
        <v>100</v>
      </c>
      <c r="T15" s="713" t="s">
        <v>17</v>
      </c>
      <c r="U15" s="714">
        <f t="shared" si="1"/>
        <v>100</v>
      </c>
      <c r="V15" s="713" t="s">
        <v>17</v>
      </c>
      <c r="W15" s="714">
        <f t="shared" si="2"/>
        <v>100</v>
      </c>
      <c r="X15" s="1536"/>
      <c r="Y15" s="3498" t="s">
        <v>2375</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5"/>
      <c r="M16" s="2939"/>
      <c r="N16" s="2939"/>
      <c r="O16" s="2997"/>
      <c r="P16" s="3499"/>
      <c r="Q16" s="1533"/>
      <c r="R16" s="713"/>
      <c r="S16" s="714"/>
      <c r="T16" s="713"/>
      <c r="U16" s="714"/>
      <c r="V16" s="713"/>
      <c r="W16" s="714"/>
      <c r="X16" s="1536"/>
      <c r="Y16" s="3499"/>
      <c r="Z16" s="1537"/>
      <c r="AA16" s="1534">
        <v>1</v>
      </c>
      <c r="AB16" s="1534">
        <v>1</v>
      </c>
      <c r="AC16" s="1534">
        <v>1</v>
      </c>
    </row>
    <row r="17" spans="1:29" ht="85.5">
      <c r="A17" s="387"/>
      <c r="B17" s="587" t="s">
        <v>2524</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499"/>
      <c r="Q17" s="1533" t="str">
        <f>B17</f>
        <v>交通便捷度</v>
      </c>
      <c r="R17" s="713" t="s">
        <v>17</v>
      </c>
      <c r="S17" s="714">
        <f>F17</f>
        <v>100</v>
      </c>
      <c r="T17" s="713" t="s">
        <v>17</v>
      </c>
      <c r="U17" s="714">
        <f>H17</f>
        <v>100</v>
      </c>
      <c r="V17" s="713" t="s">
        <v>17</v>
      </c>
      <c r="W17" s="714">
        <f>J17</f>
        <v>100</v>
      </c>
      <c r="X17" s="1536"/>
      <c r="Y17" s="3499"/>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5"/>
      <c r="M18" s="2939"/>
      <c r="N18" s="2939"/>
      <c r="O18" s="2997"/>
      <c r="P18" s="3499"/>
      <c r="Q18" s="1533"/>
      <c r="R18" s="713"/>
      <c r="S18" s="714"/>
      <c r="T18" s="713"/>
      <c r="U18" s="714"/>
      <c r="V18" s="713"/>
      <c r="W18" s="714"/>
      <c r="X18" s="1536"/>
      <c r="Y18" s="3499"/>
      <c r="Z18" s="1537"/>
      <c r="AA18" s="1534">
        <v>1</v>
      </c>
      <c r="AB18" s="1534">
        <v>1</v>
      </c>
      <c r="AC18" s="1534">
        <v>1</v>
      </c>
    </row>
    <row r="19" spans="1:29" ht="15">
      <c r="A19" s="387"/>
      <c r="B19" s="587" t="s">
        <v>2563</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499"/>
      <c r="Q19" s="1533" t="str">
        <f t="shared" ref="Q19:Q33" si="8">B19</f>
        <v>区域土地利用方向</v>
      </c>
      <c r="R19" s="713" t="s">
        <v>17</v>
      </c>
      <c r="S19" s="714">
        <f>F19</f>
        <v>100</v>
      </c>
      <c r="T19" s="713" t="s">
        <v>17</v>
      </c>
      <c r="U19" s="714">
        <f>H19</f>
        <v>100</v>
      </c>
      <c r="V19" s="713" t="s">
        <v>17</v>
      </c>
      <c r="W19" s="714">
        <f>J19</f>
        <v>100</v>
      </c>
      <c r="X19" s="1536"/>
      <c r="Y19" s="3499"/>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50"/>
      <c r="L20" s="2945"/>
      <c r="M20" s="2939"/>
      <c r="N20" s="2939"/>
      <c r="O20" s="2997"/>
      <c r="P20" s="3499"/>
      <c r="Q20" s="1533"/>
      <c r="R20" s="713"/>
      <c r="S20" s="714"/>
      <c r="T20" s="713"/>
      <c r="U20" s="714"/>
      <c r="V20" s="713"/>
      <c r="W20" s="714"/>
      <c r="X20" s="1536"/>
      <c r="Y20" s="3499"/>
      <c r="Z20" s="1537"/>
      <c r="AA20" s="1534"/>
      <c r="AB20" s="1534"/>
      <c r="AC20" s="1534"/>
    </row>
    <row r="21" spans="1:29" ht="71.25">
      <c r="A21" s="364"/>
      <c r="B21" s="587" t="s">
        <v>2612</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499"/>
      <c r="Q21" s="1533" t="str">
        <f t="shared" si="8"/>
        <v>环境状况</v>
      </c>
      <c r="R21" s="713" t="s">
        <v>17</v>
      </c>
      <c r="S21" s="714">
        <f>F21</f>
        <v>100</v>
      </c>
      <c r="T21" s="713" t="s">
        <v>17</v>
      </c>
      <c r="U21" s="714">
        <f>H21</f>
        <v>100</v>
      </c>
      <c r="V21" s="713" t="s">
        <v>17</v>
      </c>
      <c r="W21" s="714">
        <f>J21</f>
        <v>100</v>
      </c>
      <c r="X21" s="1536"/>
      <c r="Y21" s="3499"/>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5"/>
      <c r="M22" s="2939"/>
      <c r="N22" s="2939"/>
      <c r="O22" s="2997"/>
      <c r="P22" s="3499"/>
      <c r="Q22" s="1533"/>
      <c r="R22" s="713"/>
      <c r="S22" s="714"/>
      <c r="T22" s="713"/>
      <c r="U22" s="714"/>
      <c r="V22" s="713"/>
      <c r="W22" s="714"/>
      <c r="X22" s="1536"/>
      <c r="Y22" s="3499"/>
      <c r="Z22" s="1537"/>
      <c r="AA22" s="1534">
        <v>1</v>
      </c>
      <c r="AB22" s="1534">
        <v>1</v>
      </c>
      <c r="AC22" s="1534">
        <v>1</v>
      </c>
    </row>
    <row r="23" spans="1:29" s="113" customFormat="1" ht="42.75">
      <c r="A23" s="605"/>
      <c r="B23" s="589" t="s">
        <v>2469</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499"/>
      <c r="Q23" s="1524" t="str">
        <f t="shared" si="8"/>
        <v>公共配套设施</v>
      </c>
      <c r="R23" s="709" t="s">
        <v>17</v>
      </c>
      <c r="S23" s="710">
        <f>F23</f>
        <v>100</v>
      </c>
      <c r="T23" s="709" t="s">
        <v>17</v>
      </c>
      <c r="U23" s="710">
        <f>H23</f>
        <v>100</v>
      </c>
      <c r="V23" s="709" t="s">
        <v>17</v>
      </c>
      <c r="W23" s="710">
        <f>J23</f>
        <v>100</v>
      </c>
      <c r="X23" s="711"/>
      <c r="Y23" s="3499"/>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0"/>
      <c r="M24" s="2941"/>
      <c r="N24" s="2941"/>
      <c r="O24" s="2995"/>
      <c r="P24" s="3499"/>
      <c r="Q24" s="1524"/>
      <c r="R24" s="709"/>
      <c r="S24" s="710"/>
      <c r="T24" s="709"/>
      <c r="U24" s="710"/>
      <c r="V24" s="709"/>
      <c r="W24" s="710"/>
      <c r="X24" s="711"/>
      <c r="Y24" s="3499"/>
      <c r="Z24" s="55"/>
      <c r="AA24" s="712">
        <v>1</v>
      </c>
      <c r="AB24" s="712">
        <v>1</v>
      </c>
      <c r="AC24" s="712">
        <v>1</v>
      </c>
    </row>
    <row r="25" spans="1:29" s="113" customFormat="1" ht="28.5">
      <c r="A25" s="605"/>
      <c r="B25" s="589" t="s">
        <v>2470</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499"/>
      <c r="Q25" s="1524" t="str">
        <f>B25</f>
        <v>基础设施水平</v>
      </c>
      <c r="R25" s="709" t="s">
        <v>17</v>
      </c>
      <c r="S25" s="710">
        <f>F25</f>
        <v>100</v>
      </c>
      <c r="T25" s="709" t="s">
        <v>17</v>
      </c>
      <c r="U25" s="710">
        <f>H25</f>
        <v>100</v>
      </c>
      <c r="V25" s="709" t="s">
        <v>17</v>
      </c>
      <c r="W25" s="710">
        <f>J25</f>
        <v>100</v>
      </c>
      <c r="X25" s="711"/>
      <c r="Y25" s="3499"/>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0"/>
      <c r="M26" s="2941"/>
      <c r="N26" s="2941"/>
      <c r="O26" s="2995"/>
      <c r="P26" s="3499"/>
      <c r="Q26" s="1524"/>
      <c r="R26" s="709"/>
      <c r="S26" s="710"/>
      <c r="T26" s="709"/>
      <c r="U26" s="710"/>
      <c r="V26" s="709"/>
      <c r="W26" s="710"/>
      <c r="X26" s="711"/>
      <c r="Y26" s="3499"/>
      <c r="Z26" s="55"/>
      <c r="AA26" s="712">
        <v>1</v>
      </c>
      <c r="AB26" s="712">
        <v>1</v>
      </c>
      <c r="AC26" s="712">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499"/>
      <c r="Q27" s="1533" t="str">
        <f t="shared" si="8"/>
        <v>临街状况</v>
      </c>
      <c r="R27" s="713" t="s">
        <v>17</v>
      </c>
      <c r="S27" s="714">
        <f t="shared" ref="S27:S40" si="9">F27</f>
        <v>100</v>
      </c>
      <c r="T27" s="713" t="s">
        <v>17</v>
      </c>
      <c r="U27" s="714">
        <f t="shared" ref="U27:U40" si="10">H27</f>
        <v>100</v>
      </c>
      <c r="V27" s="713" t="s">
        <v>17</v>
      </c>
      <c r="W27" s="714">
        <f t="shared" ref="W27:W40" si="11">J27</f>
        <v>100</v>
      </c>
      <c r="X27" s="1536"/>
      <c r="Y27" s="3499"/>
      <c r="Z27" s="1537" t="str">
        <f t="shared" ref="Z27:Z40" si="12">Q27</f>
        <v>临街状况</v>
      </c>
      <c r="AA27" s="1534">
        <f t="shared" si="3"/>
        <v>1</v>
      </c>
      <c r="AB27" s="1534">
        <f t="shared" si="4"/>
        <v>1</v>
      </c>
      <c r="AC27" s="1534">
        <f t="shared" si="5"/>
        <v>1</v>
      </c>
    </row>
    <row r="28" spans="1:29" ht="27">
      <c r="A28" s="387"/>
      <c r="B28" s="589" t="s">
        <v>2506</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499"/>
      <c r="Q28" s="1533" t="str">
        <f t="shared" si="8"/>
        <v>毗邻道路的类型与等级</v>
      </c>
      <c r="R28" s="713" t="s">
        <v>17</v>
      </c>
      <c r="S28" s="714">
        <f t="shared" si="9"/>
        <v>100</v>
      </c>
      <c r="T28" s="713" t="s">
        <v>17</v>
      </c>
      <c r="U28" s="714">
        <f t="shared" si="10"/>
        <v>100</v>
      </c>
      <c r="V28" s="713" t="s">
        <v>17</v>
      </c>
      <c r="W28" s="714">
        <f t="shared" si="11"/>
        <v>100</v>
      </c>
      <c r="X28" s="1536"/>
      <c r="Y28" s="3499"/>
      <c r="Z28" s="1537" t="str">
        <f t="shared" si="12"/>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5"/>
      <c r="M29" s="2939"/>
      <c r="N29" s="2939"/>
      <c r="O29" s="2997"/>
      <c r="P29" s="3499"/>
      <c r="Q29" s="1533"/>
      <c r="R29" s="713"/>
      <c r="S29" s="714"/>
      <c r="T29" s="713"/>
      <c r="U29" s="714"/>
      <c r="V29" s="713"/>
      <c r="W29" s="714"/>
      <c r="X29" s="1536"/>
      <c r="Y29" s="3499"/>
      <c r="Z29" s="1537"/>
      <c r="AA29" s="1534">
        <v>1</v>
      </c>
      <c r="AB29" s="1534">
        <v>1</v>
      </c>
      <c r="AC29" s="1534">
        <v>1</v>
      </c>
    </row>
    <row r="30" spans="1:29" ht="15">
      <c r="A30" s="387"/>
      <c r="B30" s="610" t="s">
        <v>2565</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499"/>
      <c r="Q30" s="1533" t="str">
        <f t="shared" si="8"/>
        <v>土地级别</v>
      </c>
      <c r="R30" s="713" t="s">
        <v>17</v>
      </c>
      <c r="S30" s="714">
        <f t="shared" si="9"/>
        <v>100</v>
      </c>
      <c r="T30" s="713" t="s">
        <v>17</v>
      </c>
      <c r="U30" s="714">
        <f t="shared" si="10"/>
        <v>100</v>
      </c>
      <c r="V30" s="713" t="s">
        <v>17</v>
      </c>
      <c r="W30" s="714">
        <f t="shared" si="11"/>
        <v>100</v>
      </c>
      <c r="X30" s="1536"/>
      <c r="Y30" s="3499"/>
      <c r="Z30" s="1537" t="str">
        <f t="shared" si="12"/>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499"/>
      <c r="Q31" s="1533">
        <f t="shared" si="8"/>
        <v>111</v>
      </c>
      <c r="R31" s="713" t="s">
        <v>17</v>
      </c>
      <c r="S31" s="714">
        <f t="shared" si="9"/>
        <v>100</v>
      </c>
      <c r="T31" s="713" t="s">
        <v>17</v>
      </c>
      <c r="U31" s="714">
        <f t="shared" si="10"/>
        <v>100</v>
      </c>
      <c r="V31" s="713" t="s">
        <v>17</v>
      </c>
      <c r="W31" s="714">
        <f t="shared" si="11"/>
        <v>100</v>
      </c>
      <c r="X31" s="1536"/>
      <c r="Y31" s="3499"/>
      <c r="Z31" s="1537">
        <f t="shared" si="12"/>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500" t="s">
        <v>2380</v>
      </c>
      <c r="Q32" s="1533">
        <f t="shared" si="8"/>
        <v>111</v>
      </c>
      <c r="R32" s="713" t="s">
        <v>17</v>
      </c>
      <c r="S32" s="714">
        <f t="shared" si="9"/>
        <v>100</v>
      </c>
      <c r="T32" s="713" t="s">
        <v>17</v>
      </c>
      <c r="U32" s="714">
        <f t="shared" si="10"/>
        <v>100</v>
      </c>
      <c r="V32" s="713" t="s">
        <v>17</v>
      </c>
      <c r="W32" s="714">
        <f t="shared" si="11"/>
        <v>100</v>
      </c>
      <c r="X32" s="1536"/>
      <c r="Y32" s="3501" t="s">
        <v>2380</v>
      </c>
      <c r="Z32" s="1537">
        <f t="shared" si="12"/>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501"/>
      <c r="Q33" s="1533">
        <f t="shared" si="8"/>
        <v>111</v>
      </c>
      <c r="R33" s="716" t="s">
        <v>17</v>
      </c>
      <c r="S33" s="717">
        <f t="shared" si="9"/>
        <v>100</v>
      </c>
      <c r="T33" s="716" t="s">
        <v>17</v>
      </c>
      <c r="U33" s="717">
        <f t="shared" si="10"/>
        <v>100</v>
      </c>
      <c r="V33" s="716" t="s">
        <v>17</v>
      </c>
      <c r="W33" s="717">
        <f t="shared" si="11"/>
        <v>100</v>
      </c>
      <c r="X33" s="718"/>
      <c r="Y33" s="3501"/>
      <c r="Z33" s="719">
        <f t="shared" si="12"/>
        <v>111</v>
      </c>
      <c r="AA33" s="1534">
        <f t="shared" si="3"/>
        <v>1</v>
      </c>
      <c r="AB33" s="1534">
        <f t="shared" si="4"/>
        <v>1</v>
      </c>
      <c r="AC33" s="1534">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501"/>
      <c r="Q34" s="1533" t="str">
        <f>B34</f>
        <v>宗地面积</v>
      </c>
      <c r="R34" s="713" t="s">
        <v>17</v>
      </c>
      <c r="S34" s="714" t="e">
        <f t="shared" si="9"/>
        <v>#N/A</v>
      </c>
      <c r="T34" s="713" t="s">
        <v>17</v>
      </c>
      <c r="U34" s="714" t="e">
        <f t="shared" si="10"/>
        <v>#N/A</v>
      </c>
      <c r="V34" s="713" t="s">
        <v>17</v>
      </c>
      <c r="W34" s="714" t="e">
        <f t="shared" si="11"/>
        <v>#N/A</v>
      </c>
      <c r="X34" s="1536"/>
      <c r="Y34" s="3501"/>
      <c r="Z34" s="1537" t="str">
        <f t="shared" si="12"/>
        <v>宗地面积</v>
      </c>
      <c r="AA34" s="1534" t="e">
        <f t="shared" si="3"/>
        <v>#N/A</v>
      </c>
      <c r="AB34" s="1534" t="e">
        <f t="shared" si="4"/>
        <v>#N/A</v>
      </c>
      <c r="AC34" s="1534" t="e">
        <f t="shared" si="5"/>
        <v>#N/A</v>
      </c>
    </row>
    <row r="35" spans="1:31" ht="15">
      <c r="A35" s="431"/>
      <c r="B35" s="381" t="s">
        <v>2567</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5"/>
      <c r="M35" s="2939"/>
      <c r="N35" s="2939"/>
      <c r="O35" s="2997"/>
      <c r="P35" s="3501"/>
      <c r="Q35" s="1533" t="str">
        <f t="shared" ref="Q35:Q40" si="13">B35</f>
        <v>宗地形状</v>
      </c>
      <c r="R35" s="713" t="s">
        <v>17</v>
      </c>
      <c r="S35" s="714">
        <f t="shared" si="9"/>
        <v>100</v>
      </c>
      <c r="T35" s="713" t="s">
        <v>17</v>
      </c>
      <c r="U35" s="714">
        <f t="shared" si="10"/>
        <v>100</v>
      </c>
      <c r="V35" s="713" t="s">
        <v>17</v>
      </c>
      <c r="W35" s="714">
        <f t="shared" si="11"/>
        <v>100</v>
      </c>
      <c r="X35" s="1536"/>
      <c r="Y35" s="3501"/>
      <c r="Z35" s="1537" t="str">
        <f t="shared" si="12"/>
        <v>宗地形状</v>
      </c>
      <c r="AA35" s="1534">
        <f t="shared" si="3"/>
        <v>1</v>
      </c>
      <c r="AB35" s="1534">
        <f t="shared" si="4"/>
        <v>1</v>
      </c>
      <c r="AC35" s="1534">
        <f t="shared" si="5"/>
        <v>1</v>
      </c>
    </row>
    <row r="36" spans="1:31" s="113" customFormat="1" ht="15">
      <c r="A36" s="432"/>
      <c r="B36" s="381" t="s">
        <v>2569</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0"/>
      <c r="M36" s="2941"/>
      <c r="N36" s="2941"/>
      <c r="O36" s="2995"/>
      <c r="P36" s="3501"/>
      <c r="Q36" s="1533" t="str">
        <f t="shared" si="13"/>
        <v>宗地开发程度</v>
      </c>
      <c r="R36" s="709" t="s">
        <v>17</v>
      </c>
      <c r="S36" s="710">
        <f t="shared" si="9"/>
        <v>100</v>
      </c>
      <c r="T36" s="709" t="s">
        <v>17</v>
      </c>
      <c r="U36" s="710">
        <f t="shared" si="10"/>
        <v>100</v>
      </c>
      <c r="V36" s="709" t="s">
        <v>17</v>
      </c>
      <c r="W36" s="710">
        <f t="shared" si="11"/>
        <v>100</v>
      </c>
      <c r="X36" s="711"/>
      <c r="Y36" s="3501"/>
      <c r="Z36" s="55" t="str">
        <f t="shared" si="12"/>
        <v>宗地开发程度</v>
      </c>
      <c r="AA36" s="712">
        <f t="shared" si="3"/>
        <v>1</v>
      </c>
      <c r="AB36" s="712">
        <f t="shared" si="4"/>
        <v>1</v>
      </c>
      <c r="AC36" s="712">
        <f t="shared" si="5"/>
        <v>1</v>
      </c>
    </row>
    <row r="37" spans="1:31" ht="15">
      <c r="A37" s="431"/>
      <c r="B37" s="381" t="s">
        <v>2570</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5"/>
      <c r="M37" s="2939"/>
      <c r="N37" s="2939"/>
      <c r="O37" s="2997"/>
      <c r="P37" s="3501" t="s">
        <v>2380</v>
      </c>
      <c r="Q37" s="1533" t="str">
        <f t="shared" si="13"/>
        <v>工程地质条件</v>
      </c>
      <c r="R37" s="713" t="s">
        <v>17</v>
      </c>
      <c r="S37" s="714">
        <f t="shared" si="9"/>
        <v>100</v>
      </c>
      <c r="T37" s="713" t="s">
        <v>17</v>
      </c>
      <c r="U37" s="714">
        <f t="shared" si="10"/>
        <v>100</v>
      </c>
      <c r="V37" s="713" t="s">
        <v>17</v>
      </c>
      <c r="W37" s="714">
        <f t="shared" si="11"/>
        <v>100</v>
      </c>
      <c r="X37" s="1536"/>
      <c r="Y37" s="3501" t="s">
        <v>2380</v>
      </c>
      <c r="Z37" s="1537" t="str">
        <f t="shared" si="12"/>
        <v>工程地质条件</v>
      </c>
      <c r="AA37" s="1534">
        <f t="shared" si="3"/>
        <v>1</v>
      </c>
      <c r="AB37" s="1534">
        <f t="shared" si="4"/>
        <v>1</v>
      </c>
      <c r="AC37" s="1534">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501"/>
      <c r="Q38" s="1533">
        <f t="shared" si="13"/>
        <v>111</v>
      </c>
      <c r="R38" s="713" t="s">
        <v>17</v>
      </c>
      <c r="S38" s="714">
        <f t="shared" si="9"/>
        <v>100</v>
      </c>
      <c r="T38" s="713" t="s">
        <v>17</v>
      </c>
      <c r="U38" s="714">
        <f t="shared" si="10"/>
        <v>100</v>
      </c>
      <c r="V38" s="713" t="s">
        <v>17</v>
      </c>
      <c r="W38" s="714">
        <f t="shared" si="11"/>
        <v>100</v>
      </c>
      <c r="X38" s="1536"/>
      <c r="Y38" s="3501"/>
      <c r="Z38" s="1537">
        <f t="shared" si="12"/>
        <v>111</v>
      </c>
      <c r="AA38" s="1534">
        <f t="shared" si="3"/>
        <v>1</v>
      </c>
      <c r="AB38" s="1534">
        <f t="shared" si="4"/>
        <v>1</v>
      </c>
      <c r="AC38" s="1534">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501"/>
      <c r="Q39" s="1533">
        <f t="shared" si="13"/>
        <v>111</v>
      </c>
      <c r="R39" s="713" t="s">
        <v>17</v>
      </c>
      <c r="S39" s="714">
        <f t="shared" si="9"/>
        <v>100</v>
      </c>
      <c r="T39" s="713" t="s">
        <v>17</v>
      </c>
      <c r="U39" s="714">
        <f t="shared" si="10"/>
        <v>100</v>
      </c>
      <c r="V39" s="713" t="s">
        <v>17</v>
      </c>
      <c r="W39" s="714">
        <f t="shared" si="11"/>
        <v>100</v>
      </c>
      <c r="X39" s="1536"/>
      <c r="Y39" s="3501"/>
      <c r="Z39" s="1537">
        <f t="shared" si="12"/>
        <v>111</v>
      </c>
      <c r="AA39" s="1534">
        <f t="shared" si="3"/>
        <v>1</v>
      </c>
      <c r="AB39" s="1534">
        <f t="shared" si="4"/>
        <v>1</v>
      </c>
      <c r="AC39" s="1534">
        <f t="shared" si="5"/>
        <v>1</v>
      </c>
    </row>
    <row r="40" spans="1:31" s="430" customFormat="1" ht="15.75" thickBot="1">
      <c r="A40" s="427"/>
      <c r="B40" s="1294">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501"/>
      <c r="Q40" s="1533">
        <f t="shared" si="13"/>
        <v>111</v>
      </c>
      <c r="R40" s="716" t="s">
        <v>17</v>
      </c>
      <c r="S40" s="717">
        <f t="shared" si="9"/>
        <v>100</v>
      </c>
      <c r="T40" s="716" t="s">
        <v>17</v>
      </c>
      <c r="U40" s="717">
        <f t="shared" si="10"/>
        <v>100</v>
      </c>
      <c r="V40" s="716" t="s">
        <v>17</v>
      </c>
      <c r="W40" s="717">
        <f t="shared" si="11"/>
        <v>100</v>
      </c>
      <c r="X40" s="718"/>
      <c r="Y40" s="3501"/>
      <c r="Z40" s="719">
        <f t="shared" si="12"/>
        <v>111</v>
      </c>
      <c r="AA40" s="1534">
        <f t="shared" si="3"/>
        <v>1</v>
      </c>
      <c r="AB40" s="1534">
        <f t="shared" si="4"/>
        <v>1</v>
      </c>
      <c r="AC40" s="1534">
        <f t="shared" si="5"/>
        <v>1</v>
      </c>
    </row>
    <row r="41" spans="1:31" ht="15">
      <c r="A41" s="438" t="s">
        <v>2535</v>
      </c>
      <c r="B41" s="2165" t="s">
        <v>2613</v>
      </c>
      <c r="C41" s="638" t="s">
        <v>1</v>
      </c>
      <c r="D41" s="440"/>
      <c r="E41" s="441"/>
      <c r="F41" s="442"/>
      <c r="G41" s="443"/>
      <c r="H41" s="444"/>
      <c r="I41" s="441"/>
      <c r="J41" s="444"/>
      <c r="K41" s="722"/>
      <c r="L41" s="2947"/>
      <c r="M41" s="2939"/>
      <c r="N41" s="2939"/>
      <c r="O41" s="2948"/>
      <c r="P41" s="3496" t="str">
        <f>A41</f>
        <v>成交单价</v>
      </c>
      <c r="Q41" s="3496"/>
      <c r="R41" s="3502">
        <f>E41</f>
        <v>0</v>
      </c>
      <c r="S41" s="3502"/>
      <c r="T41" s="3502">
        <f>G41</f>
        <v>0</v>
      </c>
      <c r="U41" s="3502"/>
      <c r="V41" s="3502">
        <f>I41</f>
        <v>0</v>
      </c>
      <c r="W41" s="3502"/>
      <c r="X41" s="698"/>
      <c r="Y41" s="720"/>
      <c r="Z41" s="698"/>
      <c r="AA41" s="698"/>
      <c r="AB41" s="698"/>
      <c r="AC41" s="698"/>
    </row>
    <row r="42" spans="1:31" ht="15.75" thickBot="1">
      <c r="A42" s="445" t="s">
        <v>2484</v>
      </c>
      <c r="B42" s="639"/>
      <c r="C42" s="448" t="e">
        <f>R43</f>
        <v>#DIV/0!</v>
      </c>
      <c r="D42" s="2535" t="s">
        <v>2873</v>
      </c>
      <c r="E42" s="448" t="e">
        <f>R42</f>
        <v>#DIV/0!</v>
      </c>
      <c r="F42" s="2536"/>
      <c r="G42" s="447" t="e">
        <f>T42</f>
        <v>#DIV/0!</v>
      </c>
      <c r="H42" s="2536"/>
      <c r="I42" s="448" t="e">
        <f>V42</f>
        <v>#DIV/0!</v>
      </c>
      <c r="J42" s="2536"/>
      <c r="K42" s="2538">
        <f>F42+H42+J42</f>
        <v>0</v>
      </c>
      <c r="L42" s="2947"/>
      <c r="M42" s="2939"/>
      <c r="N42" s="2939"/>
      <c r="O42" s="2948"/>
      <c r="P42" s="3496" t="str">
        <f>A42</f>
        <v>比较价值（元/平方米）</v>
      </c>
      <c r="Q42" s="3496"/>
      <c r="R42" s="3489" t="e">
        <f>ROUND(PRODUCT(R41,AA7:AA40),0)</f>
        <v>#DIV/0!</v>
      </c>
      <c r="S42" s="3489"/>
      <c r="T42" s="3489" t="e">
        <f>ROUND(PRODUCT(T41,AB7:AB40),0)</f>
        <v>#DIV/0!</v>
      </c>
      <c r="U42" s="3489"/>
      <c r="V42" s="3489" t="e">
        <f>ROUND(PRODUCT(V41,AC7:AC40),0)</f>
        <v>#DIV/0!</v>
      </c>
      <c r="W42" s="3489"/>
      <c r="X42" s="698"/>
      <c r="Y42" s="698"/>
      <c r="Z42" s="698"/>
      <c r="AA42" s="698"/>
      <c r="AB42" s="698"/>
      <c r="AC42" s="698"/>
    </row>
    <row r="43" spans="1:31" ht="15.75" thickBot="1">
      <c r="A43" s="449" t="s">
        <v>2485</v>
      </c>
      <c r="B43" s="450"/>
      <c r="C43" s="451" t="e">
        <f>R43</f>
        <v>#DIV/0!</v>
      </c>
      <c r="D43" s="451"/>
      <c r="E43" s="451"/>
      <c r="F43" s="451"/>
      <c r="G43" s="451"/>
      <c r="H43" s="451"/>
      <c r="I43" s="451"/>
      <c r="J43" s="451"/>
      <c r="K43" s="723"/>
      <c r="L43" s="2947"/>
      <c r="M43" s="2939"/>
      <c r="N43" s="2939"/>
      <c r="O43" s="2948"/>
      <c r="P43" s="3490" t="str">
        <f>A43</f>
        <v>估价对象XX用房的比较价值（楼面单价，元/平方米）</v>
      </c>
      <c r="Q43" s="3491"/>
      <c r="R43" s="3492" t="e">
        <f>ROUND(IF(D42="简单平均",AVERAGE(R42:W42),R42*F42+T42*H42+V42*J42),0)</f>
        <v>#DIV/0!</v>
      </c>
      <c r="S43" s="3492"/>
      <c r="T43" s="3492"/>
      <c r="U43" s="3492"/>
      <c r="V43" s="3492"/>
      <c r="W43" s="3492"/>
      <c r="X43" s="698"/>
      <c r="Y43" s="698"/>
      <c r="Z43" s="698"/>
      <c r="AA43" s="698"/>
      <c r="AB43" s="698"/>
      <c r="AC43" s="698"/>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1"/>
      <c r="D49" s="699"/>
      <c r="E49" s="699"/>
      <c r="F49" s="699"/>
      <c r="G49" s="699"/>
      <c r="H49" s="699"/>
      <c r="I49" s="699"/>
      <c r="J49" s="699"/>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2572</v>
      </c>
      <c r="B50" s="641" t="s">
        <v>2573</v>
      </c>
      <c r="C50" s="2166" t="s">
        <v>2574</v>
      </c>
      <c r="D50" s="2167" t="s">
        <v>2575</v>
      </c>
      <c r="E50" s="642" t="s">
        <v>2576</v>
      </c>
      <c r="F50" s="643" t="s">
        <v>2577</v>
      </c>
      <c r="G50" s="3493" t="s">
        <v>2578</v>
      </c>
      <c r="H50" s="3494"/>
      <c r="I50" s="1537" t="s">
        <v>2614</v>
      </c>
      <c r="J50" s="1537" t="str">
        <f>项目基本情况!F35</f>
        <v>青海省西宁市</v>
      </c>
      <c r="K50" s="2169" t="s">
        <v>2580</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2581</v>
      </c>
      <c r="B51" s="645" t="e">
        <f>C43</f>
        <v>#DIV/0!</v>
      </c>
      <c r="C51" s="646">
        <v>1</v>
      </c>
      <c r="D51" s="1074">
        <v>1</v>
      </c>
      <c r="E51" s="646">
        <f>'数据-汇总表'!E8+'数据-汇总表'!E9</f>
        <v>66183.320000000007</v>
      </c>
      <c r="F51" s="647" t="e">
        <f t="shared" ref="F51:F60" si="14">ROUND(B51*E51/10000,0)</f>
        <v>#DIV/0!</v>
      </c>
      <c r="G51" s="3495"/>
      <c r="H51" s="3496"/>
      <c r="I51" s="878">
        <v>1</v>
      </c>
      <c r="J51" s="878">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2582</v>
      </c>
      <c r="B52" s="224" t="e">
        <f>ROUND($C$43*C52*D52,0)</f>
        <v>#DIV/0!</v>
      </c>
      <c r="C52" s="176">
        <f t="shared" ref="C52:C60" si="15">IF($C$50="北京市系数",I52,J52)</f>
        <v>0</v>
      </c>
      <c r="D52" s="1075">
        <v>0.25</v>
      </c>
      <c r="E52" s="650"/>
      <c r="F52" s="647" t="e">
        <f t="shared" si="14"/>
        <v>#DIV/0!</v>
      </c>
      <c r="G52" s="3497" t="s">
        <v>2583</v>
      </c>
      <c r="H52" s="1017">
        <f>项目基本情况!B37</f>
        <v>0</v>
      </c>
      <c r="I52" s="878">
        <f>SUMIF(修正!A45:A56,H52,修正!B45:B56)</f>
        <v>0</v>
      </c>
      <c r="J52" s="879"/>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2584</v>
      </c>
      <c r="B53" s="224" t="e">
        <f t="shared" ref="B53:B60" si="16">ROUND($C$43*C53*D53,0)</f>
        <v>#DIV/0!</v>
      </c>
      <c r="C53" s="176">
        <f t="shared" si="15"/>
        <v>0</v>
      </c>
      <c r="D53" s="1075">
        <v>0.25</v>
      </c>
      <c r="E53" s="650"/>
      <c r="F53" s="647" t="e">
        <f t="shared" si="14"/>
        <v>#DIV/0!</v>
      </c>
      <c r="G53" s="3497"/>
      <c r="H53" s="1017">
        <f>项目基本情况!B37</f>
        <v>0</v>
      </c>
      <c r="I53" s="878">
        <f>SUMIF(修正!A45:A56,H53,修正!C45:C56)</f>
        <v>0</v>
      </c>
      <c r="J53" s="879"/>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2585</v>
      </c>
      <c r="B54" s="224" t="e">
        <f t="shared" si="16"/>
        <v>#DIV/0!</v>
      </c>
      <c r="C54" s="176">
        <f t="shared" si="15"/>
        <v>0</v>
      </c>
      <c r="D54" s="1075">
        <v>0.25</v>
      </c>
      <c r="E54" s="650"/>
      <c r="F54" s="647" t="e">
        <f t="shared" si="14"/>
        <v>#DIV/0!</v>
      </c>
      <c r="G54" s="3497"/>
      <c r="H54" s="1017">
        <f>项目基本情况!B37</f>
        <v>0</v>
      </c>
      <c r="I54" s="878">
        <f>SUMIF(修正!A45:A56,H54,修正!D45:D56)</f>
        <v>0</v>
      </c>
      <c r="J54" s="879"/>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2586</v>
      </c>
      <c r="B55" s="224" t="e">
        <f t="shared" si="16"/>
        <v>#DIV/0!</v>
      </c>
      <c r="C55" s="176">
        <f t="shared" si="15"/>
        <v>0</v>
      </c>
      <c r="D55" s="1075">
        <v>0.25</v>
      </c>
      <c r="E55" s="650"/>
      <c r="F55" s="647" t="e">
        <f t="shared" si="14"/>
        <v>#DIV/0!</v>
      </c>
      <c r="G55" s="3497"/>
      <c r="H55" s="1017">
        <f>项目基本情况!B37</f>
        <v>0</v>
      </c>
      <c r="I55" s="878">
        <f>SUMIF(修正!A45:A56,H55,修正!E45:E56)</f>
        <v>0</v>
      </c>
      <c r="J55" s="879"/>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2587</v>
      </c>
      <c r="B56" s="224" t="e">
        <f t="shared" si="16"/>
        <v>#DIV/0!</v>
      </c>
      <c r="C56" s="176">
        <f t="shared" si="15"/>
        <v>0</v>
      </c>
      <c r="D56" s="1075">
        <v>0.25</v>
      </c>
      <c r="E56" s="223">
        <f>'数据-汇总表'!E11</f>
        <v>0</v>
      </c>
      <c r="F56" s="647" t="e">
        <f t="shared" si="14"/>
        <v>#DIV/0!</v>
      </c>
      <c r="G56" s="2170" t="s">
        <v>2588</v>
      </c>
      <c r="H56" s="1017">
        <f>项目基本情况!C37</f>
        <v>0</v>
      </c>
      <c r="I56" s="878">
        <f>SUMIF(修正!A45:A56,H56,修正!F45:F56)</f>
        <v>0</v>
      </c>
      <c r="J56" s="879"/>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2589</v>
      </c>
      <c r="B57" s="224" t="e">
        <f t="shared" si="16"/>
        <v>#DIV/0!</v>
      </c>
      <c r="C57" s="176">
        <f t="shared" si="15"/>
        <v>0</v>
      </c>
      <c r="D57" s="1075">
        <v>0.25</v>
      </c>
      <c r="E57" s="223">
        <f>'数据-汇总表'!E12</f>
        <v>0</v>
      </c>
      <c r="F57" s="647" t="e">
        <f t="shared" si="14"/>
        <v>#DIV/0!</v>
      </c>
      <c r="G57" s="1022" t="s">
        <v>2590</v>
      </c>
      <c r="H57" s="1017">
        <f>IF(G57="商业",项目基本情况!B37,IF(G57="办公",项目基本情况!C37,IF(G57="住宅",项目基本情况!D37,项目基本情况!E37)))</f>
        <v>0</v>
      </c>
      <c r="I57" s="878">
        <f>SUMIF(修正!A45:A56,H57,修正!G45:G56)</f>
        <v>0</v>
      </c>
      <c r="J57" s="879"/>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2591</v>
      </c>
      <c r="B58" s="224" t="e">
        <f t="shared" si="16"/>
        <v>#DIV/0!</v>
      </c>
      <c r="C58" s="176">
        <f t="shared" si="15"/>
        <v>0</v>
      </c>
      <c r="D58" s="1075">
        <v>0.25</v>
      </c>
      <c r="E58" s="223">
        <f>'数据-汇总表'!E13</f>
        <v>0</v>
      </c>
      <c r="F58" s="647" t="e">
        <f t="shared" si="14"/>
        <v>#DIV/0!</v>
      </c>
      <c r="G58" s="1022" t="s">
        <v>2592</v>
      </c>
      <c r="H58" s="1017">
        <f>IF(G58="商业",项目基本情况!B37,IF(G58="办公",项目基本情况!C37,IF(G58="住宅",项目基本情况!D37,项目基本情况!E37)))</f>
        <v>0</v>
      </c>
      <c r="I58" s="878">
        <f>SUMIF(修正!A45:A56,H58,修正!H45:H56)</f>
        <v>0</v>
      </c>
      <c r="J58" s="879"/>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2593</v>
      </c>
      <c r="B59" s="224" t="e">
        <f t="shared" si="16"/>
        <v>#DIV/0!</v>
      </c>
      <c r="C59" s="176">
        <f t="shared" si="15"/>
        <v>0</v>
      </c>
      <c r="D59" s="1075">
        <v>0.25</v>
      </c>
      <c r="E59" s="223">
        <f>'数据-汇总表'!E14</f>
        <v>0</v>
      </c>
      <c r="F59" s="647" t="e">
        <f t="shared" si="14"/>
        <v>#DIV/0!</v>
      </c>
      <c r="G59" s="2170" t="s">
        <v>2583</v>
      </c>
      <c r="H59" s="1017">
        <f>项目基本情况!B37</f>
        <v>0</v>
      </c>
      <c r="I59" s="878">
        <f>SUMIF(修正!A45:A56,H59,修正!H45:H56)</f>
        <v>0</v>
      </c>
      <c r="J59" s="879"/>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2594</v>
      </c>
      <c r="B60" s="224" t="e">
        <f t="shared" si="16"/>
        <v>#DIV/0!</v>
      </c>
      <c r="C60" s="176">
        <f t="shared" si="15"/>
        <v>0</v>
      </c>
      <c r="D60" s="1075">
        <v>0.25</v>
      </c>
      <c r="E60" s="223">
        <f>'数据-汇总表'!E15</f>
        <v>0</v>
      </c>
      <c r="F60" s="647" t="e">
        <f t="shared" si="14"/>
        <v>#DIV/0!</v>
      </c>
      <c r="G60" s="2171" t="s">
        <v>2588</v>
      </c>
      <c r="H60" s="1027">
        <f>项目基本情况!C37</f>
        <v>0</v>
      </c>
      <c r="I60" s="878">
        <f>SUMIF(修正!A45:A56,H60,修正!H45:H56)</f>
        <v>0</v>
      </c>
      <c r="J60" s="879"/>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2595</v>
      </c>
      <c r="B61" s="652" t="s">
        <v>28</v>
      </c>
      <c r="C61" s="652" t="s">
        <v>29</v>
      </c>
      <c r="D61" s="652" t="s">
        <v>997</v>
      </c>
      <c r="E61" s="652">
        <f>IF(B41="楼面地价",SUM(E51:E60),'数据-汇总表'!D3)</f>
        <v>62220.89</v>
      </c>
      <c r="F61" s="653" t="e">
        <f>IF(B41="楼面地价",SUM(F51:F60),ROUND(C43*E61/10000,0))</f>
        <v>#DIV/0!</v>
      </c>
      <c r="G61" s="1069"/>
      <c r="H61" s="1069"/>
      <c r="I61" s="1069"/>
      <c r="J61" s="1069"/>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7"/>
      <c r="B62" s="1059"/>
      <c r="C62" s="1061"/>
      <c r="D62" s="1057"/>
      <c r="E62" s="1057"/>
      <c r="F62" s="1057"/>
      <c r="G62" s="1057"/>
      <c r="H62" s="1057"/>
      <c r="I62" s="1057"/>
      <c r="J62" s="1057"/>
      <c r="K62" s="1018"/>
      <c r="L62" s="1019"/>
      <c r="M62" s="1057"/>
      <c r="N62" s="1057"/>
      <c r="O62" s="1057"/>
      <c r="P62" s="2948"/>
      <c r="Q62" s="2948"/>
      <c r="R62" s="2948"/>
      <c r="S62" s="2948"/>
      <c r="T62" s="2948"/>
      <c r="U62" s="2948"/>
      <c r="V62" s="2948"/>
      <c r="W62" s="2948"/>
      <c r="X62" s="2948"/>
      <c r="Y62" s="2948"/>
      <c r="Z62" s="2948"/>
      <c r="AA62" s="2948"/>
      <c r="AB62" s="2948"/>
      <c r="AC62" s="2948"/>
      <c r="AD62" s="2948"/>
      <c r="AE62" s="2948"/>
    </row>
    <row r="63" spans="1:31">
      <c r="A63" s="1057"/>
      <c r="B63" s="1059"/>
      <c r="C63" s="700" t="str">
        <f>YEAR(C7)&amp;"-"&amp;MONTH(C7)&amp;"-1"</f>
        <v>2021-12-1</v>
      </c>
      <c r="D63" s="700">
        <f>EDATE(C63,-3)</f>
        <v>44440</v>
      </c>
      <c r="E63" s="700">
        <f>EDATE(D63,-3)</f>
        <v>44348</v>
      </c>
      <c r="F63" s="700">
        <f t="shared" ref="F63:O63" si="17">EDATE(E63,-3)</f>
        <v>44256</v>
      </c>
      <c r="G63" s="700">
        <f t="shared" si="17"/>
        <v>44166</v>
      </c>
      <c r="H63" s="700">
        <f t="shared" si="17"/>
        <v>44075</v>
      </c>
      <c r="I63" s="700">
        <f t="shared" si="17"/>
        <v>43983</v>
      </c>
      <c r="J63" s="700">
        <f t="shared" si="17"/>
        <v>43891</v>
      </c>
      <c r="K63" s="700">
        <f t="shared" si="17"/>
        <v>43800</v>
      </c>
      <c r="L63" s="700">
        <f t="shared" si="17"/>
        <v>43709</v>
      </c>
      <c r="M63" s="700">
        <f t="shared" si="17"/>
        <v>43617</v>
      </c>
      <c r="N63" s="700">
        <f t="shared" si="17"/>
        <v>43525</v>
      </c>
      <c r="O63" s="700">
        <f t="shared" si="17"/>
        <v>43435</v>
      </c>
      <c r="P63" s="2948"/>
      <c r="Q63" s="2948"/>
      <c r="R63" s="2948"/>
      <c r="S63" s="2948"/>
      <c r="T63" s="2948"/>
      <c r="U63" s="2948"/>
      <c r="V63" s="2948"/>
      <c r="W63" s="2948"/>
      <c r="X63" s="2948"/>
      <c r="Y63" s="2948"/>
      <c r="Z63" s="2948"/>
      <c r="AA63" s="2948"/>
      <c r="AB63" s="2948"/>
      <c r="AC63" s="2948"/>
      <c r="AD63" s="2948"/>
      <c r="AE63" s="2948"/>
    </row>
    <row r="64" spans="1:31" ht="21.75" thickBot="1">
      <c r="A64" s="702" t="s">
        <v>2489</v>
      </c>
      <c r="B64" s="698"/>
      <c r="C64" s="703"/>
      <c r="D64" s="703"/>
      <c r="E64" s="703"/>
      <c r="F64" s="704"/>
      <c r="G64" s="704"/>
      <c r="H64" s="703"/>
      <c r="I64" s="703"/>
      <c r="J64" s="703"/>
      <c r="K64" s="705"/>
      <c r="L64" s="706"/>
      <c r="M64" s="703"/>
      <c r="N64" s="703"/>
      <c r="O64" s="1070"/>
      <c r="P64" s="2992"/>
      <c r="Q64" s="2962"/>
      <c r="R64" s="2948"/>
      <c r="S64" s="2948"/>
      <c r="T64" s="2948"/>
      <c r="U64" s="2948"/>
      <c r="V64" s="2948"/>
      <c r="W64" s="2948"/>
      <c r="X64" s="2948"/>
      <c r="Y64" s="2948"/>
      <c r="Z64" s="2948"/>
      <c r="AA64" s="2948"/>
      <c r="AB64" s="2948"/>
      <c r="AC64" s="2948"/>
      <c r="AD64" s="2948"/>
      <c r="AE64" s="2948"/>
    </row>
    <row r="65" spans="1:31" s="465" customFormat="1" ht="15">
      <c r="A65" s="2172" t="s">
        <v>2596</v>
      </c>
      <c r="B65" s="1267"/>
      <c r="C65" s="1342" t="str">
        <f>YEAR(C63)&amp;"-"&amp;ROUNDUP(MONTH(C63)/3,0)</f>
        <v>2021-4</v>
      </c>
      <c r="D65" s="1342" t="str">
        <f t="shared" ref="D65:O65" si="18">YEAR(D63)&amp;"-"&amp;ROUNDUP(MONTH(D63)/3,0)</f>
        <v>2021-3</v>
      </c>
      <c r="E65" s="1342" t="str">
        <f t="shared" si="18"/>
        <v>2021-2</v>
      </c>
      <c r="F65" s="1342" t="str">
        <f t="shared" si="18"/>
        <v>2021-1</v>
      </c>
      <c r="G65" s="1342" t="str">
        <f t="shared" si="18"/>
        <v>2020-4</v>
      </c>
      <c r="H65" s="1342" t="str">
        <f t="shared" si="18"/>
        <v>2020-3</v>
      </c>
      <c r="I65" s="1342" t="str">
        <f t="shared" si="18"/>
        <v>2020-2</v>
      </c>
      <c r="J65" s="1342" t="str">
        <f t="shared" si="18"/>
        <v>2020-1</v>
      </c>
      <c r="K65" s="1342" t="str">
        <f t="shared" si="18"/>
        <v>2019-4</v>
      </c>
      <c r="L65" s="1342" t="str">
        <f t="shared" si="18"/>
        <v>2019-3</v>
      </c>
      <c r="M65" s="1342" t="str">
        <f t="shared" si="18"/>
        <v>2019-2</v>
      </c>
      <c r="N65" s="1342" t="str">
        <f t="shared" si="18"/>
        <v>2019-1</v>
      </c>
      <c r="O65" s="1342" t="str">
        <f t="shared" si="18"/>
        <v>2018-4</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7" t="s">
        <v>2615</v>
      </c>
      <c r="B66" s="294" t="str">
        <f>"北京市平均增长率"&amp;TEXT(基准地价修正!P24,"0.00%")</f>
        <v>北京市平均增长率1.22%</v>
      </c>
      <c r="C66" s="560">
        <v>100</v>
      </c>
      <c r="D66" s="552"/>
      <c r="E66" s="552"/>
      <c r="F66" s="552"/>
      <c r="G66" s="552"/>
      <c r="H66" s="552"/>
      <c r="I66" s="552"/>
      <c r="J66" s="552"/>
      <c r="K66" s="552"/>
      <c r="L66" s="552"/>
      <c r="M66" s="1338"/>
      <c r="N66" s="1338"/>
      <c r="O66" s="1340"/>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2400</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2365</v>
      </c>
      <c r="B68" s="467"/>
      <c r="C68" s="479" t="s">
        <v>2467</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2403</v>
      </c>
      <c r="B70" s="485" t="s">
        <v>2369</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2372</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2373</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2374</v>
      </c>
      <c r="B83" s="485" t="s">
        <v>2520</v>
      </c>
      <c r="C83" s="530" t="s">
        <v>2412</v>
      </c>
      <c r="D83" s="530" t="s">
        <v>2413</v>
      </c>
      <c r="E83" s="530" t="s">
        <v>2414</v>
      </c>
      <c r="F83" s="530" t="s">
        <v>2415</v>
      </c>
      <c r="G83" s="530" t="s">
        <v>2416</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2417</v>
      </c>
      <c r="C85" s="535" t="s">
        <v>2412</v>
      </c>
      <c r="D85" s="535" t="s">
        <v>2413</v>
      </c>
      <c r="E85" s="535" t="s">
        <v>2414</v>
      </c>
      <c r="F85" s="535" t="s">
        <v>2415</v>
      </c>
      <c r="G85" s="535" t="s">
        <v>2416</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2598</v>
      </c>
      <c r="C87" s="530" t="s">
        <v>2412</v>
      </c>
      <c r="D87" s="530" t="s">
        <v>2413</v>
      </c>
      <c r="E87" s="530" t="s">
        <v>2414</v>
      </c>
      <c r="F87" s="530" t="s">
        <v>2415</v>
      </c>
      <c r="G87" s="530" t="s">
        <v>2416</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2599</v>
      </c>
      <c r="C89" s="530" t="s">
        <v>2412</v>
      </c>
      <c r="D89" s="530" t="s">
        <v>2413</v>
      </c>
      <c r="E89" s="530" t="s">
        <v>2414</v>
      </c>
      <c r="F89" s="530" t="s">
        <v>2415</v>
      </c>
      <c r="G89" s="530" t="s">
        <v>2416</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2616</v>
      </c>
      <c r="C93" s="616" t="s">
        <v>2490</v>
      </c>
      <c r="D93" s="616" t="s">
        <v>2491</v>
      </c>
      <c r="E93" s="616" t="s">
        <v>2492</v>
      </c>
      <c r="F93" s="616" t="s">
        <v>2493</v>
      </c>
      <c r="G93" s="616" t="s">
        <v>2494</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2600</v>
      </c>
      <c r="D95" s="496" t="s">
        <v>2601</v>
      </c>
      <c r="E95" s="496" t="s">
        <v>2602</v>
      </c>
      <c r="F95" s="496" t="s">
        <v>2603</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2506</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2565</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2378</v>
      </c>
      <c r="B107" s="485" t="s">
        <v>2604</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0" t="str">
        <f t="shared" si="24"/>
        <v>(含)-</v>
      </c>
      <c r="L107" s="1500" t="str">
        <f t="shared" si="24"/>
        <v>(含)-</v>
      </c>
      <c r="M107" s="1501"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2605</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2607</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2608</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0" customWidth="1"/>
    <col min="33" max="36" width="9.375" style="2247" customWidth="1"/>
    <col min="37" max="38" width="9.375" style="2181" customWidth="1"/>
    <col min="39" max="16384" width="12" style="2181"/>
  </cols>
  <sheetData>
    <row r="1" spans="1:36" ht="28.5">
      <c r="A1" s="202" t="s">
        <v>2617</v>
      </c>
      <c r="B1" s="203"/>
      <c r="C1" s="207" t="s">
        <v>2618</v>
      </c>
      <c r="D1" s="348">
        <f>SUM(D29:D30,D33:D39)</f>
        <v>0</v>
      </c>
      <c r="E1" s="2178"/>
      <c r="F1" s="2178"/>
      <c r="G1" s="2178"/>
      <c r="H1" s="2178"/>
      <c r="I1" s="2178"/>
      <c r="J1" s="2178"/>
      <c r="K1" s="1278"/>
      <c r="L1" s="2179" t="s">
        <v>2619</v>
      </c>
      <c r="M1" s="993">
        <f>SUMPRODUCT((区片价!B5:B9=I2)*(区片价!C3:F3=E2)*(区片价!C5:F9))</f>
        <v>0</v>
      </c>
      <c r="N1" s="996">
        <f>SUMPRODUCT((因素修正幅度!B5:B9=I2)*(因素修正幅度!C3:F3=E2)*(因素修正幅度!C5:F9))</f>
        <v>0</v>
      </c>
      <c r="O1" s="2180"/>
      <c r="P1" s="2180"/>
      <c r="Q1" s="1278"/>
      <c r="R1" s="1372" t="s">
        <v>2620</v>
      </c>
      <c r="S1" s="1372" t="s">
        <v>2621</v>
      </c>
      <c r="T1" s="1372" t="s">
        <v>2622</v>
      </c>
      <c r="U1" s="1372" t="s">
        <v>2623</v>
      </c>
      <c r="V1" s="1372" t="s">
        <v>2624</v>
      </c>
      <c r="W1" s="1376"/>
      <c r="X1" s="1376"/>
      <c r="Y1" s="1376"/>
      <c r="Z1" s="1376"/>
      <c r="AA1" s="1376"/>
      <c r="AB1" s="1376"/>
      <c r="AC1" s="1377"/>
      <c r="AD1" s="1378"/>
      <c r="AE1" s="1378"/>
      <c r="AF1" s="1378"/>
      <c r="AG1" s="1378"/>
      <c r="AH1" s="1378"/>
      <c r="AI1" s="1378"/>
      <c r="AJ1" s="1379"/>
    </row>
    <row r="2" spans="1:36" ht="15.75">
      <c r="A2" s="207" t="s">
        <v>2625</v>
      </c>
      <c r="B2" s="210" t="e">
        <f>C26</f>
        <v>#DIV/0!</v>
      </c>
      <c r="C2" s="2182" t="s">
        <v>2626</v>
      </c>
      <c r="D2" s="2183" t="s">
        <v>2627</v>
      </c>
      <c r="E2" s="2184"/>
      <c r="F2" s="2183" t="s">
        <v>2628</v>
      </c>
      <c r="G2" s="2185">
        <f>IF(E2="商业",项目基本情况!B37,IF(E2="办公",项目基本情况!C37,IF(E2="住宅",项目基本情况!D37,项目基本情况!E37)))</f>
        <v>0</v>
      </c>
      <c r="H2" s="2183" t="s">
        <v>2629</v>
      </c>
      <c r="I2" s="2185">
        <f>IF(E2="商业",项目基本情况!B38,IF(E2="办公",项目基本情况!C38,IF(E2="住宅",项目基本情况!D38,项目基本情况!E38)))</f>
        <v>0</v>
      </c>
      <c r="J2" s="2186"/>
      <c r="K2" s="1278"/>
      <c r="L2" s="2187" t="s">
        <v>2630</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2631</v>
      </c>
      <c r="B3" s="210" t="e">
        <f>ROUND(B2*10000/D1,0)</f>
        <v>#DIV/0!</v>
      </c>
      <c r="C3" s="2182" t="s">
        <v>2632</v>
      </c>
      <c r="D3" s="2183" t="s">
        <v>2633</v>
      </c>
      <c r="E3" s="2188"/>
      <c r="F3" s="2189" t="s">
        <v>2634</v>
      </c>
      <c r="G3" s="854">
        <f>IF(F3="宗地容积率",'数据-汇总表'!I4,IF(F3="估价对象容积率",'数据-汇总表'!I6,'数据-汇总表'!I7))</f>
        <v>1.07</v>
      </c>
      <c r="H3" s="175" t="s">
        <v>2635</v>
      </c>
      <c r="I3" s="880"/>
      <c r="J3" s="2186" t="s">
        <v>2636</v>
      </c>
      <c r="K3" s="1278"/>
      <c r="L3" s="2187" t="s">
        <v>2637</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607"/>
      <c r="B4" s="3608"/>
      <c r="C4" s="3608"/>
      <c r="D4" s="3609"/>
      <c r="E4" s="3609"/>
      <c r="F4" s="3609"/>
      <c r="G4" s="3609"/>
      <c r="H4" s="3609"/>
      <c r="I4" s="3609"/>
      <c r="J4" s="3610"/>
      <c r="K4" s="1278"/>
      <c r="L4" s="2187" t="s">
        <v>2638</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9" customFormat="1" ht="15.75" thickBot="1">
      <c r="A5" s="2190" t="s">
        <v>807</v>
      </c>
      <c r="B5" s="2191" t="s">
        <v>2639</v>
      </c>
      <c r="C5" s="855" t="e">
        <f>ROUND(IF(E2="商业",C6*C7+C16,(IF(E2="住宅",C6*C12+C16,C6+C16))),0)</f>
        <v>#DIV/0!</v>
      </c>
      <c r="D5" s="1520" t="e">
        <f>ROUND(C6+C16,0)</f>
        <v>#DIV/0!</v>
      </c>
      <c r="E5" s="1520"/>
      <c r="F5" s="2192"/>
      <c r="G5" s="2193"/>
      <c r="H5" s="2193"/>
      <c r="I5" s="2193"/>
      <c r="J5" s="2194"/>
      <c r="K5" s="2195"/>
      <c r="L5" s="2187" t="s">
        <v>2640</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6"/>
      <c r="AD5" s="2197"/>
      <c r="AE5" s="2197"/>
      <c r="AF5" s="2197"/>
      <c r="AG5" s="2197"/>
      <c r="AH5" s="2197"/>
      <c r="AI5" s="2197"/>
      <c r="AJ5" s="2198"/>
    </row>
    <row r="6" spans="1:36" ht="15.75" thickBot="1">
      <c r="A6" s="2200" t="s">
        <v>2641</v>
      </c>
      <c r="B6" s="2201" t="s">
        <v>2642</v>
      </c>
      <c r="C6" s="856">
        <f>SUMIF(L1:L12,G2,M1:M12)</f>
        <v>0</v>
      </c>
      <c r="D6" s="2202" t="s">
        <v>2643</v>
      </c>
      <c r="E6" s="2203"/>
      <c r="F6" s="2203"/>
      <c r="G6" s="2204"/>
      <c r="H6" s="2204"/>
      <c r="I6" s="2204"/>
      <c r="J6" s="2205"/>
      <c r="K6" s="1565"/>
      <c r="L6" s="2187" t="s">
        <v>2644</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6"/>
      <c r="AD6" s="2197"/>
      <c r="AE6" s="2197"/>
      <c r="AF6" s="2197"/>
      <c r="AG6" s="2197"/>
      <c r="AH6" s="2197"/>
      <c r="AI6" s="2197"/>
      <c r="AJ6" s="2198"/>
    </row>
    <row r="7" spans="1:36" ht="24">
      <c r="A7" s="3611" t="str">
        <f>IF(E2="商业",IF(C8="不临58条商业街","",2),"")</f>
        <v/>
      </c>
      <c r="B7" s="2206" t="s">
        <v>2645</v>
      </c>
      <c r="C7" s="857" t="e">
        <f>IF(C8="不临58条商业街",1,ROUND(1+(1.6*E8+1.2*E9+0.8*E10+0.4*E11)*C9,4))</f>
        <v>#DIV/0!</v>
      </c>
      <c r="D7" s="2207" t="s">
        <v>2646</v>
      </c>
      <c r="E7" s="881"/>
      <c r="F7" s="2208"/>
      <c r="G7" s="2209"/>
      <c r="H7" s="2209"/>
      <c r="I7" s="2209"/>
      <c r="J7" s="2210"/>
      <c r="K7" s="1565"/>
      <c r="L7" s="2187" t="s">
        <v>2647</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39" t="s">
        <v>2648</v>
      </c>
      <c r="X7" s="1374">
        <f>G2</f>
        <v>0</v>
      </c>
      <c r="Y7" s="1374" t="s">
        <v>2649</v>
      </c>
      <c r="Z7" s="1375">
        <f>G3</f>
        <v>1.07</v>
      </c>
      <c r="AA7" s="1376"/>
      <c r="AB7" s="1376"/>
      <c r="AC7" s="1377"/>
      <c r="AD7" s="1378"/>
      <c r="AE7" s="1378"/>
      <c r="AF7" s="1378"/>
      <c r="AG7" s="1378"/>
      <c r="AH7" s="1378"/>
      <c r="AI7" s="1378"/>
      <c r="AJ7" s="1379"/>
    </row>
    <row r="8" spans="1:36" ht="15">
      <c r="A8" s="3612"/>
      <c r="B8" s="175" t="s">
        <v>2650</v>
      </c>
      <c r="C8" s="2211"/>
      <c r="D8" s="858" t="s">
        <v>139</v>
      </c>
      <c r="E8" s="859" t="e">
        <f>ROUND(C11/E7,4)</f>
        <v>#DIV/0!</v>
      </c>
      <c r="F8" s="2212" t="s">
        <v>2651</v>
      </c>
      <c r="G8" s="2213"/>
      <c r="H8" s="2213"/>
      <c r="I8" s="2213"/>
      <c r="J8" s="2214"/>
      <c r="K8" s="1278"/>
      <c r="L8" s="2187" t="s">
        <v>2652</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604" t="s">
        <v>2653</v>
      </c>
      <c r="X8" s="3605"/>
      <c r="Y8" s="1380" t="s">
        <v>2654</v>
      </c>
      <c r="Z8" s="1380" t="s">
        <v>2655</v>
      </c>
      <c r="AA8" s="1380" t="s">
        <v>2656</v>
      </c>
      <c r="AB8" s="1380" t="s">
        <v>2657</v>
      </c>
      <c r="AC8" s="1380" t="s">
        <v>2658</v>
      </c>
      <c r="AD8" s="1380" t="s">
        <v>2659</v>
      </c>
      <c r="AE8" s="1380" t="s">
        <v>2660</v>
      </c>
      <c r="AF8" s="1380" t="s">
        <v>2661</v>
      </c>
      <c r="AG8" s="1380" t="s">
        <v>2662</v>
      </c>
      <c r="AH8" s="1380" t="s">
        <v>2663</v>
      </c>
      <c r="AI8" s="1380" t="s">
        <v>2664</v>
      </c>
      <c r="AJ8" s="1380" t="s">
        <v>2665</v>
      </c>
    </row>
    <row r="9" spans="1:36" ht="15">
      <c r="A9" s="3612"/>
      <c r="B9" s="175" t="s">
        <v>2666</v>
      </c>
      <c r="C9" s="860">
        <f>SUMIF(修正!C59:C119,C8,修正!E59:E119)</f>
        <v>0</v>
      </c>
      <c r="D9" s="176" t="s">
        <v>140</v>
      </c>
      <c r="E9" s="176" t="e">
        <f>ROUND(C11/E7,4)</f>
        <v>#DIV/0!</v>
      </c>
      <c r="F9" s="2212" t="s">
        <v>2667</v>
      </c>
      <c r="G9" s="2213"/>
      <c r="H9" s="2213"/>
      <c r="I9" s="2213"/>
      <c r="J9" s="2214"/>
      <c r="K9" s="1278"/>
      <c r="L9" s="2187" t="s">
        <v>2668</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606" t="s">
        <v>2669</v>
      </c>
      <c r="X9" s="1381" t="s">
        <v>2670</v>
      </c>
      <c r="Y9" s="1505"/>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612"/>
      <c r="B10" s="175" t="s">
        <v>2671</v>
      </c>
      <c r="C10" s="176">
        <f>SUMIF(修正!C59:C119,C8,修正!F59:F119)</f>
        <v>0</v>
      </c>
      <c r="D10" s="176" t="s">
        <v>141</v>
      </c>
      <c r="E10" s="176" t="e">
        <f>ROUND(C11/E7,4)</f>
        <v>#DIV/0!</v>
      </c>
      <c r="F10" s="2212" t="s">
        <v>2672</v>
      </c>
      <c r="G10" s="2213"/>
      <c r="H10" s="2213"/>
      <c r="I10" s="2213"/>
      <c r="J10" s="2214"/>
      <c r="K10" s="1278"/>
      <c r="L10" s="2187" t="s">
        <v>2673</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606"/>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612"/>
      <c r="B11" s="2215" t="s">
        <v>2674</v>
      </c>
      <c r="C11" s="861">
        <f>C10/4</f>
        <v>0</v>
      </c>
      <c r="D11" s="861" t="s">
        <v>142</v>
      </c>
      <c r="E11" s="861" t="e">
        <f>ROUND(C11/E7,4)</f>
        <v>#DIV/0!</v>
      </c>
      <c r="F11" s="2216" t="s">
        <v>2675</v>
      </c>
      <c r="G11" s="2217"/>
      <c r="H11" s="2217"/>
      <c r="I11" s="2217"/>
      <c r="J11" s="2218"/>
      <c r="K11" s="1278"/>
      <c r="L11" s="2187" t="s">
        <v>2676</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606" t="s">
        <v>2677</v>
      </c>
      <c r="X11" s="1384" t="s">
        <v>2678</v>
      </c>
      <c r="Y11" s="1385">
        <f>$G$3</f>
        <v>1.07</v>
      </c>
      <c r="Z11" s="1385">
        <f t="shared" ref="Z11:AJ11" si="3">$G$3</f>
        <v>1.07</v>
      </c>
      <c r="AA11" s="1385">
        <f t="shared" si="3"/>
        <v>1.07</v>
      </c>
      <c r="AB11" s="1385">
        <f t="shared" si="3"/>
        <v>1.07</v>
      </c>
      <c r="AC11" s="1385">
        <f t="shared" si="3"/>
        <v>1.07</v>
      </c>
      <c r="AD11" s="1385">
        <f t="shared" si="3"/>
        <v>1.07</v>
      </c>
      <c r="AE11" s="1385">
        <f t="shared" si="3"/>
        <v>1.07</v>
      </c>
      <c r="AF11" s="1385">
        <f t="shared" si="3"/>
        <v>1.07</v>
      </c>
      <c r="AG11" s="1385">
        <f t="shared" si="3"/>
        <v>1.07</v>
      </c>
      <c r="AH11" s="1385">
        <f t="shared" si="3"/>
        <v>1.07</v>
      </c>
      <c r="AI11" s="1385">
        <f t="shared" si="3"/>
        <v>1.07</v>
      </c>
      <c r="AJ11" s="1385">
        <f t="shared" si="3"/>
        <v>1.07</v>
      </c>
    </row>
    <row r="12" spans="1:36" ht="25.5" thickBot="1">
      <c r="A12" s="3611" t="s">
        <v>2679</v>
      </c>
      <c r="B12" s="2219" t="s">
        <v>2680</v>
      </c>
      <c r="C12" s="857">
        <f>ROUND(C15*D15*E15*F15*G15*H15*I15*J15,4)</f>
        <v>1</v>
      </c>
      <c r="D12" s="2220" t="s">
        <v>2681</v>
      </c>
      <c r="E12" s="2221"/>
      <c r="F12" s="2221"/>
      <c r="G12" s="2222"/>
      <c r="H12" s="2222"/>
      <c r="I12" s="2222"/>
      <c r="J12" s="2223"/>
      <c r="K12" s="1278"/>
      <c r="L12" s="2224" t="s">
        <v>2682</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606"/>
      <c r="X12" s="1386" t="s">
        <v>2683</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613"/>
      <c r="B13" s="2225" t="s">
        <v>2684</v>
      </c>
      <c r="C13" s="2226" t="s">
        <v>2685</v>
      </c>
      <c r="D13" s="1531" t="s">
        <v>2686</v>
      </c>
      <c r="E13" s="1531" t="s">
        <v>2687</v>
      </c>
      <c r="F13" s="30" t="s">
        <v>2688</v>
      </c>
      <c r="G13" s="2227" t="s">
        <v>2689</v>
      </c>
      <c r="H13" s="2227" t="s">
        <v>2689</v>
      </c>
      <c r="I13" s="2227" t="s">
        <v>2689</v>
      </c>
      <c r="J13" s="2228" t="s">
        <v>2689</v>
      </c>
      <c r="K13" s="1278"/>
      <c r="L13" s="1278"/>
      <c r="M13" s="1278"/>
      <c r="N13" s="1278"/>
      <c r="O13" s="1278"/>
      <c r="P13" s="1278"/>
      <c r="Q13" s="1278"/>
      <c r="R13" s="1372">
        <v>12</v>
      </c>
      <c r="S13" s="1373"/>
      <c r="T13" s="1372" t="e">
        <f t="shared" si="0"/>
        <v>#DIV/0!</v>
      </c>
      <c r="U13" s="1373"/>
      <c r="V13" s="1372" t="e">
        <f t="shared" si="1"/>
        <v>#DIV/0!</v>
      </c>
      <c r="W13" s="3606"/>
      <c r="X13" s="1386"/>
      <c r="Y13" s="1383">
        <f>(-0.163*(Y12^2)-0.59*Y12+7617)*(10^(-4))/Y11</f>
        <v>0.71186915887850466</v>
      </c>
      <c r="Z13" s="1383">
        <f t="shared" ref="Z13:AJ13" si="5">(-0.163*(Z12^2)-0.59*Z12+7617)*(10^(-4))/Z11</f>
        <v>0.71186915887850466</v>
      </c>
      <c r="AA13" s="1383">
        <f t="shared" si="5"/>
        <v>0.71186915887850466</v>
      </c>
      <c r="AB13" s="1383">
        <f t="shared" si="5"/>
        <v>0.71186915887850466</v>
      </c>
      <c r="AC13" s="1383">
        <f t="shared" si="5"/>
        <v>0.71186915887850466</v>
      </c>
      <c r="AD13" s="1383">
        <f t="shared" si="5"/>
        <v>0.71186915887850466</v>
      </c>
      <c r="AE13" s="1383">
        <f t="shared" si="5"/>
        <v>0.71186915887850466</v>
      </c>
      <c r="AF13" s="1383">
        <f t="shared" si="5"/>
        <v>0.71186915887850466</v>
      </c>
      <c r="AG13" s="1383">
        <f t="shared" si="5"/>
        <v>0.71186915887850466</v>
      </c>
      <c r="AH13" s="1383">
        <f t="shared" si="5"/>
        <v>0.71186915887850466</v>
      </c>
      <c r="AI13" s="1383">
        <f t="shared" si="5"/>
        <v>0.71186915887850466</v>
      </c>
      <c r="AJ13" s="1383">
        <f t="shared" si="5"/>
        <v>0.71186915887850466</v>
      </c>
    </row>
    <row r="14" spans="1:36" ht="15">
      <c r="A14" s="3613"/>
      <c r="B14" s="2229"/>
      <c r="C14" s="2230"/>
      <c r="D14" s="2231"/>
      <c r="E14" s="2231"/>
      <c r="F14" s="2232"/>
      <c r="G14" s="2233" t="s">
        <v>2690</v>
      </c>
      <c r="H14" s="2234"/>
      <c r="I14" s="2235"/>
      <c r="J14" s="2236"/>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4"/>
      <c r="AE14" s="3014"/>
      <c r="AF14" s="3014"/>
      <c r="AG14" s="3014"/>
      <c r="AH14" s="3014"/>
      <c r="AI14" s="3014"/>
      <c r="AJ14" s="3015"/>
    </row>
    <row r="15" spans="1:36" ht="15.75" thickBot="1">
      <c r="A15" s="3614"/>
      <c r="B15" s="2237" t="s">
        <v>2691</v>
      </c>
      <c r="C15" s="193">
        <f>IF(C14="有",1.1,1)</f>
        <v>1</v>
      </c>
      <c r="D15" s="193">
        <f>IF(D14="有",1.1,1)</f>
        <v>1</v>
      </c>
      <c r="E15" s="193">
        <f>IF(E14="有",1.1,1)</f>
        <v>1</v>
      </c>
      <c r="F15" s="193">
        <f>IF(F14="500米范围内",1.2,IF(F14="500-1000米",1.1,1))</f>
        <v>1</v>
      </c>
      <c r="G15" s="882">
        <v>1</v>
      </c>
      <c r="H15" s="882">
        <v>1</v>
      </c>
      <c r="I15" s="882">
        <v>1</v>
      </c>
      <c r="J15" s="883">
        <v>1</v>
      </c>
      <c r="K15" s="1278"/>
      <c r="L15" s="2180"/>
      <c r="M15" s="2180"/>
      <c r="N15" s="2180"/>
      <c r="O15" s="2180"/>
      <c r="P15" s="2180"/>
      <c r="Q15" s="1278"/>
      <c r="R15" s="1372">
        <v>14</v>
      </c>
      <c r="S15" s="1373"/>
      <c r="T15" s="1372" t="e">
        <f t="shared" si="0"/>
        <v>#DIV/0!</v>
      </c>
      <c r="U15" s="1373"/>
      <c r="V15" s="1372" t="e">
        <f t="shared" si="1"/>
        <v>#DIV/0!</v>
      </c>
      <c r="W15" s="1376"/>
      <c r="X15" s="1376"/>
      <c r="Y15" s="1376"/>
      <c r="Z15" s="1376"/>
      <c r="AA15" s="1376"/>
      <c r="AB15" s="1376"/>
      <c r="AC15" s="1377"/>
      <c r="AD15" s="3014"/>
      <c r="AE15" s="3014"/>
      <c r="AF15" s="3014"/>
      <c r="AG15" s="3014"/>
      <c r="AH15" s="3014"/>
      <c r="AI15" s="3014"/>
      <c r="AJ15" s="3015"/>
    </row>
    <row r="16" spans="1:36" ht="24.6" customHeight="1">
      <c r="A16" s="3611" t="s">
        <v>2696</v>
      </c>
      <c r="B16" s="2206" t="s">
        <v>2697</v>
      </c>
      <c r="C16" s="2368" t="e">
        <f>ROUND(IF(F17="与级别开发程度一致",0,(G17-E17)/C17),0)</f>
        <v>#DIV/0!</v>
      </c>
      <c r="D16" s="3627" t="s">
        <v>2701</v>
      </c>
      <c r="E16" s="3628"/>
      <c r="F16" s="3627" t="s">
        <v>2698</v>
      </c>
      <c r="G16" s="3628"/>
      <c r="H16" s="2238"/>
      <c r="I16" s="2238"/>
      <c r="J16" s="2372"/>
      <c r="K16" s="2238"/>
      <c r="L16" s="2238"/>
      <c r="M16" s="2238"/>
      <c r="N16" s="2238"/>
      <c r="O16" s="2239"/>
      <c r="P16" s="2180"/>
      <c r="Q16" s="1278"/>
      <c r="R16" s="1372">
        <v>15</v>
      </c>
      <c r="S16" s="1373"/>
      <c r="T16" s="1372" t="e">
        <f t="shared" si="0"/>
        <v>#DIV/0!</v>
      </c>
      <c r="U16" s="1373"/>
      <c r="V16" s="1372" t="e">
        <f t="shared" si="1"/>
        <v>#DIV/0!</v>
      </c>
      <c r="W16" s="1376"/>
      <c r="X16" s="1376"/>
      <c r="Y16" s="1376"/>
      <c r="Z16" s="1376"/>
      <c r="AA16" s="1376"/>
      <c r="AB16" s="1376"/>
      <c r="AC16" s="1377"/>
      <c r="AD16" s="3014"/>
      <c r="AE16" s="3014"/>
      <c r="AF16" s="3014"/>
      <c r="AG16" s="3014"/>
      <c r="AH16" s="3014"/>
      <c r="AI16" s="3014"/>
      <c r="AJ16" s="3015"/>
    </row>
    <row r="17" spans="1:37" ht="13.5" thickBot="1">
      <c r="A17" s="3615"/>
      <c r="B17" s="2379" t="s">
        <v>2700</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8"/>
      <c r="R17" s="1278"/>
      <c r="S17" s="1278"/>
      <c r="T17" s="1278"/>
      <c r="U17" s="1278"/>
      <c r="V17" s="1278"/>
      <c r="W17" s="1278"/>
      <c r="X17" s="1278"/>
      <c r="Y17" s="1278"/>
      <c r="Z17" s="1279"/>
      <c r="AA17" s="1279"/>
      <c r="AB17" s="1279"/>
      <c r="AC17" s="1279"/>
      <c r="AD17" s="1279"/>
      <c r="AE17" s="1278"/>
      <c r="AF17" s="1278"/>
      <c r="AG17" s="2180"/>
      <c r="AH17" s="2180"/>
      <c r="AI17" s="2180"/>
      <c r="AJ17" s="2180"/>
    </row>
    <row r="18" spans="1:37" s="2199" customFormat="1" ht="15.75" thickBot="1">
      <c r="A18" s="2373" t="s">
        <v>808</v>
      </c>
      <c r="B18" s="2374" t="s">
        <v>2703</v>
      </c>
      <c r="C18" s="2375">
        <f>SUMIF(修正!C18:C39,E3,修正!E18:E39)</f>
        <v>0</v>
      </c>
      <c r="D18" s="2376"/>
      <c r="E18" s="2377"/>
      <c r="F18" s="2377"/>
      <c r="G18" s="2377"/>
      <c r="H18" s="2377"/>
      <c r="I18" s="2377"/>
      <c r="J18" s="2378"/>
      <c r="K18" s="1285"/>
      <c r="L18" s="3013"/>
      <c r="M18" s="3013"/>
      <c r="N18" s="3013"/>
      <c r="O18" s="1283"/>
      <c r="P18" s="1283"/>
      <c r="Q18" s="1284"/>
      <c r="R18" s="1284"/>
      <c r="S18" s="1284"/>
      <c r="T18" s="1279"/>
      <c r="U18" s="1279"/>
      <c r="V18" s="1279"/>
      <c r="W18" s="1278"/>
      <c r="X18" s="1278"/>
      <c r="Y18" s="1278"/>
      <c r="Z18" s="1285"/>
      <c r="AA18" s="1285"/>
      <c r="AB18" s="1285"/>
      <c r="AC18" s="1285"/>
      <c r="AD18" s="1285"/>
      <c r="AE18" s="1279"/>
      <c r="AF18" s="1279"/>
      <c r="AG18" s="2337"/>
      <c r="AH18" s="2337"/>
      <c r="AI18" s="2337"/>
      <c r="AJ18" s="3013"/>
    </row>
    <row r="19" spans="1:37" s="2199" customFormat="1" ht="27.75" thickBot="1">
      <c r="A19" s="2243" t="s">
        <v>809</v>
      </c>
      <c r="B19" s="2244" t="s">
        <v>2704</v>
      </c>
      <c r="C19" s="862" t="e">
        <f>ROUND(IF(H19="按公示增长率计算",SUMPRODUCT((地价!A3:A36=YEAR(G19)&amp;"-"&amp;ROUNDUP(MONTH(G19)/3,0))*(地价!X2:AB2=E2)*(地价!X3:AB36)),IF(H19="地价指数",M20/M19,(1+I19)^O19)),4)</f>
        <v>#VALUE!</v>
      </c>
      <c r="D19" s="2248" t="s">
        <v>2705</v>
      </c>
      <c r="E19" s="863">
        <v>41640</v>
      </c>
      <c r="F19" s="2248" t="s">
        <v>2706</v>
      </c>
      <c r="G19" s="864">
        <f>'数据-取费表'!B2</f>
        <v>44541</v>
      </c>
      <c r="H19" s="2249"/>
      <c r="I19" s="865" t="str">
        <f>IF(H19="季度增幅（自定义）",SUMIF(N21:N24,E2,O21:O24),"")</f>
        <v/>
      </c>
      <c r="J19" s="2246"/>
      <c r="K19" s="1285"/>
      <c r="L19" s="2250" t="s">
        <v>2707</v>
      </c>
      <c r="M19" s="1494">
        <f>ROUND(SUMIF(地价!B2:F2,E2,地价!B36:F36),0)</f>
        <v>0</v>
      </c>
      <c r="N19" s="2251" t="s">
        <v>2708</v>
      </c>
      <c r="O19" s="866">
        <f>ROUNDDOWN(DATEDIF(E19,G19,"M")/3,0)</f>
        <v>31</v>
      </c>
      <c r="P19" s="1282"/>
      <c r="Q19" s="1284"/>
      <c r="R19" s="1284"/>
      <c r="S19" s="1284"/>
      <c r="T19" s="1279"/>
      <c r="U19" s="1279"/>
      <c r="V19" s="1279"/>
      <c r="W19" s="1278"/>
      <c r="X19" s="1278"/>
      <c r="Y19" s="1278"/>
      <c r="Z19" s="1285"/>
      <c r="AA19" s="1285"/>
      <c r="AB19" s="1285"/>
      <c r="AC19" s="1285"/>
      <c r="AD19" s="1285"/>
      <c r="AE19" s="1285"/>
      <c r="AF19" s="1284"/>
      <c r="AG19" s="3016"/>
      <c r="AH19" s="2337"/>
      <c r="AI19" s="3017"/>
      <c r="AJ19" s="3017"/>
      <c r="AK19" s="2252"/>
    </row>
    <row r="20" spans="1:37" s="2199" customFormat="1" ht="27.75" thickBot="1">
      <c r="A20" s="2253" t="s">
        <v>810</v>
      </c>
      <c r="B20" s="2254" t="s">
        <v>2709</v>
      </c>
      <c r="C20" s="867" t="e">
        <f>ROUND(POWER(1+G20,J20-I20)*(POWER(1+G20,I20)-1)/(POWER(1+G20,J20)-1),4)</f>
        <v>#DIV/0!</v>
      </c>
      <c r="D20" s="2255" t="s">
        <v>2710</v>
      </c>
      <c r="E20" s="1502">
        <f>存贷款利率!E18/100</f>
        <v>4.3499999999999997E-2</v>
      </c>
      <c r="F20" s="2255" t="s">
        <v>2702</v>
      </c>
      <c r="G20" s="872">
        <f>SUMIF(M26:P26,E2,M28:P28)</f>
        <v>0</v>
      </c>
      <c r="H20" s="2255" t="s">
        <v>2711</v>
      </c>
      <c r="I20" s="873" t="e">
        <f>SUMIF('数据-取费表'!C6:C15,E2,'数据-取费表'!F6:F15)/COUNTIF('数据-取费表'!C6:C15,E2)</f>
        <v>#DIV/0!</v>
      </c>
      <c r="J20" s="874">
        <f>IF(E2="住宅",70,IF(E2="商业",40,50))</f>
        <v>50</v>
      </c>
      <c r="K20" s="1285"/>
      <c r="L20" s="2256" t="s">
        <v>2712</v>
      </c>
      <c r="M20" s="1495">
        <f>ROUND(SUMPRODUCT((地价!A4:A36=YEAR(G19)&amp;"-"&amp;ROUNDUP(MONTH(G19)/3,0))*(地价!B2:F2=E2)*(地价!B4:F36)),0)</f>
        <v>0</v>
      </c>
      <c r="N20" s="2257" t="s">
        <v>2713</v>
      </c>
      <c r="O20" s="2258" t="s">
        <v>2714</v>
      </c>
      <c r="P20" s="2259" t="s">
        <v>2715</v>
      </c>
      <c r="Q20" s="3013"/>
      <c r="R20" s="1284"/>
      <c r="S20" s="1284"/>
      <c r="T20" s="1279"/>
      <c r="U20" s="1279"/>
      <c r="V20" s="1279"/>
      <c r="W20" s="1278"/>
      <c r="X20" s="1278"/>
      <c r="Y20" s="1278"/>
      <c r="Z20" s="1285"/>
      <c r="AA20" s="1285"/>
      <c r="AB20" s="1285"/>
      <c r="AC20" s="1285"/>
      <c r="AD20" s="1285"/>
      <c r="AE20" s="1285"/>
      <c r="AF20" s="1285"/>
      <c r="AG20" s="3013"/>
      <c r="AH20" s="3013"/>
      <c r="AI20" s="3013"/>
      <c r="AJ20" s="3013"/>
    </row>
    <row r="21" spans="1:37" s="2199" customFormat="1" ht="15">
      <c r="A21" s="2260" t="s">
        <v>811</v>
      </c>
      <c r="B21" s="2261" t="s">
        <v>2716</v>
      </c>
      <c r="C21" s="875">
        <f>IF(B21="容积率修正",IF(G3&lt;=10,D22,J22),C23)</f>
        <v>0</v>
      </c>
      <c r="D21" s="2262"/>
      <c r="E21" s="2262"/>
      <c r="F21" s="2262"/>
      <c r="G21" s="2262"/>
      <c r="H21" s="2262"/>
      <c r="I21" s="2262"/>
      <c r="J21" s="2263"/>
      <c r="K21" s="1285"/>
      <c r="L21" s="3013"/>
      <c r="M21" s="3013"/>
      <c r="N21" s="2264" t="s">
        <v>2717</v>
      </c>
      <c r="O21" s="1333"/>
      <c r="P21" s="1334">
        <f>SUMPRODUCT((地价!A3:A36=YEAR(G19)&amp;"-"&amp;ROUNDUP(MONTH(G19)/3,0))*(地价!AD2:AH2=N21)*(地价!AD3:AH36))</f>
        <v>1.0500000000000001E-2</v>
      </c>
      <c r="Q21" s="3013"/>
      <c r="R21" s="1284"/>
      <c r="S21" s="1284"/>
      <c r="T21" s="1279"/>
      <c r="U21" s="1279"/>
      <c r="V21" s="1279"/>
      <c r="W21" s="1278"/>
      <c r="X21" s="1278"/>
      <c r="Y21" s="1278"/>
      <c r="Z21" s="1285"/>
      <c r="AA21" s="1285"/>
      <c r="AB21" s="1285"/>
      <c r="AC21" s="1285"/>
      <c r="AD21" s="1285"/>
      <c r="AE21" s="1285"/>
      <c r="AF21" s="1285"/>
      <c r="AG21" s="3013"/>
      <c r="AH21" s="3013"/>
      <c r="AI21" s="3013"/>
      <c r="AJ21" s="3013"/>
    </row>
    <row r="22" spans="1:37" s="2199" customFormat="1" ht="14.25">
      <c r="A22" s="2138" t="s">
        <v>2718</v>
      </c>
      <c r="B22" s="2265" t="s">
        <v>2719</v>
      </c>
      <c r="C22" s="1533" t="s">
        <v>2720</v>
      </c>
      <c r="D22" s="1533">
        <f>IF(E22=G22,F22,IF(G3&lt;=10,ROUND(F22+(H22-F22)*(G3-E22)/(G22-E22),4),"——"))</f>
        <v>0</v>
      </c>
      <c r="E22" s="854">
        <f>ROUNDDOWN(G3,1)</f>
        <v>1</v>
      </c>
      <c r="F22" s="15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1.1000000000000001</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3" t="s">
        <v>155</v>
      </c>
      <c r="J22" s="876" t="str">
        <f>IF(G3&gt;10,D113,"——")</f>
        <v>——</v>
      </c>
      <c r="K22" s="1285"/>
      <c r="L22" s="3013"/>
      <c r="M22" s="3013"/>
      <c r="N22" s="2264" t="s">
        <v>2721</v>
      </c>
      <c r="O22" s="1333"/>
      <c r="P22" s="1334">
        <f>SUMPRODUCT((地价!A3:A36=YEAR(G19)&amp;"-"&amp;ROUNDUP(MONTH(G19)/3,0))*(地价!AD2:AH2=N22)*(地价!AD3:AH36))</f>
        <v>1.0500000000000001E-2</v>
      </c>
      <c r="Q22" s="3013"/>
      <c r="R22" s="1284"/>
      <c r="S22" s="1284"/>
      <c r="T22" s="1279"/>
      <c r="U22" s="1279"/>
      <c r="V22" s="1279"/>
      <c r="W22" s="1278"/>
      <c r="X22" s="1278"/>
      <c r="Y22" s="1278"/>
      <c r="Z22" s="1285"/>
      <c r="AA22" s="1285"/>
      <c r="AB22" s="1285"/>
      <c r="AC22" s="1285"/>
      <c r="AD22" s="1285"/>
      <c r="AE22" s="1285"/>
      <c r="AF22" s="1285"/>
      <c r="AG22" s="3013"/>
      <c r="AH22" s="3013"/>
      <c r="AI22" s="3013"/>
      <c r="AJ22" s="3013"/>
    </row>
    <row r="23" spans="1:37" ht="27.75" thickBot="1">
      <c r="A23" s="2138" t="s">
        <v>2722</v>
      </c>
      <c r="B23" s="2266" t="s">
        <v>2723</v>
      </c>
      <c r="C23" s="949">
        <f>ROUND(IF(G3&gt;1,IF(I3&lt;7,SUMPRODUCT((B93:B98=I3)*(C92:N92=G2)*(C93:N98)),SUMIF(C92:N92,G2,C100:N100)),IF(I3&lt;7,SUMPRODUCT((B102:B107=I3)*(C92:N92=G2)*(C102:N107)),SUMIF(C92:N92,G2,C109:N109))),4)</f>
        <v>0</v>
      </c>
      <c r="D23" s="2234"/>
      <c r="E23" s="2234"/>
      <c r="F23" s="2267"/>
      <c r="G23" s="2268"/>
      <c r="H23" s="2269"/>
      <c r="I23" s="2270"/>
      <c r="J23" s="2271"/>
      <c r="K23" s="1278"/>
      <c r="L23" s="2180"/>
      <c r="M23" s="2180"/>
      <c r="N23" s="2264" t="s">
        <v>2724</v>
      </c>
      <c r="O23" s="1333"/>
      <c r="P23" s="1334">
        <f>SUMPRODUCT((地价!A3:A36=YEAR(G19)&amp;"-"&amp;ROUNDUP(MONTH(G19)/3,0))*(地价!AD2:AH2=N23)*(地价!AD3:AH36))</f>
        <v>1.83E-2</v>
      </c>
      <c r="Q23" s="2180"/>
      <c r="R23" s="1284"/>
      <c r="S23" s="1284"/>
      <c r="T23" s="1279"/>
      <c r="U23" s="1279"/>
      <c r="V23" s="1279"/>
      <c r="W23" s="1278"/>
      <c r="X23" s="1278"/>
      <c r="Y23" s="1278"/>
      <c r="Z23" s="1285"/>
      <c r="AA23" s="1285"/>
      <c r="AB23" s="1285"/>
      <c r="AC23" s="1285"/>
      <c r="AD23" s="1285"/>
      <c r="AE23" s="1279"/>
      <c r="AF23" s="1279"/>
      <c r="AG23" s="2337"/>
      <c r="AH23" s="2337"/>
      <c r="AI23" s="2337"/>
      <c r="AJ23" s="2337"/>
      <c r="AK23" s="2247"/>
    </row>
    <row r="24" spans="1:37" s="2199" customFormat="1" ht="15.75" thickBot="1">
      <c r="A24" s="2253" t="s">
        <v>812</v>
      </c>
      <c r="B24" s="2244" t="s">
        <v>2725</v>
      </c>
      <c r="C24" s="862">
        <f>SUMIF(A45:A88,E2,B45:B88)</f>
        <v>0</v>
      </c>
      <c r="D24" s="2245"/>
      <c r="E24" s="2272"/>
      <c r="F24" s="2272"/>
      <c r="G24" s="2272"/>
      <c r="H24" s="2272"/>
      <c r="I24" s="2272"/>
      <c r="J24" s="2273"/>
      <c r="K24" s="1285"/>
      <c r="L24" s="3013"/>
      <c r="M24" s="3013"/>
      <c r="N24" s="2274" t="s">
        <v>2726</v>
      </c>
      <c r="O24" s="1335"/>
      <c r="P24" s="1336">
        <f>SUMPRODUCT((地价!A3:A36=YEAR(G19)&amp;"-"&amp;ROUNDUP(MONTH(G19)/3,0))*(地价!AD2:AH2=N24)*(地价!AD3:AH36))</f>
        <v>1.2200000000000001E-2</v>
      </c>
      <c r="Q24" s="3013"/>
      <c r="R24" s="1284"/>
      <c r="S24" s="1284"/>
      <c r="T24" s="1279"/>
      <c r="U24" s="1279"/>
      <c r="V24" s="1279"/>
      <c r="W24" s="1278"/>
      <c r="X24" s="1278"/>
      <c r="Y24" s="1278"/>
      <c r="Z24" s="1285"/>
      <c r="AA24" s="1285"/>
      <c r="AB24" s="1285"/>
      <c r="AC24" s="1285"/>
      <c r="AD24" s="1285"/>
      <c r="AE24" s="1285"/>
      <c r="AF24" s="1285"/>
      <c r="AG24" s="3013"/>
      <c r="AH24" s="3013"/>
      <c r="AI24" s="3013"/>
      <c r="AJ24" s="3013"/>
    </row>
    <row r="25" spans="1:37" ht="15.75" thickBot="1">
      <c r="A25" s="2253" t="s">
        <v>813</v>
      </c>
      <c r="B25" s="2275" t="s">
        <v>2727</v>
      </c>
      <c r="C25" s="868"/>
      <c r="D25" s="2209"/>
      <c r="E25" s="2209"/>
      <c r="F25" s="2276"/>
      <c r="G25" s="2209"/>
      <c r="H25" s="2209"/>
      <c r="I25" s="2209"/>
      <c r="J25" s="2210"/>
      <c r="K25" s="1278"/>
      <c r="L25" s="2180"/>
      <c r="M25" s="2180"/>
      <c r="N25" s="3008" t="s">
        <v>2728</v>
      </c>
      <c r="O25" s="3009"/>
      <c r="P25" s="3010">
        <f>SUMPRODUCT((地价!A3:A36=YEAR(G19)&amp;"-"&amp;ROUNDUP(MONTH(G19)/3,0))*(地价!AD2:AH2=N25)*(地价!AD3:AH36))</f>
        <v>1.66E-2</v>
      </c>
      <c r="Q25" s="2180"/>
      <c r="R25" s="1284"/>
      <c r="S25" s="1284"/>
      <c r="T25" s="1279"/>
      <c r="U25" s="1279"/>
      <c r="V25" s="1279"/>
      <c r="W25" s="1278"/>
      <c r="X25" s="1278"/>
      <c r="Y25" s="1278"/>
      <c r="Z25" s="1285"/>
      <c r="AA25" s="1285"/>
      <c r="AB25" s="1285"/>
      <c r="AC25" s="1285"/>
      <c r="AD25" s="1285"/>
      <c r="AE25" s="1279"/>
      <c r="AF25" s="1279"/>
      <c r="AG25" s="2337"/>
      <c r="AH25" s="2337"/>
      <c r="AI25" s="2337"/>
      <c r="AJ25" s="2337"/>
    </row>
    <row r="26" spans="1:37" ht="15">
      <c r="A26" s="2277"/>
      <c r="B26" s="2265" t="s">
        <v>2729</v>
      </c>
      <c r="C26" s="2539" t="e">
        <f>IF(B21="容积率修正",E29+SUM(E33:E39),SUM(V2:V16)+SUM(E33:E39))</f>
        <v>#DIV/0!</v>
      </c>
      <c r="D26" s="2278"/>
      <c r="E26" s="2234"/>
      <c r="F26" s="2279"/>
      <c r="G26" s="2234"/>
      <c r="H26" s="2234"/>
      <c r="I26" s="2234"/>
      <c r="J26" s="2280"/>
      <c r="K26" s="1278"/>
      <c r="L26" s="3011" t="s">
        <v>2627</v>
      </c>
      <c r="M26" s="2207" t="s">
        <v>2692</v>
      </c>
      <c r="N26" s="2207" t="s">
        <v>2693</v>
      </c>
      <c r="O26" s="2207" t="s">
        <v>2694</v>
      </c>
      <c r="P26" s="3012" t="s">
        <v>2695</v>
      </c>
      <c r="Q26" s="2180"/>
      <c r="R26" s="1284"/>
      <c r="S26" s="1284"/>
      <c r="T26" s="1279"/>
      <c r="U26" s="1279"/>
      <c r="V26" s="1279"/>
      <c r="W26" s="1278"/>
      <c r="X26" s="1278"/>
      <c r="Y26" s="1278"/>
      <c r="Z26" s="1285"/>
      <c r="AA26" s="1285"/>
      <c r="AB26" s="1285"/>
      <c r="AC26" s="1285"/>
      <c r="AD26" s="1285"/>
      <c r="AE26" s="1279"/>
      <c r="AF26" s="1279"/>
      <c r="AG26" s="2337"/>
      <c r="AH26" s="2337"/>
      <c r="AI26" s="2337"/>
      <c r="AJ26" s="2337"/>
    </row>
    <row r="27" spans="1:37" ht="15.75" thickBot="1">
      <c r="A27" s="2277"/>
      <c r="B27" s="2281" t="s">
        <v>2730</v>
      </c>
      <c r="C27" s="869" t="e">
        <f>E30+SUM(I33:I39)</f>
        <v>#DIV/0!</v>
      </c>
      <c r="D27" s="2282"/>
      <c r="E27" s="2283"/>
      <c r="F27" s="2284"/>
      <c r="G27" s="2283"/>
      <c r="H27" s="2283"/>
      <c r="I27" s="2283"/>
      <c r="J27" s="2285"/>
      <c r="K27" s="1278"/>
      <c r="L27" s="2240" t="s">
        <v>2699</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7"/>
      <c r="AH27" s="2337"/>
      <c r="AI27" s="2337"/>
      <c r="AJ27" s="2337"/>
    </row>
    <row r="28" spans="1:37" ht="15.75" thickBot="1">
      <c r="A28" s="2286"/>
      <c r="B28" s="2287" t="s">
        <v>2731</v>
      </c>
      <c r="C28" s="2288" t="s">
        <v>2732</v>
      </c>
      <c r="D28" s="2288" t="s">
        <v>2733</v>
      </c>
      <c r="E28" s="2289" t="s">
        <v>2734</v>
      </c>
      <c r="F28" s="2290"/>
      <c r="G28" s="2222"/>
      <c r="H28" s="2222"/>
      <c r="I28" s="2222"/>
      <c r="J28" s="2223"/>
      <c r="K28" s="1278"/>
      <c r="L28" s="2241" t="s">
        <v>2702</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7"/>
      <c r="AH28" s="2337"/>
      <c r="AI28" s="2337"/>
      <c r="AJ28" s="2337"/>
    </row>
    <row r="29" spans="1:37" ht="22.5" customHeight="1">
      <c r="A29" s="2291"/>
      <c r="B29" s="2292" t="s">
        <v>2735</v>
      </c>
      <c r="C29" s="180" t="e">
        <f>ROUND(C5*C18*C19*C20*C21*C24,0)</f>
        <v>#DIV/0!</v>
      </c>
      <c r="D29" s="2293"/>
      <c r="E29" s="878" t="e">
        <f>ROUND(C29*D29/10000,0)</f>
        <v>#DIV/0!</v>
      </c>
      <c r="F29" s="2294" t="s">
        <v>2736</v>
      </c>
      <c r="G29" s="2295"/>
      <c r="H29" s="2295"/>
      <c r="I29" s="2295"/>
      <c r="J29" s="2296"/>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0"/>
      <c r="AH29" s="2180"/>
      <c r="AI29" s="2180"/>
      <c r="AJ29" s="2180"/>
    </row>
    <row r="30" spans="1:37" ht="25.5" thickBot="1">
      <c r="A30" s="2297"/>
      <c r="B30" s="2298" t="s">
        <v>2737</v>
      </c>
      <c r="C30" s="193" t="e">
        <f>ROUND(IF(E2="工业",C29*M39,C29*M38),0)</f>
        <v>#DIV/0!</v>
      </c>
      <c r="D30" s="2299"/>
      <c r="E30" s="878" t="e">
        <f>ROUND(C30*D30/10000,0)</f>
        <v>#DIV/0!</v>
      </c>
      <c r="F30" s="2300" t="s">
        <v>2738</v>
      </c>
      <c r="G30" s="2301"/>
      <c r="H30" s="2301"/>
      <c r="I30" s="2301"/>
      <c r="J30" s="2302"/>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0"/>
      <c r="AH30" s="2180"/>
      <c r="AI30" s="2180"/>
      <c r="AJ30" s="2180"/>
    </row>
    <row r="31" spans="1:37" ht="14.25">
      <c r="A31" s="2303"/>
      <c r="B31" s="2304" t="s">
        <v>2739</v>
      </c>
      <c r="C31" s="2305" t="s">
        <v>2740</v>
      </c>
      <c r="D31" s="2222"/>
      <c r="E31" s="2305"/>
      <c r="F31" s="2305"/>
      <c r="G31" s="2220" t="s">
        <v>2741</v>
      </c>
      <c r="H31" s="2222"/>
      <c r="I31" s="2306"/>
      <c r="J31" s="2223"/>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0"/>
      <c r="AH31" s="2180"/>
      <c r="AI31" s="2180"/>
      <c r="AJ31" s="2180"/>
    </row>
    <row r="32" spans="1:37" ht="24">
      <c r="A32" s="2291"/>
      <c r="B32" s="2307"/>
      <c r="C32" s="458" t="s">
        <v>2732</v>
      </c>
      <c r="D32" s="455" t="s">
        <v>2733</v>
      </c>
      <c r="E32" s="455" t="s">
        <v>2734</v>
      </c>
      <c r="F32" s="348" t="s">
        <v>2742</v>
      </c>
      <c r="G32" s="2308" t="s">
        <v>2732</v>
      </c>
      <c r="H32" s="2308" t="s">
        <v>2733</v>
      </c>
      <c r="I32" s="2308" t="s">
        <v>2734</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0"/>
      <c r="AH32" s="2180"/>
      <c r="AI32" s="2180"/>
      <c r="AJ32" s="2180"/>
    </row>
    <row r="33" spans="1:37" ht="36" customHeight="1">
      <c r="A33" s="3624"/>
      <c r="B33" s="2309" t="s">
        <v>2743</v>
      </c>
      <c r="C33" s="180" t="e">
        <f>ROUND(D5*C19*C20*C24*F33,0)</f>
        <v>#DIV/0!</v>
      </c>
      <c r="D33" s="2293"/>
      <c r="E33" s="176" t="e">
        <f>ROUND(C33*D33/10000,0)</f>
        <v>#DIV/0!</v>
      </c>
      <c r="F33" s="176">
        <f>SUMIF(修正!A45:A56,G2,修正!B45:B56)</f>
        <v>0</v>
      </c>
      <c r="G33" s="176" t="e">
        <f>ROUND(IF(E2="工业",C33*$M$39,C33*$M$38),0)</f>
        <v>#DIV/0!</v>
      </c>
      <c r="H33" s="176">
        <f>D33</f>
        <v>0</v>
      </c>
      <c r="I33" s="176" t="e">
        <f>ROUND(G33*H33/10000,0)</f>
        <v>#DIV/0!</v>
      </c>
      <c r="J33" s="3629" t="s">
        <v>3047</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7"/>
      <c r="AH33" s="2337"/>
      <c r="AI33" s="2337"/>
      <c r="AJ33" s="2337"/>
    </row>
    <row r="34" spans="1:37" ht="14.25">
      <c r="A34" s="3625"/>
      <c r="B34" s="2226" t="s">
        <v>2744</v>
      </c>
      <c r="C34" s="180" t="e">
        <f>ROUND(D5*C19*C20*C24*F34,0)</f>
        <v>#DIV/0!</v>
      </c>
      <c r="D34" s="2293"/>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625"/>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7"/>
      <c r="AH34" s="2337"/>
      <c r="AI34" s="2337"/>
      <c r="AJ34" s="2337"/>
    </row>
    <row r="35" spans="1:37">
      <c r="A35" s="3625"/>
      <c r="B35" s="2226" t="s">
        <v>2745</v>
      </c>
      <c r="C35" s="180" t="e">
        <f>ROUND(D5*C19*C20*C24*F35,0)</f>
        <v>#DIV/0!</v>
      </c>
      <c r="D35" s="2293"/>
      <c r="E35" s="176" t="e">
        <f t="shared" si="6"/>
        <v>#DIV/0!</v>
      </c>
      <c r="F35" s="176">
        <f>SUMIF(修正!A45:A56,G2,修正!D45:D56)</f>
        <v>0</v>
      </c>
      <c r="G35" s="176" t="e">
        <f>ROUND(IF(E2="工业",C35*$M$39,C35*$M$38),0)</f>
        <v>#DIV/0!</v>
      </c>
      <c r="H35" s="176">
        <f t="shared" si="7"/>
        <v>0</v>
      </c>
      <c r="I35" s="176" t="e">
        <f t="shared" si="8"/>
        <v>#DIV/0!</v>
      </c>
      <c r="J35" s="3625"/>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7"/>
      <c r="AH35" s="2337"/>
      <c r="AI35" s="2337"/>
      <c r="AJ35" s="2337"/>
    </row>
    <row r="36" spans="1:37" ht="13.5" thickBot="1">
      <c r="A36" s="3626"/>
      <c r="B36" s="2226" t="s">
        <v>2746</v>
      </c>
      <c r="C36" s="180" t="e">
        <f>ROUND(D5*C19*C20*C24*F36,0)</f>
        <v>#DIV/0!</v>
      </c>
      <c r="D36" s="2293"/>
      <c r="E36" s="176" t="e">
        <f t="shared" si="6"/>
        <v>#DIV/0!</v>
      </c>
      <c r="F36" s="176">
        <f>SUMIF(修正!A45:A56,G2,修正!E45:E56)</f>
        <v>0</v>
      </c>
      <c r="G36" s="176" t="e">
        <f>ROUND(IF(E2="工业",C36*$M$39,C36*$M$38),0)</f>
        <v>#DIV/0!</v>
      </c>
      <c r="H36" s="176">
        <f t="shared" si="7"/>
        <v>0</v>
      </c>
      <c r="I36" s="176" t="e">
        <f t="shared" si="8"/>
        <v>#DIV/0!</v>
      </c>
      <c r="J36" s="3626"/>
      <c r="K36" s="1278"/>
      <c r="L36" s="2180"/>
      <c r="M36" s="2180"/>
      <c r="N36" s="1278"/>
      <c r="O36" s="1278"/>
      <c r="P36" s="1278"/>
      <c r="Q36" s="1278"/>
      <c r="R36" s="1278"/>
      <c r="S36" s="1278"/>
      <c r="T36" s="1278"/>
      <c r="U36" s="1278"/>
      <c r="V36" s="1278"/>
      <c r="W36" s="1278"/>
      <c r="X36" s="1278"/>
      <c r="Y36" s="1278"/>
      <c r="Z36" s="1279"/>
      <c r="AA36" s="1279"/>
      <c r="AB36" s="1279"/>
      <c r="AC36" s="1279"/>
      <c r="AD36" s="1279"/>
      <c r="AE36" s="1279"/>
      <c r="AF36" s="1279"/>
      <c r="AG36" s="2337"/>
      <c r="AH36" s="2337"/>
      <c r="AI36" s="2337"/>
      <c r="AJ36" s="2337"/>
    </row>
    <row r="37" spans="1:37">
      <c r="A37" s="2311"/>
      <c r="B37" s="2226" t="s">
        <v>2747</v>
      </c>
      <c r="C37" s="176" t="e">
        <f>ROUND(D5*C19*C20*C24*F37,0)</f>
        <v>#DIV/0!</v>
      </c>
      <c r="D37" s="2293"/>
      <c r="E37" s="176" t="e">
        <f t="shared" si="6"/>
        <v>#DIV/0!</v>
      </c>
      <c r="F37" s="180">
        <f>SUMIF(修正!A45:A56,G2,修正!F45:F56)</f>
        <v>0</v>
      </c>
      <c r="G37" s="176" t="e">
        <f>ROUND(IF(E2="工业",C37*$M$39,C37*$M$38),0)</f>
        <v>#DIV/0!</v>
      </c>
      <c r="H37" s="176">
        <f t="shared" si="7"/>
        <v>0</v>
      </c>
      <c r="I37" s="176" t="e">
        <f t="shared" si="8"/>
        <v>#DIV/0!</v>
      </c>
      <c r="J37" s="2310"/>
      <c r="K37" s="1278"/>
      <c r="L37" s="2312" t="s">
        <v>2748</v>
      </c>
      <c r="M37" s="2313"/>
      <c r="N37" s="1278"/>
      <c r="O37" s="1278"/>
      <c r="P37" s="1278"/>
      <c r="Q37" s="1278"/>
      <c r="R37" s="1278"/>
      <c r="S37" s="1278"/>
      <c r="T37" s="1278"/>
      <c r="U37" s="1278"/>
      <c r="V37" s="1278"/>
      <c r="W37" s="1278"/>
      <c r="X37" s="1278"/>
      <c r="Y37" s="1278"/>
      <c r="Z37" s="1279"/>
      <c r="AA37" s="1279"/>
      <c r="AB37" s="1279"/>
      <c r="AC37" s="1279"/>
      <c r="AD37" s="1279"/>
      <c r="AE37" s="1279"/>
      <c r="AF37" s="1279"/>
      <c r="AG37" s="2337"/>
      <c r="AH37" s="2337"/>
      <c r="AI37" s="2337"/>
      <c r="AJ37" s="2337"/>
    </row>
    <row r="38" spans="1:37">
      <c r="A38" s="2311"/>
      <c r="B38" s="2226" t="s">
        <v>2749</v>
      </c>
      <c r="C38" s="176" t="e">
        <f>ROUND(D5*C19*C41*C24*F38,0)</f>
        <v>#DIV/0!</v>
      </c>
      <c r="D38" s="2293"/>
      <c r="E38" s="176" t="e">
        <f t="shared" si="6"/>
        <v>#DIV/0!</v>
      </c>
      <c r="F38" s="180">
        <f>SUMIF(修正!A45:A56,G2,修正!G45:G56)</f>
        <v>0</v>
      </c>
      <c r="G38" s="176" t="e">
        <f>ROUND(IF(E2="工业",C38*$M$39,C38*$M$38),0)</f>
        <v>#DIV/0!</v>
      </c>
      <c r="H38" s="176">
        <f t="shared" si="7"/>
        <v>0</v>
      </c>
      <c r="I38" s="176" t="e">
        <f t="shared" si="8"/>
        <v>#DIV/0!</v>
      </c>
      <c r="J38" s="2310"/>
      <c r="K38" s="1278"/>
      <c r="L38" s="1602" t="s">
        <v>2750</v>
      </c>
      <c r="M38" s="2314">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7"/>
      <c r="B39" s="2315" t="s">
        <v>2751</v>
      </c>
      <c r="C39" s="193" t="e">
        <f>ROUND(D5*C19*C41*C24*F39,0)</f>
        <v>#DIV/0!</v>
      </c>
      <c r="D39" s="2299"/>
      <c r="E39" s="193" t="e">
        <f t="shared" si="6"/>
        <v>#DIV/0!</v>
      </c>
      <c r="F39" s="870">
        <f>SUMIF(修正!A45:A56,G2,修正!H45:H56)</f>
        <v>0</v>
      </c>
      <c r="G39" s="193" t="e">
        <f>ROUND(IF(E2="工业",C39*$M$39,C39*$M$38),0)</f>
        <v>#DIV/0!</v>
      </c>
      <c r="H39" s="193">
        <f t="shared" si="7"/>
        <v>0</v>
      </c>
      <c r="I39" s="193" t="e">
        <f t="shared" si="8"/>
        <v>#DIV/0!</v>
      </c>
      <c r="J39" s="2316"/>
      <c r="K39" s="1278"/>
      <c r="L39" s="2317" t="s">
        <v>2695</v>
      </c>
      <c r="M39" s="2318">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7" t="s">
        <v>2856</v>
      </c>
      <c r="C41" s="348" t="e">
        <f>ROUND(POWER(1+E41,H41-G41)*(POWER(1+E41,G41)-1)/(POWER(1+E41,H41)-1),4)</f>
        <v>#DIV/0!</v>
      </c>
      <c r="D41" s="176" t="s">
        <v>2702</v>
      </c>
      <c r="E41" s="2366">
        <f>G20</f>
        <v>0</v>
      </c>
      <c r="F41" s="176" t="s">
        <v>2711</v>
      </c>
      <c r="G41" s="189"/>
      <c r="H41" s="176">
        <v>50</v>
      </c>
      <c r="Z41" s="1279"/>
      <c r="AA41" s="1279"/>
      <c r="AB41" s="1279"/>
      <c r="AC41" s="1279"/>
      <c r="AD41" s="1279"/>
      <c r="AE41" s="1279"/>
      <c r="AF41" s="1279"/>
      <c r="AG41" s="1279"/>
      <c r="AH41" s="1279"/>
      <c r="AI41" s="1279"/>
      <c r="AJ41" s="1279"/>
    </row>
    <row r="42" spans="1:37" s="1278" customFormat="1">
      <c r="A42" s="1279"/>
      <c r="B42" s="2319"/>
      <c r="Z42" s="1279"/>
      <c r="AA42" s="1279"/>
      <c r="AB42" s="1279"/>
      <c r="AC42" s="1279"/>
      <c r="AD42" s="1279"/>
      <c r="AE42" s="1279"/>
      <c r="AF42" s="1279"/>
      <c r="AG42" s="1279"/>
      <c r="AH42" s="1279"/>
      <c r="AI42" s="1279"/>
      <c r="AJ42" s="1279"/>
    </row>
    <row r="43" spans="1:37" s="1278" customFormat="1">
      <c r="A43" s="1279"/>
      <c r="B43" s="2319"/>
      <c r="Z43" s="1279"/>
      <c r="AA43" s="1279"/>
      <c r="AB43" s="1279"/>
      <c r="AC43" s="1279"/>
      <c r="AD43" s="1279"/>
      <c r="AE43" s="1279"/>
      <c r="AF43" s="1279"/>
      <c r="AG43" s="1279"/>
      <c r="AH43" s="1279"/>
      <c r="AI43" s="1279"/>
      <c r="AJ43" s="1279"/>
    </row>
    <row r="44" spans="1:37" s="1278" customFormat="1">
      <c r="A44" s="1279"/>
      <c r="B44" s="2319"/>
      <c r="Z44" s="1279"/>
      <c r="AA44" s="1279"/>
      <c r="AB44" s="1279"/>
      <c r="AC44" s="1279"/>
      <c r="AD44" s="1279"/>
      <c r="AE44" s="1279"/>
      <c r="AF44" s="1279"/>
      <c r="AG44" s="1279"/>
      <c r="AH44" s="1279"/>
      <c r="AI44" s="1279"/>
      <c r="AJ44" s="1279"/>
    </row>
    <row r="45" spans="1:37" s="1278" customFormat="1" ht="15.75" thickBot="1">
      <c r="A45" s="2320" t="s">
        <v>2752</v>
      </c>
      <c r="B45" s="2321"/>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22" t="s">
        <v>2753</v>
      </c>
      <c r="B46" s="2323">
        <f>1+E48</f>
        <v>1</v>
      </c>
      <c r="C46" s="2324"/>
      <c r="D46" s="752"/>
      <c r="E46" s="753"/>
      <c r="F46" s="2325"/>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6" t="s">
        <v>2754</v>
      </c>
      <c r="B47" s="1532" t="s">
        <v>2755</v>
      </c>
      <c r="C47" s="1532" t="s">
        <v>2756</v>
      </c>
      <c r="D47" s="1532" t="s">
        <v>2757</v>
      </c>
      <c r="E47" s="757" t="s">
        <v>2758</v>
      </c>
      <c r="F47" s="2327" t="s">
        <v>2759</v>
      </c>
      <c r="G47" s="1532" t="s">
        <v>754</v>
      </c>
      <c r="H47" s="2328" t="s">
        <v>2760</v>
      </c>
      <c r="I47" s="1532" t="s">
        <v>2761</v>
      </c>
      <c r="J47" s="560" t="s">
        <v>2412</v>
      </c>
      <c r="K47" s="560" t="s">
        <v>2413</v>
      </c>
      <c r="L47" s="560" t="s">
        <v>2414</v>
      </c>
      <c r="M47" s="560" t="s">
        <v>2415</v>
      </c>
      <c r="N47" s="560" t="s">
        <v>2416</v>
      </c>
      <c r="AA47" s="1279"/>
      <c r="AB47" s="1279"/>
      <c r="AC47" s="1279"/>
      <c r="AD47" s="1279"/>
      <c r="AE47" s="1279"/>
      <c r="AF47" s="1279"/>
      <c r="AG47" s="1279"/>
      <c r="AH47" s="1279"/>
      <c r="AI47" s="1279"/>
      <c r="AJ47" s="1279"/>
      <c r="AK47" s="1279"/>
    </row>
    <row r="48" spans="1:37" s="1278" customFormat="1" ht="38.25">
      <c r="A48" s="2326" t="s">
        <v>2762</v>
      </c>
      <c r="B48" s="2329" t="str">
        <f>估价对象房地状况!C4</f>
        <v>估价对象位于XX商圈，周边商业氛围成熟，人流量大，商业繁华度好</v>
      </c>
      <c r="C48" s="2231"/>
      <c r="D48" s="1195">
        <f t="shared" ref="D48:D56" si="9">SUMIF($J$47:$N$47,C48,J48:N48)</f>
        <v>0</v>
      </c>
      <c r="E48" s="759">
        <f>ROUND(SUM(D48:D56),4)</f>
        <v>0</v>
      </c>
      <c r="F48" s="1997" t="str">
        <f>IF(E2="商业",SUMIF(L1:L12,G2,N1:N12),"——")</f>
        <v>——</v>
      </c>
      <c r="G48" s="1193"/>
      <c r="H48" s="1197" t="str">
        <f t="shared" ref="H48:H56" si="10">IFERROR(ROUNDDOWN($F$48*I48/2,4),"——")</f>
        <v>——</v>
      </c>
      <c r="I48" s="758">
        <v>0.33</v>
      </c>
      <c r="J48" s="1194">
        <f t="shared" ref="J48:J56" si="11">K48+$G48</f>
        <v>0</v>
      </c>
      <c r="K48" s="1194">
        <f t="shared" ref="K48:K56" si="12">$L48+$G48</f>
        <v>0</v>
      </c>
      <c r="L48" s="1194">
        <v>0</v>
      </c>
      <c r="M48" s="1194">
        <f t="shared" ref="M48:N56" si="13">L48-$G48</f>
        <v>0</v>
      </c>
      <c r="N48" s="1194">
        <f t="shared" si="13"/>
        <v>0</v>
      </c>
      <c r="AA48" s="1279"/>
      <c r="AB48" s="1279"/>
      <c r="AC48" s="1279"/>
      <c r="AD48" s="1279"/>
      <c r="AE48" s="1279"/>
      <c r="AF48" s="1279"/>
      <c r="AG48" s="1279"/>
      <c r="AH48" s="1279"/>
      <c r="AI48" s="1279"/>
      <c r="AJ48" s="1279"/>
      <c r="AK48" s="1279"/>
    </row>
    <row r="49" spans="1:37" s="1278" customFormat="1" ht="51">
      <c r="A49" s="2326" t="s">
        <v>2763</v>
      </c>
      <c r="B49" s="2330" t="str">
        <f>估价对象房地状况!C18</f>
        <v>估价对象周边道路状况、公共交通通达情况、停车便捷程度，综合评价交通便捷度较好</v>
      </c>
      <c r="C49" s="2231"/>
      <c r="D49" s="1195">
        <f t="shared" si="9"/>
        <v>0</v>
      </c>
      <c r="E49" s="760"/>
      <c r="F49" s="1997"/>
      <c r="G49" s="1193"/>
      <c r="H49" s="1197" t="str">
        <f t="shared" si="10"/>
        <v>——</v>
      </c>
      <c r="I49" s="758">
        <v>0.25</v>
      </c>
      <c r="J49" s="1194">
        <f t="shared" si="11"/>
        <v>0</v>
      </c>
      <c r="K49" s="1194">
        <f t="shared" si="12"/>
        <v>0</v>
      </c>
      <c r="L49" s="1194">
        <v>0</v>
      </c>
      <c r="M49" s="1194">
        <f t="shared" si="13"/>
        <v>0</v>
      </c>
      <c r="N49" s="1194">
        <f t="shared" si="13"/>
        <v>0</v>
      </c>
      <c r="AA49" s="1279"/>
      <c r="AB49" s="1279"/>
      <c r="AC49" s="1279"/>
      <c r="AD49" s="1279"/>
      <c r="AE49" s="1279"/>
      <c r="AF49" s="1279"/>
      <c r="AG49" s="1279"/>
      <c r="AH49" s="1279"/>
      <c r="AI49" s="1279"/>
      <c r="AJ49" s="1279"/>
      <c r="AK49" s="1279"/>
    </row>
    <row r="50" spans="1:37" s="1278" customFormat="1" ht="24">
      <c r="A50" s="2326" t="s">
        <v>2764</v>
      </c>
      <c r="B50" s="2330">
        <f>估价对象房地状况!C19</f>
        <v>0</v>
      </c>
      <c r="C50" s="2231"/>
      <c r="D50" s="1195">
        <f t="shared" si="9"/>
        <v>0</v>
      </c>
      <c r="E50" s="760"/>
      <c r="F50" s="1997"/>
      <c r="G50" s="1193"/>
      <c r="H50" s="1197" t="str">
        <f t="shared" si="10"/>
        <v>——</v>
      </c>
      <c r="I50" s="758">
        <v>0.05</v>
      </c>
      <c r="J50" s="1194">
        <f t="shared" si="11"/>
        <v>0</v>
      </c>
      <c r="K50" s="1194">
        <f t="shared" si="12"/>
        <v>0</v>
      </c>
      <c r="L50" s="1194">
        <v>0</v>
      </c>
      <c r="M50" s="1194">
        <f t="shared" si="13"/>
        <v>0</v>
      </c>
      <c r="N50" s="1194">
        <f t="shared" si="13"/>
        <v>0</v>
      </c>
      <c r="AA50" s="1279"/>
      <c r="AB50" s="1279"/>
      <c r="AC50" s="1279"/>
      <c r="AD50" s="1279"/>
      <c r="AE50" s="1279"/>
      <c r="AF50" s="1279"/>
      <c r="AG50" s="1279"/>
      <c r="AH50" s="1279"/>
      <c r="AI50" s="1279"/>
      <c r="AJ50" s="1279"/>
      <c r="AK50" s="1279"/>
    </row>
    <row r="51" spans="1:37" s="1278" customFormat="1" ht="36.75">
      <c r="A51" s="2326" t="s">
        <v>2765</v>
      </c>
      <c r="B51" s="2331" t="s">
        <v>2766</v>
      </c>
      <c r="C51" s="2231"/>
      <c r="D51" s="1195">
        <f t="shared" si="9"/>
        <v>0</v>
      </c>
      <c r="E51" s="760"/>
      <c r="F51" s="1997"/>
      <c r="G51" s="1193"/>
      <c r="H51" s="1197" t="str">
        <f t="shared" si="10"/>
        <v>——</v>
      </c>
      <c r="I51" s="758">
        <v>0.05</v>
      </c>
      <c r="J51" s="1194">
        <f t="shared" si="11"/>
        <v>0</v>
      </c>
      <c r="K51" s="1194">
        <f t="shared" si="12"/>
        <v>0</v>
      </c>
      <c r="L51" s="1194">
        <v>0</v>
      </c>
      <c r="M51" s="1194">
        <f t="shared" si="13"/>
        <v>0</v>
      </c>
      <c r="N51" s="1194">
        <f t="shared" si="13"/>
        <v>0</v>
      </c>
      <c r="AA51" s="1279"/>
      <c r="AB51" s="1279"/>
      <c r="AC51" s="1279"/>
      <c r="AD51" s="1279"/>
      <c r="AE51" s="1279"/>
      <c r="AF51" s="1279"/>
      <c r="AG51" s="1279"/>
      <c r="AH51" s="1279"/>
      <c r="AI51" s="1279"/>
      <c r="AJ51" s="1279"/>
      <c r="AK51" s="1279"/>
    </row>
    <row r="52" spans="1:37" s="1278" customFormat="1" ht="24">
      <c r="A52" s="2326" t="s">
        <v>2767</v>
      </c>
      <c r="B52" s="2330">
        <f>估价对象房地状况!C24</f>
        <v>0</v>
      </c>
      <c r="C52" s="2231"/>
      <c r="D52" s="1195">
        <f t="shared" si="9"/>
        <v>0</v>
      </c>
      <c r="E52" s="760"/>
      <c r="F52" s="1997"/>
      <c r="G52" s="1193"/>
      <c r="H52" s="1197" t="str">
        <f t="shared" si="10"/>
        <v>——</v>
      </c>
      <c r="I52" s="758">
        <v>0.08</v>
      </c>
      <c r="J52" s="1194">
        <f t="shared" si="11"/>
        <v>0</v>
      </c>
      <c r="K52" s="1194">
        <f t="shared" si="12"/>
        <v>0</v>
      </c>
      <c r="L52" s="1194">
        <v>0</v>
      </c>
      <c r="M52" s="1194">
        <f t="shared" si="13"/>
        <v>0</v>
      </c>
      <c r="N52" s="1194">
        <f t="shared" si="13"/>
        <v>0</v>
      </c>
      <c r="AA52" s="1279"/>
      <c r="AB52" s="1279"/>
      <c r="AC52" s="1279"/>
      <c r="AD52" s="1279"/>
      <c r="AE52" s="1279"/>
      <c r="AF52" s="1279"/>
      <c r="AG52" s="1279"/>
      <c r="AH52" s="1279"/>
      <c r="AI52" s="1279"/>
      <c r="AJ52" s="1279"/>
      <c r="AK52" s="1279"/>
    </row>
    <row r="53" spans="1:37" s="1278" customFormat="1" ht="24">
      <c r="A53" s="2326" t="s">
        <v>2768</v>
      </c>
      <c r="B53" s="2332" t="s">
        <v>2769</v>
      </c>
      <c r="C53" s="2231"/>
      <c r="D53" s="1195">
        <f t="shared" si="9"/>
        <v>0</v>
      </c>
      <c r="E53" s="760"/>
      <c r="F53" s="1997"/>
      <c r="G53" s="1193"/>
      <c r="H53" s="1197" t="str">
        <f t="shared" si="10"/>
        <v>——</v>
      </c>
      <c r="I53" s="758">
        <v>0.03</v>
      </c>
      <c r="J53" s="1194">
        <f t="shared" si="11"/>
        <v>0</v>
      </c>
      <c r="K53" s="1194">
        <f t="shared" si="12"/>
        <v>0</v>
      </c>
      <c r="L53" s="1194">
        <v>0</v>
      </c>
      <c r="M53" s="1194">
        <f t="shared" si="13"/>
        <v>0</v>
      </c>
      <c r="N53" s="1194">
        <f t="shared" si="13"/>
        <v>0</v>
      </c>
      <c r="AA53" s="1279"/>
      <c r="AB53" s="1279"/>
      <c r="AC53" s="1279"/>
      <c r="AD53" s="1279"/>
      <c r="AE53" s="1279"/>
      <c r="AF53" s="1279"/>
      <c r="AG53" s="1279"/>
      <c r="AH53" s="1279"/>
      <c r="AI53" s="1279"/>
      <c r="AJ53" s="1279"/>
      <c r="AK53" s="1279"/>
    </row>
    <row r="54" spans="1:37" s="1278" customFormat="1" ht="25.5">
      <c r="A54" s="2333" t="s">
        <v>2770</v>
      </c>
      <c r="B54" s="1492" t="str">
        <f>估价对象房地状况!C21</f>
        <v>估价对象所在区域公共配套设施齐备情况</v>
      </c>
      <c r="C54" s="2231"/>
      <c r="D54" s="1195">
        <f t="shared" si="9"/>
        <v>0</v>
      </c>
      <c r="E54" s="760"/>
      <c r="F54" s="1997"/>
      <c r="G54" s="1193"/>
      <c r="H54" s="1197" t="str">
        <f t="shared" si="10"/>
        <v>——</v>
      </c>
      <c r="I54" s="758">
        <v>0.05</v>
      </c>
      <c r="J54" s="1194">
        <f t="shared" si="11"/>
        <v>0</v>
      </c>
      <c r="K54" s="1194">
        <f t="shared" si="12"/>
        <v>0</v>
      </c>
      <c r="L54" s="1194">
        <v>0</v>
      </c>
      <c r="M54" s="1194">
        <f t="shared" si="13"/>
        <v>0</v>
      </c>
      <c r="N54" s="1194">
        <f t="shared" si="13"/>
        <v>0</v>
      </c>
      <c r="AA54" s="1279"/>
      <c r="AB54" s="1279"/>
      <c r="AC54" s="1279"/>
      <c r="AD54" s="1279"/>
      <c r="AE54" s="1279"/>
      <c r="AF54" s="1279"/>
      <c r="AG54" s="1279"/>
      <c r="AH54" s="1279"/>
      <c r="AI54" s="1279"/>
      <c r="AJ54" s="1279"/>
      <c r="AK54" s="1279"/>
    </row>
    <row r="55" spans="1:37" s="1278" customFormat="1" ht="25.5">
      <c r="A55" s="2333" t="s">
        <v>2771</v>
      </c>
      <c r="B55" s="2330" t="str">
        <f>估价对象房地状况!C22</f>
        <v>估价对象所在区域基础设施水平</v>
      </c>
      <c r="C55" s="2231"/>
      <c r="D55" s="1195">
        <f t="shared" si="9"/>
        <v>0</v>
      </c>
      <c r="E55" s="760"/>
      <c r="F55" s="1997"/>
      <c r="G55" s="1193"/>
      <c r="H55" s="1197" t="str">
        <f t="shared" si="10"/>
        <v>——</v>
      </c>
      <c r="I55" s="758">
        <v>0.1</v>
      </c>
      <c r="J55" s="1194">
        <f t="shared" si="11"/>
        <v>0</v>
      </c>
      <c r="K55" s="1194">
        <f t="shared" si="12"/>
        <v>0</v>
      </c>
      <c r="L55" s="1194">
        <v>0</v>
      </c>
      <c r="M55" s="1194">
        <f t="shared" si="13"/>
        <v>0</v>
      </c>
      <c r="N55" s="1194">
        <f t="shared" si="13"/>
        <v>0</v>
      </c>
      <c r="AA55" s="1279"/>
      <c r="AB55" s="1279"/>
      <c r="AC55" s="1279"/>
      <c r="AD55" s="1279"/>
      <c r="AE55" s="1279"/>
      <c r="AF55" s="1279"/>
      <c r="AG55" s="1279"/>
      <c r="AH55" s="1279"/>
      <c r="AI55" s="1279"/>
      <c r="AJ55" s="1279"/>
      <c r="AK55" s="1279"/>
    </row>
    <row r="56" spans="1:37" s="1278" customFormat="1" ht="39" thickBot="1">
      <c r="A56" s="2334" t="s">
        <v>2772</v>
      </c>
      <c r="B56" s="2335" t="str">
        <f>估价对象房地状况!C20</f>
        <v>区域自然环境：；人文环境；综合评价环境状况一般</v>
      </c>
      <c r="C56" s="2231"/>
      <c r="D56" s="1195">
        <f t="shared" si="9"/>
        <v>0</v>
      </c>
      <c r="E56" s="763"/>
      <c r="F56" s="1997"/>
      <c r="G56" s="1193"/>
      <c r="H56" s="1197" t="str">
        <f t="shared" si="10"/>
        <v>——</v>
      </c>
      <c r="I56" s="762">
        <v>0.06</v>
      </c>
      <c r="J56" s="1194">
        <f t="shared" si="11"/>
        <v>0</v>
      </c>
      <c r="K56" s="1194">
        <f t="shared" si="12"/>
        <v>0</v>
      </c>
      <c r="L56" s="1194">
        <v>0</v>
      </c>
      <c r="M56" s="1194">
        <f t="shared" si="13"/>
        <v>0</v>
      </c>
      <c r="N56" s="1194">
        <f t="shared" si="13"/>
        <v>0</v>
      </c>
      <c r="AA56" s="1279"/>
      <c r="AB56" s="1279"/>
      <c r="AC56" s="1279"/>
      <c r="AD56" s="1279"/>
      <c r="AE56" s="1279"/>
      <c r="AF56" s="1279"/>
      <c r="AG56" s="1279"/>
      <c r="AH56" s="1279"/>
      <c r="AI56" s="1279"/>
      <c r="AJ56" s="1279"/>
      <c r="AK56" s="1279"/>
    </row>
    <row r="57" spans="1:37" s="1278" customFormat="1" ht="15">
      <c r="A57" s="2322" t="s">
        <v>2773</v>
      </c>
      <c r="B57" s="2323">
        <f>1+E59</f>
        <v>1</v>
      </c>
      <c r="C57" s="752"/>
      <c r="D57" s="752"/>
      <c r="E57" s="753"/>
      <c r="F57" s="2325"/>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6" t="s">
        <v>2754</v>
      </c>
      <c r="B58" s="1532"/>
      <c r="C58" s="1532" t="s">
        <v>2756</v>
      </c>
      <c r="D58" s="1532" t="s">
        <v>2757</v>
      </c>
      <c r="E58" s="757" t="s">
        <v>2758</v>
      </c>
      <c r="F58" s="2327" t="s">
        <v>2774</v>
      </c>
      <c r="G58" s="1532" t="s">
        <v>754</v>
      </c>
      <c r="H58" s="2328" t="s">
        <v>2760</v>
      </c>
      <c r="I58" s="1532" t="s">
        <v>2761</v>
      </c>
      <c r="J58" s="560" t="s">
        <v>2412</v>
      </c>
      <c r="K58" s="560" t="s">
        <v>2413</v>
      </c>
      <c r="L58" s="560" t="s">
        <v>2414</v>
      </c>
      <c r="M58" s="560" t="s">
        <v>2415</v>
      </c>
      <c r="N58" s="560" t="s">
        <v>2416</v>
      </c>
      <c r="AA58" s="1279"/>
      <c r="AB58" s="1279"/>
      <c r="AC58" s="1279"/>
      <c r="AD58" s="1279"/>
      <c r="AE58" s="1279"/>
      <c r="AF58" s="1279"/>
      <c r="AG58" s="1279"/>
      <c r="AH58" s="1279"/>
      <c r="AI58" s="1279"/>
      <c r="AJ58" s="1279"/>
      <c r="AK58" s="1279"/>
    </row>
    <row r="59" spans="1:37" s="1278" customFormat="1" ht="38.25">
      <c r="A59" s="2326" t="s">
        <v>2775</v>
      </c>
      <c r="B59" s="2329" t="str">
        <f>估价对象房地状况!C17</f>
        <v>估价对象位于XX商圈，周边办公楼项目较多，入驻率高，办公集聚程度较好</v>
      </c>
      <c r="C59" s="2231"/>
      <c r="D59" s="1195">
        <f t="shared" ref="D59:D67" si="14">SUMIF($J$58:$N$58,C59,J59:N59)</f>
        <v>0</v>
      </c>
      <c r="E59" s="759">
        <f>ROUND(SUM(D59:D67),4)</f>
        <v>0</v>
      </c>
      <c r="F59" s="1997" t="str">
        <f>IF(E2="办公",SUMIF(L1:L12,G2,N1:N12),"——")</f>
        <v>——</v>
      </c>
      <c r="G59" s="1193"/>
      <c r="H59" s="1197" t="str">
        <f t="shared" ref="H59:H67" si="15">IFERROR(ROUNDDOWN($F$59*I59/2,4),"——")</f>
        <v>——</v>
      </c>
      <c r="I59" s="758">
        <v>0.24</v>
      </c>
      <c r="J59" s="1194">
        <f t="shared" ref="J59:J67" si="16">K59+$G59</f>
        <v>0</v>
      </c>
      <c r="K59" s="1194">
        <f t="shared" ref="K59:K67" si="17">$L59+$G59</f>
        <v>0</v>
      </c>
      <c r="L59" s="1194">
        <v>0</v>
      </c>
      <c r="M59" s="1194">
        <f t="shared" ref="M59:N67" si="18">L59-$G59</f>
        <v>0</v>
      </c>
      <c r="N59" s="1194">
        <f t="shared" si="18"/>
        <v>0</v>
      </c>
      <c r="AA59" s="1279"/>
      <c r="AB59" s="1279"/>
      <c r="AC59" s="1279"/>
      <c r="AD59" s="1279"/>
      <c r="AE59" s="1279"/>
      <c r="AF59" s="1279"/>
      <c r="AG59" s="1279"/>
      <c r="AH59" s="1279"/>
      <c r="AI59" s="1279"/>
      <c r="AJ59" s="1279"/>
      <c r="AK59" s="1279"/>
    </row>
    <row r="60" spans="1:37" s="1278" customFormat="1" ht="51">
      <c r="A60" s="2326" t="s">
        <v>2763</v>
      </c>
      <c r="B60" s="2330" t="str">
        <f>估价对象房地状况!C18</f>
        <v>估价对象周边道路状况、公共交通通达情况、停车便捷程度，综合评价交通便捷度较好</v>
      </c>
      <c r="C60" s="2231"/>
      <c r="D60" s="1195">
        <f t="shared" si="14"/>
        <v>0</v>
      </c>
      <c r="E60" s="760"/>
      <c r="F60" s="1997"/>
      <c r="G60" s="1193"/>
      <c r="H60" s="1197" t="str">
        <f t="shared" si="15"/>
        <v>——</v>
      </c>
      <c r="I60" s="758">
        <v>0.3</v>
      </c>
      <c r="J60" s="1194">
        <f t="shared" si="16"/>
        <v>0</v>
      </c>
      <c r="K60" s="1194">
        <f t="shared" si="17"/>
        <v>0</v>
      </c>
      <c r="L60" s="1194">
        <v>0</v>
      </c>
      <c r="M60" s="1194">
        <f t="shared" si="18"/>
        <v>0</v>
      </c>
      <c r="N60" s="1194">
        <f t="shared" si="18"/>
        <v>0</v>
      </c>
      <c r="AA60" s="1279"/>
      <c r="AB60" s="1279"/>
      <c r="AC60" s="1279"/>
      <c r="AD60" s="1279"/>
      <c r="AE60" s="1279"/>
      <c r="AF60" s="1279"/>
      <c r="AG60" s="1279"/>
      <c r="AH60" s="1279"/>
      <c r="AI60" s="1279"/>
      <c r="AJ60" s="1279"/>
      <c r="AK60" s="1279"/>
    </row>
    <row r="61" spans="1:37" s="1278" customFormat="1" ht="24">
      <c r="A61" s="2326" t="s">
        <v>2764</v>
      </c>
      <c r="B61" s="2330">
        <f>估价对象房地状况!C19</f>
        <v>0</v>
      </c>
      <c r="C61" s="2231"/>
      <c r="D61" s="1195">
        <f t="shared" si="14"/>
        <v>0</v>
      </c>
      <c r="E61" s="760"/>
      <c r="F61" s="1997"/>
      <c r="G61" s="1193"/>
      <c r="H61" s="1197" t="str">
        <f t="shared" si="15"/>
        <v>——</v>
      </c>
      <c r="I61" s="758">
        <v>0.08</v>
      </c>
      <c r="J61" s="1194">
        <f t="shared" si="16"/>
        <v>0</v>
      </c>
      <c r="K61" s="1194">
        <f t="shared" si="17"/>
        <v>0</v>
      </c>
      <c r="L61" s="1194">
        <v>0</v>
      </c>
      <c r="M61" s="1194">
        <f t="shared" si="18"/>
        <v>0</v>
      </c>
      <c r="N61" s="1194">
        <f t="shared" si="18"/>
        <v>0</v>
      </c>
      <c r="AA61" s="1279"/>
      <c r="AB61" s="1279"/>
      <c r="AC61" s="1279"/>
      <c r="AD61" s="1279"/>
      <c r="AE61" s="1279"/>
      <c r="AF61" s="1279"/>
      <c r="AG61" s="1279"/>
      <c r="AH61" s="1279"/>
      <c r="AI61" s="1279"/>
      <c r="AJ61" s="1279"/>
      <c r="AK61" s="1279"/>
    </row>
    <row r="62" spans="1:37" s="1278" customFormat="1" ht="36.75">
      <c r="A62" s="2326" t="s">
        <v>2765</v>
      </c>
      <c r="B62" s="2331" t="s">
        <v>2766</v>
      </c>
      <c r="C62" s="2231"/>
      <c r="D62" s="1195">
        <f t="shared" si="14"/>
        <v>0</v>
      </c>
      <c r="E62" s="760"/>
      <c r="F62" s="1997"/>
      <c r="G62" s="1193"/>
      <c r="H62" s="1197" t="str">
        <f t="shared" si="15"/>
        <v>——</v>
      </c>
      <c r="I62" s="758">
        <v>0.04</v>
      </c>
      <c r="J62" s="1194">
        <f t="shared" si="16"/>
        <v>0</v>
      </c>
      <c r="K62" s="1194">
        <f t="shared" si="17"/>
        <v>0</v>
      </c>
      <c r="L62" s="1194">
        <v>0</v>
      </c>
      <c r="M62" s="1194">
        <f t="shared" si="18"/>
        <v>0</v>
      </c>
      <c r="N62" s="1194">
        <f t="shared" si="18"/>
        <v>0</v>
      </c>
      <c r="AA62" s="1279"/>
      <c r="AB62" s="1279"/>
      <c r="AC62" s="1279"/>
      <c r="AD62" s="1279"/>
      <c r="AE62" s="1279"/>
      <c r="AF62" s="1279"/>
      <c r="AG62" s="1279"/>
      <c r="AH62" s="1279"/>
      <c r="AI62" s="1279"/>
      <c r="AJ62" s="1279"/>
      <c r="AK62" s="1279"/>
    </row>
    <row r="63" spans="1:37" s="1278" customFormat="1" ht="24">
      <c r="A63" s="2326" t="s">
        <v>2767</v>
      </c>
      <c r="B63" s="2330">
        <f>估价对象房地状况!C24</f>
        <v>0</v>
      </c>
      <c r="C63" s="2231"/>
      <c r="D63" s="1195">
        <f t="shared" si="14"/>
        <v>0</v>
      </c>
      <c r="E63" s="760"/>
      <c r="F63" s="1997"/>
      <c r="G63" s="1193"/>
      <c r="H63" s="1197" t="str">
        <f t="shared" si="15"/>
        <v>——</v>
      </c>
      <c r="I63" s="758">
        <v>0.05</v>
      </c>
      <c r="J63" s="1194">
        <f t="shared" si="16"/>
        <v>0</v>
      </c>
      <c r="K63" s="1194">
        <f t="shared" si="17"/>
        <v>0</v>
      </c>
      <c r="L63" s="1194">
        <v>0</v>
      </c>
      <c r="M63" s="1194">
        <f t="shared" si="18"/>
        <v>0</v>
      </c>
      <c r="N63" s="1194">
        <f t="shared" si="18"/>
        <v>0</v>
      </c>
      <c r="AA63" s="1279"/>
      <c r="AB63" s="1279"/>
      <c r="AC63" s="1279"/>
      <c r="AD63" s="1279"/>
      <c r="AE63" s="1279"/>
      <c r="AF63" s="1279"/>
      <c r="AG63" s="1279"/>
      <c r="AH63" s="1279"/>
      <c r="AI63" s="1279"/>
      <c r="AJ63" s="1279"/>
      <c r="AK63" s="1279"/>
    </row>
    <row r="64" spans="1:37" s="1278" customFormat="1" ht="24">
      <c r="A64" s="2326" t="s">
        <v>2768</v>
      </c>
      <c r="B64" s="2332" t="s">
        <v>2769</v>
      </c>
      <c r="C64" s="2231"/>
      <c r="D64" s="1195">
        <f t="shared" si="14"/>
        <v>0</v>
      </c>
      <c r="E64" s="760"/>
      <c r="F64" s="1997"/>
      <c r="G64" s="1193"/>
      <c r="H64" s="1197" t="str">
        <f t="shared" si="15"/>
        <v>——</v>
      </c>
      <c r="I64" s="758">
        <v>0.05</v>
      </c>
      <c r="J64" s="1194">
        <f t="shared" si="16"/>
        <v>0</v>
      </c>
      <c r="K64" s="1194">
        <f t="shared" si="17"/>
        <v>0</v>
      </c>
      <c r="L64" s="1194">
        <v>0</v>
      </c>
      <c r="M64" s="1194">
        <f t="shared" si="18"/>
        <v>0</v>
      </c>
      <c r="N64" s="1194">
        <f t="shared" si="18"/>
        <v>0</v>
      </c>
      <c r="AA64" s="1279"/>
      <c r="AB64" s="1279"/>
      <c r="AC64" s="1279"/>
      <c r="AD64" s="1279"/>
      <c r="AE64" s="1279"/>
      <c r="AF64" s="1279"/>
      <c r="AG64" s="1279"/>
      <c r="AH64" s="1279"/>
      <c r="AI64" s="1279"/>
      <c r="AJ64" s="1279"/>
      <c r="AK64" s="1279"/>
    </row>
    <row r="65" spans="1:37" s="1278" customFormat="1" ht="25.5">
      <c r="A65" s="2326" t="s">
        <v>2770</v>
      </c>
      <c r="B65" s="1492" t="str">
        <f>估价对象房地状况!C21</f>
        <v>估价对象所在区域公共配套设施齐备情况</v>
      </c>
      <c r="C65" s="2231"/>
      <c r="D65" s="1195">
        <f t="shared" si="14"/>
        <v>0</v>
      </c>
      <c r="E65" s="760"/>
      <c r="F65" s="1997"/>
      <c r="G65" s="1193"/>
      <c r="H65" s="1197" t="str">
        <f t="shared" si="15"/>
        <v>——</v>
      </c>
      <c r="I65" s="758">
        <v>0.06</v>
      </c>
      <c r="J65" s="1194">
        <f t="shared" si="16"/>
        <v>0</v>
      </c>
      <c r="K65" s="1194">
        <f t="shared" si="17"/>
        <v>0</v>
      </c>
      <c r="L65" s="1194">
        <v>0</v>
      </c>
      <c r="M65" s="1194">
        <f t="shared" si="18"/>
        <v>0</v>
      </c>
      <c r="N65" s="1194">
        <f t="shared" si="18"/>
        <v>0</v>
      </c>
      <c r="AA65" s="1279"/>
      <c r="AB65" s="1279"/>
      <c r="AC65" s="1279"/>
      <c r="AD65" s="1279"/>
      <c r="AE65" s="1279"/>
      <c r="AF65" s="1279"/>
      <c r="AG65" s="1279"/>
      <c r="AH65" s="1279"/>
      <c r="AI65" s="1279"/>
      <c r="AJ65" s="1279"/>
      <c r="AK65" s="1279"/>
    </row>
    <row r="66" spans="1:37" s="1278" customFormat="1" ht="25.5">
      <c r="A66" s="2326" t="s">
        <v>2771</v>
      </c>
      <c r="B66" s="1492" t="str">
        <f>估价对象房地状况!C22</f>
        <v>估价对象所在区域基础设施水平</v>
      </c>
      <c r="C66" s="2231"/>
      <c r="D66" s="1195">
        <f t="shared" si="14"/>
        <v>0</v>
      </c>
      <c r="E66" s="760"/>
      <c r="F66" s="1997"/>
      <c r="G66" s="1193"/>
      <c r="H66" s="1197" t="str">
        <f t="shared" si="15"/>
        <v>——</v>
      </c>
      <c r="I66" s="758">
        <v>0.12</v>
      </c>
      <c r="J66" s="1194">
        <f t="shared" si="16"/>
        <v>0</v>
      </c>
      <c r="K66" s="1194">
        <f t="shared" si="17"/>
        <v>0</v>
      </c>
      <c r="L66" s="1194">
        <v>0</v>
      </c>
      <c r="M66" s="1194">
        <f t="shared" si="18"/>
        <v>0</v>
      </c>
      <c r="N66" s="1194">
        <f t="shared" si="18"/>
        <v>0</v>
      </c>
      <c r="AA66" s="1279"/>
      <c r="AB66" s="1279"/>
      <c r="AC66" s="1279"/>
      <c r="AD66" s="1279"/>
      <c r="AE66" s="1279"/>
      <c r="AF66" s="1279"/>
      <c r="AG66" s="1279"/>
      <c r="AH66" s="1279"/>
      <c r="AI66" s="1279"/>
      <c r="AJ66" s="1279"/>
      <c r="AK66" s="1279"/>
    </row>
    <row r="67" spans="1:37" s="1278" customFormat="1" ht="39" thickBot="1">
      <c r="A67" s="2334" t="s">
        <v>2772</v>
      </c>
      <c r="B67" s="2336" t="str">
        <f>估价对象房地状况!C20</f>
        <v>区域自然环境：；人文环境；综合评价环境状况一般</v>
      </c>
      <c r="C67" s="2231"/>
      <c r="D67" s="1195">
        <f t="shared" si="14"/>
        <v>0</v>
      </c>
      <c r="E67" s="763"/>
      <c r="F67" s="1997"/>
      <c r="G67" s="1193"/>
      <c r="H67" s="1197" t="str">
        <f t="shared" si="15"/>
        <v>——</v>
      </c>
      <c r="I67" s="762">
        <v>0.06</v>
      </c>
      <c r="J67" s="1194">
        <f t="shared" si="16"/>
        <v>0</v>
      </c>
      <c r="K67" s="1194">
        <f t="shared" si="17"/>
        <v>0</v>
      </c>
      <c r="L67" s="1194">
        <v>0</v>
      </c>
      <c r="M67" s="1194">
        <f t="shared" si="18"/>
        <v>0</v>
      </c>
      <c r="N67" s="1194">
        <f t="shared" si="18"/>
        <v>0</v>
      </c>
      <c r="AA67" s="1279"/>
      <c r="AB67" s="1279"/>
      <c r="AC67" s="1279"/>
      <c r="AD67" s="1279"/>
      <c r="AE67" s="1279"/>
      <c r="AF67" s="1279"/>
      <c r="AG67" s="1279"/>
      <c r="AH67" s="1279"/>
      <c r="AI67" s="1279"/>
      <c r="AJ67" s="1279"/>
      <c r="AK67" s="1279"/>
    </row>
    <row r="68" spans="1:37" s="1278" customFormat="1" ht="15">
      <c r="A68" s="2322" t="s">
        <v>2776</v>
      </c>
      <c r="B68" s="2323">
        <f>1+E70</f>
        <v>1</v>
      </c>
      <c r="C68" s="752"/>
      <c r="D68" s="752"/>
      <c r="E68" s="753"/>
      <c r="F68" s="2325"/>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6" t="s">
        <v>2754</v>
      </c>
      <c r="B69" s="1532"/>
      <c r="C69" s="1532" t="s">
        <v>2756</v>
      </c>
      <c r="D69" s="1532" t="s">
        <v>2757</v>
      </c>
      <c r="E69" s="757" t="s">
        <v>2758</v>
      </c>
      <c r="F69" s="2327" t="s">
        <v>2774</v>
      </c>
      <c r="G69" s="1532" t="s">
        <v>754</v>
      </c>
      <c r="H69" s="2328" t="s">
        <v>2760</v>
      </c>
      <c r="I69" s="1532" t="s">
        <v>2761</v>
      </c>
      <c r="J69" s="560" t="s">
        <v>2412</v>
      </c>
      <c r="K69" s="560" t="s">
        <v>2413</v>
      </c>
      <c r="L69" s="560" t="s">
        <v>2414</v>
      </c>
      <c r="M69" s="560" t="s">
        <v>2415</v>
      </c>
      <c r="N69" s="560" t="s">
        <v>2416</v>
      </c>
      <c r="AA69" s="1279"/>
      <c r="AB69" s="1279"/>
      <c r="AC69" s="1279"/>
      <c r="AD69" s="1279"/>
      <c r="AE69" s="1279"/>
      <c r="AF69" s="1279"/>
      <c r="AG69" s="1279"/>
      <c r="AH69" s="1279"/>
      <c r="AI69" s="1279"/>
      <c r="AJ69" s="1279"/>
      <c r="AK69" s="1279"/>
    </row>
    <row r="70" spans="1:37" s="1278" customFormat="1" ht="51">
      <c r="A70" s="2326" t="s">
        <v>2777</v>
      </c>
      <c r="B70" s="2329" t="str">
        <f>估价对象房地状况!C15</f>
        <v>估价对象周边居住用地比例、居住小区规模和社区发展完善程度，综合评价居住社区成熟度一般</v>
      </c>
      <c r="C70" s="2231"/>
      <c r="D70" s="1195">
        <f t="shared" ref="D70:D78" si="19">SUMIF($J$69:$N$69,C70,J70:N70)</f>
        <v>0</v>
      </c>
      <c r="E70" s="759">
        <f>ROUND(SUM(D70:D78),4)</f>
        <v>0</v>
      </c>
      <c r="F70" s="1997" t="str">
        <f>IF(E2="住宅",SUMIF(L1:L12,G2,N1:N12),"——")</f>
        <v>——</v>
      </c>
      <c r="G70" s="1193"/>
      <c r="H70" s="1197" t="str">
        <f t="shared" ref="H70:H78" si="20">IFERROR(ROUNDDOWN($F$70*I70/2,4),"——")</f>
        <v>——</v>
      </c>
      <c r="I70" s="758">
        <v>0.14000000000000001</v>
      </c>
      <c r="J70" s="1194">
        <f t="shared" ref="J70:J78" si="21">K70+$G70</f>
        <v>0</v>
      </c>
      <c r="K70" s="1194">
        <f t="shared" ref="K70:K78" si="22">$L70+$G70</f>
        <v>0</v>
      </c>
      <c r="L70" s="1194">
        <v>0</v>
      </c>
      <c r="M70" s="1194">
        <f t="shared" ref="M70:N78" si="23">L70-$G70</f>
        <v>0</v>
      </c>
      <c r="N70" s="1194">
        <f t="shared" si="23"/>
        <v>0</v>
      </c>
      <c r="AA70" s="1279"/>
      <c r="AB70" s="1279"/>
      <c r="AC70" s="1279"/>
      <c r="AD70" s="1279"/>
      <c r="AE70" s="1279"/>
      <c r="AF70" s="1279"/>
      <c r="AG70" s="1279"/>
      <c r="AH70" s="1279"/>
      <c r="AI70" s="1279"/>
      <c r="AJ70" s="1279"/>
      <c r="AK70" s="1279"/>
    </row>
    <row r="71" spans="1:37" s="1278" customFormat="1" ht="51">
      <c r="A71" s="2326" t="s">
        <v>2763</v>
      </c>
      <c r="B71" s="2330" t="str">
        <f>估价对象房地状况!C18</f>
        <v>估价对象周边道路状况、公共交通通达情况、停车便捷程度，综合评价交通便捷度较好</v>
      </c>
      <c r="C71" s="2231"/>
      <c r="D71" s="1195">
        <f t="shared" si="19"/>
        <v>0</v>
      </c>
      <c r="E71" s="764"/>
      <c r="F71" s="1997"/>
      <c r="G71" s="1193"/>
      <c r="H71" s="1197" t="str">
        <f t="shared" si="20"/>
        <v>——</v>
      </c>
      <c r="I71" s="758">
        <v>0.3</v>
      </c>
      <c r="J71" s="1194">
        <f t="shared" si="21"/>
        <v>0</v>
      </c>
      <c r="K71" s="1194">
        <f t="shared" si="22"/>
        <v>0</v>
      </c>
      <c r="L71" s="1194">
        <v>0</v>
      </c>
      <c r="M71" s="1194">
        <f t="shared" si="23"/>
        <v>0</v>
      </c>
      <c r="N71" s="1194">
        <f t="shared" si="23"/>
        <v>0</v>
      </c>
      <c r="AA71" s="1279"/>
      <c r="AB71" s="1279"/>
      <c r="AC71" s="1279"/>
      <c r="AD71" s="1279"/>
      <c r="AE71" s="1279"/>
      <c r="AF71" s="1279"/>
      <c r="AG71" s="1279"/>
      <c r="AH71" s="1279"/>
      <c r="AI71" s="1279"/>
      <c r="AJ71" s="1279"/>
      <c r="AK71" s="1279"/>
    </row>
    <row r="72" spans="1:37" s="1278" customFormat="1" ht="24">
      <c r="A72" s="2326" t="s">
        <v>2764</v>
      </c>
      <c r="B72" s="2330">
        <f>估价对象房地状况!C19</f>
        <v>0</v>
      </c>
      <c r="C72" s="2231"/>
      <c r="D72" s="1195">
        <f t="shared" si="19"/>
        <v>0</v>
      </c>
      <c r="E72" s="764"/>
      <c r="F72" s="1997"/>
      <c r="G72" s="1193"/>
      <c r="H72" s="1197" t="str">
        <f t="shared" si="20"/>
        <v>——</v>
      </c>
      <c r="I72" s="758">
        <v>0.08</v>
      </c>
      <c r="J72" s="1194">
        <f t="shared" si="21"/>
        <v>0</v>
      </c>
      <c r="K72" s="1194">
        <f t="shared" si="22"/>
        <v>0</v>
      </c>
      <c r="L72" s="1194">
        <v>0</v>
      </c>
      <c r="M72" s="1194">
        <f t="shared" si="23"/>
        <v>0</v>
      </c>
      <c r="N72" s="1194">
        <f t="shared" si="23"/>
        <v>0</v>
      </c>
      <c r="AA72" s="1279"/>
      <c r="AB72" s="1279"/>
      <c r="AC72" s="1279"/>
      <c r="AD72" s="1279"/>
      <c r="AE72" s="1279"/>
      <c r="AF72" s="1279"/>
      <c r="AG72" s="1279"/>
      <c r="AH72" s="1279"/>
      <c r="AI72" s="1279"/>
      <c r="AJ72" s="1279"/>
      <c r="AK72" s="1279"/>
    </row>
    <row r="73" spans="1:37" s="1278" customFormat="1" ht="14.25">
      <c r="A73" s="2326" t="s">
        <v>2778</v>
      </c>
      <c r="B73" s="2330">
        <f>估价对象房地状况!C24</f>
        <v>0</v>
      </c>
      <c r="C73" s="2231"/>
      <c r="D73" s="1195">
        <f t="shared" si="19"/>
        <v>0</v>
      </c>
      <c r="E73" s="764"/>
      <c r="F73" s="1997"/>
      <c r="G73" s="1193"/>
      <c r="H73" s="1197" t="str">
        <f t="shared" si="20"/>
        <v>——</v>
      </c>
      <c r="I73" s="758">
        <v>0.04</v>
      </c>
      <c r="J73" s="1194">
        <f t="shared" si="21"/>
        <v>0</v>
      </c>
      <c r="K73" s="1194">
        <f t="shared" si="22"/>
        <v>0</v>
      </c>
      <c r="L73" s="1194">
        <v>0</v>
      </c>
      <c r="M73" s="1194">
        <f t="shared" si="23"/>
        <v>0</v>
      </c>
      <c r="N73" s="1194">
        <f t="shared" si="23"/>
        <v>0</v>
      </c>
      <c r="AA73" s="1279"/>
      <c r="AB73" s="1279"/>
      <c r="AC73" s="1279"/>
      <c r="AD73" s="1279"/>
      <c r="AE73" s="1279"/>
      <c r="AF73" s="1279"/>
      <c r="AG73" s="1279"/>
      <c r="AH73" s="1279"/>
      <c r="AI73" s="1279"/>
      <c r="AJ73" s="1279"/>
      <c r="AK73" s="1279"/>
    </row>
    <row r="74" spans="1:37" s="1278" customFormat="1" ht="25.5">
      <c r="A74" s="2326" t="s">
        <v>2770</v>
      </c>
      <c r="B74" s="1492" t="str">
        <f>估价对象房地状况!C21</f>
        <v>估价对象所在区域公共配套设施齐备情况</v>
      </c>
      <c r="C74" s="2231"/>
      <c r="D74" s="1195">
        <f t="shared" si="19"/>
        <v>0</v>
      </c>
      <c r="E74" s="764"/>
      <c r="F74" s="1997"/>
      <c r="G74" s="1193"/>
      <c r="H74" s="1197" t="str">
        <f t="shared" si="20"/>
        <v>——</v>
      </c>
      <c r="I74" s="758">
        <v>0.08</v>
      </c>
      <c r="J74" s="1194">
        <f t="shared" si="21"/>
        <v>0</v>
      </c>
      <c r="K74" s="1194">
        <f t="shared" si="22"/>
        <v>0</v>
      </c>
      <c r="L74" s="1194">
        <v>0</v>
      </c>
      <c r="M74" s="1194">
        <f t="shared" si="23"/>
        <v>0</v>
      </c>
      <c r="N74" s="1194">
        <f t="shared" si="23"/>
        <v>0</v>
      </c>
      <c r="AA74" s="1279"/>
      <c r="AB74" s="1279"/>
      <c r="AC74" s="1279"/>
      <c r="AD74" s="1279"/>
      <c r="AE74" s="1279"/>
      <c r="AF74" s="1279"/>
      <c r="AG74" s="1279"/>
      <c r="AH74" s="1279"/>
      <c r="AI74" s="1279"/>
      <c r="AJ74" s="1279"/>
      <c r="AK74" s="1279"/>
    </row>
    <row r="75" spans="1:37" s="1278" customFormat="1" ht="25.5">
      <c r="A75" s="2326" t="s">
        <v>2771</v>
      </c>
      <c r="B75" s="1492" t="str">
        <f>估价对象房地状况!C22</f>
        <v>估价对象所在区域基础设施水平</v>
      </c>
      <c r="C75" s="2231"/>
      <c r="D75" s="1195">
        <f t="shared" si="19"/>
        <v>0</v>
      </c>
      <c r="E75" s="764"/>
      <c r="F75" s="1997"/>
      <c r="G75" s="1193"/>
      <c r="H75" s="1197" t="str">
        <f t="shared" si="20"/>
        <v>——</v>
      </c>
      <c r="I75" s="758">
        <v>0.12</v>
      </c>
      <c r="J75" s="1194">
        <f t="shared" si="21"/>
        <v>0</v>
      </c>
      <c r="K75" s="1194">
        <f t="shared" si="22"/>
        <v>0</v>
      </c>
      <c r="L75" s="1194">
        <v>0</v>
      </c>
      <c r="M75" s="1194">
        <f t="shared" si="23"/>
        <v>0</v>
      </c>
      <c r="N75" s="1194">
        <f t="shared" si="23"/>
        <v>0</v>
      </c>
      <c r="AA75" s="1279"/>
      <c r="AB75" s="1279"/>
      <c r="AC75" s="1279"/>
      <c r="AD75" s="1279"/>
      <c r="AE75" s="1279"/>
      <c r="AF75" s="1279"/>
      <c r="AG75" s="1279"/>
      <c r="AH75" s="1279"/>
      <c r="AI75" s="1279"/>
      <c r="AJ75" s="1279"/>
      <c r="AK75" s="1279"/>
    </row>
    <row r="76" spans="1:37" s="2180" customFormat="1" ht="24">
      <c r="A76" s="2326" t="s">
        <v>2768</v>
      </c>
      <c r="B76" s="2332" t="s">
        <v>2769</v>
      </c>
      <c r="C76" s="2231"/>
      <c r="D76" s="1195">
        <f t="shared" si="19"/>
        <v>0</v>
      </c>
      <c r="E76" s="764"/>
      <c r="F76" s="1997"/>
      <c r="G76" s="1193"/>
      <c r="H76" s="1197" t="str">
        <f t="shared" si="20"/>
        <v>——</v>
      </c>
      <c r="I76" s="758">
        <v>0.05</v>
      </c>
      <c r="J76" s="1194">
        <f t="shared" si="21"/>
        <v>0</v>
      </c>
      <c r="K76" s="1194">
        <f t="shared" si="22"/>
        <v>0</v>
      </c>
      <c r="L76" s="1194">
        <v>0</v>
      </c>
      <c r="M76" s="1194">
        <f t="shared" si="23"/>
        <v>0</v>
      </c>
      <c r="N76" s="1194">
        <f t="shared" si="23"/>
        <v>0</v>
      </c>
      <c r="AA76" s="2337"/>
      <c r="AB76" s="1279"/>
      <c r="AC76" s="1279"/>
      <c r="AD76" s="1279"/>
      <c r="AE76" s="1279"/>
      <c r="AF76" s="1279"/>
      <c r="AG76" s="1279"/>
      <c r="AH76" s="2337"/>
      <c r="AI76" s="2337"/>
      <c r="AJ76" s="2337"/>
      <c r="AK76" s="2337"/>
    </row>
    <row r="77" spans="1:37" ht="38.25">
      <c r="A77" s="2326" t="s">
        <v>2772</v>
      </c>
      <c r="B77" s="2329" t="str">
        <f>估价对象房地状况!C20</f>
        <v>区域自然环境：；人文环境；综合评价环境状况一般</v>
      </c>
      <c r="C77" s="2231"/>
      <c r="D77" s="1195">
        <f t="shared" si="19"/>
        <v>0</v>
      </c>
      <c r="E77" s="764"/>
      <c r="F77" s="1997"/>
      <c r="G77" s="1193"/>
      <c r="H77" s="1197" t="str">
        <f t="shared" si="20"/>
        <v>——</v>
      </c>
      <c r="I77" s="758">
        <v>0.15</v>
      </c>
      <c r="J77" s="1194">
        <f t="shared" si="21"/>
        <v>0</v>
      </c>
      <c r="K77" s="1194">
        <f t="shared" si="22"/>
        <v>0</v>
      </c>
      <c r="L77" s="1194">
        <v>0</v>
      </c>
      <c r="M77" s="1194">
        <f t="shared" si="23"/>
        <v>0</v>
      </c>
      <c r="N77" s="1194">
        <f t="shared" si="23"/>
        <v>0</v>
      </c>
      <c r="Z77" s="2181"/>
      <c r="AA77" s="2247"/>
      <c r="AG77" s="1280"/>
      <c r="AK77" s="2247"/>
    </row>
    <row r="78" spans="1:37" ht="24.75" thickBot="1">
      <c r="A78" s="2334" t="s">
        <v>2779</v>
      </c>
      <c r="B78" s="2338"/>
      <c r="C78" s="2231"/>
      <c r="D78" s="1195">
        <f t="shared" si="19"/>
        <v>0</v>
      </c>
      <c r="E78" s="765"/>
      <c r="F78" s="1997"/>
      <c r="G78" s="1193"/>
      <c r="H78" s="1197" t="str">
        <f t="shared" si="20"/>
        <v>——</v>
      </c>
      <c r="I78" s="762">
        <v>0.04</v>
      </c>
      <c r="J78" s="1194">
        <f t="shared" si="21"/>
        <v>0</v>
      </c>
      <c r="K78" s="1194">
        <f t="shared" si="22"/>
        <v>0</v>
      </c>
      <c r="L78" s="1194">
        <v>0</v>
      </c>
      <c r="M78" s="1194">
        <f t="shared" si="23"/>
        <v>0</v>
      </c>
      <c r="N78" s="1194">
        <f t="shared" si="23"/>
        <v>0</v>
      </c>
      <c r="Z78" s="2181"/>
      <c r="AA78" s="2247"/>
      <c r="AG78" s="1280"/>
      <c r="AK78" s="2247"/>
    </row>
    <row r="79" spans="1:37" ht="15">
      <c r="A79" s="2322" t="s">
        <v>2780</v>
      </c>
      <c r="B79" s="2323">
        <f>1+E81</f>
        <v>1</v>
      </c>
      <c r="C79" s="752"/>
      <c r="D79" s="752"/>
      <c r="E79" s="753"/>
      <c r="F79" s="2325"/>
      <c r="G79" s="6"/>
      <c r="H79" s="6"/>
      <c r="I79" s="6"/>
      <c r="J79" s="7"/>
      <c r="K79" s="7"/>
      <c r="L79" s="7"/>
      <c r="M79" s="7"/>
      <c r="N79" s="7"/>
      <c r="Z79" s="2181"/>
      <c r="AA79" s="2247"/>
      <c r="AG79" s="1280"/>
      <c r="AK79" s="2247"/>
    </row>
    <row r="80" spans="1:37" ht="24.75">
      <c r="A80" s="2326" t="s">
        <v>2754</v>
      </c>
      <c r="B80" s="1532"/>
      <c r="C80" s="1532" t="s">
        <v>2756</v>
      </c>
      <c r="D80" s="1532" t="s">
        <v>2757</v>
      </c>
      <c r="E80" s="757" t="s">
        <v>2758</v>
      </c>
      <c r="F80" s="2327" t="s">
        <v>2774</v>
      </c>
      <c r="G80" s="1532" t="s">
        <v>754</v>
      </c>
      <c r="H80" s="2328" t="s">
        <v>2760</v>
      </c>
      <c r="I80" s="1532" t="s">
        <v>2761</v>
      </c>
      <c r="J80" s="560" t="s">
        <v>2412</v>
      </c>
      <c r="K80" s="560" t="s">
        <v>2413</v>
      </c>
      <c r="L80" s="560" t="s">
        <v>2414</v>
      </c>
      <c r="M80" s="560" t="s">
        <v>2415</v>
      </c>
      <c r="N80" s="560" t="s">
        <v>2416</v>
      </c>
      <c r="Z80" s="2181"/>
      <c r="AA80" s="2247"/>
      <c r="AG80" s="1280"/>
      <c r="AK80" s="2247"/>
    </row>
    <row r="81" spans="1:37" ht="38.25">
      <c r="A81" s="2326" t="s">
        <v>2781</v>
      </c>
      <c r="B81" s="2330" t="str">
        <f>估价对象房地状况!G15</f>
        <v>估价对象位于XX开发区，园区建设成熟度XX，产业集聚程度XX</v>
      </c>
      <c r="C81" s="2231"/>
      <c r="D81" s="1195">
        <f t="shared" ref="D81:D88" si="24">SUMIF($J$80:$N$80,C81,J81:N81)</f>
        <v>0</v>
      </c>
      <c r="E81" s="759">
        <f>ROUND(SUM(D81:D88),4)</f>
        <v>0</v>
      </c>
      <c r="F81" s="1997" t="str">
        <f>IF(E2="工业",SUMIF(L1:L12,G2,N1:N12),"——")</f>
        <v>——</v>
      </c>
      <c r="G81" s="1193"/>
      <c r="H81" s="1197" t="str">
        <f t="shared" ref="H81:H88" si="25">IFERROR(ROUNDDOWN($F$81*I81/2,4),"——")</f>
        <v>——</v>
      </c>
      <c r="I81" s="758">
        <v>0.26</v>
      </c>
      <c r="J81" s="1194">
        <f t="shared" ref="J81:J88" si="26">K81+$G81</f>
        <v>0</v>
      </c>
      <c r="K81" s="1194">
        <f t="shared" ref="K81:K88" si="27">$L81+$G81</f>
        <v>0</v>
      </c>
      <c r="L81" s="1194">
        <v>0</v>
      </c>
      <c r="M81" s="1194">
        <f t="shared" ref="M81:N88" si="28">L81-$G81</f>
        <v>0</v>
      </c>
      <c r="N81" s="1194">
        <f t="shared" si="28"/>
        <v>0</v>
      </c>
      <c r="Z81" s="2181"/>
      <c r="AA81" s="2247"/>
      <c r="AG81" s="1280"/>
      <c r="AK81" s="2247"/>
    </row>
    <row r="82" spans="1:37" ht="51">
      <c r="A82" s="2326" t="s">
        <v>2763</v>
      </c>
      <c r="B82" s="2330" t="str">
        <f>估价对象房地状况!G16</f>
        <v>估价对象周边道路状况、公共交通通达情况、停车便捷程度，综合评价交通便捷度较好</v>
      </c>
      <c r="C82" s="2231"/>
      <c r="D82" s="1195">
        <f t="shared" si="24"/>
        <v>0</v>
      </c>
      <c r="E82" s="764"/>
      <c r="F82" s="1997"/>
      <c r="G82" s="1193"/>
      <c r="H82" s="1197" t="str">
        <f t="shared" si="25"/>
        <v>——</v>
      </c>
      <c r="I82" s="758">
        <v>0.33</v>
      </c>
      <c r="J82" s="1194">
        <f t="shared" si="26"/>
        <v>0</v>
      </c>
      <c r="K82" s="1194">
        <f t="shared" si="27"/>
        <v>0</v>
      </c>
      <c r="L82" s="1194">
        <v>0</v>
      </c>
      <c r="M82" s="1194">
        <f t="shared" si="28"/>
        <v>0</v>
      </c>
      <c r="N82" s="1194">
        <f t="shared" si="28"/>
        <v>0</v>
      </c>
      <c r="Z82" s="2181"/>
      <c r="AA82" s="2247"/>
      <c r="AG82" s="1280"/>
      <c r="AK82" s="2247"/>
    </row>
    <row r="83" spans="1:37" ht="24">
      <c r="A83" s="2326" t="s">
        <v>2764</v>
      </c>
      <c r="B83" s="2330">
        <f>估价对象房地状况!G17</f>
        <v>0</v>
      </c>
      <c r="C83" s="2231"/>
      <c r="D83" s="1195">
        <f t="shared" si="24"/>
        <v>0</v>
      </c>
      <c r="E83" s="764"/>
      <c r="F83" s="1997"/>
      <c r="G83" s="1193"/>
      <c r="H83" s="1197" t="str">
        <f t="shared" si="25"/>
        <v>——</v>
      </c>
      <c r="I83" s="758">
        <v>0.05</v>
      </c>
      <c r="J83" s="1194">
        <f t="shared" si="26"/>
        <v>0</v>
      </c>
      <c r="K83" s="1194">
        <f t="shared" si="27"/>
        <v>0</v>
      </c>
      <c r="L83" s="1194">
        <v>0</v>
      </c>
      <c r="M83" s="1194">
        <f t="shared" si="28"/>
        <v>0</v>
      </c>
      <c r="N83" s="1194">
        <f t="shared" si="28"/>
        <v>0</v>
      </c>
      <c r="Z83" s="2181"/>
      <c r="AA83" s="2247"/>
      <c r="AG83" s="1280"/>
      <c r="AK83" s="2247"/>
    </row>
    <row r="84" spans="1:37" ht="14.25">
      <c r="A84" s="2326" t="s">
        <v>2778</v>
      </c>
      <c r="B84" s="2330">
        <f>估价对象房地状况!G22</f>
        <v>0</v>
      </c>
      <c r="C84" s="2231"/>
      <c r="D84" s="1195">
        <f t="shared" si="24"/>
        <v>0</v>
      </c>
      <c r="E84" s="764"/>
      <c r="F84" s="1997"/>
      <c r="G84" s="1193"/>
      <c r="H84" s="1197" t="str">
        <f t="shared" si="25"/>
        <v>——</v>
      </c>
      <c r="I84" s="758">
        <v>0.04</v>
      </c>
      <c r="J84" s="1194">
        <f t="shared" si="26"/>
        <v>0</v>
      </c>
      <c r="K84" s="1194">
        <f t="shared" si="27"/>
        <v>0</v>
      </c>
      <c r="L84" s="1194">
        <v>0</v>
      </c>
      <c r="M84" s="1194">
        <f t="shared" si="28"/>
        <v>0</v>
      </c>
      <c r="N84" s="1194">
        <f t="shared" si="28"/>
        <v>0</v>
      </c>
      <c r="Z84" s="2181"/>
      <c r="AA84" s="2247"/>
      <c r="AG84" s="1280"/>
      <c r="AK84" s="2247"/>
    </row>
    <row r="85" spans="1:37" ht="25.5">
      <c r="A85" s="2326" t="s">
        <v>2770</v>
      </c>
      <c r="B85" s="1492" t="str">
        <f>估价对象房地状况!G19</f>
        <v>估价对象所在区域公共配套设施齐备情况</v>
      </c>
      <c r="C85" s="2231"/>
      <c r="D85" s="1195">
        <f t="shared" si="24"/>
        <v>0</v>
      </c>
      <c r="E85" s="764"/>
      <c r="F85" s="1997"/>
      <c r="G85" s="1193"/>
      <c r="H85" s="1197" t="str">
        <f t="shared" si="25"/>
        <v>——</v>
      </c>
      <c r="I85" s="758">
        <v>0.06</v>
      </c>
      <c r="J85" s="1194">
        <f t="shared" si="26"/>
        <v>0</v>
      </c>
      <c r="K85" s="1194">
        <f t="shared" si="27"/>
        <v>0</v>
      </c>
      <c r="L85" s="1194">
        <v>0</v>
      </c>
      <c r="M85" s="1194">
        <f t="shared" si="28"/>
        <v>0</v>
      </c>
      <c r="N85" s="1194">
        <f t="shared" si="28"/>
        <v>0</v>
      </c>
      <c r="Z85" s="2181"/>
      <c r="AA85" s="2247"/>
      <c r="AG85" s="1280"/>
      <c r="AK85" s="2247"/>
    </row>
    <row r="86" spans="1:37" ht="25.5">
      <c r="A86" s="2326" t="s">
        <v>2771</v>
      </c>
      <c r="B86" s="1492" t="str">
        <f>估价对象房地状况!G20</f>
        <v>估价对象所在区域基础设施水平</v>
      </c>
      <c r="C86" s="2231"/>
      <c r="D86" s="1195">
        <f t="shared" si="24"/>
        <v>0</v>
      </c>
      <c r="E86" s="764"/>
      <c r="F86" s="1997"/>
      <c r="G86" s="1193"/>
      <c r="H86" s="1197" t="str">
        <f t="shared" si="25"/>
        <v>——</v>
      </c>
      <c r="I86" s="758">
        <v>0.15</v>
      </c>
      <c r="J86" s="1194">
        <f t="shared" si="26"/>
        <v>0</v>
      </c>
      <c r="K86" s="1194">
        <f t="shared" si="27"/>
        <v>0</v>
      </c>
      <c r="L86" s="1194">
        <v>0</v>
      </c>
      <c r="M86" s="1194">
        <f t="shared" si="28"/>
        <v>0</v>
      </c>
      <c r="N86" s="1194">
        <f t="shared" si="28"/>
        <v>0</v>
      </c>
      <c r="Z86" s="2181"/>
      <c r="AA86" s="2247"/>
      <c r="AG86" s="1280"/>
      <c r="AK86" s="2247"/>
    </row>
    <row r="87" spans="1:37" ht="24">
      <c r="A87" s="2326" t="s">
        <v>2768</v>
      </c>
      <c r="B87" s="2332" t="s">
        <v>2782</v>
      </c>
      <c r="C87" s="2231"/>
      <c r="D87" s="1195">
        <f t="shared" si="24"/>
        <v>0</v>
      </c>
      <c r="E87" s="764"/>
      <c r="F87" s="1997"/>
      <c r="G87" s="1193"/>
      <c r="H87" s="1197" t="str">
        <f t="shared" si="25"/>
        <v>——</v>
      </c>
      <c r="I87" s="758">
        <v>0.05</v>
      </c>
      <c r="J87" s="1194">
        <f t="shared" si="26"/>
        <v>0</v>
      </c>
      <c r="K87" s="1194">
        <f t="shared" si="27"/>
        <v>0</v>
      </c>
      <c r="L87" s="1194">
        <v>0</v>
      </c>
      <c r="M87" s="1194">
        <f t="shared" si="28"/>
        <v>0</v>
      </c>
      <c r="N87" s="1194">
        <f t="shared" si="28"/>
        <v>0</v>
      </c>
      <c r="Z87" s="2181"/>
      <c r="AA87" s="2247"/>
      <c r="AG87" s="1280"/>
      <c r="AK87" s="2247"/>
    </row>
    <row r="88" spans="1:37" ht="39" thickBot="1">
      <c r="A88" s="2334" t="s">
        <v>2783</v>
      </c>
      <c r="B88" s="2339" t="str">
        <f>估价对象房地状况!G18</f>
        <v>该园区内是否有污染型企业，绿化情况，卫生条件，整体环境状况判断</v>
      </c>
      <c r="C88" s="2231"/>
      <c r="D88" s="1195">
        <f t="shared" si="24"/>
        <v>0</v>
      </c>
      <c r="E88" s="765"/>
      <c r="F88" s="1997"/>
      <c r="G88" s="1193"/>
      <c r="H88" s="1197" t="str">
        <f t="shared" si="25"/>
        <v>——</v>
      </c>
      <c r="I88" s="762">
        <v>0.06</v>
      </c>
      <c r="J88" s="1194">
        <f t="shared" si="26"/>
        <v>0</v>
      </c>
      <c r="K88" s="1194">
        <f t="shared" si="27"/>
        <v>0</v>
      </c>
      <c r="L88" s="1194">
        <v>0</v>
      </c>
      <c r="M88" s="1194">
        <f t="shared" si="28"/>
        <v>0</v>
      </c>
      <c r="N88" s="1194">
        <f t="shared" si="28"/>
        <v>0</v>
      </c>
      <c r="Z88" s="2181"/>
      <c r="AA88" s="2247"/>
      <c r="AG88" s="1280"/>
      <c r="AK88" s="2247"/>
    </row>
    <row r="90" spans="1:37">
      <c r="A90" s="3616" t="s">
        <v>2784</v>
      </c>
      <c r="B90" s="3616"/>
      <c r="C90" s="3616"/>
      <c r="D90" s="3616"/>
      <c r="E90" s="3616"/>
      <c r="F90" s="3616"/>
      <c r="G90" s="3616"/>
      <c r="H90" s="3616"/>
      <c r="I90" s="3616"/>
      <c r="J90" s="3616"/>
      <c r="K90" s="2340"/>
      <c r="L90" s="2340"/>
      <c r="M90" s="2340"/>
      <c r="N90" s="2340"/>
    </row>
    <row r="91" spans="1:37">
      <c r="A91" s="3618" t="s">
        <v>2785</v>
      </c>
      <c r="B91" s="3618" t="s">
        <v>2786</v>
      </c>
      <c r="C91" s="2294" t="s">
        <v>2787</v>
      </c>
      <c r="D91" s="2295"/>
      <c r="E91" s="2295"/>
      <c r="F91" s="2295"/>
      <c r="G91" s="2295"/>
      <c r="H91" s="2295"/>
      <c r="I91" s="2295"/>
      <c r="J91" s="2341"/>
      <c r="K91" s="2342"/>
      <c r="L91" s="2342"/>
      <c r="M91" s="2342"/>
      <c r="N91" s="2342"/>
    </row>
    <row r="92" spans="1:37">
      <c r="A92" s="3618"/>
      <c r="B92" s="3618"/>
      <c r="C92" s="878" t="s">
        <v>2654</v>
      </c>
      <c r="D92" s="878" t="s">
        <v>2655</v>
      </c>
      <c r="E92" s="878" t="s">
        <v>2656</v>
      </c>
      <c r="F92" s="878" t="s">
        <v>2657</v>
      </c>
      <c r="G92" s="878" t="s">
        <v>2658</v>
      </c>
      <c r="H92" s="878" t="s">
        <v>2659</v>
      </c>
      <c r="I92" s="878" t="s">
        <v>2660</v>
      </c>
      <c r="J92" s="878" t="s">
        <v>2661</v>
      </c>
      <c r="K92" s="878" t="s">
        <v>2662</v>
      </c>
      <c r="L92" s="878" t="s">
        <v>2663</v>
      </c>
      <c r="M92" s="878" t="s">
        <v>2664</v>
      </c>
      <c r="N92" s="878" t="s">
        <v>2665</v>
      </c>
    </row>
    <row r="93" spans="1:37">
      <c r="A93" s="3619" t="s">
        <v>2788</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62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62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62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62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62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620"/>
      <c r="B99" s="2343" t="s">
        <v>2670</v>
      </c>
      <c r="C99" s="2345">
        <f>$I$3</f>
        <v>0</v>
      </c>
      <c r="D99" s="2345">
        <f t="shared" ref="D99:M99" si="29">$I$3</f>
        <v>0</v>
      </c>
      <c r="E99" s="2345">
        <f t="shared" si="29"/>
        <v>0</v>
      </c>
      <c r="F99" s="2345">
        <f t="shared" si="29"/>
        <v>0</v>
      </c>
      <c r="G99" s="2345">
        <f t="shared" si="29"/>
        <v>0</v>
      </c>
      <c r="H99" s="2345">
        <f t="shared" si="29"/>
        <v>0</v>
      </c>
      <c r="I99" s="2345">
        <f t="shared" si="29"/>
        <v>0</v>
      </c>
      <c r="J99" s="2345">
        <f t="shared" si="29"/>
        <v>0</v>
      </c>
      <c r="K99" s="2345">
        <f t="shared" si="29"/>
        <v>0</v>
      </c>
      <c r="L99" s="2345">
        <f t="shared" si="29"/>
        <v>0</v>
      </c>
      <c r="M99" s="2345">
        <f t="shared" si="29"/>
        <v>0</v>
      </c>
      <c r="N99" s="2345">
        <f>$I$3</f>
        <v>0</v>
      </c>
    </row>
    <row r="100" spans="1:14">
      <c r="A100" s="3621"/>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619" t="s">
        <v>2789</v>
      </c>
      <c r="B101" s="2347" t="s">
        <v>2790</v>
      </c>
      <c r="C101" s="2348">
        <f>$G$3</f>
        <v>1.07</v>
      </c>
      <c r="D101" s="2348">
        <f t="shared" ref="D101:N101" si="30">$G$3</f>
        <v>1.07</v>
      </c>
      <c r="E101" s="2348">
        <f t="shared" si="30"/>
        <v>1.07</v>
      </c>
      <c r="F101" s="2348">
        <f t="shared" si="30"/>
        <v>1.07</v>
      </c>
      <c r="G101" s="2348">
        <f t="shared" si="30"/>
        <v>1.07</v>
      </c>
      <c r="H101" s="2348">
        <f t="shared" si="30"/>
        <v>1.07</v>
      </c>
      <c r="I101" s="2348">
        <f t="shared" si="30"/>
        <v>1.07</v>
      </c>
      <c r="J101" s="2348">
        <f t="shared" si="30"/>
        <v>1.07</v>
      </c>
      <c r="K101" s="2348">
        <f t="shared" si="30"/>
        <v>1.07</v>
      </c>
      <c r="L101" s="2348">
        <f t="shared" si="30"/>
        <v>1.07</v>
      </c>
      <c r="M101" s="2348">
        <f t="shared" si="30"/>
        <v>1.07</v>
      </c>
      <c r="N101" s="2348">
        <f t="shared" si="30"/>
        <v>1.07</v>
      </c>
    </row>
    <row r="102" spans="1:14">
      <c r="A102" s="3620"/>
      <c r="B102" s="2343">
        <v>1</v>
      </c>
      <c r="C102" s="2344">
        <f>1.9362/C101</f>
        <v>1.8095327102803735</v>
      </c>
      <c r="D102" s="2344">
        <f>1.9362/D101</f>
        <v>1.8095327102803735</v>
      </c>
      <c r="E102" s="2344">
        <f>1.8629/E101</f>
        <v>1.7410280373831775</v>
      </c>
      <c r="F102" s="2344">
        <f>1.8629/F101</f>
        <v>1.7410280373831775</v>
      </c>
      <c r="G102" s="2344">
        <f>1.8629/G101</f>
        <v>1.7410280373831775</v>
      </c>
      <c r="H102" s="2344">
        <f>1.8629/H101</f>
        <v>1.7410280373831775</v>
      </c>
      <c r="I102" s="2344">
        <f>1.8629/I101</f>
        <v>1.7410280373831775</v>
      </c>
      <c r="J102" s="2344">
        <f>1.942/J101</f>
        <v>1.8149532710280372</v>
      </c>
      <c r="K102" s="2344">
        <f>1.942/K101</f>
        <v>1.8149532710280372</v>
      </c>
      <c r="L102" s="2344">
        <f>1.942/L101</f>
        <v>1.8149532710280372</v>
      </c>
      <c r="M102" s="2344">
        <f>1.942/M101</f>
        <v>1.8149532710280372</v>
      </c>
      <c r="N102" s="2344">
        <f>1.942/N101</f>
        <v>1.8149532710280372</v>
      </c>
    </row>
    <row r="103" spans="1:14">
      <c r="A103" s="3620"/>
      <c r="B103" s="2343">
        <v>2</v>
      </c>
      <c r="C103" s="2344">
        <f>1.4198/C101</f>
        <v>1.3269158878504672</v>
      </c>
      <c r="D103" s="2344">
        <f>1.4198/D101</f>
        <v>1.3269158878504672</v>
      </c>
      <c r="E103" s="2344">
        <f>1.3372/E101</f>
        <v>1.2497196261682242</v>
      </c>
      <c r="F103" s="2344">
        <f>1.3372/F101</f>
        <v>1.2497196261682242</v>
      </c>
      <c r="G103" s="2344">
        <f>1.3372/G101</f>
        <v>1.2497196261682242</v>
      </c>
      <c r="H103" s="2344">
        <f>1.3372/H101</f>
        <v>1.2497196261682242</v>
      </c>
      <c r="I103" s="2344">
        <f>1.3372/I101</f>
        <v>1.2497196261682242</v>
      </c>
      <c r="J103" s="2344">
        <f>1.2799/J101</f>
        <v>1.1961682242990654</v>
      </c>
      <c r="K103" s="2344">
        <f>1.2799/K101</f>
        <v>1.1961682242990654</v>
      </c>
      <c r="L103" s="2344">
        <f>1.2799/L101</f>
        <v>1.1961682242990654</v>
      </c>
      <c r="M103" s="2344">
        <f>1.2799/M101</f>
        <v>1.1961682242990654</v>
      </c>
      <c r="N103" s="2344">
        <f>1.2799/N101</f>
        <v>1.1961682242990654</v>
      </c>
    </row>
    <row r="104" spans="1:14">
      <c r="A104" s="3620"/>
      <c r="B104" s="2343">
        <v>3</v>
      </c>
      <c r="C104" s="2344">
        <f>1.1594/C101</f>
        <v>1.0835514018691588</v>
      </c>
      <c r="D104" s="2344">
        <f>1.1594/D101</f>
        <v>1.0835514018691588</v>
      </c>
      <c r="E104" s="2344">
        <f>1.0788/E101</f>
        <v>1.0082242990654204</v>
      </c>
      <c r="F104" s="2344">
        <f>1.0788/F101</f>
        <v>1.0082242990654204</v>
      </c>
      <c r="G104" s="2344">
        <f>1.0788/G101</f>
        <v>1.0082242990654204</v>
      </c>
      <c r="H104" s="2344">
        <f>1.0788/H101</f>
        <v>1.0082242990654204</v>
      </c>
      <c r="I104" s="2344">
        <f>1.0788/I101</f>
        <v>1.0082242990654204</v>
      </c>
      <c r="J104" s="2344">
        <f>1.0072/J101</f>
        <v>0.94130841121495334</v>
      </c>
      <c r="K104" s="2344">
        <f>1.0072/K101</f>
        <v>0.94130841121495334</v>
      </c>
      <c r="L104" s="2344">
        <f>1.0072/L101</f>
        <v>0.94130841121495334</v>
      </c>
      <c r="M104" s="2344">
        <f>1.0072/M101</f>
        <v>0.94130841121495334</v>
      </c>
      <c r="N104" s="2344">
        <f>1.0072/N101</f>
        <v>0.94130841121495334</v>
      </c>
    </row>
    <row r="105" spans="1:14">
      <c r="A105" s="3620"/>
      <c r="B105" s="2343">
        <v>4</v>
      </c>
      <c r="C105" s="2344">
        <f>0.9622/C101</f>
        <v>0.89925233644859814</v>
      </c>
      <c r="D105" s="2344">
        <f>0.9622/D101</f>
        <v>0.89925233644859814</v>
      </c>
      <c r="E105" s="2344">
        <f>0.8656/E101</f>
        <v>0.80897196261682247</v>
      </c>
      <c r="F105" s="2344">
        <f>0.8656/F101</f>
        <v>0.80897196261682247</v>
      </c>
      <c r="G105" s="2344">
        <f>0.8656/G101</f>
        <v>0.80897196261682247</v>
      </c>
      <c r="H105" s="2344">
        <f>0.8656/H101</f>
        <v>0.80897196261682247</v>
      </c>
      <c r="I105" s="2344">
        <f>0.8656/I101</f>
        <v>0.80897196261682247</v>
      </c>
      <c r="J105" s="2344">
        <f>0.7525/J101</f>
        <v>0.70327102803738306</v>
      </c>
      <c r="K105" s="2344">
        <f>0.7525/K101</f>
        <v>0.70327102803738306</v>
      </c>
      <c r="L105" s="2344">
        <f>0.7525/L101</f>
        <v>0.70327102803738306</v>
      </c>
      <c r="M105" s="2344">
        <f>0.7525/M101</f>
        <v>0.70327102803738306</v>
      </c>
      <c r="N105" s="2344">
        <f>0.7525/N101</f>
        <v>0.70327102803738306</v>
      </c>
    </row>
    <row r="106" spans="1:14">
      <c r="A106" s="3620"/>
      <c r="B106" s="2343">
        <v>5</v>
      </c>
      <c r="C106" s="2344">
        <f>0.8417/C101</f>
        <v>0.78663551401869158</v>
      </c>
      <c r="D106" s="2344">
        <f>0.8417/D101</f>
        <v>0.78663551401869158</v>
      </c>
      <c r="E106" s="2344">
        <f>0.7371/E101</f>
        <v>0.68887850467289713</v>
      </c>
      <c r="F106" s="2344">
        <f>0.7371/F101</f>
        <v>0.68887850467289713</v>
      </c>
      <c r="G106" s="2344">
        <f>0.7371/G101</f>
        <v>0.68887850467289713</v>
      </c>
      <c r="H106" s="2344">
        <f>0.7371/H101</f>
        <v>0.68887850467289713</v>
      </c>
      <c r="I106" s="2344">
        <f>0.7371/I101</f>
        <v>0.68887850467289713</v>
      </c>
      <c r="J106" s="2344">
        <f>0.5659/J101</f>
        <v>0.5288785046728971</v>
      </c>
      <c r="K106" s="2344">
        <f>0.5659/K101</f>
        <v>0.5288785046728971</v>
      </c>
      <c r="L106" s="2344">
        <f>0.5659/L101</f>
        <v>0.5288785046728971</v>
      </c>
      <c r="M106" s="2344">
        <f>0.5659/M101</f>
        <v>0.5288785046728971</v>
      </c>
      <c r="N106" s="2344">
        <f>0.5659/N101</f>
        <v>0.5288785046728971</v>
      </c>
    </row>
    <row r="107" spans="1:14">
      <c r="A107" s="3620"/>
      <c r="B107" s="2343">
        <v>6</v>
      </c>
      <c r="C107" s="2344">
        <f>0.7608/C101</f>
        <v>0.71102803738317755</v>
      </c>
      <c r="D107" s="2344">
        <f>0.7608/D101</f>
        <v>0.71102803738317755</v>
      </c>
      <c r="E107" s="2344">
        <f>0.6482/E101</f>
        <v>0.60579439252336442</v>
      </c>
      <c r="F107" s="2344">
        <f>0.6482/F101</f>
        <v>0.60579439252336442</v>
      </c>
      <c r="G107" s="2344">
        <f>0.6482/G101</f>
        <v>0.60579439252336442</v>
      </c>
      <c r="H107" s="2344">
        <f>0.6482/H101</f>
        <v>0.60579439252336442</v>
      </c>
      <c r="I107" s="2344">
        <f>0.6482/I101</f>
        <v>0.60579439252336442</v>
      </c>
      <c r="J107" s="2344">
        <f>0.4525/J101</f>
        <v>0.42289719626168221</v>
      </c>
      <c r="K107" s="2344">
        <f>0.4525/K101</f>
        <v>0.42289719626168221</v>
      </c>
      <c r="L107" s="2344">
        <f>0.4525/L101</f>
        <v>0.42289719626168221</v>
      </c>
      <c r="M107" s="2344">
        <f>0.4525/M101</f>
        <v>0.42289719626168221</v>
      </c>
      <c r="N107" s="2344">
        <f>0.4525/N101</f>
        <v>0.42289719626168221</v>
      </c>
    </row>
    <row r="108" spans="1:14">
      <c r="A108" s="3620"/>
      <c r="B108" s="3622" t="s">
        <v>2791</v>
      </c>
      <c r="C108" s="2345">
        <f>C99</f>
        <v>0</v>
      </c>
      <c r="D108" s="2345">
        <f t="shared" ref="D108:N108" si="31">D99</f>
        <v>0</v>
      </c>
      <c r="E108" s="2345">
        <f t="shared" si="31"/>
        <v>0</v>
      </c>
      <c r="F108" s="2345">
        <f t="shared" si="31"/>
        <v>0</v>
      </c>
      <c r="G108" s="2345">
        <f t="shared" si="31"/>
        <v>0</v>
      </c>
      <c r="H108" s="2345">
        <f t="shared" si="31"/>
        <v>0</v>
      </c>
      <c r="I108" s="2345">
        <f t="shared" si="31"/>
        <v>0</v>
      </c>
      <c r="J108" s="2345">
        <f t="shared" si="31"/>
        <v>0</v>
      </c>
      <c r="K108" s="2345">
        <f t="shared" si="31"/>
        <v>0</v>
      </c>
      <c r="L108" s="2345">
        <f t="shared" si="31"/>
        <v>0</v>
      </c>
      <c r="M108" s="2345">
        <f t="shared" si="31"/>
        <v>0</v>
      </c>
      <c r="N108" s="2345">
        <f t="shared" si="31"/>
        <v>0</v>
      </c>
    </row>
    <row r="109" spans="1:14">
      <c r="A109" s="3621"/>
      <c r="B109" s="3623"/>
      <c r="C109" s="2346">
        <f>(-0.163*(C108^2)-0.59*C108+7617)*(10^(-4))/C101</f>
        <v>0.71186915887850466</v>
      </c>
      <c r="D109" s="2346">
        <f>(-0.163*(D108^2)-0.59*D108+7617)*(10^(-4))/D101</f>
        <v>0.71186915887850466</v>
      </c>
      <c r="E109" s="2346">
        <f>(-0.161*(E108^2)-7.509*E108+6533)*(10^(-4))/E101</f>
        <v>0.6105607476635514</v>
      </c>
      <c r="F109" s="2346">
        <f>(-0.161*(F108^2)-7.509*F108+6533)*(10^(-4))/F101</f>
        <v>0.6105607476635514</v>
      </c>
      <c r="G109" s="2346">
        <f>(-0.161*(G108^2)-7.509*G108+6533)*(10^(-4))/G101</f>
        <v>0.6105607476635514</v>
      </c>
      <c r="H109" s="2346">
        <f>(-0.161*(H108^2)-7.509*H108+6533)*(10^(-4))/H101</f>
        <v>0.6105607476635514</v>
      </c>
      <c r="I109" s="2346">
        <f>(-0.161*(I108^2)-7.509*I108+6533)*(10^(-4))/I101</f>
        <v>0.6105607476635514</v>
      </c>
      <c r="J109" s="2346">
        <f>(-0.214*(J108^2)-21.991*J108+4665)*(10^(-4))/J101</f>
        <v>0.43598130841121496</v>
      </c>
      <c r="K109" s="2346">
        <f>(-0.214*(K108^2)-21.991*K108+4665)*(10^(-4))/K101</f>
        <v>0.43598130841121496</v>
      </c>
      <c r="L109" s="2346">
        <f>(-0.214*(L108^2)-21.991*L108+4665)*(10^(-4))/L101</f>
        <v>0.43598130841121496</v>
      </c>
      <c r="M109" s="2346">
        <f>(-0.214*(M108^2)-21.991*M108+4665)*(10^(-4))/M101</f>
        <v>0.43598130841121496</v>
      </c>
      <c r="N109" s="2346">
        <f>(-0.214*(N108^2)-21.991*N108+4665)*(10^(-4))/N101</f>
        <v>0.43598130841121496</v>
      </c>
    </row>
    <row r="110" spans="1:14">
      <c r="A110" s="3617" t="s">
        <v>2792</v>
      </c>
      <c r="B110" s="3617"/>
      <c r="C110" s="3617"/>
      <c r="D110" s="3617"/>
      <c r="E110" s="3617"/>
      <c r="F110" s="3617"/>
      <c r="G110" s="3617"/>
      <c r="H110" s="3617"/>
      <c r="I110" s="3617"/>
      <c r="J110" s="3617"/>
      <c r="K110" s="2349"/>
      <c r="L110" s="2349"/>
      <c r="M110" s="2349"/>
      <c r="N110" s="2349"/>
    </row>
    <row r="112" spans="1:14" ht="13.5" thickBot="1"/>
    <row r="113" spans="1:13" ht="25.5" thickBot="1">
      <c r="A113" s="841" t="s">
        <v>2793</v>
      </c>
      <c r="B113" s="1196">
        <f>G3</f>
        <v>1.07</v>
      </c>
      <c r="C113" s="842" t="s">
        <v>2794</v>
      </c>
      <c r="D113" s="843">
        <f>SUMPRODUCT((A115:A118=F113)*(B114:M114=H113)*B115:M118)</f>
        <v>0</v>
      </c>
      <c r="E113" s="2185" t="s">
        <v>2627</v>
      </c>
      <c r="F113" s="2351">
        <f>E2</f>
        <v>0</v>
      </c>
      <c r="G113" s="2185" t="s">
        <v>2628</v>
      </c>
      <c r="H113" s="2351">
        <f>G2</f>
        <v>0</v>
      </c>
      <c r="I113" s="2185"/>
      <c r="J113" s="2352"/>
      <c r="K113" s="2352"/>
      <c r="L113" s="2352"/>
      <c r="M113" s="2352"/>
    </row>
    <row r="114" spans="1:13">
      <c r="A114" s="846"/>
      <c r="B114" s="2353" t="s">
        <v>2795</v>
      </c>
      <c r="C114" s="2353" t="s">
        <v>2796</v>
      </c>
      <c r="D114" s="2353" t="s">
        <v>2797</v>
      </c>
      <c r="E114" s="2354" t="s">
        <v>2798</v>
      </c>
      <c r="F114" s="2354" t="s">
        <v>2799</v>
      </c>
      <c r="G114" s="2354" t="s">
        <v>2800</v>
      </c>
      <c r="H114" s="2355" t="s">
        <v>2801</v>
      </c>
      <c r="I114" s="2355" t="s">
        <v>2802</v>
      </c>
      <c r="J114" s="2356" t="s">
        <v>2803</v>
      </c>
      <c r="K114" s="2356" t="s">
        <v>2804</v>
      </c>
      <c r="L114" s="2356" t="s">
        <v>2805</v>
      </c>
      <c r="M114" s="2357" t="s">
        <v>2806</v>
      </c>
    </row>
    <row r="115" spans="1:13">
      <c r="A115" s="847" t="s">
        <v>2692</v>
      </c>
      <c r="B115" s="848">
        <f>ROUND(0.9335-0.0094*B113,4)</f>
        <v>0.9234</v>
      </c>
      <c r="C115" s="848">
        <f>B115</f>
        <v>0.9234</v>
      </c>
      <c r="D115" s="848">
        <f>ROUND(0.8331-0.0109*B113,4)</f>
        <v>0.82140000000000002</v>
      </c>
      <c r="E115" s="848">
        <f>D115</f>
        <v>0.82140000000000002</v>
      </c>
      <c r="F115" s="848">
        <f>E115</f>
        <v>0.82140000000000002</v>
      </c>
      <c r="G115" s="848">
        <f>F115</f>
        <v>0.82140000000000002</v>
      </c>
      <c r="H115" s="848">
        <f>G115</f>
        <v>0.82140000000000002</v>
      </c>
      <c r="I115" s="848">
        <f>ROUND(0.689-0.0155*B113,4)</f>
        <v>0.6724</v>
      </c>
      <c r="J115" s="848">
        <f t="shared" ref="J115:M118" si="32">I115</f>
        <v>0.6724</v>
      </c>
      <c r="K115" s="848">
        <f t="shared" si="32"/>
        <v>0.6724</v>
      </c>
      <c r="L115" s="848">
        <f t="shared" si="32"/>
        <v>0.6724</v>
      </c>
      <c r="M115" s="849">
        <f t="shared" si="32"/>
        <v>0.6724</v>
      </c>
    </row>
    <row r="116" spans="1:13">
      <c r="A116" s="847" t="s">
        <v>2693</v>
      </c>
      <c r="B116" s="848">
        <f>ROUND(0.949-0.012*B113,4)</f>
        <v>0.93620000000000003</v>
      </c>
      <c r="C116" s="848">
        <f>B116</f>
        <v>0.93620000000000003</v>
      </c>
      <c r="D116" s="848">
        <f>ROUND(0.8567-0.013*B113,4)</f>
        <v>0.84279999999999999</v>
      </c>
      <c r="E116" s="848">
        <f t="shared" ref="E116:H117" si="33">D116</f>
        <v>0.84279999999999999</v>
      </c>
      <c r="F116" s="848">
        <f t="shared" si="33"/>
        <v>0.84279999999999999</v>
      </c>
      <c r="G116" s="848">
        <f t="shared" si="33"/>
        <v>0.84279999999999999</v>
      </c>
      <c r="H116" s="848">
        <f t="shared" si="33"/>
        <v>0.84279999999999999</v>
      </c>
      <c r="I116" s="848">
        <f>ROUND(0.7694-0.014*B113,4)</f>
        <v>0.75439999999999996</v>
      </c>
      <c r="J116" s="848">
        <f t="shared" si="32"/>
        <v>0.75439999999999996</v>
      </c>
      <c r="K116" s="848">
        <f t="shared" si="32"/>
        <v>0.75439999999999996</v>
      </c>
      <c r="L116" s="848">
        <f t="shared" si="32"/>
        <v>0.75439999999999996</v>
      </c>
      <c r="M116" s="849">
        <f t="shared" si="32"/>
        <v>0.75439999999999996</v>
      </c>
    </row>
    <row r="117" spans="1:13">
      <c r="A117" s="847" t="s">
        <v>2694</v>
      </c>
      <c r="B117" s="848">
        <f>ROUND(0.8808-0.006*B113,4)</f>
        <v>0.87439999999999996</v>
      </c>
      <c r="C117" s="848">
        <f>B117</f>
        <v>0.87439999999999996</v>
      </c>
      <c r="D117" s="848">
        <f>ROUND(0.8748-0.008*B113,4)</f>
        <v>0.86619999999999997</v>
      </c>
      <c r="E117" s="848">
        <f t="shared" si="33"/>
        <v>0.86619999999999997</v>
      </c>
      <c r="F117" s="848">
        <f t="shared" si="33"/>
        <v>0.86619999999999997</v>
      </c>
      <c r="G117" s="848">
        <f t="shared" si="33"/>
        <v>0.86619999999999997</v>
      </c>
      <c r="H117" s="848">
        <f t="shared" si="33"/>
        <v>0.86619999999999997</v>
      </c>
      <c r="I117" s="848">
        <f>ROUND(0.7412-0.0095*B113,4)</f>
        <v>0.73099999999999998</v>
      </c>
      <c r="J117" s="848">
        <f t="shared" si="32"/>
        <v>0.73099999999999998</v>
      </c>
      <c r="K117" s="848">
        <f t="shared" si="32"/>
        <v>0.73099999999999998</v>
      </c>
      <c r="L117" s="848">
        <f t="shared" si="32"/>
        <v>0.73099999999999998</v>
      </c>
      <c r="M117" s="849">
        <f t="shared" si="32"/>
        <v>0.73099999999999998</v>
      </c>
    </row>
    <row r="118" spans="1:13" ht="13.5" thickBot="1">
      <c r="A118" s="670" t="s">
        <v>2695</v>
      </c>
      <c r="B118" s="850">
        <f>ROUND(0.7275-0.01*B113,4)</f>
        <v>0.71679999999999999</v>
      </c>
      <c r="C118" s="850">
        <f>B118</f>
        <v>0.71679999999999999</v>
      </c>
      <c r="D118" s="850">
        <f>ROUND(0.7043-0.012*B113,4)</f>
        <v>0.6915</v>
      </c>
      <c r="E118" s="850">
        <f>D118</f>
        <v>0.6915</v>
      </c>
      <c r="F118" s="850">
        <f>E118</f>
        <v>0.6915</v>
      </c>
      <c r="G118" s="850">
        <f>ROUND(0.6299-0.0122*B113,4)</f>
        <v>0.61680000000000001</v>
      </c>
      <c r="H118" s="850">
        <f>G118</f>
        <v>0.61680000000000001</v>
      </c>
      <c r="I118" s="850">
        <f>ROUND(0.5667-0.0136*B113,4)</f>
        <v>0.55210000000000004</v>
      </c>
      <c r="J118" s="850">
        <f t="shared" si="32"/>
        <v>0.55210000000000004</v>
      </c>
      <c r="K118" s="850">
        <f t="shared" si="32"/>
        <v>0.55210000000000004</v>
      </c>
      <c r="L118" s="850">
        <f t="shared" si="32"/>
        <v>0.55210000000000004</v>
      </c>
      <c r="M118" s="851">
        <f t="shared" si="32"/>
        <v>0.55210000000000004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2858</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SUM(J6:J10,J13)</f>
        <v>155</v>
      </c>
      <c r="K15" s="813">
        <f>SUM(K6:K10,K13)</f>
        <v>155</v>
      </c>
      <c r="L15" s="813">
        <f>SUM(L6:L10,L13)</f>
        <v>155</v>
      </c>
      <c r="M15" s="813">
        <f>SUM(M6:M10,M13)</f>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30" t="s">
        <v>183</v>
      </c>
      <c r="B18" s="820" t="s">
        <v>560</v>
      </c>
      <c r="C18" s="821" t="s">
        <v>561</v>
      </c>
      <c r="D18" s="822"/>
      <c r="E18" s="820">
        <v>1</v>
      </c>
      <c r="F18" s="823" t="s">
        <v>562</v>
      </c>
      <c r="G18" s="824"/>
      <c r="H18" s="816"/>
      <c r="I18" s="816"/>
    </row>
    <row r="19" spans="1:9" s="825" customFormat="1" ht="19.5" customHeight="1">
      <c r="A19" s="3630"/>
      <c r="B19" s="3630" t="s">
        <v>563</v>
      </c>
      <c r="C19" s="821" t="s">
        <v>564</v>
      </c>
      <c r="D19" s="822"/>
      <c r="E19" s="820">
        <v>0.9</v>
      </c>
      <c r="F19" s="823" t="s">
        <v>565</v>
      </c>
      <c r="G19" s="824"/>
      <c r="H19" s="816"/>
      <c r="I19" s="816"/>
    </row>
    <row r="20" spans="1:9" s="825" customFormat="1" ht="19.5" customHeight="1">
      <c r="A20" s="3630"/>
      <c r="B20" s="3630"/>
      <c r="C20" s="821" t="s">
        <v>566</v>
      </c>
      <c r="D20" s="822"/>
      <c r="E20" s="820">
        <v>1.1000000000000001</v>
      </c>
      <c r="F20" s="823" t="s">
        <v>567</v>
      </c>
      <c r="G20" s="824"/>
      <c r="H20" s="816"/>
      <c r="I20" s="816"/>
    </row>
    <row r="21" spans="1:9" s="825" customFormat="1" ht="19.5" customHeight="1">
      <c r="A21" s="3630"/>
      <c r="B21" s="3630"/>
      <c r="C21" s="821" t="s">
        <v>568</v>
      </c>
      <c r="D21" s="822"/>
      <c r="E21" s="820">
        <v>0.8</v>
      </c>
      <c r="F21" s="823" t="s">
        <v>569</v>
      </c>
      <c r="G21" s="824"/>
      <c r="H21" s="816"/>
      <c r="I21" s="816"/>
    </row>
    <row r="22" spans="1:9" s="825" customFormat="1" ht="19.5" customHeight="1">
      <c r="A22" s="3630"/>
      <c r="B22" s="3630"/>
      <c r="C22" s="821" t="s">
        <v>570</v>
      </c>
      <c r="D22" s="822"/>
      <c r="E22" s="820">
        <v>0.5</v>
      </c>
      <c r="F22" s="823"/>
      <c r="G22" s="824"/>
      <c r="H22" s="816"/>
      <c r="I22" s="816"/>
    </row>
    <row r="23" spans="1:9" s="825" customFormat="1" ht="19.5" customHeight="1">
      <c r="A23" s="3630" t="s">
        <v>184</v>
      </c>
      <c r="B23" s="820" t="s">
        <v>560</v>
      </c>
      <c r="C23" s="821" t="s">
        <v>571</v>
      </c>
      <c r="D23" s="822"/>
      <c r="E23" s="820">
        <v>1</v>
      </c>
      <c r="F23" s="823" t="s">
        <v>572</v>
      </c>
      <c r="G23" s="824"/>
      <c r="H23" s="816"/>
      <c r="I23" s="816"/>
    </row>
    <row r="24" spans="1:9" s="825" customFormat="1" ht="19.5" customHeight="1">
      <c r="A24" s="3630"/>
      <c r="B24" s="3630" t="s">
        <v>563</v>
      </c>
      <c r="C24" s="821" t="s">
        <v>573</v>
      </c>
      <c r="D24" s="822"/>
      <c r="E24" s="820">
        <v>0.5</v>
      </c>
      <c r="F24" s="823"/>
      <c r="G24" s="824"/>
      <c r="H24" s="816"/>
      <c r="I24" s="816"/>
    </row>
    <row r="25" spans="1:9" s="825" customFormat="1" ht="19.5" customHeight="1">
      <c r="A25" s="3630"/>
      <c r="B25" s="3630"/>
      <c r="C25" s="821" t="s">
        <v>574</v>
      </c>
      <c r="D25" s="822"/>
      <c r="E25" s="820">
        <v>1.1000000000000001</v>
      </c>
      <c r="F25" s="823"/>
      <c r="G25" s="824"/>
      <c r="H25" s="816"/>
      <c r="I25" s="816"/>
    </row>
    <row r="26" spans="1:9" s="825" customFormat="1" ht="19.5" customHeight="1">
      <c r="A26" s="3630"/>
      <c r="B26" s="3630"/>
      <c r="C26" s="821" t="s">
        <v>575</v>
      </c>
      <c r="D26" s="822"/>
      <c r="E26" s="820">
        <v>1.1000000000000001</v>
      </c>
      <c r="F26" s="823"/>
      <c r="G26" s="824"/>
      <c r="H26" s="816"/>
      <c r="I26" s="816"/>
    </row>
    <row r="27" spans="1:9" s="825" customFormat="1" ht="19.5" customHeight="1">
      <c r="A27" s="3630"/>
      <c r="B27" s="3630"/>
      <c r="C27" s="821" t="s">
        <v>576</v>
      </c>
      <c r="D27" s="822"/>
      <c r="E27" s="820">
        <v>0.9</v>
      </c>
      <c r="F27" s="823" t="s">
        <v>577</v>
      </c>
      <c r="G27" s="824"/>
      <c r="H27" s="816"/>
      <c r="I27" s="816"/>
    </row>
    <row r="28" spans="1:9" s="825" customFormat="1" ht="19.5" customHeight="1">
      <c r="A28" s="3630"/>
      <c r="B28" s="3630"/>
      <c r="C28" s="821" t="s">
        <v>578</v>
      </c>
      <c r="D28" s="822"/>
      <c r="E28" s="820">
        <v>0.9</v>
      </c>
      <c r="F28" s="823" t="s">
        <v>579</v>
      </c>
      <c r="G28" s="824"/>
      <c r="H28" s="816"/>
      <c r="I28" s="816"/>
    </row>
    <row r="29" spans="1:9" s="825" customFormat="1" ht="19.5" customHeight="1">
      <c r="A29" s="3630"/>
      <c r="B29" s="3630"/>
      <c r="C29" s="821" t="s">
        <v>580</v>
      </c>
      <c r="D29" s="822"/>
      <c r="E29" s="820">
        <v>0.9</v>
      </c>
      <c r="F29" s="823" t="s">
        <v>581</v>
      </c>
      <c r="G29" s="824"/>
      <c r="H29" s="816"/>
      <c r="I29" s="816"/>
    </row>
    <row r="30" spans="1:9" s="825" customFormat="1" ht="19.5" customHeight="1">
      <c r="A30" s="3630"/>
      <c r="B30" s="3630"/>
      <c r="C30" s="821" t="s">
        <v>582</v>
      </c>
      <c r="D30" s="822"/>
      <c r="E30" s="820">
        <v>0.9</v>
      </c>
      <c r="F30" s="823" t="s">
        <v>583</v>
      </c>
      <c r="G30" s="824"/>
      <c r="H30" s="816"/>
      <c r="I30" s="816"/>
    </row>
    <row r="31" spans="1:9" s="825" customFormat="1" ht="19.5" customHeight="1">
      <c r="A31" s="3630"/>
      <c r="B31" s="3630"/>
      <c r="C31" s="821" t="s">
        <v>584</v>
      </c>
      <c r="D31" s="822"/>
      <c r="E31" s="820">
        <v>0.8</v>
      </c>
      <c r="F31" s="823" t="s">
        <v>585</v>
      </c>
      <c r="G31" s="824"/>
      <c r="H31" s="816"/>
      <c r="I31" s="816"/>
    </row>
    <row r="32" spans="1:9" s="825" customFormat="1" ht="19.5" customHeight="1">
      <c r="A32" s="3630"/>
      <c r="B32" s="3630"/>
      <c r="C32" s="821" t="s">
        <v>586</v>
      </c>
      <c r="D32" s="822"/>
      <c r="E32" s="820">
        <v>0.8</v>
      </c>
      <c r="F32" s="823" t="s">
        <v>587</v>
      </c>
      <c r="G32" s="824"/>
      <c r="H32" s="816"/>
      <c r="I32" s="816"/>
    </row>
    <row r="33" spans="1:9" s="825" customFormat="1" ht="19.5" customHeight="1">
      <c r="A33" s="3630" t="s">
        <v>185</v>
      </c>
      <c r="B33" s="820" t="s">
        <v>560</v>
      </c>
      <c r="C33" s="821" t="s">
        <v>588</v>
      </c>
      <c r="D33" s="822"/>
      <c r="E33" s="820">
        <v>1</v>
      </c>
      <c r="F33" s="823" t="s">
        <v>589</v>
      </c>
      <c r="G33" s="824"/>
      <c r="H33" s="816"/>
      <c r="I33" s="816"/>
    </row>
    <row r="34" spans="1:9" s="825" customFormat="1" ht="19.5" customHeight="1">
      <c r="A34" s="3630"/>
      <c r="B34" s="820" t="s">
        <v>563</v>
      </c>
      <c r="C34" s="821" t="s">
        <v>590</v>
      </c>
      <c r="D34" s="822"/>
      <c r="E34" s="820">
        <v>1.5</v>
      </c>
      <c r="F34" s="823" t="s">
        <v>591</v>
      </c>
      <c r="G34" s="824"/>
      <c r="H34" s="816"/>
      <c r="I34" s="816"/>
    </row>
    <row r="35" spans="1:9" s="825" customFormat="1" ht="19.5" customHeight="1">
      <c r="A35" s="3630" t="s">
        <v>186</v>
      </c>
      <c r="B35" s="820" t="s">
        <v>560</v>
      </c>
      <c r="C35" s="821" t="s">
        <v>592</v>
      </c>
      <c r="D35" s="822"/>
      <c r="E35" s="820">
        <v>1</v>
      </c>
      <c r="F35" s="823" t="s">
        <v>593</v>
      </c>
      <c r="G35" s="824"/>
      <c r="H35" s="816"/>
      <c r="I35" s="816"/>
    </row>
    <row r="36" spans="1:9" s="825" customFormat="1" ht="19.5" customHeight="1">
      <c r="A36" s="3630"/>
      <c r="B36" s="3630" t="s">
        <v>563</v>
      </c>
      <c r="C36" s="821" t="s">
        <v>594</v>
      </c>
      <c r="D36" s="822"/>
      <c r="E36" s="820">
        <v>1</v>
      </c>
      <c r="F36" s="823" t="s">
        <v>595</v>
      </c>
      <c r="G36" s="824"/>
      <c r="H36" s="816"/>
      <c r="I36" s="816"/>
    </row>
    <row r="37" spans="1:9" s="825" customFormat="1" ht="19.5" customHeight="1">
      <c r="A37" s="3630"/>
      <c r="B37" s="3630"/>
      <c r="C37" s="821" t="s">
        <v>596</v>
      </c>
      <c r="D37" s="822"/>
      <c r="E37" s="820">
        <v>1.5</v>
      </c>
      <c r="F37" s="823" t="s">
        <v>597</v>
      </c>
      <c r="G37" s="824"/>
      <c r="H37" s="816"/>
      <c r="I37" s="816"/>
    </row>
    <row r="38" spans="1:9" s="825" customFormat="1" ht="19.5" customHeight="1">
      <c r="A38" s="3630"/>
      <c r="B38" s="3630"/>
      <c r="C38" s="821" t="s">
        <v>598</v>
      </c>
      <c r="D38" s="822"/>
      <c r="E38" s="820">
        <v>1</v>
      </c>
      <c r="F38" s="823" t="s">
        <v>599</v>
      </c>
      <c r="G38" s="824"/>
      <c r="H38" s="816"/>
      <c r="I38" s="816"/>
    </row>
    <row r="39" spans="1:9" s="825" customFormat="1" ht="19.5" customHeight="1">
      <c r="A39" s="3630"/>
      <c r="B39" s="363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30" t="s">
        <v>614</v>
      </c>
      <c r="C61" s="756" t="s">
        <v>615</v>
      </c>
      <c r="D61" s="756" t="s">
        <v>616</v>
      </c>
      <c r="E61" s="833">
        <v>0.5</v>
      </c>
      <c r="F61" s="820">
        <v>80</v>
      </c>
    </row>
    <row r="62" spans="1:8" s="816" customFormat="1" ht="24">
      <c r="A62" s="820">
        <v>2</v>
      </c>
      <c r="B62" s="3630"/>
      <c r="C62" s="756" t="s">
        <v>617</v>
      </c>
      <c r="D62" s="756" t="s">
        <v>618</v>
      </c>
      <c r="E62" s="833">
        <v>0.5</v>
      </c>
      <c r="F62" s="820">
        <v>80</v>
      </c>
    </row>
    <row r="63" spans="1:8" s="816" customFormat="1" ht="36">
      <c r="A63" s="820">
        <v>3</v>
      </c>
      <c r="B63" s="3630"/>
      <c r="C63" s="756" t="s">
        <v>619</v>
      </c>
      <c r="D63" s="756" t="s">
        <v>620</v>
      </c>
      <c r="E63" s="833">
        <v>0.5</v>
      </c>
      <c r="F63" s="820">
        <v>80</v>
      </c>
    </row>
    <row r="64" spans="1:8" s="816" customFormat="1" ht="36">
      <c r="A64" s="820">
        <v>4</v>
      </c>
      <c r="B64" s="3630"/>
      <c r="C64" s="756" t="s">
        <v>621</v>
      </c>
      <c r="D64" s="756" t="s">
        <v>622</v>
      </c>
      <c r="E64" s="833">
        <v>0.4</v>
      </c>
      <c r="F64" s="820">
        <v>60</v>
      </c>
    </row>
    <row r="65" spans="1:6" s="816" customFormat="1" ht="36">
      <c r="A65" s="820">
        <v>5</v>
      </c>
      <c r="B65" s="3630"/>
      <c r="C65" s="756" t="s">
        <v>623</v>
      </c>
      <c r="D65" s="756" t="s">
        <v>624</v>
      </c>
      <c r="E65" s="833">
        <v>0.2</v>
      </c>
      <c r="F65" s="820">
        <v>30</v>
      </c>
    </row>
    <row r="66" spans="1:6" s="816" customFormat="1" ht="36">
      <c r="A66" s="820">
        <v>6</v>
      </c>
      <c r="B66" s="3630"/>
      <c r="C66" s="756" t="s">
        <v>625</v>
      </c>
      <c r="D66" s="756" t="s">
        <v>626</v>
      </c>
      <c r="E66" s="833">
        <v>0.3</v>
      </c>
      <c r="F66" s="820">
        <v>50</v>
      </c>
    </row>
    <row r="67" spans="1:6" s="816" customFormat="1" ht="36">
      <c r="A67" s="820">
        <v>7</v>
      </c>
      <c r="B67" s="3630"/>
      <c r="C67" s="756" t="s">
        <v>627</v>
      </c>
      <c r="D67" s="756" t="s">
        <v>628</v>
      </c>
      <c r="E67" s="833">
        <v>0.2</v>
      </c>
      <c r="F67" s="820">
        <v>30</v>
      </c>
    </row>
    <row r="68" spans="1:6" s="816" customFormat="1" ht="36">
      <c r="A68" s="820">
        <v>8</v>
      </c>
      <c r="B68" s="3630"/>
      <c r="C68" s="756" t="s">
        <v>629</v>
      </c>
      <c r="D68" s="756" t="s">
        <v>630</v>
      </c>
      <c r="E68" s="833">
        <v>0.2</v>
      </c>
      <c r="F68" s="820">
        <v>30</v>
      </c>
    </row>
    <row r="69" spans="1:6" s="816" customFormat="1" ht="36">
      <c r="A69" s="820">
        <v>9</v>
      </c>
      <c r="B69" s="3630"/>
      <c r="C69" s="756" t="s">
        <v>631</v>
      </c>
      <c r="D69" s="756" t="s">
        <v>632</v>
      </c>
      <c r="E69" s="833">
        <v>0.2</v>
      </c>
      <c r="F69" s="820">
        <v>30</v>
      </c>
    </row>
    <row r="70" spans="1:6" s="816" customFormat="1" ht="48">
      <c r="A70" s="820">
        <v>10</v>
      </c>
      <c r="B70" s="3630"/>
      <c r="C70" s="756" t="s">
        <v>633</v>
      </c>
      <c r="D70" s="756" t="s">
        <v>634</v>
      </c>
      <c r="E70" s="833">
        <v>0.2</v>
      </c>
      <c r="F70" s="820">
        <v>30</v>
      </c>
    </row>
    <row r="71" spans="1:6" s="816" customFormat="1" ht="48">
      <c r="A71" s="820">
        <v>11</v>
      </c>
      <c r="B71" s="3630"/>
      <c r="C71" s="756" t="s">
        <v>635</v>
      </c>
      <c r="D71" s="756" t="s">
        <v>636</v>
      </c>
      <c r="E71" s="833">
        <v>0.2</v>
      </c>
      <c r="F71" s="820">
        <v>30</v>
      </c>
    </row>
    <row r="72" spans="1:6" s="816" customFormat="1" ht="36">
      <c r="A72" s="820">
        <v>12</v>
      </c>
      <c r="B72" s="3630"/>
      <c r="C72" s="756" t="s">
        <v>637</v>
      </c>
      <c r="D72" s="756" t="s">
        <v>638</v>
      </c>
      <c r="E72" s="833">
        <v>0.5</v>
      </c>
      <c r="F72" s="820">
        <v>80</v>
      </c>
    </row>
    <row r="73" spans="1:6" s="816" customFormat="1" ht="24">
      <c r="A73" s="820">
        <v>13</v>
      </c>
      <c r="B73" s="3630"/>
      <c r="C73" s="756" t="s">
        <v>639</v>
      </c>
      <c r="D73" s="756" t="s">
        <v>640</v>
      </c>
      <c r="E73" s="833">
        <v>0.4</v>
      </c>
      <c r="F73" s="820">
        <v>60</v>
      </c>
    </row>
    <row r="74" spans="1:6" s="816" customFormat="1" ht="24">
      <c r="A74" s="820">
        <v>14</v>
      </c>
      <c r="B74" s="3630"/>
      <c r="C74" s="756" t="s">
        <v>641</v>
      </c>
      <c r="D74" s="756" t="s">
        <v>642</v>
      </c>
      <c r="E74" s="833">
        <v>0.2</v>
      </c>
      <c r="F74" s="820">
        <v>30</v>
      </c>
    </row>
    <row r="75" spans="1:6" s="816" customFormat="1" ht="24">
      <c r="A75" s="820">
        <v>15</v>
      </c>
      <c r="B75" s="3630"/>
      <c r="C75" s="756" t="s">
        <v>643</v>
      </c>
      <c r="D75" s="756" t="s">
        <v>644</v>
      </c>
      <c r="E75" s="833">
        <v>0.2</v>
      </c>
      <c r="F75" s="820">
        <v>30</v>
      </c>
    </row>
    <row r="76" spans="1:6" s="816" customFormat="1" ht="24">
      <c r="A76" s="820">
        <v>16</v>
      </c>
      <c r="B76" s="3630" t="s">
        <v>645</v>
      </c>
      <c r="C76" s="756" t="s">
        <v>646</v>
      </c>
      <c r="D76" s="756" t="s">
        <v>647</v>
      </c>
      <c r="E76" s="833">
        <v>0.5</v>
      </c>
      <c r="F76" s="820">
        <v>80</v>
      </c>
    </row>
    <row r="77" spans="1:6" s="816" customFormat="1" ht="24">
      <c r="A77" s="820">
        <v>17</v>
      </c>
      <c r="B77" s="3630"/>
      <c r="C77" s="756" t="s">
        <v>648</v>
      </c>
      <c r="D77" s="756" t="s">
        <v>649</v>
      </c>
      <c r="E77" s="833">
        <v>0.5</v>
      </c>
      <c r="F77" s="820">
        <v>80</v>
      </c>
    </row>
    <row r="78" spans="1:6" s="816" customFormat="1" ht="24">
      <c r="A78" s="820">
        <v>18</v>
      </c>
      <c r="B78" s="3630"/>
      <c r="C78" s="756" t="s">
        <v>650</v>
      </c>
      <c r="D78" s="756" t="s">
        <v>651</v>
      </c>
      <c r="E78" s="833">
        <v>0.2</v>
      </c>
      <c r="F78" s="820">
        <v>30</v>
      </c>
    </row>
    <row r="79" spans="1:6" s="816" customFormat="1" ht="24">
      <c r="A79" s="820">
        <v>19</v>
      </c>
      <c r="B79" s="3630"/>
      <c r="C79" s="756" t="s">
        <v>652</v>
      </c>
      <c r="D79" s="756" t="s">
        <v>653</v>
      </c>
      <c r="E79" s="833">
        <v>0.5</v>
      </c>
      <c r="F79" s="820">
        <v>80</v>
      </c>
    </row>
    <row r="80" spans="1:6" s="816" customFormat="1" ht="36">
      <c r="A80" s="820">
        <v>20</v>
      </c>
      <c r="B80" s="3630"/>
      <c r="C80" s="756" t="s">
        <v>654</v>
      </c>
      <c r="D80" s="756" t="s">
        <v>655</v>
      </c>
      <c r="E80" s="833">
        <v>0.2</v>
      </c>
      <c r="F80" s="820">
        <v>30</v>
      </c>
    </row>
    <row r="81" spans="1:6" s="816" customFormat="1" ht="36">
      <c r="A81" s="820">
        <v>21</v>
      </c>
      <c r="B81" s="3630"/>
      <c r="C81" s="756" t="s">
        <v>656</v>
      </c>
      <c r="D81" s="756" t="s">
        <v>657</v>
      </c>
      <c r="E81" s="833">
        <v>0.2</v>
      </c>
      <c r="F81" s="820">
        <v>30</v>
      </c>
    </row>
    <row r="82" spans="1:6" s="816" customFormat="1" ht="48">
      <c r="A82" s="820">
        <v>22</v>
      </c>
      <c r="B82" s="3630"/>
      <c r="C82" s="756" t="s">
        <v>658</v>
      </c>
      <c r="D82" s="756" t="s">
        <v>659</v>
      </c>
      <c r="E82" s="833">
        <v>0.2</v>
      </c>
      <c r="F82" s="820">
        <v>30</v>
      </c>
    </row>
    <row r="83" spans="1:6" s="816" customFormat="1" ht="48">
      <c r="A83" s="820">
        <v>23</v>
      </c>
      <c r="B83" s="3630"/>
      <c r="C83" s="756" t="s">
        <v>660</v>
      </c>
      <c r="D83" s="756" t="s">
        <v>661</v>
      </c>
      <c r="E83" s="833">
        <v>0.2</v>
      </c>
      <c r="F83" s="820">
        <v>30</v>
      </c>
    </row>
    <row r="84" spans="1:6" s="816" customFormat="1" ht="36">
      <c r="A84" s="820">
        <v>24</v>
      </c>
      <c r="B84" s="3630"/>
      <c r="C84" s="756" t="s">
        <v>662</v>
      </c>
      <c r="D84" s="756" t="s">
        <v>663</v>
      </c>
      <c r="E84" s="833">
        <v>0.2</v>
      </c>
      <c r="F84" s="820">
        <v>30</v>
      </c>
    </row>
    <row r="85" spans="1:6" s="816" customFormat="1" ht="36">
      <c r="A85" s="820">
        <v>25</v>
      </c>
      <c r="B85" s="3630"/>
      <c r="C85" s="756" t="s">
        <v>664</v>
      </c>
      <c r="D85" s="756" t="s">
        <v>665</v>
      </c>
      <c r="E85" s="833">
        <v>0.5</v>
      </c>
      <c r="F85" s="820">
        <v>80</v>
      </c>
    </row>
    <row r="86" spans="1:6" s="816" customFormat="1" ht="36">
      <c r="A86" s="820">
        <v>26</v>
      </c>
      <c r="B86" s="3630"/>
      <c r="C86" s="756" t="s">
        <v>666</v>
      </c>
      <c r="D86" s="756" t="s">
        <v>667</v>
      </c>
      <c r="E86" s="833">
        <v>0.2</v>
      </c>
      <c r="F86" s="820">
        <v>30</v>
      </c>
    </row>
    <row r="87" spans="1:6" s="816" customFormat="1" ht="36">
      <c r="A87" s="820">
        <v>27</v>
      </c>
      <c r="B87" s="3630"/>
      <c r="C87" s="756" t="s">
        <v>668</v>
      </c>
      <c r="D87" s="756" t="s">
        <v>669</v>
      </c>
      <c r="E87" s="833">
        <v>0.2</v>
      </c>
      <c r="F87" s="820">
        <v>30</v>
      </c>
    </row>
    <row r="88" spans="1:6" s="816" customFormat="1" ht="36">
      <c r="A88" s="820">
        <v>28</v>
      </c>
      <c r="B88" s="3630"/>
      <c r="C88" s="756" t="s">
        <v>670</v>
      </c>
      <c r="D88" s="756" t="s">
        <v>671</v>
      </c>
      <c r="E88" s="833">
        <v>0.2</v>
      </c>
      <c r="F88" s="820">
        <v>30</v>
      </c>
    </row>
    <row r="89" spans="1:6" s="816" customFormat="1" ht="24">
      <c r="A89" s="820">
        <v>29</v>
      </c>
      <c r="B89" s="3630"/>
      <c r="C89" s="756" t="s">
        <v>672</v>
      </c>
      <c r="D89" s="756" t="s">
        <v>673</v>
      </c>
      <c r="E89" s="833">
        <v>0.2</v>
      </c>
      <c r="F89" s="820">
        <v>30</v>
      </c>
    </row>
    <row r="90" spans="1:6" s="816" customFormat="1" ht="24">
      <c r="A90" s="820">
        <v>30</v>
      </c>
      <c r="B90" s="3630"/>
      <c r="C90" s="756" t="s">
        <v>674</v>
      </c>
      <c r="D90" s="756" t="s">
        <v>675</v>
      </c>
      <c r="E90" s="833">
        <v>0.2</v>
      </c>
      <c r="F90" s="820">
        <v>30</v>
      </c>
    </row>
    <row r="91" spans="1:6" s="816" customFormat="1" ht="36">
      <c r="A91" s="820">
        <v>31</v>
      </c>
      <c r="B91" s="3630"/>
      <c r="C91" s="756" t="s">
        <v>676</v>
      </c>
      <c r="D91" s="756" t="s">
        <v>677</v>
      </c>
      <c r="E91" s="833">
        <v>0.2</v>
      </c>
      <c r="F91" s="820">
        <v>30</v>
      </c>
    </row>
    <row r="92" spans="1:6" s="816" customFormat="1" ht="24">
      <c r="A92" s="820">
        <v>32</v>
      </c>
      <c r="B92" s="3630" t="s">
        <v>678</v>
      </c>
      <c r="C92" s="820" t="s">
        <v>679</v>
      </c>
      <c r="D92" s="756" t="s">
        <v>680</v>
      </c>
      <c r="E92" s="833">
        <v>0.2</v>
      </c>
      <c r="F92" s="820">
        <v>30</v>
      </c>
    </row>
    <row r="93" spans="1:6" s="816" customFormat="1" ht="36">
      <c r="A93" s="820">
        <v>33</v>
      </c>
      <c r="B93" s="3630"/>
      <c r="C93" s="820" t="s">
        <v>681</v>
      </c>
      <c r="D93" s="756" t="s">
        <v>682</v>
      </c>
      <c r="E93" s="833">
        <v>0.2</v>
      </c>
      <c r="F93" s="820">
        <v>30</v>
      </c>
    </row>
    <row r="94" spans="1:6" s="816" customFormat="1" ht="48">
      <c r="A94" s="820">
        <v>34</v>
      </c>
      <c r="B94" s="3630"/>
      <c r="C94" s="820" t="s">
        <v>683</v>
      </c>
      <c r="D94" s="756" t="s">
        <v>684</v>
      </c>
      <c r="E94" s="833">
        <v>0.2</v>
      </c>
      <c r="F94" s="820">
        <v>30</v>
      </c>
    </row>
    <row r="95" spans="1:6" s="816" customFormat="1" ht="36">
      <c r="A95" s="820">
        <v>35</v>
      </c>
      <c r="B95" s="3630"/>
      <c r="C95" s="820" t="s">
        <v>685</v>
      </c>
      <c r="D95" s="756" t="s">
        <v>686</v>
      </c>
      <c r="E95" s="833">
        <v>0.2</v>
      </c>
      <c r="F95" s="820">
        <v>30</v>
      </c>
    </row>
    <row r="96" spans="1:6" s="816" customFormat="1" ht="48">
      <c r="A96" s="820">
        <v>36</v>
      </c>
      <c r="B96" s="3630"/>
      <c r="C96" s="756" t="s">
        <v>687</v>
      </c>
      <c r="D96" s="756" t="s">
        <v>688</v>
      </c>
      <c r="E96" s="833">
        <v>0.2</v>
      </c>
      <c r="F96" s="820">
        <v>30</v>
      </c>
    </row>
    <row r="97" spans="1:6" s="816" customFormat="1" ht="36">
      <c r="A97" s="820">
        <v>37</v>
      </c>
      <c r="B97" s="3630"/>
      <c r="C97" s="820" t="s">
        <v>689</v>
      </c>
      <c r="D97" s="756" t="s">
        <v>690</v>
      </c>
      <c r="E97" s="833">
        <v>0.2</v>
      </c>
      <c r="F97" s="820">
        <v>30</v>
      </c>
    </row>
    <row r="98" spans="1:6" s="816" customFormat="1" ht="36">
      <c r="A98" s="820">
        <v>38</v>
      </c>
      <c r="B98" s="3630"/>
      <c r="C98" s="820" t="s">
        <v>691</v>
      </c>
      <c r="D98" s="756" t="s">
        <v>692</v>
      </c>
      <c r="E98" s="833">
        <v>0.2</v>
      </c>
      <c r="F98" s="820">
        <v>30</v>
      </c>
    </row>
    <row r="99" spans="1:6" s="816" customFormat="1" ht="36">
      <c r="A99" s="820">
        <v>39</v>
      </c>
      <c r="B99" s="3630" t="s">
        <v>693</v>
      </c>
      <c r="C99" s="820" t="s">
        <v>694</v>
      </c>
      <c r="D99" s="756" t="s">
        <v>695</v>
      </c>
      <c r="E99" s="833">
        <v>0.3</v>
      </c>
      <c r="F99" s="820">
        <v>50</v>
      </c>
    </row>
    <row r="100" spans="1:6" s="816" customFormat="1" ht="24">
      <c r="A100" s="820">
        <v>40</v>
      </c>
      <c r="B100" s="3630"/>
      <c r="C100" s="820" t="s">
        <v>696</v>
      </c>
      <c r="D100" s="756" t="s">
        <v>697</v>
      </c>
      <c r="E100" s="833">
        <v>0.2</v>
      </c>
      <c r="F100" s="820">
        <v>30</v>
      </c>
    </row>
    <row r="101" spans="1:6" s="816" customFormat="1" ht="36">
      <c r="A101" s="820">
        <v>41</v>
      </c>
      <c r="B101" s="363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30" t="s">
        <v>708</v>
      </c>
      <c r="C105" s="820" t="s">
        <v>709</v>
      </c>
      <c r="D105" s="756" t="s">
        <v>710</v>
      </c>
      <c r="E105" s="833">
        <v>0.2</v>
      </c>
      <c r="F105" s="820">
        <v>30</v>
      </c>
    </row>
    <row r="106" spans="1:6" s="816" customFormat="1" ht="36">
      <c r="A106" s="820">
        <v>46</v>
      </c>
      <c r="B106" s="3630"/>
      <c r="C106" s="820" t="s">
        <v>711</v>
      </c>
      <c r="D106" s="756" t="s">
        <v>712</v>
      </c>
      <c r="E106" s="833">
        <v>0.2</v>
      </c>
      <c r="F106" s="820">
        <v>30</v>
      </c>
    </row>
    <row r="107" spans="1:6" s="816" customFormat="1" ht="36">
      <c r="A107" s="820">
        <v>47</v>
      </c>
      <c r="B107" s="3630" t="s">
        <v>713</v>
      </c>
      <c r="C107" s="820" t="s">
        <v>714</v>
      </c>
      <c r="D107" s="756" t="s">
        <v>715</v>
      </c>
      <c r="E107" s="833">
        <v>0.3</v>
      </c>
      <c r="F107" s="820">
        <v>50</v>
      </c>
    </row>
    <row r="108" spans="1:6" s="816" customFormat="1" ht="36">
      <c r="A108" s="820">
        <v>48</v>
      </c>
      <c r="B108" s="363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30" t="s">
        <v>724</v>
      </c>
      <c r="C111" s="820" t="s">
        <v>725</v>
      </c>
      <c r="D111" s="756" t="s">
        <v>726</v>
      </c>
      <c r="E111" s="833">
        <v>0.2</v>
      </c>
      <c r="F111" s="820">
        <v>30</v>
      </c>
    </row>
    <row r="112" spans="1:6" s="816" customFormat="1" ht="24">
      <c r="A112" s="820">
        <v>52</v>
      </c>
      <c r="B112" s="3630"/>
      <c r="C112" s="820" t="s">
        <v>727</v>
      </c>
      <c r="D112" s="756" t="s">
        <v>728</v>
      </c>
      <c r="E112" s="833">
        <v>0.2</v>
      </c>
      <c r="F112" s="820">
        <v>30</v>
      </c>
    </row>
    <row r="113" spans="1:6" s="816" customFormat="1" ht="24">
      <c r="A113" s="820">
        <v>53</v>
      </c>
      <c r="B113" s="363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30" t="s">
        <v>737</v>
      </c>
      <c r="C116" s="820" t="s">
        <v>738</v>
      </c>
      <c r="D116" s="756" t="s">
        <v>739</v>
      </c>
      <c r="E116" s="833">
        <v>0.2</v>
      </c>
      <c r="F116" s="820">
        <v>30</v>
      </c>
    </row>
    <row r="117" spans="1:6" ht="36">
      <c r="A117" s="820">
        <v>57</v>
      </c>
      <c r="B117" s="363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1580</v>
      </c>
      <c r="B1" s="1673"/>
      <c r="C1" s="1673"/>
      <c r="D1" s="1673"/>
      <c r="E1" s="1673"/>
    </row>
    <row r="2" spans="1:5" ht="78" customHeight="1">
      <c r="A2" s="32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8"/>
      <c r="C2" s="3298"/>
      <c r="D2" s="3298"/>
      <c r="E2" s="3298"/>
    </row>
    <row r="3" spans="1:5" ht="18">
      <c r="A3" s="3299" t="str">
        <f>IF(项目基本情况!B9="房地产市场价值","估价结果一览表（市场价值不需“结果表-1”）","估价结果一览表")</f>
        <v>估价结果一览表</v>
      </c>
      <c r="B3" s="3299"/>
      <c r="C3" s="3299"/>
      <c r="D3" s="3299"/>
      <c r="E3" s="3299"/>
    </row>
    <row r="4" spans="1:5" ht="19.5" thickBot="1">
      <c r="A4" s="1675"/>
      <c r="B4" s="3297" t="s">
        <v>1589</v>
      </c>
      <c r="C4" s="3297"/>
      <c r="D4" s="3297"/>
      <c r="E4" s="1675"/>
    </row>
    <row r="5" spans="1:5" ht="16.5" thickTop="1">
      <c r="A5" s="1673"/>
      <c r="B5" s="3295" t="s">
        <v>1581</v>
      </c>
      <c r="C5" s="1676" t="s">
        <v>1582</v>
      </c>
      <c r="D5" s="958">
        <f ca="1">结果表!H101</f>
        <v>56678</v>
      </c>
      <c r="E5" s="1673"/>
    </row>
    <row r="6" spans="1:5" ht="15.75">
      <c r="A6" s="1673"/>
      <c r="B6" s="3295"/>
      <c r="C6" s="1676" t="s">
        <v>1583</v>
      </c>
      <c r="D6" s="958" t="str">
        <f ca="1">NUMBERSTRING(INT(D5*10000),2)&amp;"元整"</f>
        <v>伍亿陆仟陆佰柒拾捌万元整</v>
      </c>
      <c r="E6" s="1673"/>
    </row>
    <row r="7" spans="1:5" ht="15.75">
      <c r="A7" s="1673"/>
      <c r="B7" s="3300"/>
      <c r="C7" s="1677" t="s">
        <v>1584</v>
      </c>
      <c r="D7" s="959">
        <f ca="1">结果表!H102</f>
        <v>8518</v>
      </c>
      <c r="E7" s="1673"/>
    </row>
    <row r="8" spans="1:5" ht="15.75">
      <c r="A8" s="1673"/>
      <c r="B8" s="3301" t="str">
        <f>结果表!E103</f>
        <v>2.估价师知悉的法定优先受偿款</v>
      </c>
      <c r="C8" s="1678" t="s">
        <v>1585</v>
      </c>
      <c r="D8" s="959">
        <f>结果表!H103</f>
        <v>20000</v>
      </c>
      <c r="E8" s="1673"/>
    </row>
    <row r="9" spans="1:5" ht="15.75">
      <c r="A9" s="1673"/>
      <c r="B9" s="3303"/>
      <c r="C9" s="1676" t="s">
        <v>1583</v>
      </c>
      <c r="D9" s="958" t="str">
        <f>NUMBERSTRING(INT(D8*10000),2)&amp;"元整"</f>
        <v>贰亿元整</v>
      </c>
      <c r="E9" s="1673"/>
    </row>
    <row r="10" spans="1:5" ht="15">
      <c r="A10" s="1673"/>
      <c r="B10" s="1679" t="s">
        <v>1588</v>
      </c>
      <c r="C10" s="1680" t="s">
        <v>1586</v>
      </c>
      <c r="D10" s="960">
        <f>结果表!H104</f>
        <v>20000</v>
      </c>
      <c r="E10" s="1673"/>
    </row>
    <row r="11" spans="1:5" ht="15">
      <c r="A11" s="1673"/>
      <c r="B11" s="1679" t="s">
        <v>1590</v>
      </c>
      <c r="C11" s="1680" t="s">
        <v>1591</v>
      </c>
      <c r="D11" s="960">
        <f>结果表!H105</f>
        <v>0</v>
      </c>
      <c r="E11" s="1673"/>
    </row>
    <row r="12" spans="1:5" ht="15">
      <c r="A12" s="1673"/>
      <c r="B12" s="1679" t="s">
        <v>1592</v>
      </c>
      <c r="C12" s="1680" t="s">
        <v>1591</v>
      </c>
      <c r="D12" s="960">
        <f>结果表!H106</f>
        <v>0</v>
      </c>
      <c r="E12" s="1673"/>
    </row>
    <row r="13" spans="1:5" ht="15.75">
      <c r="A13" s="1673"/>
      <c r="B13" s="3294" t="str">
        <f>结果表!E107</f>
        <v>3.房地产抵押价值</v>
      </c>
      <c r="C13" s="1681" t="s">
        <v>1582</v>
      </c>
      <c r="D13" s="961">
        <f ca="1">结果表!H107</f>
        <v>36678</v>
      </c>
      <c r="E13" s="1673"/>
    </row>
    <row r="14" spans="1:5" ht="15.75">
      <c r="A14" s="1673"/>
      <c r="B14" s="3295"/>
      <c r="C14" s="1676" t="s">
        <v>1583</v>
      </c>
      <c r="D14" s="958" t="str">
        <f ca="1">NUMBERSTRING(INT(D13*10000),2)&amp;"元整"</f>
        <v>叁亿陆仟陆佰柒拾捌万元整</v>
      </c>
      <c r="E14" s="1673"/>
    </row>
    <row r="15" spans="1:5" ht="15">
      <c r="A15" s="1673"/>
      <c r="B15" s="3300"/>
      <c r="C15" s="1677" t="s">
        <v>1593</v>
      </c>
      <c r="D15" s="967">
        <f ca="1">结果表!H108</f>
        <v>5512</v>
      </c>
      <c r="E15" s="1673"/>
    </row>
    <row r="16" spans="1:5" ht="15">
      <c r="A16" s="1673"/>
      <c r="B16" s="3301" t="str">
        <f>结果表!E109</f>
        <v>——</v>
      </c>
      <c r="C16" s="1681" t="s">
        <v>1594</v>
      </c>
      <c r="D16" s="1682" t="str">
        <f>结果表!H109</f>
        <v>——</v>
      </c>
      <c r="E16" s="1673"/>
    </row>
    <row r="17" spans="1:5" ht="15.75">
      <c r="A17" s="1673"/>
      <c r="B17" s="3302"/>
      <c r="C17" s="1676" t="s">
        <v>1595</v>
      </c>
      <c r="D17" s="958" t="e">
        <f>NUMBERSTRING(INT(D16*10000),2)&amp;"元整"</f>
        <v>#VALUE!</v>
      </c>
      <c r="E17" s="1673"/>
    </row>
    <row r="18" spans="1:5" ht="15">
      <c r="A18" s="1673"/>
      <c r="B18" s="3303"/>
      <c r="C18" s="1677" t="s">
        <v>1584</v>
      </c>
      <c r="D18" s="967" t="str">
        <f>结果表!H110</f>
        <v>——</v>
      </c>
      <c r="E18" s="1673"/>
    </row>
    <row r="19" spans="1:5" ht="15.75">
      <c r="A19" s="1673"/>
      <c r="B19" s="3294" t="str">
        <f>结果表!E111</f>
        <v>——</v>
      </c>
      <c r="C19" s="1681" t="s">
        <v>1582</v>
      </c>
      <c r="D19" s="959" t="str">
        <f>结果表!H111</f>
        <v>——</v>
      </c>
      <c r="E19" s="1673"/>
    </row>
    <row r="20" spans="1:5" ht="15.75">
      <c r="A20" s="1673"/>
      <c r="B20" s="3295"/>
      <c r="C20" s="1676" t="s">
        <v>1595</v>
      </c>
      <c r="D20" s="958" t="e">
        <f>NUMBERSTRING(INT(D19*10000),2)&amp;"元整"</f>
        <v>#VALUE!</v>
      </c>
      <c r="E20" s="1673"/>
    </row>
    <row r="21" spans="1:5" ht="15.75" thickBot="1">
      <c r="A21" s="1673"/>
      <c r="B21" s="3296"/>
      <c r="C21" s="1683" t="s">
        <v>1593</v>
      </c>
      <c r="D21" s="968" t="str">
        <f>结果表!H112</f>
        <v>——</v>
      </c>
      <c r="E21" s="1673"/>
    </row>
    <row r="22" spans="1:5" ht="15" thickTop="1">
      <c r="A22" s="1673"/>
      <c r="B22" s="1684" t="s">
        <v>1596</v>
      </c>
      <c r="C22" s="1673"/>
      <c r="D22" s="1673"/>
      <c r="E22" s="1673"/>
    </row>
    <row r="23" spans="1:5">
      <c r="A23" s="1673"/>
      <c r="B23" s="1673"/>
      <c r="C23" s="1673"/>
      <c r="D23" s="1673"/>
      <c r="E23" s="1673"/>
    </row>
    <row r="24" spans="1:5" ht="18.75">
      <c r="A24" s="1685"/>
      <c r="B24" s="1686" t="s">
        <v>1587</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2815</v>
      </c>
      <c r="B1" s="2360"/>
      <c r="C1" s="2360"/>
      <c r="D1" s="2360"/>
      <c r="E1" s="2360"/>
      <c r="F1" s="3018"/>
      <c r="G1" s="3018"/>
      <c r="H1" s="3018"/>
      <c r="I1" s="3018"/>
      <c r="J1" s="3018"/>
      <c r="K1" s="3018"/>
      <c r="L1" s="3018"/>
      <c r="M1" s="3018"/>
      <c r="N1" s="3018"/>
      <c r="O1" s="3018"/>
      <c r="P1" s="3018"/>
    </row>
    <row r="2" spans="1:16" ht="15.75">
      <c r="A2" s="2358" t="s">
        <v>2807</v>
      </c>
      <c r="B2" s="2822" t="e">
        <f ca="1">SUMIF(B6:B13,"&lt;&gt;#ref!",B6:B13)</f>
        <v>#DIV/0!</v>
      </c>
      <c r="C2" s="2358" t="s">
        <v>2808</v>
      </c>
      <c r="D2" s="2358" t="s">
        <v>2809</v>
      </c>
      <c r="E2" s="2832">
        <f ca="1">SUMIF(E6:E13,"&lt;&gt;#ref!",E6:E13)</f>
        <v>0</v>
      </c>
      <c r="F2" s="3018"/>
      <c r="G2" s="3018"/>
      <c r="H2" s="3018"/>
      <c r="I2" s="3018"/>
      <c r="J2" s="3018"/>
      <c r="K2" s="3018"/>
      <c r="L2" s="3018"/>
      <c r="M2" s="3018"/>
      <c r="N2" s="3018"/>
      <c r="O2" s="3018"/>
      <c r="P2" s="3018"/>
    </row>
    <row r="3" spans="1:16" ht="15.75">
      <c r="A3" s="2358" t="s">
        <v>2810</v>
      </c>
      <c r="B3" s="2822" t="e">
        <f ca="1">ROUND(B2*10000/E2,0)</f>
        <v>#DIV/0!</v>
      </c>
      <c r="C3" s="2358" t="s">
        <v>2816</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2811</v>
      </c>
      <c r="B5" s="2830" t="s">
        <v>2812</v>
      </c>
      <c r="C5" s="2359"/>
      <c r="D5" s="3018"/>
      <c r="E5" s="2831" t="s">
        <v>2813</v>
      </c>
      <c r="F5" s="3018"/>
      <c r="G5" s="3018"/>
      <c r="H5" s="3018"/>
      <c r="I5" s="3018"/>
      <c r="J5" s="3018"/>
      <c r="K5" s="3018"/>
      <c r="L5" s="3018"/>
      <c r="M5" s="3018"/>
      <c r="N5" s="3018"/>
      <c r="O5" s="3018"/>
      <c r="P5" s="3018"/>
    </row>
    <row r="6" spans="1:16" ht="15.75">
      <c r="A6" s="2829" t="s">
        <v>2814</v>
      </c>
      <c r="B6" s="2822" t="e">
        <f ca="1">SUMIF(INDIRECT("'"&amp;A6&amp;"'"&amp;"!A:A"),"总价",INDIRECT("'"&amp;A6&amp;"'"&amp;"!B:B"))</f>
        <v>#DIV/0!</v>
      </c>
      <c r="C6" s="2358" t="s">
        <v>2808</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8" t="s">
        <v>2808</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8" t="s">
        <v>2808</v>
      </c>
      <c r="D8" s="3018"/>
      <c r="E8" s="2832" t="e">
        <f t="shared" ca="1" si="0"/>
        <v>#REF!</v>
      </c>
      <c r="F8" s="3018"/>
      <c r="G8" s="3018"/>
      <c r="H8" s="3018"/>
      <c r="I8" s="3018"/>
      <c r="J8" s="3018"/>
      <c r="K8" s="3018"/>
      <c r="L8" s="3018"/>
      <c r="M8" s="3018"/>
      <c r="N8" s="3018"/>
      <c r="O8" s="3018"/>
      <c r="P8" s="3018"/>
    </row>
    <row r="9" spans="1:16" ht="15.75">
      <c r="A9" s="2829"/>
      <c r="B9" s="2822" t="e">
        <f t="shared" ca="1" si="1"/>
        <v>#REF!</v>
      </c>
      <c r="C9" s="2358" t="s">
        <v>2808</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8" t="s">
        <v>2808</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8" t="s">
        <v>2808</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8" t="s">
        <v>2808</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8" t="s">
        <v>2808</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636" t="s">
        <v>1111</v>
      </c>
      <c r="C1" s="3636"/>
      <c r="D1" s="3636"/>
      <c r="E1" s="3636"/>
      <c r="F1" s="3636"/>
      <c r="G1" s="3635" t="s">
        <v>1112</v>
      </c>
      <c r="H1" s="3635"/>
      <c r="I1" s="3635"/>
      <c r="J1" s="3635"/>
      <c r="K1" s="3635"/>
      <c r="L1" s="3635"/>
      <c r="N1" s="3635" t="s">
        <v>1113</v>
      </c>
      <c r="O1" s="3635"/>
      <c r="P1" s="3635"/>
      <c r="Q1" s="3635"/>
      <c r="S1" s="3635" t="s">
        <v>1114</v>
      </c>
      <c r="T1" s="3635"/>
      <c r="U1" s="3635"/>
      <c r="V1" s="3635"/>
      <c r="X1" s="3634" t="s">
        <v>1115</v>
      </c>
      <c r="Y1" s="3635"/>
      <c r="Z1" s="3635"/>
      <c r="AA1" s="3635"/>
      <c r="AB1" s="3635"/>
      <c r="AD1" s="3634" t="s">
        <v>1116</v>
      </c>
      <c r="AE1" s="3635"/>
      <c r="AF1" s="3635"/>
      <c r="AG1" s="3635"/>
      <c r="AH1" s="3635"/>
    </row>
    <row r="2" spans="1:34" s="2387" customFormat="1" ht="14.25" thickBot="1">
      <c r="B2" s="2388" t="s">
        <v>1117</v>
      </c>
      <c r="C2" s="2388" t="s">
        <v>1118</v>
      </c>
      <c r="D2" s="2389" t="s">
        <v>1119</v>
      </c>
      <c r="E2" s="2389" t="s">
        <v>1120</v>
      </c>
      <c r="F2" s="2388" t="s">
        <v>1121</v>
      </c>
      <c r="G2" s="2390"/>
      <c r="I2" s="2388" t="s">
        <v>1117</v>
      </c>
      <c r="J2" s="2389" t="s">
        <v>1344</v>
      </c>
      <c r="K2" s="2389" t="s">
        <v>751</v>
      </c>
      <c r="L2" s="2388" t="s">
        <v>1121</v>
      </c>
      <c r="N2" s="2388" t="s">
        <v>1117</v>
      </c>
      <c r="O2" s="2389" t="s">
        <v>1344</v>
      </c>
      <c r="P2" s="2389" t="s">
        <v>751</v>
      </c>
      <c r="Q2" s="2388" t="s">
        <v>1121</v>
      </c>
      <c r="S2" s="2388" t="s">
        <v>1117</v>
      </c>
      <c r="T2" s="2389" t="s">
        <v>1344</v>
      </c>
      <c r="U2" s="2389" t="s">
        <v>751</v>
      </c>
      <c r="V2" s="2388" t="s">
        <v>1121</v>
      </c>
      <c r="X2" s="2388" t="s">
        <v>1117</v>
      </c>
      <c r="Y2" s="2388" t="s">
        <v>1118</v>
      </c>
      <c r="Z2" s="2389" t="s">
        <v>1119</v>
      </c>
      <c r="AA2" s="2389" t="s">
        <v>1120</v>
      </c>
      <c r="AB2" s="2388" t="s">
        <v>1121</v>
      </c>
      <c r="AD2" s="2388" t="s">
        <v>1117</v>
      </c>
      <c r="AE2" s="2388" t="s">
        <v>1118</v>
      </c>
      <c r="AF2" s="2389" t="s">
        <v>1119</v>
      </c>
      <c r="AG2" s="2389" t="s">
        <v>1120</v>
      </c>
      <c r="AH2" s="2388" t="s">
        <v>1121</v>
      </c>
    </row>
    <row r="3" spans="1:34" s="2397" customFormat="1" ht="14.25">
      <c r="A3" s="2391" t="s">
        <v>2848</v>
      </c>
      <c r="B3" s="2392"/>
      <c r="C3" s="2392"/>
      <c r="D3" s="2393"/>
      <c r="E3" s="2393"/>
      <c r="F3" s="2392"/>
      <c r="G3" s="2394"/>
      <c r="H3" s="2395"/>
      <c r="I3" s="2396">
        <f>ROUND(AVERAGE($I4:$I36),2)</f>
        <v>1.66</v>
      </c>
      <c r="J3" s="2396">
        <f>ROUND(AVERAGE($J4:$J36),2)</f>
        <v>1.05</v>
      </c>
      <c r="K3" s="2396">
        <f>ROUND(AVERAGE($K4:$K36),2)</f>
        <v>1.83</v>
      </c>
      <c r="L3" s="2396">
        <f>ROUND(AVERAGE($L4:$L36),2)</f>
        <v>1.22</v>
      </c>
      <c r="N3" s="2394"/>
      <c r="S3" s="2394"/>
      <c r="W3" s="2398"/>
      <c r="X3" s="2399">
        <f>ROUND(SUMPRODUCT(PRODUCT(1+N3:N$35)),4)</f>
        <v>1.6415999999999999</v>
      </c>
      <c r="Y3" s="2399">
        <f>ROUND(SUMPRODUCT(PRODUCT(1+O3:O$35)),4)</f>
        <v>1.3644000000000001</v>
      </c>
      <c r="Z3" s="2399">
        <f>Y3</f>
        <v>1.3644000000000001</v>
      </c>
      <c r="AA3" s="2399">
        <f>ROUND(SUMPRODUCT(PRODUCT(1+P3:P$35)),4)</f>
        <v>1.7232000000000001</v>
      </c>
      <c r="AB3" s="2399">
        <f>ROUND(SUMPRODUCT(PRODUCT(1+Q3:Q$35)),4)</f>
        <v>1.4529000000000001</v>
      </c>
      <c r="AD3" s="2400">
        <f>ROUND(AVERAGE(I3:I$36)/100,4)</f>
        <v>1.66E-2</v>
      </c>
      <c r="AE3" s="2400">
        <f>ROUND(AVERAGE(J3:J$36)/100,4)</f>
        <v>1.0500000000000001E-2</v>
      </c>
      <c r="AF3" s="2400">
        <f>AE3</f>
        <v>1.0500000000000001E-2</v>
      </c>
      <c r="AG3" s="2400">
        <f>ROUND(AVERAGE(K3:K$36)/100,4)</f>
        <v>1.83E-2</v>
      </c>
      <c r="AH3" s="2400">
        <f>ROUND(AVERAGE(L3:L$36)/100,4)</f>
        <v>1.2200000000000001E-2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B20" si="0">B6*(1+N5)</f>
        <v>504.87072809615569</v>
      </c>
      <c r="C5" s="2410">
        <f t="shared" ref="C5:C20" si="1">C6*(1+O5)</f>
        <v>351.71182348101968</v>
      </c>
      <c r="D5" s="2410">
        <f t="shared" ref="D5:D25" si="2">C5</f>
        <v>351.71182348101968</v>
      </c>
      <c r="E5" s="2410">
        <f t="shared" ref="E5:E20" si="3">E6*(1+P5)</f>
        <v>728.75350858360832</v>
      </c>
      <c r="F5" s="2410">
        <f t="shared" ref="F5:F20" si="4">F6*(1+Q5)</f>
        <v>334.04593931673656</v>
      </c>
      <c r="G5" s="3055">
        <v>2021</v>
      </c>
      <c r="H5" s="2412">
        <v>4</v>
      </c>
      <c r="I5" s="2413">
        <v>0</v>
      </c>
      <c r="J5" s="2413">
        <v>0</v>
      </c>
      <c r="K5" s="2413">
        <v>0</v>
      </c>
      <c r="L5" s="2413">
        <v>0</v>
      </c>
      <c r="N5" s="2415">
        <f t="shared" ref="N5:Q12" si="5">I5/100</f>
        <v>0</v>
      </c>
      <c r="O5" s="2415">
        <f t="shared" si="5"/>
        <v>0</v>
      </c>
      <c r="P5" s="2415">
        <f t="shared" si="5"/>
        <v>0</v>
      </c>
      <c r="Q5" s="2415">
        <f t="shared" si="5"/>
        <v>0</v>
      </c>
      <c r="S5" s="2416"/>
      <c r="W5" s="2417" t="s">
        <v>2849</v>
      </c>
      <c r="X5" s="2418">
        <f>ROUND(IF(项目基本情况!B2="出让",SUMPRODUCT(PRODUCT(1+N5:N$36)),SUMPRODUCT(PRODUCT(1+N5:N$35))),4)</f>
        <v>1.6415999999999999</v>
      </c>
      <c r="Y5" s="2418">
        <f>ROUND(IF(项目基本情况!B2="出让",SUMPRODUCT(PRODUCT(1+O5:O$36)),SUMPRODUCT(PRODUCT(1+O5:O$35))),4)</f>
        <v>1.3644000000000001</v>
      </c>
      <c r="Z5" s="2418">
        <f t="shared" ref="Z5:Z35" si="6">Y5</f>
        <v>1.3644000000000001</v>
      </c>
      <c r="AA5" s="2418">
        <f>ROUND(IF(项目基本情况!B2="出让",SUMPRODUCT(PRODUCT(1+P5:P$36)),SUMPRODUCT(PRODUCT(1+P5:P$35))),4)</f>
        <v>1.7232000000000001</v>
      </c>
      <c r="AB5" s="2418">
        <f>ROUND(IF(项目基本情况!B2="出让",SUMPRODUCT(PRODUCT(1+Q5:Q$36)),SUMPRODUCT(PRODUCT(1+Q5:Q$35))),4)</f>
        <v>1.4529000000000001</v>
      </c>
      <c r="AD5" s="2419">
        <f>ROUND(AVERAGE(I5:I$36)/100,4)</f>
        <v>1.66E-2</v>
      </c>
      <c r="AE5" s="2419">
        <f>ROUND(AVERAGE(J5:J$36)/100,4)</f>
        <v>1.0500000000000001E-2</v>
      </c>
      <c r="AF5" s="2419">
        <f t="shared" ref="AF5:AF36" si="7">AE5</f>
        <v>1.0500000000000001E-2</v>
      </c>
      <c r="AG5" s="2419">
        <f>ROUND(AVERAGE(K5:K$36)/100,4)</f>
        <v>1.83E-2</v>
      </c>
      <c r="AH5" s="2419">
        <f>ROUND(AVERAGE(L5:L$36)/100,4)</f>
        <v>1.2200000000000001E-2</v>
      </c>
    </row>
    <row r="6" spans="1:34" s="2427" customFormat="1">
      <c r="A6" s="2420" t="s">
        <v>3054</v>
      </c>
      <c r="B6" s="2421">
        <f t="shared" si="0"/>
        <v>504.87072809615569</v>
      </c>
      <c r="C6" s="2421">
        <f t="shared" si="1"/>
        <v>351.71182348101968</v>
      </c>
      <c r="D6" s="2421">
        <f t="shared" si="2"/>
        <v>351.71182348101968</v>
      </c>
      <c r="E6" s="2421">
        <f t="shared" si="3"/>
        <v>728.75350858360832</v>
      </c>
      <c r="F6" s="2421">
        <f t="shared" si="4"/>
        <v>334.04593931673656</v>
      </c>
      <c r="G6" s="3055">
        <v>2021</v>
      </c>
      <c r="H6" s="2422">
        <v>3</v>
      </c>
      <c r="I6" s="2384">
        <v>0.47</v>
      </c>
      <c r="J6" s="2384">
        <v>0.41</v>
      </c>
      <c r="K6" s="2384">
        <v>0.48</v>
      </c>
      <c r="L6" s="2385">
        <v>0.48</v>
      </c>
      <c r="M6" s="2407"/>
      <c r="N6" s="2423">
        <f t="shared" si="5"/>
        <v>4.6999999999999993E-3</v>
      </c>
      <c r="O6" s="2408">
        <f t="shared" si="5"/>
        <v>4.0999999999999995E-3</v>
      </c>
      <c r="P6" s="2408">
        <f t="shared" si="5"/>
        <v>4.7999999999999996E-3</v>
      </c>
      <c r="Q6" s="2408">
        <f t="shared" si="5"/>
        <v>4.7999999999999996E-3</v>
      </c>
      <c r="R6" s="2424"/>
      <c r="S6" s="2423"/>
      <c r="T6" s="2408"/>
      <c r="U6" s="2408"/>
      <c r="V6" s="2408"/>
      <c r="W6" s="2425"/>
      <c r="X6" s="2425">
        <f>ROUND(IF(项目基本情况!B3="出让",SUMPRODUCT(PRODUCT(1+N6:N$36)),SUMPRODUCT(PRODUCT(1+N6:N$35))),4)</f>
        <v>1.6415999999999999</v>
      </c>
      <c r="Y6" s="2425">
        <f>ROUND(IF(项目基本情况!B3="出让",SUMPRODUCT(PRODUCT(1+O6:O$36)),SUMPRODUCT(PRODUCT(1+O6:O$35))),4)</f>
        <v>1.3644000000000001</v>
      </c>
      <c r="Z6" s="2425">
        <f t="shared" si="6"/>
        <v>1.3644000000000001</v>
      </c>
      <c r="AA6" s="2425">
        <f>ROUND(IF(项目基本情况!B3="出让",SUMPRODUCT(PRODUCT(1+P6:P$36)),SUMPRODUCT(PRODUCT(1+P6:P$35))),4)</f>
        <v>1.7232000000000001</v>
      </c>
      <c r="AB6" s="2425">
        <f>ROUND(IF(项目基本情况!B3="出让",SUMPRODUCT(PRODUCT(1+Q6:Q$36)),SUMPRODUCT(PRODUCT(1+Q6:Q$35))),4)</f>
        <v>1.4529000000000001</v>
      </c>
      <c r="AC6" s="2425"/>
      <c r="AD6" s="2426">
        <f>ROUND(AVERAGE(I6:I$36)/100,4)</f>
        <v>1.72E-2</v>
      </c>
      <c r="AE6" s="2426">
        <f>ROUND(AVERAGE(J6:J$36)/100,4)</f>
        <v>1.09E-2</v>
      </c>
      <c r="AF6" s="2426">
        <f t="shared" si="7"/>
        <v>1.09E-2</v>
      </c>
      <c r="AG6" s="2426">
        <f>ROUND(AVERAGE(K6:K$36)/100,4)</f>
        <v>1.89E-2</v>
      </c>
      <c r="AH6" s="2426">
        <f>ROUND(AVERAGE(L6:L$36)/100,4)</f>
        <v>1.26E-2</v>
      </c>
    </row>
    <row r="7" spans="1:34" s="2427" customFormat="1">
      <c r="A7" s="2420" t="s">
        <v>3053</v>
      </c>
      <c r="B7" s="2421">
        <f t="shared" si="0"/>
        <v>502.50893609650217</v>
      </c>
      <c r="C7" s="2421">
        <f t="shared" si="1"/>
        <v>350.27569313914915</v>
      </c>
      <c r="D7" s="2421">
        <f t="shared" si="2"/>
        <v>350.27569313914915</v>
      </c>
      <c r="E7" s="2421">
        <f t="shared" si="3"/>
        <v>725.27220201394141</v>
      </c>
      <c r="F7" s="2421">
        <f t="shared" si="4"/>
        <v>332.45017846012797</v>
      </c>
      <c r="G7" s="3054">
        <v>2021</v>
      </c>
      <c r="H7" s="2422">
        <v>2</v>
      </c>
      <c r="I7" s="2384">
        <v>0.92</v>
      </c>
      <c r="J7" s="2384">
        <v>0.72</v>
      </c>
      <c r="K7" s="2384">
        <v>0.95</v>
      </c>
      <c r="L7" s="2385">
        <v>1.01</v>
      </c>
      <c r="M7" s="2407"/>
      <c r="N7" s="2423">
        <f t="shared" si="5"/>
        <v>9.1999999999999998E-3</v>
      </c>
      <c r="O7" s="2408">
        <f t="shared" si="5"/>
        <v>7.1999999999999998E-3</v>
      </c>
      <c r="P7" s="2408">
        <f t="shared" si="5"/>
        <v>9.4999999999999998E-3</v>
      </c>
      <c r="Q7" s="2408">
        <f t="shared" si="5"/>
        <v>1.01E-2</v>
      </c>
      <c r="R7" s="2424"/>
      <c r="S7" s="2423"/>
      <c r="T7" s="2408"/>
      <c r="U7" s="2408"/>
      <c r="V7" s="2408"/>
      <c r="W7" s="2425"/>
      <c r="X7" s="2425">
        <f>ROUND(IF(项目基本情况!B4="出让",SUMPRODUCT(PRODUCT(1+N7:N$36)),SUMPRODUCT(PRODUCT(1+N7:N$35))),4)</f>
        <v>1.6338999999999999</v>
      </c>
      <c r="Y7" s="2425">
        <f>ROUND(IF(项目基本情况!B4="出让",SUMPRODUCT(PRODUCT(1+O7:O$36)),SUMPRODUCT(PRODUCT(1+O7:O$35))),4)</f>
        <v>1.3588</v>
      </c>
      <c r="Z7" s="2425">
        <f t="shared" si="6"/>
        <v>1.3588</v>
      </c>
      <c r="AA7" s="2425">
        <f>ROUND(IF(项目基本情况!B4="出让",SUMPRODUCT(PRODUCT(1+P7:P$36)),SUMPRODUCT(PRODUCT(1+P7:P$35))),4)</f>
        <v>1.7150000000000001</v>
      </c>
      <c r="AB7" s="2425">
        <f>ROUND(IF(项目基本情况!B4="出让",SUMPRODUCT(PRODUCT(1+Q7:Q$36)),SUMPRODUCT(PRODUCT(1+Q7:Q$35))),4)</f>
        <v>1.446</v>
      </c>
      <c r="AC7" s="2425"/>
      <c r="AD7" s="2426">
        <f>ROUND(AVERAGE(I7:I$36)/100,4)</f>
        <v>1.7600000000000001E-2</v>
      </c>
      <c r="AE7" s="2426">
        <f>ROUND(AVERAGE(J7:J$36)/100,4)</f>
        <v>1.11E-2</v>
      </c>
      <c r="AF7" s="2426">
        <f t="shared" si="7"/>
        <v>1.11E-2</v>
      </c>
      <c r="AG7" s="2426">
        <f>ROUND(AVERAGE(K7:K$36)/100,4)</f>
        <v>1.9400000000000001E-2</v>
      </c>
      <c r="AH7" s="2426">
        <f>ROUND(AVERAGE(L7:L$36)/100,4)</f>
        <v>1.2800000000000001E-2</v>
      </c>
    </row>
    <row r="8" spans="1:34" s="2427" customFormat="1">
      <c r="A8" s="2420" t="s">
        <v>3052</v>
      </c>
      <c r="B8" s="2421">
        <f t="shared" si="0"/>
        <v>497.92799851020823</v>
      </c>
      <c r="C8" s="2421">
        <f t="shared" si="1"/>
        <v>347.77173663537445</v>
      </c>
      <c r="D8" s="2421">
        <f t="shared" si="2"/>
        <v>347.77173663537445</v>
      </c>
      <c r="E8" s="2421">
        <f t="shared" si="3"/>
        <v>718.44695593258189</v>
      </c>
      <c r="F8" s="2421">
        <f t="shared" si="4"/>
        <v>329.12600580153247</v>
      </c>
      <c r="G8" s="3038">
        <v>2021</v>
      </c>
      <c r="H8" s="2422">
        <v>1</v>
      </c>
      <c r="I8" s="2384">
        <v>0.97</v>
      </c>
      <c r="J8" s="2384">
        <v>0.16</v>
      </c>
      <c r="K8" s="2384">
        <v>1.1100000000000001</v>
      </c>
      <c r="L8" s="2385">
        <v>0.36</v>
      </c>
      <c r="M8" s="2407"/>
      <c r="N8" s="2423">
        <f t="shared" si="5"/>
        <v>9.7000000000000003E-3</v>
      </c>
      <c r="O8" s="2408">
        <f t="shared" si="5"/>
        <v>1.6000000000000001E-3</v>
      </c>
      <c r="P8" s="2408">
        <f t="shared" si="5"/>
        <v>1.11E-2</v>
      </c>
      <c r="Q8" s="2408">
        <f t="shared" si="5"/>
        <v>3.5999999999999999E-3</v>
      </c>
      <c r="R8" s="2424"/>
      <c r="S8" s="2423">
        <f>B8/B9-1</f>
        <v>9.7000000000000419E-3</v>
      </c>
      <c r="T8" s="2408">
        <f>C8/C9-1</f>
        <v>1.6000000000000458E-3</v>
      </c>
      <c r="U8" s="2408">
        <f>D8/D9-1</f>
        <v>1.6000000000000458E-3</v>
      </c>
      <c r="V8" s="2408">
        <f>E8/E9-1</f>
        <v>1.110000000000011E-2</v>
      </c>
      <c r="W8" s="2425"/>
      <c r="X8" s="2425">
        <f>ROUND(IF(项目基本情况!B5="出让",SUMPRODUCT(PRODUCT(1+N8:N$36)),SUMPRODUCT(PRODUCT(1+N8:N$35))),4)</f>
        <v>1.619</v>
      </c>
      <c r="Y8" s="2425">
        <f>ROUND(IF(项目基本情况!B5="出让",SUMPRODUCT(PRODUCT(1+O8:O$36)),SUMPRODUCT(PRODUCT(1+O8:O$35))),4)</f>
        <v>1.3491</v>
      </c>
      <c r="Z8" s="2425">
        <f t="shared" si="6"/>
        <v>1.3491</v>
      </c>
      <c r="AA8" s="2425">
        <f>ROUND(IF(项目基本情况!B5="出让",SUMPRODUCT(PRODUCT(1+P8:P$36)),SUMPRODUCT(PRODUCT(1+P8:P$35))),4)</f>
        <v>1.6988000000000001</v>
      </c>
      <c r="AB8" s="2425">
        <f>ROUND(IF(项目基本情况!B5="出让",SUMPRODUCT(PRODUCT(1+Q8:Q$36)),SUMPRODUCT(PRODUCT(1+Q8:Q$35))),4)</f>
        <v>1.4315</v>
      </c>
      <c r="AC8" s="2425"/>
      <c r="AD8" s="2426">
        <f>ROUND(AVERAGE(I8:I$36)/100,4)</f>
        <v>1.7899999999999999E-2</v>
      </c>
      <c r="AE8" s="2426">
        <f>ROUND(AVERAGE(J8:J$36)/100,4)</f>
        <v>1.12E-2</v>
      </c>
      <c r="AF8" s="2426">
        <f t="shared" si="7"/>
        <v>1.12E-2</v>
      </c>
      <c r="AG8" s="2426">
        <f>ROUND(AVERAGE(K8:K$36)/100,4)</f>
        <v>1.9699999999999999E-2</v>
      </c>
      <c r="AH8" s="2426">
        <f>ROUND(AVERAGE(L8:L$36)/100,4)</f>
        <v>1.29E-2</v>
      </c>
    </row>
    <row r="9" spans="1:34" s="2427" customFormat="1">
      <c r="A9" s="2420" t="s">
        <v>3050</v>
      </c>
      <c r="B9" s="2421">
        <f t="shared" si="0"/>
        <v>493.14449689037161</v>
      </c>
      <c r="C9" s="2421">
        <f t="shared" si="1"/>
        <v>347.21619073020611</v>
      </c>
      <c r="D9" s="2421">
        <f t="shared" si="2"/>
        <v>347.21619073020611</v>
      </c>
      <c r="E9" s="2421">
        <f t="shared" si="3"/>
        <v>710.55974278763904</v>
      </c>
      <c r="F9" s="2421">
        <f t="shared" si="4"/>
        <v>327.94540235306141</v>
      </c>
      <c r="G9" s="3037">
        <v>2020</v>
      </c>
      <c r="H9" s="2422">
        <v>4</v>
      </c>
      <c r="I9" s="2384">
        <v>2.0699999999999998</v>
      </c>
      <c r="J9" s="2384">
        <v>0.37</v>
      </c>
      <c r="K9" s="2384">
        <v>2.35</v>
      </c>
      <c r="L9" s="2385">
        <v>2.69</v>
      </c>
      <c r="M9" s="2407"/>
      <c r="N9" s="2423">
        <f t="shared" si="5"/>
        <v>2.07E-2</v>
      </c>
      <c r="O9" s="2408">
        <f t="shared" si="5"/>
        <v>3.7000000000000002E-3</v>
      </c>
      <c r="P9" s="2408">
        <f t="shared" si="5"/>
        <v>2.35E-2</v>
      </c>
      <c r="Q9" s="2408">
        <f t="shared" si="5"/>
        <v>2.69E-2</v>
      </c>
      <c r="R9" s="2424"/>
      <c r="S9" s="2423"/>
      <c r="T9" s="2408"/>
      <c r="U9" s="2408"/>
      <c r="V9" s="2408"/>
      <c r="W9" s="2425"/>
      <c r="X9" s="2425">
        <f>ROUND(IF(项目基本情况!B6="出让",SUMPRODUCT(PRODUCT(1+N9:N$36)),SUMPRODUCT(PRODUCT(1+N9:N$35))),4)</f>
        <v>1.6034999999999999</v>
      </c>
      <c r="Y9" s="2425">
        <f>ROUND(IF(项目基本情况!B6="出让",SUMPRODUCT(PRODUCT(1+O9:O$36)),SUMPRODUCT(PRODUCT(1+O9:O$35))),4)</f>
        <v>1.3469</v>
      </c>
      <c r="Z9" s="2425">
        <f t="shared" si="6"/>
        <v>1.3469</v>
      </c>
      <c r="AA9" s="2425">
        <f>ROUND(IF(项目基本情况!B6="出让",SUMPRODUCT(PRODUCT(1+P9:P$36)),SUMPRODUCT(PRODUCT(1+P9:P$35))),4)</f>
        <v>1.6801999999999999</v>
      </c>
      <c r="AB9" s="2425">
        <f>ROUND(IF(项目基本情况!B6="出让",SUMPRODUCT(PRODUCT(1+Q9:Q$36)),SUMPRODUCT(PRODUCT(1+Q9:Q$35))),4)</f>
        <v>1.4263999999999999</v>
      </c>
      <c r="AC9" s="2425"/>
      <c r="AD9" s="2426">
        <f>ROUND(AVERAGE(I9:I$36)/100,4)</f>
        <v>1.8200000000000001E-2</v>
      </c>
      <c r="AE9" s="2426">
        <f>ROUND(AVERAGE(J9:J$36)/100,4)</f>
        <v>1.1599999999999999E-2</v>
      </c>
      <c r="AF9" s="2426">
        <f t="shared" si="7"/>
        <v>1.1599999999999999E-2</v>
      </c>
      <c r="AG9" s="2426">
        <f>ROUND(AVERAGE(K9:K$36)/100,4)</f>
        <v>0.02</v>
      </c>
      <c r="AH9" s="2426">
        <f>ROUND(AVERAGE(L9:L$36)/100,4)</f>
        <v>1.3299999999999999E-2</v>
      </c>
    </row>
    <row r="10" spans="1:34" s="2427" customFormat="1">
      <c r="A10" s="2420" t="s">
        <v>3049</v>
      </c>
      <c r="B10" s="2421">
        <f t="shared" si="0"/>
        <v>483.1434279321756</v>
      </c>
      <c r="C10" s="2421">
        <f t="shared" si="1"/>
        <v>345.93622669144776</v>
      </c>
      <c r="D10" s="2421">
        <f t="shared" si="2"/>
        <v>345.93622669144776</v>
      </c>
      <c r="E10" s="2421">
        <f t="shared" si="3"/>
        <v>694.24498562544113</v>
      </c>
      <c r="F10" s="2421">
        <f t="shared" si="4"/>
        <v>319.35475932716082</v>
      </c>
      <c r="G10" s="3034">
        <v>2020</v>
      </c>
      <c r="H10" s="2422">
        <v>3</v>
      </c>
      <c r="I10" s="2384">
        <v>0.36</v>
      </c>
      <c r="J10" s="2384">
        <v>-0.39</v>
      </c>
      <c r="K10" s="2384">
        <v>0.49</v>
      </c>
      <c r="L10" s="2385">
        <v>7.0000000000000007E-2</v>
      </c>
      <c r="M10" s="2407"/>
      <c r="N10" s="2423">
        <f t="shared" si="5"/>
        <v>3.5999999999999999E-3</v>
      </c>
      <c r="O10" s="2408">
        <f t="shared" si="5"/>
        <v>-3.9000000000000003E-3</v>
      </c>
      <c r="P10" s="2408">
        <f t="shared" si="5"/>
        <v>4.8999999999999998E-3</v>
      </c>
      <c r="Q10" s="2408">
        <f t="shared" si="5"/>
        <v>7.000000000000001E-4</v>
      </c>
      <c r="R10" s="2424"/>
      <c r="S10" s="2423"/>
      <c r="T10" s="2408"/>
      <c r="U10" s="2408"/>
      <c r="V10" s="2408"/>
      <c r="W10" s="2425"/>
      <c r="X10" s="2425">
        <f>ROUND(IF(项目基本情况!B7="出让",SUMPRODUCT(PRODUCT(1+N10:N$36)),SUMPRODUCT(PRODUCT(1+N10:N$35))),4)</f>
        <v>1.571</v>
      </c>
      <c r="Y10" s="2425">
        <f>ROUND(IF(项目基本情况!B7="出让",SUMPRODUCT(PRODUCT(1+O10:O$36)),SUMPRODUCT(PRODUCT(1+O10:O$35))),4)</f>
        <v>1.3420000000000001</v>
      </c>
      <c r="Z10" s="2425">
        <f t="shared" si="6"/>
        <v>1.3420000000000001</v>
      </c>
      <c r="AA10" s="2425">
        <f>ROUND(IF(项目基本情况!B7="出让",SUMPRODUCT(PRODUCT(1+P10:P$36)),SUMPRODUCT(PRODUCT(1+P10:P$35))),4)</f>
        <v>1.6415999999999999</v>
      </c>
      <c r="AB10" s="2425">
        <f>ROUND(IF(项目基本情况!B7="出让",SUMPRODUCT(PRODUCT(1+Q10:Q$36)),SUMPRODUCT(PRODUCT(1+Q10:Q$35))),4)</f>
        <v>1.389</v>
      </c>
      <c r="AC10" s="2425"/>
      <c r="AD10" s="2426">
        <f>ROUND(AVERAGE(I10:I$36)/100,4)</f>
        <v>1.8100000000000002E-2</v>
      </c>
      <c r="AE10" s="2426">
        <f>ROUND(AVERAGE(J10:J$36)/100,4)</f>
        <v>1.1900000000000001E-2</v>
      </c>
      <c r="AF10" s="2426">
        <f t="shared" si="7"/>
        <v>1.1900000000000001E-2</v>
      </c>
      <c r="AG10" s="2426">
        <f>ROUND(AVERAGE(K10:K$36)/100,4)</f>
        <v>1.9900000000000001E-2</v>
      </c>
      <c r="AH10" s="2426">
        <f>ROUND(AVERAGE(L10:L$36)/100,4)</f>
        <v>1.2800000000000001E-2</v>
      </c>
    </row>
    <row r="11" spans="1:34" s="2427" customFormat="1">
      <c r="A11" s="2420" t="s">
        <v>2865</v>
      </c>
      <c r="B11" s="2421">
        <f t="shared" si="0"/>
        <v>481.4103506697644</v>
      </c>
      <c r="C11" s="2421">
        <f t="shared" si="1"/>
        <v>347.29066026648707</v>
      </c>
      <c r="D11" s="2421">
        <f t="shared" si="2"/>
        <v>347.29066026648707</v>
      </c>
      <c r="E11" s="2421">
        <f t="shared" si="3"/>
        <v>690.85977273901995</v>
      </c>
      <c r="F11" s="2421">
        <f t="shared" si="4"/>
        <v>319.13136737000184</v>
      </c>
      <c r="G11" s="2411">
        <v>2020</v>
      </c>
      <c r="H11" s="2422">
        <v>2</v>
      </c>
      <c r="I11" s="2384">
        <v>0.31</v>
      </c>
      <c r="J11" s="2384">
        <v>-0.78</v>
      </c>
      <c r="K11" s="2384">
        <v>0.5</v>
      </c>
      <c r="L11" s="2385">
        <v>0.47</v>
      </c>
      <c r="M11" s="2407"/>
      <c r="N11" s="2423">
        <f t="shared" si="5"/>
        <v>3.0999999999999999E-3</v>
      </c>
      <c r="O11" s="2408">
        <f t="shared" si="5"/>
        <v>-7.8000000000000005E-3</v>
      </c>
      <c r="P11" s="2408">
        <f t="shared" si="5"/>
        <v>5.0000000000000001E-3</v>
      </c>
      <c r="Q11" s="2408">
        <f t="shared" si="5"/>
        <v>4.6999999999999993E-3</v>
      </c>
      <c r="R11" s="2424"/>
      <c r="S11" s="2423"/>
      <c r="T11" s="2408"/>
      <c r="U11" s="2408"/>
      <c r="V11" s="2408"/>
      <c r="W11" s="2425"/>
      <c r="X11" s="2425">
        <f>ROUND(IF(项目基本情况!B8="出让",SUMPRODUCT(PRODUCT(1+N11:N$36)),SUMPRODUCT(PRODUCT(1+N11:N$35))),4)</f>
        <v>1.5652999999999999</v>
      </c>
      <c r="Y11" s="2425">
        <f>ROUND(IF(项目基本情况!B8="出让",SUMPRODUCT(PRODUCT(1+O11:O$36)),SUMPRODUCT(PRODUCT(1+O11:O$35))),4)</f>
        <v>1.3472</v>
      </c>
      <c r="Z11" s="2425">
        <f t="shared" si="6"/>
        <v>1.3472</v>
      </c>
      <c r="AA11" s="2425">
        <f>ROUND(IF(项目基本情况!B8="出让",SUMPRODUCT(PRODUCT(1+P11:P$36)),SUMPRODUCT(PRODUCT(1+P11:P$35))),4)</f>
        <v>1.6335999999999999</v>
      </c>
      <c r="AB11" s="2425">
        <f>ROUND(IF(项目基本情况!B8="出让",SUMPRODUCT(PRODUCT(1+Q11:Q$36)),SUMPRODUCT(PRODUCT(1+Q11:Q$35))),4)</f>
        <v>1.3880999999999999</v>
      </c>
      <c r="AC11" s="2425"/>
      <c r="AD11" s="2426">
        <f>ROUND(AVERAGE(I11:I$36)/100,4)</f>
        <v>1.8599999999999998E-2</v>
      </c>
      <c r="AE11" s="2426">
        <f>ROUND(AVERAGE(J11:J$36)/100,4)</f>
        <v>1.2500000000000001E-2</v>
      </c>
      <c r="AF11" s="2426">
        <f t="shared" si="7"/>
        <v>1.2500000000000001E-2</v>
      </c>
      <c r="AG11" s="2426">
        <f>ROUND(AVERAGE(K11:K$36)/100,4)</f>
        <v>2.0400000000000001E-2</v>
      </c>
      <c r="AH11" s="2426">
        <f>ROUND(AVERAGE(L11:L$36)/100,4)</f>
        <v>1.32E-2</v>
      </c>
    </row>
    <row r="12" spans="1:34" s="2427" customFormat="1">
      <c r="A12" s="2420" t="s">
        <v>2863</v>
      </c>
      <c r="B12" s="2421">
        <f t="shared" si="0"/>
        <v>479.92259063878413</v>
      </c>
      <c r="C12" s="2421">
        <f t="shared" si="1"/>
        <v>350.02082268341775</v>
      </c>
      <c r="D12" s="2421">
        <f t="shared" si="2"/>
        <v>350.02082268341775</v>
      </c>
      <c r="E12" s="2421">
        <f t="shared" si="3"/>
        <v>687.42265944181099</v>
      </c>
      <c r="F12" s="2421">
        <f t="shared" si="4"/>
        <v>317.63846657708956</v>
      </c>
      <c r="G12" s="2411">
        <v>2020</v>
      </c>
      <c r="H12" s="2422">
        <v>1</v>
      </c>
      <c r="I12" s="2384">
        <v>0.12</v>
      </c>
      <c r="J12" s="2384">
        <v>-0.4</v>
      </c>
      <c r="K12" s="2384">
        <v>0.21</v>
      </c>
      <c r="L12" s="2385">
        <v>0.27</v>
      </c>
      <c r="M12" s="2407"/>
      <c r="N12" s="2423">
        <f t="shared" si="5"/>
        <v>1.1999999999999999E-3</v>
      </c>
      <c r="O12" s="2408">
        <f t="shared" si="5"/>
        <v>-4.0000000000000001E-3</v>
      </c>
      <c r="P12" s="2408">
        <f t="shared" si="5"/>
        <v>2.0999999999999999E-3</v>
      </c>
      <c r="Q12" s="2408">
        <f t="shared" si="5"/>
        <v>2.7000000000000001E-3</v>
      </c>
      <c r="R12" s="2424"/>
      <c r="S12" s="2423">
        <f>B12/B13-1</f>
        <v>1.2000000000000899E-3</v>
      </c>
      <c r="T12" s="2408">
        <f>C12/C13-1</f>
        <v>-4.0000000000000036E-3</v>
      </c>
      <c r="U12" s="2408">
        <f>D12/D13-1</f>
        <v>-4.0000000000000036E-3</v>
      </c>
      <c r="V12" s="2408">
        <f>E12/E13-1</f>
        <v>2.0999999999999908E-3</v>
      </c>
      <c r="W12" s="2425"/>
      <c r="X12" s="2425">
        <f>ROUND(IF(项目基本情况!B8="出让",SUMPRODUCT(PRODUCT(1+N12:N$36)),SUMPRODUCT(PRODUCT(1+N12:N$35))),4)</f>
        <v>1.5605</v>
      </c>
      <c r="Y12" s="2425">
        <f>ROUND(IF(项目基本情况!B8="出让",SUMPRODUCT(PRODUCT(1+O12:O$36)),SUMPRODUCT(PRODUCT(1+O12:O$35))),4)</f>
        <v>1.3577999999999999</v>
      </c>
      <c r="Z12" s="2425">
        <f t="shared" si="6"/>
        <v>1.3577999999999999</v>
      </c>
      <c r="AA12" s="2425">
        <f>ROUND(IF(项目基本情况!B8="出让",SUMPRODUCT(PRODUCT(1+P12:P$36)),SUMPRODUCT(PRODUCT(1+P12:P$35))),4)</f>
        <v>1.6254999999999999</v>
      </c>
      <c r="AB12" s="2425">
        <f>ROUND(IF(项目基本情况!B8="出让",SUMPRODUCT(PRODUCT(1+Q12:Q$36)),SUMPRODUCT(PRODUCT(1+Q12:Q$35))),4)</f>
        <v>1.3815999999999999</v>
      </c>
      <c r="AC12" s="2425"/>
      <c r="AD12" s="2426">
        <f>ROUND(AVERAGE(I12:I$36)/100,4)</f>
        <v>1.9199999999999998E-2</v>
      </c>
      <c r="AE12" s="2426">
        <f>ROUND(AVERAGE(J12:J$36)/100,4)</f>
        <v>1.3299999999999999E-2</v>
      </c>
      <c r="AF12" s="2426">
        <f t="shared" si="7"/>
        <v>1.3299999999999999E-2</v>
      </c>
      <c r="AG12" s="2426">
        <f>ROUND(AVERAGE(K12:K$36)/100,4)</f>
        <v>2.1100000000000001E-2</v>
      </c>
      <c r="AH12" s="2426">
        <f>ROUND(AVERAGE(L12:L$36)/100,4)</f>
        <v>1.3599999999999999E-2</v>
      </c>
    </row>
    <row r="13" spans="1:34" s="2427" customFormat="1">
      <c r="A13" s="2420" t="s">
        <v>2862</v>
      </c>
      <c r="B13" s="2421">
        <f t="shared" si="0"/>
        <v>479.34737379023579</v>
      </c>
      <c r="C13" s="2421">
        <f t="shared" si="1"/>
        <v>351.4265287986122</v>
      </c>
      <c r="D13" s="2421">
        <f t="shared" si="2"/>
        <v>351.4265287986122</v>
      </c>
      <c r="E13" s="2421">
        <f t="shared" si="3"/>
        <v>685.98209703803116</v>
      </c>
      <c r="F13" s="2421">
        <f t="shared" si="4"/>
        <v>316.78315206651001</v>
      </c>
      <c r="G13" s="2411">
        <v>2019</v>
      </c>
      <c r="H13" s="2422">
        <v>4</v>
      </c>
      <c r="I13" s="2422">
        <v>0.45</v>
      </c>
      <c r="J13" s="2422">
        <v>-0.12</v>
      </c>
      <c r="K13" s="2422">
        <v>0.54</v>
      </c>
      <c r="L13" s="2428">
        <v>0.48</v>
      </c>
      <c r="M13" s="2407"/>
      <c r="N13" s="2423">
        <f t="shared" ref="N13:N18" si="8">I13/100</f>
        <v>4.5000000000000005E-3</v>
      </c>
      <c r="O13" s="2408">
        <f t="shared" ref="O13:O23" si="9">J13/100</f>
        <v>-1.1999999999999999E-3</v>
      </c>
      <c r="P13" s="2408">
        <f t="shared" ref="P13:P23" si="10">K13/100</f>
        <v>5.4000000000000003E-3</v>
      </c>
      <c r="Q13" s="2408">
        <f t="shared" ref="Q13:Q23" si="11">L13/100</f>
        <v>4.7999999999999996E-3</v>
      </c>
      <c r="R13" s="2424"/>
      <c r="S13" s="2423"/>
      <c r="T13" s="2408"/>
      <c r="U13" s="2408"/>
      <c r="V13" s="2408"/>
      <c r="W13" s="2425"/>
      <c r="X13" s="2425">
        <f>ROUND(IF(项目基本情况!B8="出让",SUMPRODUCT(PRODUCT(1+N13:N$36)),SUMPRODUCT(PRODUCT(1+N13:N$35))),4)</f>
        <v>1.5586</v>
      </c>
      <c r="Y13" s="2425">
        <f>ROUND(IF(项目基本情况!B8="出让",SUMPRODUCT(PRODUCT(1+O13:O$36)),SUMPRODUCT(PRODUCT(1+O13:O$35))),4)</f>
        <v>1.3633</v>
      </c>
      <c r="Z13" s="2425">
        <f t="shared" si="6"/>
        <v>1.3633</v>
      </c>
      <c r="AA13" s="2425">
        <f>ROUND(IF(项目基本情况!B8="出让",SUMPRODUCT(PRODUCT(1+P13:P$36)),SUMPRODUCT(PRODUCT(1+P13:P$35))),4)</f>
        <v>1.6221000000000001</v>
      </c>
      <c r="AB13" s="2425">
        <f>ROUND(IF(项目基本情况!B8="出让",SUMPRODUCT(PRODUCT(1+Q13:Q$36)),SUMPRODUCT(PRODUCT(1+Q13:Q$35))),4)</f>
        <v>1.3777999999999999</v>
      </c>
      <c r="AC13" s="2425"/>
      <c r="AD13" s="2426">
        <f>ROUND(AVERAGE(I13:I$36)/100,4)</f>
        <v>0.02</v>
      </c>
      <c r="AE13" s="2426">
        <f>ROUND(AVERAGE(J13:J$36)/100,4)</f>
        <v>1.4E-2</v>
      </c>
      <c r="AF13" s="2426">
        <f t="shared" si="7"/>
        <v>1.4E-2</v>
      </c>
      <c r="AG13" s="2426">
        <f>ROUND(AVERAGE(K13:K$36)/100,4)</f>
        <v>2.1899999999999999E-2</v>
      </c>
      <c r="AH13" s="2426">
        <f>ROUND(AVERAGE(L13:L$36)/100,4)</f>
        <v>1.4E-2</v>
      </c>
    </row>
    <row r="14" spans="1:34" s="2427" customFormat="1" ht="13.5" thickBot="1">
      <c r="A14" s="2420" t="s">
        <v>2861</v>
      </c>
      <c r="B14" s="2421">
        <f t="shared" si="0"/>
        <v>477.19997390765138</v>
      </c>
      <c r="C14" s="2421">
        <f t="shared" si="1"/>
        <v>351.84874729536665</v>
      </c>
      <c r="D14" s="2421">
        <f t="shared" si="2"/>
        <v>351.84874729536665</v>
      </c>
      <c r="E14" s="2421">
        <f t="shared" si="3"/>
        <v>682.29768951465201</v>
      </c>
      <c r="F14" s="2421">
        <f t="shared" si="4"/>
        <v>315.26985675409043</v>
      </c>
      <c r="G14" s="2411">
        <v>2019</v>
      </c>
      <c r="H14" s="2422">
        <v>3</v>
      </c>
      <c r="I14" s="2422">
        <v>0.61</v>
      </c>
      <c r="J14" s="2422">
        <v>0.67</v>
      </c>
      <c r="K14" s="2422">
        <v>0.6</v>
      </c>
      <c r="L14" s="2428">
        <v>1.03</v>
      </c>
      <c r="M14" s="2407"/>
      <c r="N14" s="2423">
        <f t="shared" si="8"/>
        <v>6.0999999999999995E-3</v>
      </c>
      <c r="O14" s="2408">
        <f t="shared" si="9"/>
        <v>6.7000000000000002E-3</v>
      </c>
      <c r="P14" s="2408">
        <f t="shared" si="10"/>
        <v>6.0000000000000001E-3</v>
      </c>
      <c r="Q14" s="2408">
        <f t="shared" si="11"/>
        <v>1.03E-2</v>
      </c>
      <c r="R14" s="2424"/>
      <c r="S14" s="2423"/>
      <c r="T14" s="2408"/>
      <c r="U14" s="2408"/>
      <c r="V14" s="2408"/>
      <c r="W14" s="2425"/>
      <c r="X14" s="2425">
        <f>ROUND(IF(项目基本情况!B8="出让",SUMPRODUCT(PRODUCT(1+N14:N$36)),SUMPRODUCT(PRODUCT(1+N14:N$35))),4)</f>
        <v>1.5516000000000001</v>
      </c>
      <c r="Y14" s="2425">
        <f>ROUND(IF(项目基本情况!B8="出让",SUMPRODUCT(PRODUCT(1+O14:O$36)),SUMPRODUCT(PRODUCT(1+O14:O$35))),4)</f>
        <v>1.3649</v>
      </c>
      <c r="Z14" s="2425">
        <f t="shared" si="6"/>
        <v>1.3649</v>
      </c>
      <c r="AA14" s="2425">
        <f>ROUND(IF(项目基本情况!B8="出让",SUMPRODUCT(PRODUCT(1+P14:P$36)),SUMPRODUCT(PRODUCT(1+P14:P$35))),4)</f>
        <v>1.6133999999999999</v>
      </c>
      <c r="AB14" s="2425">
        <f>ROUND(IF(项目基本情况!B8="出让",SUMPRODUCT(PRODUCT(1+Q14:Q$36)),SUMPRODUCT(PRODUCT(1+Q14:Q$35))),4)</f>
        <v>1.3713</v>
      </c>
      <c r="AC14" s="2425"/>
      <c r="AD14" s="2426">
        <f>ROUND(AVERAGE(I14:I$36)/100,4)</f>
        <v>2.07E-2</v>
      </c>
      <c r="AE14" s="2426">
        <f>ROUND(AVERAGE(J14:J$36)/100,4)</f>
        <v>1.47E-2</v>
      </c>
      <c r="AF14" s="2426">
        <f t="shared" si="7"/>
        <v>1.47E-2</v>
      </c>
      <c r="AG14" s="2426">
        <f>ROUND(AVERAGE(K14:K$36)/100,4)</f>
        <v>2.2599999999999999E-2</v>
      </c>
      <c r="AH14" s="2426">
        <f>ROUND(AVERAGE(L14:L$36)/100,4)</f>
        <v>1.44E-2</v>
      </c>
    </row>
    <row r="15" spans="1:34" s="2427" customFormat="1">
      <c r="A15" s="2420" t="s">
        <v>2859</v>
      </c>
      <c r="B15" s="2421">
        <f t="shared" si="0"/>
        <v>474.30670301923408</v>
      </c>
      <c r="C15" s="2421">
        <f t="shared" si="1"/>
        <v>349.50705005996491</v>
      </c>
      <c r="D15" s="2421">
        <f t="shared" si="2"/>
        <v>349.50705005996491</v>
      </c>
      <c r="E15" s="2421">
        <f t="shared" si="3"/>
        <v>678.22831959706957</v>
      </c>
      <c r="F15" s="2421">
        <f t="shared" si="4"/>
        <v>312.0556832169558</v>
      </c>
      <c r="G15" s="2411">
        <v>2019</v>
      </c>
      <c r="H15" s="2429">
        <v>2</v>
      </c>
      <c r="I15" s="2429">
        <v>1.53</v>
      </c>
      <c r="J15" s="2429">
        <v>1.01</v>
      </c>
      <c r="K15" s="2429">
        <v>1.62</v>
      </c>
      <c r="L15" s="2430">
        <v>1.25</v>
      </c>
      <c r="M15" s="2407"/>
      <c r="N15" s="2423">
        <f t="shared" si="8"/>
        <v>1.5300000000000001E-2</v>
      </c>
      <c r="O15" s="2408">
        <f t="shared" si="9"/>
        <v>1.01E-2</v>
      </c>
      <c r="P15" s="2408">
        <f t="shared" si="10"/>
        <v>1.6200000000000003E-2</v>
      </c>
      <c r="Q15" s="2408">
        <f t="shared" si="11"/>
        <v>1.2500000000000001E-2</v>
      </c>
      <c r="R15" s="2424"/>
      <c r="S15" s="2423"/>
      <c r="T15" s="2408"/>
      <c r="U15" s="2408"/>
      <c r="V15" s="2408"/>
      <c r="W15" s="2425"/>
      <c r="X15" s="2425">
        <f>ROUND(IF(项目基本情况!B8="出让",SUMPRODUCT(PRODUCT(1+N15:N$36)),SUMPRODUCT(PRODUCT(1+N15:N$35))),4)</f>
        <v>1.5422</v>
      </c>
      <c r="Y15" s="2425">
        <f>ROUND(IF(项目基本情况!B8="出让",SUMPRODUCT(PRODUCT(1+O15:O$36)),SUMPRODUCT(PRODUCT(1+O15:O$35))),4)</f>
        <v>1.3557999999999999</v>
      </c>
      <c r="Z15" s="2425">
        <f t="shared" si="6"/>
        <v>1.3557999999999999</v>
      </c>
      <c r="AA15" s="2425">
        <f>ROUND(IF(项目基本情况!B8="出让",SUMPRODUCT(PRODUCT(1+P15:P$36)),SUMPRODUCT(PRODUCT(1+P15:P$35))),4)</f>
        <v>1.6036999999999999</v>
      </c>
      <c r="AB15" s="2425">
        <f>ROUND(IF(项目基本情况!B8="出让",SUMPRODUCT(PRODUCT(1+Q15:Q$36)),SUMPRODUCT(PRODUCT(1+Q15:Q$35))),4)</f>
        <v>1.3573</v>
      </c>
      <c r="AC15" s="2425"/>
      <c r="AD15" s="2426">
        <f>ROUND(AVERAGE(I15:I$36)/100,4)</f>
        <v>2.1299999999999999E-2</v>
      </c>
      <c r="AE15" s="2426">
        <f>ROUND(AVERAGE(J15:J$36)/100,4)</f>
        <v>1.4999999999999999E-2</v>
      </c>
      <c r="AF15" s="2426">
        <f t="shared" si="7"/>
        <v>1.4999999999999999E-2</v>
      </c>
      <c r="AG15" s="2426">
        <f>ROUND(AVERAGE(K15:K$36)/100,4)</f>
        <v>2.3300000000000001E-2</v>
      </c>
      <c r="AH15" s="2426">
        <f>ROUND(AVERAGE(L15:L$36)/100,4)</f>
        <v>1.46E-2</v>
      </c>
    </row>
    <row r="16" spans="1:34" s="2427" customFormat="1" ht="13.5" thickBot="1">
      <c r="A16" s="2420" t="s">
        <v>2857</v>
      </c>
      <c r="B16" s="2421">
        <f t="shared" si="0"/>
        <v>467.15916775261894</v>
      </c>
      <c r="C16" s="2421">
        <f t="shared" si="1"/>
        <v>346.01232557169084</v>
      </c>
      <c r="D16" s="2421">
        <f t="shared" si="2"/>
        <v>346.01232557169084</v>
      </c>
      <c r="E16" s="2421">
        <f t="shared" si="3"/>
        <v>667.41617752122568</v>
      </c>
      <c r="F16" s="2421">
        <f t="shared" si="4"/>
        <v>308.20314391798104</v>
      </c>
      <c r="G16" s="2411">
        <v>2019</v>
      </c>
      <c r="H16" s="2422">
        <v>1</v>
      </c>
      <c r="I16" s="2422">
        <v>0.6</v>
      </c>
      <c r="J16" s="2422">
        <v>0.37</v>
      </c>
      <c r="K16" s="2422">
        <v>0.63</v>
      </c>
      <c r="L16" s="2428">
        <v>1.1299999999999999</v>
      </c>
      <c r="M16" s="2407"/>
      <c r="N16" s="2423">
        <f t="shared" si="8"/>
        <v>6.0000000000000001E-3</v>
      </c>
      <c r="O16" s="2408">
        <f t="shared" si="9"/>
        <v>3.7000000000000002E-3</v>
      </c>
      <c r="P16" s="2408">
        <f t="shared" si="10"/>
        <v>6.3E-3</v>
      </c>
      <c r="Q16" s="2408">
        <f t="shared" si="11"/>
        <v>1.1299999999999999E-2</v>
      </c>
      <c r="R16" s="2424"/>
      <c r="S16" s="2423">
        <f>B16/B17-1</f>
        <v>6.0000000000000053E-3</v>
      </c>
      <c r="T16" s="2408">
        <f>C16/C17-1</f>
        <v>3.7000000000000366E-3</v>
      </c>
      <c r="U16" s="2408">
        <f>D16/D17-1</f>
        <v>3.7000000000000366E-3</v>
      </c>
      <c r="V16" s="2408">
        <f>E16/E17-1</f>
        <v>6.2999999999999723E-3</v>
      </c>
      <c r="W16" s="2425"/>
      <c r="X16" s="2425">
        <f>ROUND(IF(项目基本情况!B8="出让",SUMPRODUCT(PRODUCT(1+N16:N$36)),SUMPRODUCT(PRODUCT(1+N16:N$35))),4)</f>
        <v>1.5189999999999999</v>
      </c>
      <c r="Y16" s="2425">
        <f>ROUND(IF(项目基本情况!B8="出让",SUMPRODUCT(PRODUCT(1+O16:O$36)),SUMPRODUCT(PRODUCT(1+O16:O$35))),4)</f>
        <v>1.3423</v>
      </c>
      <c r="Z16" s="2425">
        <f t="shared" si="6"/>
        <v>1.3423</v>
      </c>
      <c r="AA16" s="2425">
        <f>ROUND(IF(项目基本情况!B8="出让",SUMPRODUCT(PRODUCT(1+P16:P$36)),SUMPRODUCT(PRODUCT(1+P16:P$35))),4)</f>
        <v>1.5782</v>
      </c>
      <c r="AB16" s="2425">
        <f>ROUND(IF(项目基本情况!B8="出让",SUMPRODUCT(PRODUCT(1+Q16:Q$36)),SUMPRODUCT(PRODUCT(1+Q16:Q$35))),4)</f>
        <v>1.3405</v>
      </c>
      <c r="AC16" s="2425"/>
      <c r="AD16" s="2426">
        <f>ROUND(AVERAGE(I16:I$36)/100,4)</f>
        <v>2.1600000000000001E-2</v>
      </c>
      <c r="AE16" s="2426">
        <f>ROUND(AVERAGE(J16:J$36)/100,4)</f>
        <v>1.5299999999999999E-2</v>
      </c>
      <c r="AF16" s="2426">
        <f t="shared" si="7"/>
        <v>1.5299999999999999E-2</v>
      </c>
      <c r="AG16" s="2426">
        <f>ROUND(AVERAGE(K16:K$36)/100,4)</f>
        <v>2.3699999999999999E-2</v>
      </c>
      <c r="AH16" s="2426">
        <f>ROUND(AVERAGE(L16:L$36)/100,4)</f>
        <v>1.47E-2</v>
      </c>
    </row>
    <row r="17" spans="1:34" s="2427" customFormat="1">
      <c r="A17" s="2420" t="s">
        <v>2860</v>
      </c>
      <c r="B17" s="2431">
        <f t="shared" si="0"/>
        <v>464.37293017158942</v>
      </c>
      <c r="C17" s="2431">
        <f t="shared" si="1"/>
        <v>344.73679941385956</v>
      </c>
      <c r="D17" s="2431">
        <f t="shared" si="2"/>
        <v>344.73679941385956</v>
      </c>
      <c r="E17" s="2431">
        <f t="shared" si="3"/>
        <v>663.2377795103107</v>
      </c>
      <c r="F17" s="2432">
        <f t="shared" si="4"/>
        <v>304.75936311478398</v>
      </c>
      <c r="G17" s="3632">
        <v>2018</v>
      </c>
      <c r="H17" s="2429">
        <v>4</v>
      </c>
      <c r="I17" s="2429">
        <v>0.96</v>
      </c>
      <c r="J17" s="2429">
        <v>1.03</v>
      </c>
      <c r="K17" s="2429">
        <v>0.92</v>
      </c>
      <c r="L17" s="2430">
        <v>1.29</v>
      </c>
      <c r="M17" s="2407"/>
      <c r="N17" s="2423">
        <f t="shared" si="8"/>
        <v>9.5999999999999992E-3</v>
      </c>
      <c r="O17" s="2408">
        <f t="shared" si="9"/>
        <v>1.03E-2</v>
      </c>
      <c r="P17" s="2408">
        <f t="shared" si="10"/>
        <v>9.1999999999999998E-3</v>
      </c>
      <c r="Q17" s="2408">
        <f t="shared" si="11"/>
        <v>1.29E-2</v>
      </c>
      <c r="R17" s="2424"/>
      <c r="S17" s="2423"/>
      <c r="T17" s="2408"/>
      <c r="U17" s="2408"/>
      <c r="V17" s="2408"/>
      <c r="W17" s="2425"/>
      <c r="X17" s="2425">
        <f>ROUND(SUMPRODUCT(PRODUCT(1+N17:N$35)),4)</f>
        <v>1.5099</v>
      </c>
      <c r="Y17" s="2425">
        <f>ROUND(SUMPRODUCT(PRODUCT(1+O17:O$35)),4)</f>
        <v>1.3372999999999999</v>
      </c>
      <c r="Z17" s="2425">
        <f t="shared" si="6"/>
        <v>1.3372999999999999</v>
      </c>
      <c r="AA17" s="2425">
        <f>ROUND(SUMPRODUCT(PRODUCT(1+P17:P$35)),4)</f>
        <v>1.5683</v>
      </c>
      <c r="AB17" s="2425">
        <f>ROUND(SUMPRODUCT(PRODUCT(1+Q17:Q$35)),4)</f>
        <v>1.3255999999999999</v>
      </c>
      <c r="AC17" s="2425"/>
      <c r="AD17" s="2426">
        <f>ROUND(AVERAGE(I17:I$36)/100,4)</f>
        <v>2.24E-2</v>
      </c>
      <c r="AE17" s="2426">
        <f>ROUND(AVERAGE(J17:J$36)/100,4)</f>
        <v>1.5800000000000002E-2</v>
      </c>
      <c r="AF17" s="2426">
        <f t="shared" si="7"/>
        <v>1.5800000000000002E-2</v>
      </c>
      <c r="AG17" s="2426">
        <f>ROUND(AVERAGE(K17:K$36)/100,4)</f>
        <v>2.4500000000000001E-2</v>
      </c>
      <c r="AH17" s="2426">
        <f>ROUND(AVERAGE(L17:L$36)/100,4)</f>
        <v>1.49E-2</v>
      </c>
    </row>
    <row r="18" spans="1:34" s="2427" customFormat="1" ht="14.45" customHeight="1">
      <c r="A18" s="2420" t="s">
        <v>2855</v>
      </c>
      <c r="B18" s="2421">
        <f t="shared" si="0"/>
        <v>459.95733971036987</v>
      </c>
      <c r="C18" s="2421">
        <f t="shared" si="1"/>
        <v>341.22221064422405</v>
      </c>
      <c r="D18" s="2421">
        <f t="shared" si="2"/>
        <v>341.22221064422405</v>
      </c>
      <c r="E18" s="2421">
        <f t="shared" si="3"/>
        <v>657.19161663724799</v>
      </c>
      <c r="F18" s="2421">
        <f t="shared" si="4"/>
        <v>300.87803644464805</v>
      </c>
      <c r="G18" s="3632"/>
      <c r="H18" s="2422">
        <v>3</v>
      </c>
      <c r="I18" s="2422">
        <v>1.51</v>
      </c>
      <c r="J18" s="2422">
        <v>1.41</v>
      </c>
      <c r="K18" s="2422">
        <v>1.52</v>
      </c>
      <c r="L18" s="2428">
        <v>1.74</v>
      </c>
      <c r="M18" s="2407"/>
      <c r="N18" s="2423">
        <f t="shared" si="8"/>
        <v>1.5100000000000001E-2</v>
      </c>
      <c r="O18" s="2408">
        <f t="shared" si="9"/>
        <v>1.41E-2</v>
      </c>
      <c r="P18" s="2408">
        <f t="shared" si="10"/>
        <v>1.52E-2</v>
      </c>
      <c r="Q18" s="2408">
        <f t="shared" si="11"/>
        <v>1.7399999999999999E-2</v>
      </c>
      <c r="R18" s="2424"/>
      <c r="S18" s="2423"/>
      <c r="T18" s="2408"/>
      <c r="U18" s="2408"/>
      <c r="V18" s="2408"/>
      <c r="W18" s="2425"/>
      <c r="X18" s="2425">
        <f>ROUND(SUMPRODUCT(PRODUCT(1+N18:N$35)),4)</f>
        <v>1.4956</v>
      </c>
      <c r="Y18" s="2425">
        <f>ROUND(SUMPRODUCT(PRODUCT(1+O18:O$35)),4)</f>
        <v>1.3237000000000001</v>
      </c>
      <c r="Z18" s="2425">
        <f t="shared" si="6"/>
        <v>1.3237000000000001</v>
      </c>
      <c r="AA18" s="2425">
        <f>ROUND(SUMPRODUCT(PRODUCT(1+P18:P$35)),4)</f>
        <v>1.554</v>
      </c>
      <c r="AB18" s="2425">
        <f>ROUND(SUMPRODUCT(PRODUCT(1+Q18:Q$35)),4)</f>
        <v>1.3087</v>
      </c>
      <c r="AC18" s="2425"/>
      <c r="AD18" s="2426">
        <f>ROUND(AVERAGE(I18:I$36)/100,4)</f>
        <v>2.3099999999999999E-2</v>
      </c>
      <c r="AE18" s="2426">
        <f>ROUND(AVERAGE(J18:J$36)/100,4)</f>
        <v>1.61E-2</v>
      </c>
      <c r="AF18" s="2426">
        <f t="shared" si="7"/>
        <v>1.61E-2</v>
      </c>
      <c r="AG18" s="2426">
        <f>ROUND(AVERAGE(K18:K$36)/100,4)</f>
        <v>2.53E-2</v>
      </c>
      <c r="AH18" s="2426">
        <f>ROUND(AVERAGE(L18:L$36)/100,4)</f>
        <v>1.4999999999999999E-2</v>
      </c>
    </row>
    <row r="19" spans="1:34" s="2427" customFormat="1" ht="14.45" customHeight="1">
      <c r="A19" s="2420" t="s">
        <v>2854</v>
      </c>
      <c r="B19" s="2421">
        <f t="shared" si="0"/>
        <v>453.11529869999993</v>
      </c>
      <c r="C19" s="2421">
        <f t="shared" si="1"/>
        <v>336.47787264000004</v>
      </c>
      <c r="D19" s="2421">
        <f t="shared" si="2"/>
        <v>336.47787264000004</v>
      </c>
      <c r="E19" s="2421">
        <f t="shared" si="3"/>
        <v>647.35186823999993</v>
      </c>
      <c r="F19" s="2421">
        <f t="shared" si="4"/>
        <v>295.73229452000004</v>
      </c>
      <c r="G19" s="3632"/>
      <c r="H19" s="2433">
        <v>2</v>
      </c>
      <c r="I19" s="2433">
        <v>1.49</v>
      </c>
      <c r="J19" s="2433">
        <v>0.96</v>
      </c>
      <c r="K19" s="2433">
        <v>1.58</v>
      </c>
      <c r="L19" s="2434">
        <v>2.44</v>
      </c>
      <c r="M19" s="2407"/>
      <c r="N19" s="2423">
        <f>I19/100</f>
        <v>1.49E-2</v>
      </c>
      <c r="O19" s="2408">
        <f t="shared" si="9"/>
        <v>9.5999999999999992E-3</v>
      </c>
      <c r="P19" s="2408">
        <f t="shared" si="10"/>
        <v>1.5800000000000002E-2</v>
      </c>
      <c r="Q19" s="2408">
        <f t="shared" si="11"/>
        <v>2.4399999999999998E-2</v>
      </c>
      <c r="R19" s="2424"/>
      <c r="S19" s="2423"/>
      <c r="T19" s="2408"/>
      <c r="U19" s="2408"/>
      <c r="V19" s="2408"/>
      <c r="W19" s="2425"/>
      <c r="X19" s="2425">
        <f>ROUND(SUMPRODUCT(PRODUCT(1+N19:N$35)),4)</f>
        <v>1.4733000000000001</v>
      </c>
      <c r="Y19" s="2425">
        <f>ROUND(SUMPRODUCT(PRODUCT(1+O19:O$35)),4)</f>
        <v>1.3052999999999999</v>
      </c>
      <c r="Z19" s="2425">
        <f t="shared" si="6"/>
        <v>1.3052999999999999</v>
      </c>
      <c r="AA19" s="2425">
        <f>ROUND(SUMPRODUCT(PRODUCT(1+P19:P$35)),4)</f>
        <v>1.5306999999999999</v>
      </c>
      <c r="AB19" s="2425">
        <f>ROUND(SUMPRODUCT(PRODUCT(1+Q19:Q$35)),4)</f>
        <v>1.2863</v>
      </c>
      <c r="AC19" s="2425"/>
      <c r="AD19" s="2426">
        <f>ROUND(AVERAGE(I19:I$36)/100,4)</f>
        <v>2.35E-2</v>
      </c>
      <c r="AE19" s="2426">
        <f>ROUND(AVERAGE(J19:J$36)/100,4)</f>
        <v>1.6199999999999999E-2</v>
      </c>
      <c r="AF19" s="2426">
        <f t="shared" si="7"/>
        <v>1.6199999999999999E-2</v>
      </c>
      <c r="AG19" s="2426">
        <f>ROUND(AVERAGE(K19:K$36)/100,4)</f>
        <v>2.5899999999999999E-2</v>
      </c>
      <c r="AH19" s="2426">
        <f>ROUND(AVERAGE(L19:L$36)/100,4)</f>
        <v>1.49E-2</v>
      </c>
    </row>
    <row r="20" spans="1:34" s="2427" customFormat="1" ht="15" customHeight="1" thickBot="1">
      <c r="A20" s="2420" t="s">
        <v>2847</v>
      </c>
      <c r="B20" s="2421">
        <f t="shared" si="0"/>
        <v>446.46299999999997</v>
      </c>
      <c r="C20" s="2421">
        <f t="shared" si="1"/>
        <v>333.27840000000003</v>
      </c>
      <c r="D20" s="2421">
        <f t="shared" si="2"/>
        <v>333.27840000000003</v>
      </c>
      <c r="E20" s="2421">
        <f t="shared" si="3"/>
        <v>637.28279999999995</v>
      </c>
      <c r="F20" s="2421">
        <f t="shared" si="4"/>
        <v>288.68830000000003</v>
      </c>
      <c r="G20" s="3641"/>
      <c r="H20" s="2422">
        <v>1</v>
      </c>
      <c r="I20" s="2422">
        <v>1.7</v>
      </c>
      <c r="J20" s="2422">
        <v>1.92</v>
      </c>
      <c r="K20" s="2422">
        <v>1.64</v>
      </c>
      <c r="L20" s="2428">
        <v>2.0099999999999998</v>
      </c>
      <c r="M20" s="2407"/>
      <c r="N20" s="2423">
        <f t="shared" ref="N20:N25" si="12">I20/100</f>
        <v>1.7000000000000001E-2</v>
      </c>
      <c r="O20" s="2408">
        <f t="shared" si="9"/>
        <v>1.9199999999999998E-2</v>
      </c>
      <c r="P20" s="2408">
        <f t="shared" si="10"/>
        <v>1.6399999999999998E-2</v>
      </c>
      <c r="Q20" s="2408">
        <f t="shared" si="11"/>
        <v>2.0099999999999996E-2</v>
      </c>
      <c r="R20" s="2424"/>
      <c r="S20" s="2423">
        <f>B20/B21-1</f>
        <v>1.6999999999999904E-2</v>
      </c>
      <c r="T20" s="2408">
        <f>C20/C21-1</f>
        <v>1.9200000000000106E-2</v>
      </c>
      <c r="U20" s="2408">
        <f>D20/D21-1</f>
        <v>1.9200000000000106E-2</v>
      </c>
      <c r="V20" s="2408">
        <f>E20/E21-1</f>
        <v>1.639999999999997E-2</v>
      </c>
      <c r="W20" s="2425"/>
      <c r="X20" s="2425">
        <f>ROUND(SUMPRODUCT(PRODUCT(1+N20:N$35)),4)</f>
        <v>1.4517</v>
      </c>
      <c r="Y20" s="2425">
        <f>ROUND(SUMPRODUCT(PRODUCT(1+O20:O$35)),4)</f>
        <v>1.2928999999999999</v>
      </c>
      <c r="Z20" s="2425">
        <f t="shared" si="6"/>
        <v>1.2928999999999999</v>
      </c>
      <c r="AA20" s="2425">
        <f>ROUND(SUMPRODUCT(PRODUCT(1+P20:P$35)),4)</f>
        <v>1.5068999999999999</v>
      </c>
      <c r="AB20" s="2425">
        <f>ROUND(SUMPRODUCT(PRODUCT(1+Q20:Q$35)),4)</f>
        <v>1.2557</v>
      </c>
      <c r="AC20" s="2425"/>
      <c r="AD20" s="2426">
        <f>ROUND(AVERAGE(I20:I$36)/100,4)</f>
        <v>2.4E-2</v>
      </c>
      <c r="AE20" s="2426">
        <f>ROUND(AVERAGE(J20:J$36)/100,4)</f>
        <v>1.66E-2</v>
      </c>
      <c r="AF20" s="2426">
        <f t="shared" si="7"/>
        <v>1.66E-2</v>
      </c>
      <c r="AG20" s="2426">
        <f>ROUND(AVERAGE(K20:K$36)/100,4)</f>
        <v>2.6499999999999999E-2</v>
      </c>
      <c r="AH20" s="2426">
        <f>ROUND(AVERAGE(L20:L$36)/100,4)</f>
        <v>1.43E-2</v>
      </c>
    </row>
    <row r="21" spans="1:34">
      <c r="A21" s="2420" t="s">
        <v>2845</v>
      </c>
      <c r="B21" s="2435">
        <v>439</v>
      </c>
      <c r="C21" s="2435">
        <v>327</v>
      </c>
      <c r="D21" s="2435">
        <f t="shared" si="2"/>
        <v>327</v>
      </c>
      <c r="E21" s="2435">
        <v>627</v>
      </c>
      <c r="F21" s="2436">
        <v>283</v>
      </c>
      <c r="G21" s="3637">
        <v>2017</v>
      </c>
      <c r="H21" s="2429">
        <v>4</v>
      </c>
      <c r="I21" s="2429">
        <v>1.71</v>
      </c>
      <c r="J21" s="2429">
        <v>1.78</v>
      </c>
      <c r="K21" s="2429">
        <v>1.71</v>
      </c>
      <c r="L21" s="2430">
        <v>1.43</v>
      </c>
      <c r="N21" s="2423">
        <f t="shared" si="12"/>
        <v>1.7100000000000001E-2</v>
      </c>
      <c r="O21" s="2408">
        <f t="shared" si="9"/>
        <v>1.78E-2</v>
      </c>
      <c r="P21" s="2408">
        <f t="shared" si="10"/>
        <v>1.7100000000000001E-2</v>
      </c>
      <c r="Q21" s="2408">
        <f t="shared" si="11"/>
        <v>1.43E-2</v>
      </c>
      <c r="R21" s="2424"/>
      <c r="S21" s="2437"/>
      <c r="T21" s="2438"/>
      <c r="U21" s="2438"/>
      <c r="V21" s="2438"/>
      <c r="X21" s="2407">
        <f>ROUND(SUMPRODUCT(PRODUCT(1+N21:N$35)),4)</f>
        <v>1.4274</v>
      </c>
      <c r="Y21" s="2407">
        <f>ROUND(SUMPRODUCT(PRODUCT(1+O21:O$35)),4)</f>
        <v>1.2685</v>
      </c>
      <c r="Z21" s="2407">
        <f t="shared" si="6"/>
        <v>1.2685</v>
      </c>
      <c r="AA21" s="2407">
        <f>ROUND(SUMPRODUCT(PRODUCT(1+P21:P$35)),4)</f>
        <v>1.4825999999999999</v>
      </c>
      <c r="AB21" s="2407">
        <f>ROUND(SUMPRODUCT(PRODUCT(1+Q21:Q$35)),4)</f>
        <v>1.2309000000000001</v>
      </c>
      <c r="AD21" s="2408">
        <f>ROUND(AVERAGE(I21:I$36)/100,4)</f>
        <v>2.4500000000000001E-2</v>
      </c>
      <c r="AE21" s="2408">
        <f>ROUND(AVERAGE(J21:J$36)/100,4)</f>
        <v>1.6500000000000001E-2</v>
      </c>
      <c r="AF21" s="2408">
        <f t="shared" si="7"/>
        <v>1.6500000000000001E-2</v>
      </c>
      <c r="AG21" s="2408">
        <f>ROUND(AVERAGE(K21:K$36)/100,4)</f>
        <v>2.7099999999999999E-2</v>
      </c>
      <c r="AH21" s="2408">
        <f>ROUND(AVERAGE(L21:L$36)/100,4)</f>
        <v>1.3899999999999999E-2</v>
      </c>
    </row>
    <row r="22" spans="1:34" s="2427" customFormat="1" ht="14.45" customHeight="1">
      <c r="A22" s="2420" t="s">
        <v>2846</v>
      </c>
      <c r="B22" s="2421">
        <f t="shared" ref="B22:C24" si="13">B23*(1+N22)</f>
        <v>431.80730811680002</v>
      </c>
      <c r="C22" s="2421">
        <f t="shared" si="13"/>
        <v>320.57880516480003</v>
      </c>
      <c r="D22" s="2421">
        <f t="shared" si="2"/>
        <v>320.57880516480003</v>
      </c>
      <c r="E22" s="2421">
        <f t="shared" ref="E22:F24" si="14">E23*(1+P22)</f>
        <v>615.96110553196797</v>
      </c>
      <c r="F22" s="2421">
        <f t="shared" si="14"/>
        <v>279.46777300108801</v>
      </c>
      <c r="G22" s="3632"/>
      <c r="H22" s="2422">
        <v>3</v>
      </c>
      <c r="I22" s="2422">
        <v>2.98</v>
      </c>
      <c r="J22" s="2422">
        <v>2.11</v>
      </c>
      <c r="K22" s="2422">
        <v>3.24</v>
      </c>
      <c r="L22" s="2428">
        <v>1.72</v>
      </c>
      <c r="M22" s="2407"/>
      <c r="N22" s="2423">
        <f t="shared" si="12"/>
        <v>2.98E-2</v>
      </c>
      <c r="O22" s="2408">
        <f t="shared" si="9"/>
        <v>2.1099999999999997E-2</v>
      </c>
      <c r="P22" s="2408">
        <f t="shared" si="10"/>
        <v>3.2400000000000005E-2</v>
      </c>
      <c r="Q22" s="2408">
        <f t="shared" si="11"/>
        <v>1.72E-2</v>
      </c>
      <c r="R22" s="2424"/>
      <c r="S22" s="2423"/>
      <c r="T22" s="2408"/>
      <c r="U22" s="2408"/>
      <c r="V22" s="2408"/>
      <c r="W22" s="2425"/>
      <c r="X22" s="2425">
        <f>ROUND(SUMPRODUCT(PRODUCT(1+N22:N$35)),4)</f>
        <v>1.4034</v>
      </c>
      <c r="Y22" s="2425">
        <f>ROUND(SUMPRODUCT(PRODUCT(1+O22:O$35)),4)</f>
        <v>1.2463</v>
      </c>
      <c r="Z22" s="2425">
        <f t="shared" si="6"/>
        <v>1.2463</v>
      </c>
      <c r="AA22" s="2425">
        <f>ROUND(SUMPRODUCT(PRODUCT(1+P22:P$35)),4)</f>
        <v>1.4577</v>
      </c>
      <c r="AB22" s="2425">
        <f>ROUND(SUMPRODUCT(PRODUCT(1+Q22:Q$35)),4)</f>
        <v>1.2136</v>
      </c>
      <c r="AC22" s="2425"/>
      <c r="AD22" s="2426">
        <f>ROUND(AVERAGE(I22:I$36)/100,4)</f>
        <v>2.4899999999999999E-2</v>
      </c>
      <c r="AE22" s="2426">
        <f>ROUND(AVERAGE(J22:J$36)/100,4)</f>
        <v>1.6400000000000001E-2</v>
      </c>
      <c r="AF22" s="2426">
        <f t="shared" si="7"/>
        <v>1.6400000000000001E-2</v>
      </c>
      <c r="AG22" s="2426">
        <f>ROUND(AVERAGE(K22:K$36)/100,4)</f>
        <v>2.7799999999999998E-2</v>
      </c>
      <c r="AH22" s="2426">
        <f>ROUND(AVERAGE(L22:L$36)/100,4)</f>
        <v>1.3899999999999999E-2</v>
      </c>
    </row>
    <row r="23" spans="1:34" s="2414" customFormat="1" ht="14.45" customHeight="1">
      <c r="A23" s="2420" t="s">
        <v>1345</v>
      </c>
      <c r="B23" s="2421">
        <f t="shared" si="13"/>
        <v>419.31181600000002</v>
      </c>
      <c r="C23" s="2421">
        <f t="shared" si="13"/>
        <v>313.95436800000004</v>
      </c>
      <c r="D23" s="2421">
        <f t="shared" si="2"/>
        <v>313.95436800000004</v>
      </c>
      <c r="E23" s="2421">
        <f t="shared" si="14"/>
        <v>596.63028431999999</v>
      </c>
      <c r="F23" s="2421">
        <f t="shared" si="14"/>
        <v>274.74220703999998</v>
      </c>
      <c r="G23" s="3632"/>
      <c r="H23" s="2433">
        <v>2</v>
      </c>
      <c r="I23" s="2433">
        <v>3.4</v>
      </c>
      <c r="J23" s="2433">
        <v>2</v>
      </c>
      <c r="K23" s="2433">
        <v>3.82</v>
      </c>
      <c r="L23" s="2434">
        <v>1.68</v>
      </c>
      <c r="M23" s="2407"/>
      <c r="N23" s="2423">
        <f t="shared" si="12"/>
        <v>3.4000000000000002E-2</v>
      </c>
      <c r="O23" s="2408">
        <f t="shared" si="9"/>
        <v>0.02</v>
      </c>
      <c r="P23" s="2408">
        <f t="shared" si="10"/>
        <v>3.8199999999999998E-2</v>
      </c>
      <c r="Q23" s="2408">
        <f t="shared" si="11"/>
        <v>1.6799999999999999E-2</v>
      </c>
      <c r="R23" s="2424"/>
      <c r="S23" s="2437"/>
      <c r="T23" s="2438"/>
      <c r="U23" s="2438"/>
      <c r="V23" s="2438"/>
      <c r="W23" s="2401"/>
      <c r="X23" s="2425">
        <f>ROUND(SUMPRODUCT(PRODUCT(1+N23:N$35)),4)</f>
        <v>1.3628</v>
      </c>
      <c r="Y23" s="2425">
        <f>ROUND(SUMPRODUCT(PRODUCT(1+O23:O$35)),4)</f>
        <v>1.2205999999999999</v>
      </c>
      <c r="Z23" s="2425">
        <f t="shared" si="6"/>
        <v>1.2205999999999999</v>
      </c>
      <c r="AA23" s="2425">
        <f>ROUND(SUMPRODUCT(PRODUCT(1+P23:P$35)),4)</f>
        <v>1.4118999999999999</v>
      </c>
      <c r="AB23" s="2425">
        <f>ROUND(SUMPRODUCT(PRODUCT(1+Q23:Q$35)),4)</f>
        <v>1.1930000000000001</v>
      </c>
      <c r="AC23" s="2401"/>
      <c r="AD23" s="2426">
        <f>ROUND(AVERAGE(I23:I$36)/100,4)</f>
        <v>2.46E-2</v>
      </c>
      <c r="AE23" s="2426">
        <f>ROUND(AVERAGE(J23:J$36)/100,4)</f>
        <v>1.6E-2</v>
      </c>
      <c r="AF23" s="2426">
        <f t="shared" si="7"/>
        <v>1.6E-2</v>
      </c>
      <c r="AG23" s="2426">
        <f>ROUND(AVERAGE(K23:K$36)/100,4)</f>
        <v>2.75E-2</v>
      </c>
      <c r="AH23" s="2426">
        <f>ROUND(AVERAGE(L23:L$36)/100,4)</f>
        <v>1.37E-2</v>
      </c>
    </row>
    <row r="24" spans="1:34" s="2427" customFormat="1" ht="15" customHeight="1" thickBot="1">
      <c r="A24" s="2420" t="s">
        <v>1122</v>
      </c>
      <c r="B24" s="2421">
        <f t="shared" si="13"/>
        <v>405.524</v>
      </c>
      <c r="C24" s="2421">
        <f t="shared" si="13"/>
        <v>307.79840000000002</v>
      </c>
      <c r="D24" s="2421">
        <f t="shared" si="2"/>
        <v>307.79840000000002</v>
      </c>
      <c r="E24" s="2421">
        <f t="shared" si="14"/>
        <v>574.67759999999998</v>
      </c>
      <c r="F24" s="2421">
        <f t="shared" si="14"/>
        <v>270.20280000000002</v>
      </c>
      <c r="G24" s="3641"/>
      <c r="H24" s="2422">
        <v>1</v>
      </c>
      <c r="I24" s="2422">
        <v>3.45</v>
      </c>
      <c r="J24" s="2422">
        <v>1.92</v>
      </c>
      <c r="K24" s="2422">
        <v>3.92</v>
      </c>
      <c r="L24" s="2428">
        <v>1.58</v>
      </c>
      <c r="M24" s="2407"/>
      <c r="N24" s="2423">
        <f t="shared" si="12"/>
        <v>3.4500000000000003E-2</v>
      </c>
      <c r="O24" s="2408">
        <f t="shared" ref="O24:Q39" si="15">J24/100</f>
        <v>1.9199999999999998E-2</v>
      </c>
      <c r="P24" s="2408">
        <f t="shared" si="15"/>
        <v>3.9199999999999999E-2</v>
      </c>
      <c r="Q24" s="2408">
        <f t="shared" si="15"/>
        <v>1.5800000000000002E-2</v>
      </c>
      <c r="R24" s="2424"/>
      <c r="S24" s="2423">
        <f>B24/B25-1</f>
        <v>3.4499999999999975E-2</v>
      </c>
      <c r="T24" s="2408">
        <f>C24/C25-1</f>
        <v>1.9200000000000106E-2</v>
      </c>
      <c r="U24" s="2408">
        <f>D24/D25-1</f>
        <v>1.9200000000000106E-2</v>
      </c>
      <c r="V24" s="2408">
        <f>E24/E25-1</f>
        <v>3.9199999999999902E-2</v>
      </c>
      <c r="W24" s="2425"/>
      <c r="X24" s="2425">
        <f>ROUND(SUMPRODUCT(PRODUCT(1+N24:N$35)),4)</f>
        <v>1.3180000000000001</v>
      </c>
      <c r="Y24" s="2425">
        <f>ROUND(SUMPRODUCT(PRODUCT(1+O24:O$35)),4)</f>
        <v>1.1966000000000001</v>
      </c>
      <c r="Z24" s="2425">
        <f t="shared" si="6"/>
        <v>1.1966000000000001</v>
      </c>
      <c r="AA24" s="2425">
        <f>ROUND(SUMPRODUCT(PRODUCT(1+P24:P$35)),4)</f>
        <v>1.36</v>
      </c>
      <c r="AB24" s="2425">
        <f>ROUND(SUMPRODUCT(PRODUCT(1+Q24:Q$35)),4)</f>
        <v>1.1733</v>
      </c>
      <c r="AC24" s="2425"/>
      <c r="AD24" s="2426">
        <f>ROUND(AVERAGE(I24:I$36)/100,4)</f>
        <v>2.3900000000000001E-2</v>
      </c>
      <c r="AE24" s="2426">
        <f>ROUND(AVERAGE(J24:J$36)/100,4)</f>
        <v>1.5699999999999999E-2</v>
      </c>
      <c r="AF24" s="2426">
        <f t="shared" si="7"/>
        <v>1.5699999999999999E-2</v>
      </c>
      <c r="AG24" s="2426">
        <f>ROUND(AVERAGE(K24:K$36)/100,4)</f>
        <v>2.6599999999999999E-2</v>
      </c>
      <c r="AH24" s="2426">
        <f>ROUND(AVERAGE(L24:L$36)/100,4)</f>
        <v>1.34E-2</v>
      </c>
    </row>
    <row r="25" spans="1:34">
      <c r="A25" s="2420" t="s">
        <v>154</v>
      </c>
      <c r="B25" s="2435">
        <v>392</v>
      </c>
      <c r="C25" s="2435">
        <v>302</v>
      </c>
      <c r="D25" s="2435">
        <f t="shared" si="2"/>
        <v>302</v>
      </c>
      <c r="E25" s="2435">
        <v>553</v>
      </c>
      <c r="F25" s="2436">
        <v>266</v>
      </c>
      <c r="G25" s="3637">
        <v>2016</v>
      </c>
      <c r="H25" s="2429">
        <v>4</v>
      </c>
      <c r="I25" s="2429">
        <v>4.5599999999999996</v>
      </c>
      <c r="J25" s="2429">
        <v>2.15</v>
      </c>
      <c r="K25" s="2429">
        <v>5.32</v>
      </c>
      <c r="L25" s="2430">
        <v>1.57</v>
      </c>
      <c r="N25" s="2423">
        <f t="shared" si="12"/>
        <v>4.5599999999999995E-2</v>
      </c>
      <c r="O25" s="2408">
        <f t="shared" si="15"/>
        <v>2.1499999999999998E-2</v>
      </c>
      <c r="P25" s="2408">
        <f t="shared" si="15"/>
        <v>5.3200000000000004E-2</v>
      </c>
      <c r="Q25" s="2408">
        <f t="shared" si="15"/>
        <v>1.5700000000000002E-2</v>
      </c>
      <c r="R25" s="2424"/>
      <c r="S25" s="2437"/>
      <c r="T25" s="2438"/>
      <c r="U25" s="2438"/>
      <c r="V25" s="2438"/>
      <c r="X25" s="2407">
        <f>ROUND(SUMPRODUCT(PRODUCT(1+N25:N$35)),4)</f>
        <v>1.274</v>
      </c>
      <c r="Y25" s="2407">
        <f>ROUND(SUMPRODUCT(PRODUCT(1+O25:O$35)),4)</f>
        <v>1.1740999999999999</v>
      </c>
      <c r="Z25" s="2407">
        <f t="shared" si="6"/>
        <v>1.1740999999999999</v>
      </c>
      <c r="AA25" s="2407">
        <f>ROUND(SUMPRODUCT(PRODUCT(1+P25:P$35)),4)</f>
        <v>1.3087</v>
      </c>
      <c r="AB25" s="2407">
        <f>ROUND(SUMPRODUCT(PRODUCT(1+Q25:Q$35)),4)</f>
        <v>1.1551</v>
      </c>
      <c r="AD25" s="2408">
        <f>ROUND(AVERAGE(I25:I$36)/100,4)</f>
        <v>2.3E-2</v>
      </c>
      <c r="AE25" s="2408">
        <f>ROUND(AVERAGE(J25:J$36)/100,4)</f>
        <v>1.55E-2</v>
      </c>
      <c r="AF25" s="2408">
        <f t="shared" si="7"/>
        <v>1.55E-2</v>
      </c>
      <c r="AG25" s="2408">
        <f>ROUND(AVERAGE(K25:K$36)/100,4)</f>
        <v>2.5600000000000001E-2</v>
      </c>
      <c r="AH25" s="2408">
        <f>ROUND(AVERAGE(L25:L$36)/100,4)</f>
        <v>1.32E-2</v>
      </c>
    </row>
    <row r="26" spans="1:34">
      <c r="A26" s="2420" t="s">
        <v>153</v>
      </c>
      <c r="B26" s="2421">
        <f t="shared" ref="B26:C28" si="16">B25/(1+N25)</f>
        <v>374.90436113236416</v>
      </c>
      <c r="C26" s="2421">
        <f t="shared" si="16"/>
        <v>295.64366128242779</v>
      </c>
      <c r="D26" s="2421">
        <f t="shared" ref="D26:D85" si="17">C26</f>
        <v>295.64366128242779</v>
      </c>
      <c r="E26" s="2421">
        <f t="shared" ref="E26:F28" si="18">E25/(1+P25)</f>
        <v>525.06646410938095</v>
      </c>
      <c r="F26" s="2421">
        <f t="shared" si="18"/>
        <v>261.88835286009646</v>
      </c>
      <c r="G26" s="3632"/>
      <c r="H26" s="2422">
        <v>3</v>
      </c>
      <c r="I26" s="2422">
        <v>4.12</v>
      </c>
      <c r="J26" s="2422">
        <v>2</v>
      </c>
      <c r="K26" s="2422">
        <v>4.79</v>
      </c>
      <c r="L26" s="2428">
        <v>1.97</v>
      </c>
      <c r="N26" s="2423">
        <f t="shared" ref="N26:Q60" si="19">I26/100</f>
        <v>4.1200000000000001E-2</v>
      </c>
      <c r="O26" s="2408">
        <f t="shared" si="15"/>
        <v>0.02</v>
      </c>
      <c r="P26" s="2408">
        <f t="shared" si="15"/>
        <v>4.7899999999999998E-2</v>
      </c>
      <c r="Q26" s="2408">
        <f t="shared" si="15"/>
        <v>1.9699999999999999E-2</v>
      </c>
      <c r="R26" s="2424"/>
      <c r="S26" s="2423"/>
      <c r="T26" s="2408"/>
      <c r="U26" s="2408"/>
      <c r="V26" s="2408"/>
      <c r="X26" s="2407">
        <f>ROUND(SUMPRODUCT(PRODUCT(1+N26:N$35)),4)</f>
        <v>1.2184999999999999</v>
      </c>
      <c r="Y26" s="2407">
        <f>ROUND(SUMPRODUCT(PRODUCT(1+O26:O$35)),4)</f>
        <v>1.1494</v>
      </c>
      <c r="Z26" s="2407">
        <f t="shared" si="6"/>
        <v>1.1494</v>
      </c>
      <c r="AA26" s="2407">
        <f>ROUND(SUMPRODUCT(PRODUCT(1+P26:P$35)),4)</f>
        <v>1.2425999999999999</v>
      </c>
      <c r="AB26" s="2407">
        <f>ROUND(SUMPRODUCT(PRODUCT(1+Q26:Q$35)),4)</f>
        <v>1.1372</v>
      </c>
      <c r="AD26" s="2408">
        <f>ROUND(AVERAGE(I26:I$36)/100,4)</f>
        <v>2.0899999999999998E-2</v>
      </c>
      <c r="AE26" s="2408">
        <f>ROUND(AVERAGE(J26:J$36)/100,4)</f>
        <v>1.49E-2</v>
      </c>
      <c r="AF26" s="2408">
        <f t="shared" si="7"/>
        <v>1.49E-2</v>
      </c>
      <c r="AG26" s="2408">
        <f>ROUND(AVERAGE(K26:K$36)/100,4)</f>
        <v>2.3099999999999999E-2</v>
      </c>
      <c r="AH26" s="2408">
        <f>ROUND(AVERAGE(L26:L$36)/100,4)</f>
        <v>1.2999999999999999E-2</v>
      </c>
    </row>
    <row r="27" spans="1:34">
      <c r="A27" s="2420" t="s">
        <v>143</v>
      </c>
      <c r="B27" s="2421">
        <f t="shared" si="16"/>
        <v>360.06949782209392</v>
      </c>
      <c r="C27" s="2421">
        <f t="shared" si="16"/>
        <v>289.84672674747821</v>
      </c>
      <c r="D27" s="2421">
        <f t="shared" si="17"/>
        <v>289.84672674747821</v>
      </c>
      <c r="E27" s="2421">
        <f t="shared" si="18"/>
        <v>501.06543001181495</v>
      </c>
      <c r="F27" s="2421">
        <f t="shared" si="18"/>
        <v>256.82882500744967</v>
      </c>
      <c r="G27" s="3632"/>
      <c r="H27" s="2433">
        <v>2</v>
      </c>
      <c r="I27" s="2433">
        <v>3.85</v>
      </c>
      <c r="J27" s="2433">
        <v>1.95</v>
      </c>
      <c r="K27" s="2433">
        <v>4.4800000000000004</v>
      </c>
      <c r="L27" s="2434">
        <v>1.41</v>
      </c>
      <c r="N27" s="2423">
        <f t="shared" si="19"/>
        <v>3.85E-2</v>
      </c>
      <c r="O27" s="2408">
        <f t="shared" si="15"/>
        <v>1.95E-2</v>
      </c>
      <c r="P27" s="2408">
        <f t="shared" si="15"/>
        <v>4.4800000000000006E-2</v>
      </c>
      <c r="Q27" s="2408">
        <f t="shared" si="15"/>
        <v>1.41E-2</v>
      </c>
      <c r="R27" s="2424"/>
      <c r="S27" s="2423"/>
      <c r="T27" s="2408"/>
      <c r="U27" s="2408"/>
      <c r="V27" s="2408"/>
      <c r="X27" s="2407">
        <f>ROUND(SUMPRODUCT(PRODUCT(1+N27:N$35)),4)</f>
        <v>1.1702999999999999</v>
      </c>
      <c r="Y27" s="2407">
        <f>ROUND(SUMPRODUCT(PRODUCT(1+O27:O$35)),4)</f>
        <v>1.1269</v>
      </c>
      <c r="Z27" s="2407">
        <f t="shared" si="6"/>
        <v>1.1269</v>
      </c>
      <c r="AA27" s="2407">
        <f>ROUND(SUMPRODUCT(PRODUCT(1+P27:P$35)),4)</f>
        <v>1.1858</v>
      </c>
      <c r="AB27" s="2407">
        <f>ROUND(SUMPRODUCT(PRODUCT(1+Q27:Q$35)),4)</f>
        <v>1.1152</v>
      </c>
      <c r="AD27" s="2408">
        <f>ROUND(AVERAGE(I27:I$36)/100,4)</f>
        <v>1.89E-2</v>
      </c>
      <c r="AE27" s="2408">
        <f>ROUND(AVERAGE(J27:J$36)/100,4)</f>
        <v>1.44E-2</v>
      </c>
      <c r="AF27" s="2408">
        <f t="shared" si="7"/>
        <v>1.44E-2</v>
      </c>
      <c r="AG27" s="2408">
        <f>ROUND(AVERAGE(K27:K$36)/100,4)</f>
        <v>2.06E-2</v>
      </c>
      <c r="AH27" s="2408">
        <f>ROUND(AVERAGE(L27:L$36)/100,4)</f>
        <v>1.23E-2</v>
      </c>
    </row>
    <row r="28" spans="1:34" ht="13.5" thickBot="1">
      <c r="A28" s="2420" t="s">
        <v>152</v>
      </c>
      <c r="B28" s="2421">
        <f t="shared" si="16"/>
        <v>346.720748986128</v>
      </c>
      <c r="C28" s="2421">
        <f t="shared" si="16"/>
        <v>284.30282172386285</v>
      </c>
      <c r="D28" s="2421">
        <f t="shared" si="17"/>
        <v>284.30282172386285</v>
      </c>
      <c r="E28" s="2421">
        <f t="shared" si="18"/>
        <v>479.58023546306947</v>
      </c>
      <c r="F28" s="2421">
        <f t="shared" si="18"/>
        <v>253.25788877571213</v>
      </c>
      <c r="G28" s="3633"/>
      <c r="H28" s="2422">
        <v>1</v>
      </c>
      <c r="I28" s="2422">
        <v>4.09</v>
      </c>
      <c r="J28" s="2422">
        <v>2.93</v>
      </c>
      <c r="K28" s="2422">
        <v>4.54</v>
      </c>
      <c r="L28" s="2428">
        <v>1.48</v>
      </c>
      <c r="N28" s="2423">
        <f t="shared" si="19"/>
        <v>4.0899999999999999E-2</v>
      </c>
      <c r="O28" s="2408">
        <f t="shared" si="15"/>
        <v>2.9300000000000003E-2</v>
      </c>
      <c r="P28" s="2408">
        <f t="shared" si="15"/>
        <v>4.5400000000000003E-2</v>
      </c>
      <c r="Q28" s="2408">
        <f t="shared" si="15"/>
        <v>1.4800000000000001E-2</v>
      </c>
      <c r="R28" s="2424"/>
      <c r="S28" s="2439">
        <f>B28/B29-1</f>
        <v>4.1203450408792808E-2</v>
      </c>
      <c r="T28" s="2440">
        <f>C28/C29-1</f>
        <v>2.6363977342465095E-2</v>
      </c>
      <c r="U28" s="2440">
        <f>E28/E29-1</f>
        <v>4.4837114298626357E-2</v>
      </c>
      <c r="V28" s="2440">
        <f>F28/F29-1</f>
        <v>1.7099954922538574E-2</v>
      </c>
      <c r="X28" s="2407">
        <f>ROUND(SUMPRODUCT(PRODUCT(1+N28:N$35)),4)</f>
        <v>1.1269</v>
      </c>
      <c r="Y28" s="2407">
        <f>ROUND(SUMPRODUCT(PRODUCT(1+O28:O$35)),4)</f>
        <v>1.1052999999999999</v>
      </c>
      <c r="Z28" s="2407">
        <f t="shared" si="6"/>
        <v>1.1052999999999999</v>
      </c>
      <c r="AA28" s="2407">
        <f>ROUND(SUMPRODUCT(PRODUCT(1+P28:P$35)),4)</f>
        <v>1.1349</v>
      </c>
      <c r="AB28" s="2407">
        <f>ROUND(SUMPRODUCT(PRODUCT(1+Q28:Q$35)),4)</f>
        <v>1.0996999999999999</v>
      </c>
      <c r="AD28" s="2408">
        <f>ROUND(AVERAGE(I28:I$36)/100,4)</f>
        <v>1.67E-2</v>
      </c>
      <c r="AE28" s="2408">
        <f>ROUND(AVERAGE(J28:J$36)/100,4)</f>
        <v>1.38E-2</v>
      </c>
      <c r="AF28" s="2408">
        <f t="shared" si="7"/>
        <v>1.38E-2</v>
      </c>
      <c r="AG28" s="2408">
        <f>ROUND(AVERAGE(K28:K$36)/100,4)</f>
        <v>1.7899999999999999E-2</v>
      </c>
      <c r="AH28" s="2408">
        <f>ROUND(AVERAGE(L28:L$36)/100,4)</f>
        <v>1.21E-2</v>
      </c>
    </row>
    <row r="29" spans="1:34" ht="13.5" thickBot="1">
      <c r="A29" s="2420" t="s">
        <v>151</v>
      </c>
      <c r="B29" s="2435">
        <v>333</v>
      </c>
      <c r="C29" s="2435">
        <v>277</v>
      </c>
      <c r="D29" s="2435">
        <f t="shared" si="17"/>
        <v>277</v>
      </c>
      <c r="E29" s="2435">
        <v>459</v>
      </c>
      <c r="F29" s="2436">
        <v>249</v>
      </c>
      <c r="G29" s="3631">
        <v>2015</v>
      </c>
      <c r="H29" s="2441">
        <v>4</v>
      </c>
      <c r="I29" s="2441">
        <v>1.63</v>
      </c>
      <c r="J29" s="2441">
        <v>1.1100000000000001</v>
      </c>
      <c r="K29" s="2441">
        <v>1.77</v>
      </c>
      <c r="L29" s="2442">
        <v>1.89</v>
      </c>
      <c r="N29" s="2443">
        <f t="shared" si="19"/>
        <v>1.6299999999999999E-2</v>
      </c>
      <c r="O29" s="2444">
        <f t="shared" si="15"/>
        <v>1.11E-2</v>
      </c>
      <c r="P29" s="2444">
        <f t="shared" si="15"/>
        <v>1.77E-2</v>
      </c>
      <c r="Q29" s="2444">
        <f t="shared" si="15"/>
        <v>1.89E-2</v>
      </c>
      <c r="R29" s="2424"/>
      <c r="X29" s="2407">
        <f>ROUND(SUMPRODUCT(PRODUCT(1+N29:N$35)),4)</f>
        <v>1.0826</v>
      </c>
      <c r="Y29" s="2407">
        <f>ROUND(SUMPRODUCT(PRODUCT(1+O29:O$35)),4)</f>
        <v>1.0738000000000001</v>
      </c>
      <c r="Z29" s="2407">
        <f t="shared" si="6"/>
        <v>1.0738000000000001</v>
      </c>
      <c r="AA29" s="2407">
        <f>ROUND(SUMPRODUCT(PRODUCT(1+P29:P$35)),4)</f>
        <v>1.0855999999999999</v>
      </c>
      <c r="AB29" s="2407">
        <f>ROUND(SUMPRODUCT(PRODUCT(1+Q29:Q$35)),4)</f>
        <v>1.0837000000000001</v>
      </c>
      <c r="AD29" s="2408">
        <f>ROUND(AVERAGE(I29:I$36)/100,4)</f>
        <v>1.37E-2</v>
      </c>
      <c r="AE29" s="2408">
        <f>ROUND(AVERAGE(J29:J$36)/100,4)</f>
        <v>1.1900000000000001E-2</v>
      </c>
      <c r="AF29" s="2408">
        <f t="shared" si="7"/>
        <v>1.1900000000000001E-2</v>
      </c>
      <c r="AG29" s="2408">
        <f>ROUND(AVERAGE(K29:K$36)/100,4)</f>
        <v>1.4500000000000001E-2</v>
      </c>
      <c r="AH29" s="2408">
        <f>ROUND(AVERAGE(L29:L$36)/100,4)</f>
        <v>1.18E-2</v>
      </c>
    </row>
    <row r="30" spans="1:34">
      <c r="A30" s="2420" t="s">
        <v>150</v>
      </c>
      <c r="B30" s="2421">
        <f t="shared" ref="B30:C32" si="20">B29/(1+N29)</f>
        <v>327.65915576109415</v>
      </c>
      <c r="C30" s="2421">
        <f t="shared" si="20"/>
        <v>273.95905449510434</v>
      </c>
      <c r="D30" s="2421">
        <f t="shared" si="17"/>
        <v>273.95905449510434</v>
      </c>
      <c r="E30" s="2421">
        <f t="shared" ref="E30:F32" si="21">E29/(1+P29)</f>
        <v>451.01699911565294</v>
      </c>
      <c r="F30" s="2421">
        <f t="shared" si="21"/>
        <v>244.38119540681129</v>
      </c>
      <c r="G30" s="3632"/>
      <c r="H30" s="2446">
        <v>3</v>
      </c>
      <c r="I30" s="2446">
        <v>1.65</v>
      </c>
      <c r="J30" s="2446">
        <v>0.92</v>
      </c>
      <c r="K30" s="2446">
        <v>1.88</v>
      </c>
      <c r="L30" s="2447">
        <v>1.26</v>
      </c>
      <c r="N30" s="2423">
        <f t="shared" si="19"/>
        <v>1.6500000000000001E-2</v>
      </c>
      <c r="O30" s="2448">
        <f t="shared" si="15"/>
        <v>9.1999999999999998E-3</v>
      </c>
      <c r="P30" s="2448">
        <f t="shared" si="15"/>
        <v>1.8799999999999997E-2</v>
      </c>
      <c r="Q30" s="2448">
        <f t="shared" si="15"/>
        <v>1.26E-2</v>
      </c>
      <c r="R30" s="2424"/>
      <c r="S30" s="2423"/>
      <c r="T30" s="2408"/>
      <c r="U30" s="2408"/>
      <c r="V30" s="2408"/>
      <c r="X30" s="2407">
        <f>ROUND(SUMPRODUCT(PRODUCT(1+N30:N$35)),4)</f>
        <v>1.0651999999999999</v>
      </c>
      <c r="Y30" s="2407">
        <f>ROUND(SUMPRODUCT(PRODUCT(1+O30:O$35)),4)</f>
        <v>1.0621</v>
      </c>
      <c r="Z30" s="2407">
        <f t="shared" si="6"/>
        <v>1.0621</v>
      </c>
      <c r="AA30" s="2407">
        <f>ROUND(SUMPRODUCT(PRODUCT(1+P30:P$35)),4)</f>
        <v>1.0668</v>
      </c>
      <c r="AB30" s="2407">
        <f>ROUND(SUMPRODUCT(PRODUCT(1+Q30:Q$35)),4)</f>
        <v>1.0636000000000001</v>
      </c>
      <c r="AD30" s="2408">
        <f>ROUND(AVERAGE(I30:I$36)/100,4)</f>
        <v>1.3299999999999999E-2</v>
      </c>
      <c r="AE30" s="2408">
        <f>ROUND(AVERAGE(J30:J$36)/100,4)</f>
        <v>1.2E-2</v>
      </c>
      <c r="AF30" s="2408">
        <f t="shared" si="7"/>
        <v>1.2E-2</v>
      </c>
      <c r="AG30" s="2408">
        <f>ROUND(AVERAGE(K30:K$36)/100,4)</f>
        <v>1.4E-2</v>
      </c>
      <c r="AH30" s="2408">
        <f>ROUND(AVERAGE(L30:L$36)/100,4)</f>
        <v>1.0800000000000001E-2</v>
      </c>
    </row>
    <row r="31" spans="1:34">
      <c r="A31" s="2420" t="s">
        <v>149</v>
      </c>
      <c r="B31" s="2421">
        <f t="shared" si="20"/>
        <v>322.34053690220776</v>
      </c>
      <c r="C31" s="2421">
        <f t="shared" si="20"/>
        <v>271.46160770422546</v>
      </c>
      <c r="D31" s="2421">
        <f t="shared" si="17"/>
        <v>271.46160770422546</v>
      </c>
      <c r="E31" s="2421">
        <f t="shared" si="21"/>
        <v>442.69434542172456</v>
      </c>
      <c r="F31" s="2421">
        <f t="shared" si="21"/>
        <v>241.34030753190925</v>
      </c>
      <c r="G31" s="3632"/>
      <c r="H31" s="2433">
        <v>2</v>
      </c>
      <c r="I31" s="2433">
        <v>0.77</v>
      </c>
      <c r="J31" s="2433">
        <v>0.69</v>
      </c>
      <c r="K31" s="2433">
        <v>0.8</v>
      </c>
      <c r="L31" s="2434">
        <v>0.88</v>
      </c>
      <c r="N31" s="2423">
        <f t="shared" si="19"/>
        <v>7.7000000000000002E-3</v>
      </c>
      <c r="O31" s="2448">
        <f t="shared" si="15"/>
        <v>6.8999999999999999E-3</v>
      </c>
      <c r="P31" s="2448">
        <f t="shared" si="15"/>
        <v>8.0000000000000002E-3</v>
      </c>
      <c r="Q31" s="2448">
        <f t="shared" si="15"/>
        <v>8.8000000000000005E-3</v>
      </c>
      <c r="R31" s="2424"/>
      <c r="S31" s="2423"/>
      <c r="T31" s="2408"/>
      <c r="U31" s="2408"/>
      <c r="V31" s="2408"/>
      <c r="X31" s="2407">
        <f>ROUND(SUMPRODUCT(PRODUCT(1+N31:N$35)),4)</f>
        <v>1.048</v>
      </c>
      <c r="Y31" s="2407">
        <f>ROUND(SUMPRODUCT(PRODUCT(1+O31:O$35)),4)</f>
        <v>1.0524</v>
      </c>
      <c r="Z31" s="2407">
        <f t="shared" si="6"/>
        <v>1.0524</v>
      </c>
      <c r="AA31" s="2407">
        <f>ROUND(SUMPRODUCT(PRODUCT(1+P31:P$35)),4)</f>
        <v>1.0470999999999999</v>
      </c>
      <c r="AB31" s="2407">
        <f>ROUND(SUMPRODUCT(PRODUCT(1+Q31:Q$35)),4)</f>
        <v>1.0504</v>
      </c>
      <c r="AD31" s="2408">
        <f>ROUND(AVERAGE(I31:I$36)/100,4)</f>
        <v>1.2800000000000001E-2</v>
      </c>
      <c r="AE31" s="2408">
        <f>ROUND(AVERAGE(J31:J$36)/100,4)</f>
        <v>1.2500000000000001E-2</v>
      </c>
      <c r="AF31" s="2408">
        <f t="shared" si="7"/>
        <v>1.2500000000000001E-2</v>
      </c>
      <c r="AG31" s="2408">
        <f>ROUND(AVERAGE(K31:K$36)/100,4)</f>
        <v>1.32E-2</v>
      </c>
      <c r="AH31" s="2408">
        <f>ROUND(AVERAGE(L31:L$36)/100,4)</f>
        <v>1.0500000000000001E-2</v>
      </c>
    </row>
    <row r="32" spans="1:34">
      <c r="A32" s="2420" t="s">
        <v>148</v>
      </c>
      <c r="B32" s="2421">
        <f t="shared" si="20"/>
        <v>319.87748030386797</v>
      </c>
      <c r="C32" s="2421">
        <f t="shared" si="20"/>
        <v>269.60135833173649</v>
      </c>
      <c r="D32" s="2421">
        <f t="shared" si="17"/>
        <v>269.60135833173649</v>
      </c>
      <c r="E32" s="2421">
        <f t="shared" si="21"/>
        <v>439.18089823583784</v>
      </c>
      <c r="F32" s="2421">
        <f t="shared" si="21"/>
        <v>239.23503918706311</v>
      </c>
      <c r="G32" s="3633"/>
      <c r="H32" s="2422">
        <v>1</v>
      </c>
      <c r="I32" s="2422">
        <v>0.51</v>
      </c>
      <c r="J32" s="2422">
        <v>0.54</v>
      </c>
      <c r="K32" s="2422">
        <v>0.48</v>
      </c>
      <c r="L32" s="2428">
        <v>0.93</v>
      </c>
      <c r="N32" s="2439">
        <f t="shared" si="19"/>
        <v>5.1000000000000004E-3</v>
      </c>
      <c r="O32" s="2440">
        <f t="shared" si="15"/>
        <v>5.4000000000000003E-3</v>
      </c>
      <c r="P32" s="2440">
        <f t="shared" si="15"/>
        <v>4.7999999999999996E-3</v>
      </c>
      <c r="Q32" s="2440">
        <f t="shared" si="15"/>
        <v>9.300000000000001E-3</v>
      </c>
      <c r="R32" s="2424"/>
      <c r="S32" s="2439">
        <f>B32/B33-1</f>
        <v>5.9040261127922822E-3</v>
      </c>
      <c r="T32" s="2440">
        <f>C32/C33-1</f>
        <v>5.9752176557332781E-3</v>
      </c>
      <c r="U32" s="2440">
        <f>E32/E33-1</f>
        <v>4.9906138119859556E-3</v>
      </c>
      <c r="V32" s="2440">
        <f>F32/F33-1</f>
        <v>9.4305450930933787E-3</v>
      </c>
      <c r="X32" s="2407">
        <f>ROUND(SUMPRODUCT(PRODUCT(1+N32:N$35)),4)</f>
        <v>1.0399</v>
      </c>
      <c r="Y32" s="2407">
        <f>ROUND(SUMPRODUCT(PRODUCT(1+O32:O$35)),4)</f>
        <v>1.0451999999999999</v>
      </c>
      <c r="Z32" s="2407">
        <f t="shared" si="6"/>
        <v>1.0451999999999999</v>
      </c>
      <c r="AA32" s="2407">
        <f>ROUND(SUMPRODUCT(PRODUCT(1+P32:P$35)),4)</f>
        <v>1.0387999999999999</v>
      </c>
      <c r="AB32" s="2407">
        <f>ROUND(SUMPRODUCT(PRODUCT(1+Q32:Q$35)),4)</f>
        <v>1.0411999999999999</v>
      </c>
      <c r="AD32" s="2408">
        <f>ROUND(AVERAGE(I32:I$36)/100,4)</f>
        <v>1.38E-2</v>
      </c>
      <c r="AE32" s="2408">
        <f>ROUND(AVERAGE(J32:J$36)/100,4)</f>
        <v>1.3599999999999999E-2</v>
      </c>
      <c r="AF32" s="2408">
        <f t="shared" si="7"/>
        <v>1.3599999999999999E-2</v>
      </c>
      <c r="AG32" s="2408">
        <f>ROUND(AVERAGE(K32:K$36)/100,4)</f>
        <v>1.4200000000000001E-2</v>
      </c>
      <c r="AH32" s="2408">
        <f>ROUND(AVERAGE(L32:L$36)/100,4)</f>
        <v>1.0800000000000001E-2</v>
      </c>
    </row>
    <row r="33" spans="1:34" ht="13.5" thickBot="1">
      <c r="A33" s="2420" t="s">
        <v>147</v>
      </c>
      <c r="B33" s="2449">
        <v>318</v>
      </c>
      <c r="C33" s="2449">
        <v>268</v>
      </c>
      <c r="D33" s="2449">
        <f t="shared" si="17"/>
        <v>268</v>
      </c>
      <c r="E33" s="2449">
        <v>437</v>
      </c>
      <c r="F33" s="2450">
        <v>237</v>
      </c>
      <c r="G33" s="3631">
        <v>2014</v>
      </c>
      <c r="H33" s="2441">
        <v>4</v>
      </c>
      <c r="I33" s="2441">
        <v>0.21</v>
      </c>
      <c r="J33" s="2441">
        <v>0.41</v>
      </c>
      <c r="K33" s="2441">
        <v>0.12</v>
      </c>
      <c r="L33" s="2442">
        <v>0.89</v>
      </c>
      <c r="N33" s="2423">
        <f t="shared" si="19"/>
        <v>2.0999999999999999E-3</v>
      </c>
      <c r="O33" s="2408">
        <f t="shared" si="15"/>
        <v>4.0999999999999995E-3</v>
      </c>
      <c r="P33" s="2408">
        <f t="shared" si="15"/>
        <v>1.1999999999999999E-3</v>
      </c>
      <c r="Q33" s="2408">
        <f t="shared" si="15"/>
        <v>8.8999999999999999E-3</v>
      </c>
      <c r="R33" s="2424"/>
      <c r="S33" s="2437"/>
      <c r="T33" s="2438"/>
      <c r="U33" s="2438"/>
      <c r="V33" s="2438"/>
      <c r="X33" s="2407">
        <f>ROUND(SUMPRODUCT(PRODUCT(1+N33:N$35)),4)</f>
        <v>1.0347</v>
      </c>
      <c r="Y33" s="2407">
        <f>ROUND(SUMPRODUCT(PRODUCT(1+O33:O$35)),4)</f>
        <v>1.0395000000000001</v>
      </c>
      <c r="Z33" s="2407">
        <f t="shared" si="6"/>
        <v>1.0395000000000001</v>
      </c>
      <c r="AA33" s="2407">
        <f>ROUND(SUMPRODUCT(PRODUCT(1+P33:P$35)),4)</f>
        <v>1.0338000000000001</v>
      </c>
      <c r="AB33" s="2407">
        <f>ROUND(SUMPRODUCT(PRODUCT(1+Q33:Q$35)),4)</f>
        <v>1.0316000000000001</v>
      </c>
      <c r="AD33" s="2408">
        <f>ROUND(AVERAGE(I33:I$36)/100,4)</f>
        <v>1.6E-2</v>
      </c>
      <c r="AE33" s="2408">
        <f>ROUND(AVERAGE(J33:J$36)/100,4)</f>
        <v>1.5599999999999999E-2</v>
      </c>
      <c r="AF33" s="2408">
        <f t="shared" si="7"/>
        <v>1.5599999999999999E-2</v>
      </c>
      <c r="AG33" s="2408">
        <f>ROUND(AVERAGE(K33:K$36)/100,4)</f>
        <v>1.66E-2</v>
      </c>
      <c r="AH33" s="2408">
        <f>ROUND(AVERAGE(L33:L$36)/100,4)</f>
        <v>1.12E-2</v>
      </c>
    </row>
    <row r="34" spans="1:34">
      <c r="A34" s="2420" t="s">
        <v>146</v>
      </c>
      <c r="B34" s="2421">
        <f t="shared" ref="B34:C36" si="22">B33/(1+N33)</f>
        <v>317.33359944117353</v>
      </c>
      <c r="C34" s="2421">
        <f t="shared" si="22"/>
        <v>266.90568668459315</v>
      </c>
      <c r="D34" s="2421">
        <f t="shared" si="17"/>
        <v>266.90568668459315</v>
      </c>
      <c r="E34" s="2421">
        <f t="shared" ref="E34:F36" si="23">E33/(1+P33)</f>
        <v>436.47622852576905</v>
      </c>
      <c r="F34" s="2421">
        <f t="shared" si="23"/>
        <v>234.90930716622066</v>
      </c>
      <c r="G34" s="3632"/>
      <c r="H34" s="2451">
        <v>3</v>
      </c>
      <c r="I34" s="2451">
        <v>0.83</v>
      </c>
      <c r="J34" s="2451">
        <v>1.47</v>
      </c>
      <c r="K34" s="2451">
        <v>0.65</v>
      </c>
      <c r="L34" s="2452">
        <v>0.72</v>
      </c>
      <c r="N34" s="2423">
        <f t="shared" si="19"/>
        <v>8.3000000000000001E-3</v>
      </c>
      <c r="O34" s="2408">
        <f t="shared" si="15"/>
        <v>1.47E-2</v>
      </c>
      <c r="P34" s="2408">
        <f t="shared" si="15"/>
        <v>6.5000000000000006E-3</v>
      </c>
      <c r="Q34" s="2408">
        <f t="shared" si="15"/>
        <v>7.1999999999999998E-3</v>
      </c>
      <c r="R34" s="2424"/>
      <c r="S34" s="2423"/>
      <c r="T34" s="2408"/>
      <c r="U34" s="2408"/>
      <c r="V34" s="2408"/>
      <c r="X34" s="2407">
        <f>ROUND(SUMPRODUCT(PRODUCT(1+N34:N$35)),4)</f>
        <v>1.0325</v>
      </c>
      <c r="Y34" s="2407">
        <f>ROUND(SUMPRODUCT(PRODUCT(1+O34:O$35)),4)</f>
        <v>1.0353000000000001</v>
      </c>
      <c r="Z34" s="2407">
        <f t="shared" si="6"/>
        <v>1.0353000000000001</v>
      </c>
      <c r="AA34" s="2407">
        <f>ROUND(SUMPRODUCT(PRODUCT(1+P34:P$35)),4)</f>
        <v>1.0326</v>
      </c>
      <c r="AB34" s="2407">
        <f>ROUND(SUMPRODUCT(PRODUCT(1+Q34:Q$35)),4)</f>
        <v>1.0225</v>
      </c>
      <c r="AD34" s="2408">
        <f>ROUND(AVERAGE(I34:I$36)/100,4)</f>
        <v>2.07E-2</v>
      </c>
      <c r="AE34" s="2408">
        <f>ROUND(AVERAGE(J34:J$36)/100,4)</f>
        <v>1.95E-2</v>
      </c>
      <c r="AF34" s="2408">
        <f t="shared" si="7"/>
        <v>1.95E-2</v>
      </c>
      <c r="AG34" s="2408">
        <f>ROUND(AVERAGE(K34:K$36)/100,4)</f>
        <v>2.1700000000000001E-2</v>
      </c>
      <c r="AH34" s="2408">
        <f>ROUND(AVERAGE(L34:L$36)/100,4)</f>
        <v>1.2E-2</v>
      </c>
    </row>
    <row r="35" spans="1:34" ht="13.5" thickBot="1">
      <c r="A35" s="2420" t="s">
        <v>145</v>
      </c>
      <c r="B35" s="2421">
        <f t="shared" si="22"/>
        <v>314.72141172386546</v>
      </c>
      <c r="C35" s="2421">
        <f t="shared" si="22"/>
        <v>263.03901319069001</v>
      </c>
      <c r="D35" s="2421">
        <f t="shared" si="17"/>
        <v>263.03901319069001</v>
      </c>
      <c r="E35" s="2421">
        <f t="shared" si="23"/>
        <v>433.65745506782821</v>
      </c>
      <c r="F35" s="2421">
        <f t="shared" si="23"/>
        <v>233.23005080045735</v>
      </c>
      <c r="G35" s="3632"/>
      <c r="H35" s="2441">
        <v>2</v>
      </c>
      <c r="I35" s="2441">
        <v>2.4</v>
      </c>
      <c r="J35" s="2441">
        <v>2.0299999999999998</v>
      </c>
      <c r="K35" s="2441">
        <v>2.59</v>
      </c>
      <c r="L35" s="2442">
        <v>1.52</v>
      </c>
      <c r="N35" s="2423">
        <f t="shared" si="19"/>
        <v>2.4E-2</v>
      </c>
      <c r="O35" s="2408">
        <f t="shared" si="15"/>
        <v>2.0299999999999999E-2</v>
      </c>
      <c r="P35" s="2408">
        <f t="shared" si="15"/>
        <v>2.5899999999999999E-2</v>
      </c>
      <c r="Q35" s="2408">
        <f t="shared" si="15"/>
        <v>1.52E-2</v>
      </c>
      <c r="R35" s="2424"/>
      <c r="S35" s="2423"/>
      <c r="T35" s="2408"/>
      <c r="U35" s="2408"/>
      <c r="V35" s="2408"/>
      <c r="X35" s="2407">
        <f>1+N35</f>
        <v>1.024</v>
      </c>
      <c r="Y35" s="2407">
        <f>1+O35</f>
        <v>1.0203</v>
      </c>
      <c r="Z35" s="2407">
        <f t="shared" si="6"/>
        <v>1.0203</v>
      </c>
      <c r="AA35" s="2407">
        <f>1+P35</f>
        <v>1.0259</v>
      </c>
      <c r="AB35" s="2407">
        <f>1+Q35</f>
        <v>1.0152000000000001</v>
      </c>
      <c r="AD35" s="2408">
        <f>ROUND(AVERAGE(I35:I$36)/100,4)</f>
        <v>2.69E-2</v>
      </c>
      <c r="AE35" s="2408">
        <f>ROUND(AVERAGE(J35:J$36)/100,4)</f>
        <v>2.1899999999999999E-2</v>
      </c>
      <c r="AF35" s="2408">
        <f t="shared" si="7"/>
        <v>2.1899999999999999E-2</v>
      </c>
      <c r="AG35" s="2408">
        <f>ROUND(AVERAGE(K35:K$36)/100,4)</f>
        <v>2.9399999999999999E-2</v>
      </c>
      <c r="AH35" s="2408">
        <f>ROUND(AVERAGE(L35:L$36)/100,4)</f>
        <v>1.44E-2</v>
      </c>
    </row>
    <row r="36" spans="1:34" s="2457" customFormat="1" ht="13.5" thickBot="1">
      <c r="A36" s="2453" t="s">
        <v>144</v>
      </c>
      <c r="B36" s="2454">
        <f t="shared" si="22"/>
        <v>307.34512863658733</v>
      </c>
      <c r="C36" s="2454">
        <f t="shared" si="22"/>
        <v>257.80556031626975</v>
      </c>
      <c r="D36" s="2454">
        <f t="shared" si="17"/>
        <v>257.80556031626975</v>
      </c>
      <c r="E36" s="2454">
        <f t="shared" si="23"/>
        <v>422.70928459677179</v>
      </c>
      <c r="F36" s="2454">
        <f t="shared" si="23"/>
        <v>229.73803270336617</v>
      </c>
      <c r="G36" s="3633"/>
      <c r="H36" s="2455">
        <v>1</v>
      </c>
      <c r="I36" s="2455">
        <v>2.97</v>
      </c>
      <c r="J36" s="2455">
        <v>2.34</v>
      </c>
      <c r="K36" s="2455">
        <v>3.28</v>
      </c>
      <c r="L36" s="2456">
        <v>1.36</v>
      </c>
      <c r="N36" s="2458">
        <f t="shared" si="19"/>
        <v>2.9700000000000001E-2</v>
      </c>
      <c r="O36" s="2459">
        <f t="shared" si="15"/>
        <v>2.3399999999999997E-2</v>
      </c>
      <c r="P36" s="2459">
        <f t="shared" si="15"/>
        <v>3.2799999999999996E-2</v>
      </c>
      <c r="Q36" s="2459">
        <f t="shared" si="15"/>
        <v>1.3600000000000001E-2</v>
      </c>
      <c r="R36" s="2460"/>
      <c r="S36" s="2461">
        <f>B36/B37-1</f>
        <v>2.7910129219355539E-2</v>
      </c>
      <c r="T36" s="2462">
        <f>C36/C37-1</f>
        <v>2.3037937762975247E-2</v>
      </c>
      <c r="U36" s="2462">
        <f>E36/E37-1</f>
        <v>3.3519033243940788E-2</v>
      </c>
      <c r="V36" s="2462">
        <f>F36/F37-1</f>
        <v>1.2061818076502862E-2</v>
      </c>
      <c r="W36" s="2463" t="s">
        <v>1123</v>
      </c>
      <c r="X36" s="2464">
        <v>1</v>
      </c>
      <c r="Y36" s="2464">
        <v>1</v>
      </c>
      <c r="Z36" s="2464">
        <v>1</v>
      </c>
      <c r="AA36" s="2464">
        <v>1</v>
      </c>
      <c r="AB36" s="2464">
        <v>1</v>
      </c>
      <c r="AD36" s="2459">
        <f>I36/100</f>
        <v>2.9700000000000001E-2</v>
      </c>
      <c r="AE36" s="2459">
        <f>J36/100</f>
        <v>2.3399999999999997E-2</v>
      </c>
      <c r="AF36" s="2459">
        <f t="shared" si="7"/>
        <v>2.3399999999999997E-2</v>
      </c>
      <c r="AG36" s="2459">
        <f>K36/100</f>
        <v>3.2799999999999996E-2</v>
      </c>
      <c r="AH36" s="2459">
        <f>L36/100</f>
        <v>1.3600000000000001E-2</v>
      </c>
    </row>
    <row r="37" spans="1:34" ht="13.5" thickBot="1">
      <c r="A37" s="2420" t="s">
        <v>1124</v>
      </c>
      <c r="B37" s="2435">
        <v>299</v>
      </c>
      <c r="C37" s="2435">
        <v>252</v>
      </c>
      <c r="D37" s="2435">
        <f t="shared" si="17"/>
        <v>252</v>
      </c>
      <c r="E37" s="2435">
        <v>409</v>
      </c>
      <c r="F37" s="2436">
        <v>227</v>
      </c>
      <c r="G37" s="3638">
        <v>2013</v>
      </c>
      <c r="H37" s="2465">
        <v>4</v>
      </c>
      <c r="I37" s="2465">
        <v>1.83</v>
      </c>
      <c r="J37" s="2465">
        <v>1.68</v>
      </c>
      <c r="K37" s="2465">
        <v>1.97</v>
      </c>
      <c r="L37" s="2466">
        <v>0.87</v>
      </c>
      <c r="N37" s="2443">
        <f t="shared" si="19"/>
        <v>1.83E-2</v>
      </c>
      <c r="O37" s="2444">
        <f t="shared" si="15"/>
        <v>1.6799999999999999E-2</v>
      </c>
      <c r="P37" s="2444">
        <f t="shared" si="15"/>
        <v>1.9699999999999999E-2</v>
      </c>
      <c r="Q37" s="2444">
        <f t="shared" si="15"/>
        <v>8.6999999999999994E-3</v>
      </c>
      <c r="R37" s="2424"/>
      <c r="S37" s="2437"/>
      <c r="T37" s="2438"/>
      <c r="U37" s="2438"/>
      <c r="V37" s="2438"/>
      <c r="X37" s="2438"/>
      <c r="Y37" s="2438"/>
      <c r="Z37" s="2438"/>
    </row>
    <row r="38" spans="1:34">
      <c r="A38" s="2420" t="s">
        <v>1125</v>
      </c>
      <c r="B38" s="2421">
        <f t="shared" ref="B38:C40" si="24">B37/(1+N37)</f>
        <v>293.62663262299913</v>
      </c>
      <c r="C38" s="2421">
        <f t="shared" si="24"/>
        <v>247.83634933123525</v>
      </c>
      <c r="D38" s="2421">
        <f t="shared" si="17"/>
        <v>247.83634933123525</v>
      </c>
      <c r="E38" s="2421">
        <f t="shared" ref="E38:F40" si="25">E37/(1+P37)</f>
        <v>401.09836226341076</v>
      </c>
      <c r="F38" s="2421">
        <f t="shared" si="25"/>
        <v>225.04213343908003</v>
      </c>
      <c r="G38" s="3639"/>
      <c r="H38" s="2446">
        <v>3</v>
      </c>
      <c r="I38" s="2446">
        <v>1.86</v>
      </c>
      <c r="J38" s="2446">
        <v>1.72</v>
      </c>
      <c r="K38" s="2446">
        <v>1.98</v>
      </c>
      <c r="L38" s="2447">
        <v>0.88</v>
      </c>
      <c r="N38" s="2423">
        <f t="shared" si="19"/>
        <v>1.8600000000000002E-2</v>
      </c>
      <c r="O38" s="2448">
        <f t="shared" si="15"/>
        <v>1.72E-2</v>
      </c>
      <c r="P38" s="2448">
        <f t="shared" si="15"/>
        <v>1.9799999999999998E-2</v>
      </c>
      <c r="Q38" s="2448">
        <f t="shared" si="15"/>
        <v>8.8000000000000005E-3</v>
      </c>
      <c r="R38" s="2424"/>
      <c r="S38" s="2423"/>
      <c r="T38" s="2408"/>
      <c r="U38" s="2408"/>
      <c r="V38" s="2408"/>
    </row>
    <row r="39" spans="1:34">
      <c r="A39" s="2420" t="s">
        <v>1126</v>
      </c>
      <c r="B39" s="2421">
        <f t="shared" si="24"/>
        <v>288.2649053828776</v>
      </c>
      <c r="C39" s="2421">
        <f t="shared" si="24"/>
        <v>243.64564425013293</v>
      </c>
      <c r="D39" s="2421">
        <f t="shared" si="17"/>
        <v>243.64564425013293</v>
      </c>
      <c r="E39" s="2421">
        <f t="shared" si="25"/>
        <v>393.31080825986544</v>
      </c>
      <c r="F39" s="2421">
        <f t="shared" si="25"/>
        <v>223.07903790551154</v>
      </c>
      <c r="G39" s="3639"/>
      <c r="H39" s="2433">
        <v>2</v>
      </c>
      <c r="I39" s="2433">
        <v>2.04</v>
      </c>
      <c r="J39" s="2433">
        <v>2.33</v>
      </c>
      <c r="K39" s="2433">
        <v>2.0699999999999998</v>
      </c>
      <c r="L39" s="2434">
        <v>0.69</v>
      </c>
      <c r="N39" s="2423">
        <f t="shared" si="19"/>
        <v>2.0400000000000001E-2</v>
      </c>
      <c r="O39" s="2448">
        <f t="shared" si="15"/>
        <v>2.3300000000000001E-2</v>
      </c>
      <c r="P39" s="2448">
        <f t="shared" si="15"/>
        <v>2.07E-2</v>
      </c>
      <c r="Q39" s="2448">
        <f t="shared" si="15"/>
        <v>6.8999999999999999E-3</v>
      </c>
      <c r="R39" s="2424"/>
      <c r="S39" s="2423"/>
      <c r="T39" s="2408"/>
      <c r="U39" s="2408"/>
      <c r="V39" s="2408"/>
      <c r="X39" s="2467"/>
      <c r="Y39" s="2468"/>
    </row>
    <row r="40" spans="1:34">
      <c r="A40" s="2420" t="s">
        <v>1127</v>
      </c>
      <c r="B40" s="2421">
        <f t="shared" si="24"/>
        <v>282.50186729015837</v>
      </c>
      <c r="C40" s="2421">
        <f t="shared" si="24"/>
        <v>238.09796174155468</v>
      </c>
      <c r="D40" s="2421">
        <f t="shared" si="17"/>
        <v>238.09796174155468</v>
      </c>
      <c r="E40" s="2421">
        <f t="shared" si="25"/>
        <v>385.33438646014054</v>
      </c>
      <c r="F40" s="2421">
        <f t="shared" si="25"/>
        <v>221.55034055567739</v>
      </c>
      <c r="G40" s="3640"/>
      <c r="H40" s="2422">
        <v>1</v>
      </c>
      <c r="I40" s="2422">
        <v>1.67</v>
      </c>
      <c r="J40" s="2422">
        <v>1.31</v>
      </c>
      <c r="K40" s="2422">
        <v>1.85</v>
      </c>
      <c r="L40" s="2428">
        <v>0.96</v>
      </c>
      <c r="N40" s="2439">
        <f t="shared" si="19"/>
        <v>1.67E-2</v>
      </c>
      <c r="O40" s="2440">
        <f t="shared" si="19"/>
        <v>1.3100000000000001E-2</v>
      </c>
      <c r="P40" s="2440">
        <f t="shared" si="19"/>
        <v>1.8500000000000003E-2</v>
      </c>
      <c r="Q40" s="2440">
        <f t="shared" si="19"/>
        <v>9.5999999999999992E-3</v>
      </c>
      <c r="R40" s="2424"/>
      <c r="S40" s="2439">
        <f>B40/B41-1</f>
        <v>1.6193767230785472E-2</v>
      </c>
      <c r="T40" s="2440">
        <f>C40/C41-1</f>
        <v>1.7512657015190891E-2</v>
      </c>
      <c r="U40" s="2440">
        <f>E40/E41-1</f>
        <v>1.6713420739157048E-2</v>
      </c>
      <c r="V40" s="2440">
        <f>F40/F41-1</f>
        <v>7.0470025258062563E-3</v>
      </c>
      <c r="X40" s="2469"/>
      <c r="Y40" s="2408"/>
      <c r="Z40" s="2408"/>
    </row>
    <row r="41" spans="1:34" ht="13.5" thickBot="1">
      <c r="A41" s="2420" t="s">
        <v>1128</v>
      </c>
      <c r="B41" s="2470">
        <v>278</v>
      </c>
      <c r="C41" s="2470">
        <v>234</v>
      </c>
      <c r="D41" s="2470">
        <f t="shared" si="17"/>
        <v>234</v>
      </c>
      <c r="E41" s="2470">
        <v>379</v>
      </c>
      <c r="F41" s="2471">
        <v>220</v>
      </c>
      <c r="G41" s="3631">
        <v>2012</v>
      </c>
      <c r="H41" s="2441">
        <v>4</v>
      </c>
      <c r="I41" s="2441">
        <v>0.91</v>
      </c>
      <c r="J41" s="2441">
        <v>0.68</v>
      </c>
      <c r="K41" s="2441">
        <v>0.98</v>
      </c>
      <c r="L41" s="2442">
        <v>0.9</v>
      </c>
      <c r="N41" s="2423">
        <f t="shared" si="19"/>
        <v>9.1000000000000004E-3</v>
      </c>
      <c r="O41" s="2408">
        <f t="shared" si="19"/>
        <v>6.8000000000000005E-3</v>
      </c>
      <c r="P41" s="2408">
        <f t="shared" si="19"/>
        <v>9.7999999999999997E-3</v>
      </c>
      <c r="Q41" s="2408">
        <f t="shared" si="19"/>
        <v>9.0000000000000011E-3</v>
      </c>
      <c r="R41" s="2424"/>
      <c r="S41" s="2437"/>
      <c r="T41" s="2438"/>
      <c r="U41" s="2438"/>
      <c r="V41" s="2438"/>
      <c r="X41" s="2438"/>
      <c r="Y41" s="2438"/>
      <c r="Z41" s="2438"/>
    </row>
    <row r="42" spans="1:34">
      <c r="A42" s="2420" t="s">
        <v>1129</v>
      </c>
      <c r="B42" s="2421">
        <f>B41/(1+N41)</f>
        <v>275.49301357645425</v>
      </c>
      <c r="C42" s="2421">
        <f>C41/(1+O41)</f>
        <v>232.41954707985698</v>
      </c>
      <c r="D42" s="2421">
        <f t="shared" si="17"/>
        <v>232.41954707985698</v>
      </c>
      <c r="E42" s="2421">
        <f t="shared" ref="E42:F44" si="26">E41/(1+P41)</f>
        <v>375.32184591008121</v>
      </c>
      <c r="F42" s="2421">
        <f t="shared" si="26"/>
        <v>218.03766105054513</v>
      </c>
      <c r="G42" s="3632"/>
      <c r="H42" s="2446">
        <v>3</v>
      </c>
      <c r="I42" s="2446">
        <v>0.09</v>
      </c>
      <c r="J42" s="2446">
        <v>0.28999999999999998</v>
      </c>
      <c r="K42" s="2446">
        <v>-0.01</v>
      </c>
      <c r="L42" s="2447">
        <v>0.57999999999999996</v>
      </c>
      <c r="N42" s="2423">
        <f t="shared" si="19"/>
        <v>8.9999999999999998E-4</v>
      </c>
      <c r="O42" s="2408">
        <f t="shared" si="19"/>
        <v>2.8999999999999998E-3</v>
      </c>
      <c r="P42" s="2408">
        <f t="shared" si="19"/>
        <v>-1E-4</v>
      </c>
      <c r="Q42" s="2408">
        <f t="shared" si="19"/>
        <v>5.7999999999999996E-3</v>
      </c>
      <c r="R42" s="2424"/>
      <c r="S42" s="2423"/>
      <c r="T42" s="2408"/>
      <c r="U42" s="2408"/>
      <c r="V42" s="2408"/>
    </row>
    <row r="43" spans="1:34">
      <c r="A43" s="2420" t="s">
        <v>1130</v>
      </c>
      <c r="B43" s="2421">
        <f>B42/(1+N42)</f>
        <v>275.24529281292263</v>
      </c>
      <c r="C43" s="2421">
        <f>C42/(1+O42)</f>
        <v>231.74747938962707</v>
      </c>
      <c r="D43" s="2421">
        <f t="shared" si="17"/>
        <v>231.74747938962707</v>
      </c>
      <c r="E43" s="2421">
        <f t="shared" si="26"/>
        <v>375.35938184826603</v>
      </c>
      <c r="F43" s="2421">
        <f t="shared" si="26"/>
        <v>216.78033510692495</v>
      </c>
      <c r="G43" s="3632"/>
      <c r="H43" s="2433">
        <v>2</v>
      </c>
      <c r="I43" s="2433">
        <v>0.02</v>
      </c>
      <c r="J43" s="2433">
        <v>0.12</v>
      </c>
      <c r="K43" s="2433">
        <v>-0.08</v>
      </c>
      <c r="L43" s="2434">
        <v>1.24</v>
      </c>
      <c r="N43" s="2423">
        <f t="shared" si="19"/>
        <v>2.0000000000000001E-4</v>
      </c>
      <c r="O43" s="2408">
        <f t="shared" si="19"/>
        <v>1.1999999999999999E-3</v>
      </c>
      <c r="P43" s="2408">
        <f t="shared" si="19"/>
        <v>-8.0000000000000004E-4</v>
      </c>
      <c r="Q43" s="2408">
        <f t="shared" si="19"/>
        <v>1.24E-2</v>
      </c>
      <c r="R43" s="2424"/>
      <c r="S43" s="2423"/>
      <c r="T43" s="2408"/>
      <c r="U43" s="2408"/>
      <c r="V43" s="2408"/>
    </row>
    <row r="44" spans="1:34" ht="13.5" thickBot="1">
      <c r="A44" s="2420" t="s">
        <v>1131</v>
      </c>
      <c r="B44" s="2421">
        <f>B43/(1+N43)</f>
        <v>275.19025476197027</v>
      </c>
      <c r="C44" s="2472">
        <v>232</v>
      </c>
      <c r="D44" s="2472">
        <f t="shared" si="17"/>
        <v>232</v>
      </c>
      <c r="E44" s="2421">
        <f t="shared" si="26"/>
        <v>375.65990977608692</v>
      </c>
      <c r="F44" s="2421">
        <f t="shared" si="26"/>
        <v>214.12518283971252</v>
      </c>
      <c r="G44" s="3633"/>
      <c r="H44" s="2422">
        <v>1</v>
      </c>
      <c r="I44" s="2422">
        <v>0.02</v>
      </c>
      <c r="J44" s="2422">
        <v>0.13</v>
      </c>
      <c r="K44" s="2422">
        <v>-0.04</v>
      </c>
      <c r="L44" s="2428">
        <v>0.46</v>
      </c>
      <c r="N44" s="2423">
        <f t="shared" si="19"/>
        <v>2.0000000000000001E-4</v>
      </c>
      <c r="O44" s="2408">
        <f t="shared" si="19"/>
        <v>1.2999999999999999E-3</v>
      </c>
      <c r="P44" s="2408">
        <f t="shared" si="19"/>
        <v>-4.0000000000000002E-4</v>
      </c>
      <c r="Q44" s="2408">
        <f t="shared" si="19"/>
        <v>4.5999999999999999E-3</v>
      </c>
      <c r="R44" s="2424"/>
      <c r="S44" s="2439">
        <f>B44/B45-1</f>
        <v>6.9183549807361189E-4</v>
      </c>
      <c r="T44" s="2440">
        <f>C44/C45-1</f>
        <v>0</v>
      </c>
      <c r="U44" s="2440">
        <f>E44/E45-1</f>
        <v>-9.0449527636460303E-4</v>
      </c>
      <c r="V44" s="2440">
        <f>F44/F45-1</f>
        <v>5.2825485432512753E-3</v>
      </c>
      <c r="X44" s="2408"/>
      <c r="Y44" s="2408"/>
      <c r="Z44" s="2408"/>
    </row>
    <row r="45" spans="1:34" ht="13.5" thickBot="1">
      <c r="A45" s="2420" t="s">
        <v>1132</v>
      </c>
      <c r="B45" s="2435">
        <v>275</v>
      </c>
      <c r="C45" s="2435">
        <v>232</v>
      </c>
      <c r="D45" s="2435">
        <f t="shared" si="17"/>
        <v>232</v>
      </c>
      <c r="E45" s="2435">
        <v>376</v>
      </c>
      <c r="F45" s="2436">
        <v>213</v>
      </c>
      <c r="G45" s="3631">
        <v>2011</v>
      </c>
      <c r="H45" s="2441">
        <v>4</v>
      </c>
      <c r="I45" s="2441">
        <v>-0.2</v>
      </c>
      <c r="J45" s="2441">
        <v>0.04</v>
      </c>
      <c r="K45" s="2441">
        <v>-0.34</v>
      </c>
      <c r="L45" s="2442">
        <v>0.46</v>
      </c>
      <c r="N45" s="2443">
        <f t="shared" si="19"/>
        <v>-2E-3</v>
      </c>
      <c r="O45" s="2444">
        <f t="shared" si="19"/>
        <v>4.0000000000000002E-4</v>
      </c>
      <c r="P45" s="2444">
        <f t="shared" si="19"/>
        <v>-3.4000000000000002E-3</v>
      </c>
      <c r="Q45" s="2444">
        <f t="shared" si="19"/>
        <v>4.5999999999999999E-3</v>
      </c>
      <c r="R45" s="2424"/>
      <c r="S45" s="2437"/>
      <c r="T45" s="2438"/>
      <c r="U45" s="2438"/>
      <c r="V45" s="2438"/>
      <c r="X45" s="2438"/>
      <c r="Y45" s="2438"/>
      <c r="Z45" s="2438"/>
    </row>
    <row r="46" spans="1:34">
      <c r="A46" s="2420" t="s">
        <v>1133</v>
      </c>
      <c r="B46" s="2421">
        <f t="shared" ref="B46:C48" si="27">B45/(1+N45)</f>
        <v>275.55110220440883</v>
      </c>
      <c r="C46" s="2421">
        <f t="shared" si="27"/>
        <v>231.90723710515795</v>
      </c>
      <c r="D46" s="2421">
        <f t="shared" si="17"/>
        <v>231.90723710515795</v>
      </c>
      <c r="E46" s="2421">
        <f t="shared" ref="E46:F48" si="28">E45/(1+P45)</f>
        <v>377.28276138872161</v>
      </c>
      <c r="F46" s="2421">
        <f t="shared" si="28"/>
        <v>212.02468644236512</v>
      </c>
      <c r="G46" s="3632">
        <v>2011</v>
      </c>
      <c r="H46" s="2446">
        <v>3</v>
      </c>
      <c r="I46" s="2446">
        <v>0.13</v>
      </c>
      <c r="J46" s="2446">
        <v>0.75</v>
      </c>
      <c r="K46" s="2446">
        <v>-0.08</v>
      </c>
      <c r="L46" s="2447">
        <v>0.53</v>
      </c>
      <c r="N46" s="2423">
        <f t="shared" si="19"/>
        <v>1.2999999999999999E-3</v>
      </c>
      <c r="O46" s="2448">
        <f t="shared" si="19"/>
        <v>7.4999999999999997E-3</v>
      </c>
      <c r="P46" s="2448">
        <f t="shared" si="19"/>
        <v>-8.0000000000000004E-4</v>
      </c>
      <c r="Q46" s="2448">
        <f t="shared" si="19"/>
        <v>5.3E-3</v>
      </c>
      <c r="R46" s="2424"/>
      <c r="S46" s="2423"/>
      <c r="T46" s="2408"/>
      <c r="U46" s="2408"/>
      <c r="V46" s="2408"/>
    </row>
    <row r="47" spans="1:34">
      <c r="A47" s="2420" t="s">
        <v>1134</v>
      </c>
      <c r="B47" s="2421">
        <f t="shared" si="27"/>
        <v>275.19335084830601</v>
      </c>
      <c r="C47" s="2421">
        <f t="shared" si="27"/>
        <v>230.18088050139744</v>
      </c>
      <c r="D47" s="2421">
        <f t="shared" si="17"/>
        <v>230.18088050139744</v>
      </c>
      <c r="E47" s="2421">
        <f t="shared" si="28"/>
        <v>377.58482925212331</v>
      </c>
      <c r="F47" s="2421">
        <f t="shared" si="28"/>
        <v>210.90687997847917</v>
      </c>
      <c r="G47" s="3632">
        <v>2011</v>
      </c>
      <c r="H47" s="2433">
        <v>2</v>
      </c>
      <c r="I47" s="2433">
        <v>-0.4</v>
      </c>
      <c r="J47" s="2433">
        <v>0.17</v>
      </c>
      <c r="K47" s="2433">
        <v>-0.57999999999999996</v>
      </c>
      <c r="L47" s="2434">
        <v>-0.2</v>
      </c>
      <c r="N47" s="2423">
        <f t="shared" si="19"/>
        <v>-4.0000000000000001E-3</v>
      </c>
      <c r="O47" s="2448">
        <f t="shared" si="19"/>
        <v>1.7000000000000001E-3</v>
      </c>
      <c r="P47" s="2448">
        <f t="shared" si="19"/>
        <v>-5.7999999999999996E-3</v>
      </c>
      <c r="Q47" s="2448">
        <f t="shared" si="19"/>
        <v>-2E-3</v>
      </c>
      <c r="R47" s="2424"/>
      <c r="S47" s="2423"/>
      <c r="T47" s="2408"/>
      <c r="U47" s="2408"/>
      <c r="V47" s="2408"/>
    </row>
    <row r="48" spans="1:34" ht="13.5" thickBot="1">
      <c r="A48" s="2420" t="s">
        <v>1135</v>
      </c>
      <c r="B48" s="2421">
        <f t="shared" si="27"/>
        <v>276.29854502841971</v>
      </c>
      <c r="C48" s="2421">
        <f t="shared" si="27"/>
        <v>229.79023709833027</v>
      </c>
      <c r="D48" s="2421">
        <f t="shared" si="17"/>
        <v>229.79023709833027</v>
      </c>
      <c r="E48" s="2421">
        <f t="shared" si="28"/>
        <v>379.78759731655936</v>
      </c>
      <c r="F48" s="2421">
        <f t="shared" si="28"/>
        <v>211.32953905659235</v>
      </c>
      <c r="G48" s="3633">
        <v>2011</v>
      </c>
      <c r="H48" s="2422">
        <v>1</v>
      </c>
      <c r="I48" s="2422">
        <v>2.65</v>
      </c>
      <c r="J48" s="2422">
        <v>3.76</v>
      </c>
      <c r="K48" s="2422">
        <v>1.89</v>
      </c>
      <c r="L48" s="2428">
        <v>7.95</v>
      </c>
      <c r="N48" s="2439">
        <f t="shared" si="19"/>
        <v>2.6499999999999999E-2</v>
      </c>
      <c r="O48" s="2440">
        <f t="shared" si="19"/>
        <v>3.7599999999999995E-2</v>
      </c>
      <c r="P48" s="2440">
        <f t="shared" si="19"/>
        <v>1.89E-2</v>
      </c>
      <c r="Q48" s="2440">
        <f t="shared" si="19"/>
        <v>7.9500000000000001E-2</v>
      </c>
      <c r="R48" s="2424"/>
      <c r="S48" s="2439">
        <f>B48/B49-1</f>
        <v>2.713213765211786E-2</v>
      </c>
      <c r="T48" s="2440">
        <f>C48/C49-1</f>
        <v>3.9774828499231862E-2</v>
      </c>
      <c r="U48" s="2440">
        <f>E48/E49-1</f>
        <v>1.8197311840641772E-2</v>
      </c>
      <c r="V48" s="2440">
        <f>F48/F49-1</f>
        <v>7.8211933962205826E-2</v>
      </c>
      <c r="X48" s="2408"/>
      <c r="Y48" s="2408"/>
      <c r="Z48" s="2408"/>
    </row>
    <row r="49" spans="1:26" ht="13.5" thickBot="1">
      <c r="A49" s="2420" t="s">
        <v>1136</v>
      </c>
      <c r="B49" s="2435">
        <v>269</v>
      </c>
      <c r="C49" s="2435">
        <v>221</v>
      </c>
      <c r="D49" s="2435">
        <f t="shared" si="17"/>
        <v>221</v>
      </c>
      <c r="E49" s="2435">
        <v>373</v>
      </c>
      <c r="F49" s="2436">
        <v>196</v>
      </c>
      <c r="G49" s="3631">
        <v>2010</v>
      </c>
      <c r="H49" s="2441">
        <v>4</v>
      </c>
      <c r="I49" s="2441">
        <v>5.72</v>
      </c>
      <c r="J49" s="2441">
        <v>6.57</v>
      </c>
      <c r="K49" s="2441">
        <v>5.72</v>
      </c>
      <c r="L49" s="2442">
        <v>2.72</v>
      </c>
      <c r="N49" s="2423">
        <f t="shared" si="19"/>
        <v>5.7200000000000001E-2</v>
      </c>
      <c r="O49" s="2408">
        <f t="shared" si="19"/>
        <v>6.5700000000000008E-2</v>
      </c>
      <c r="P49" s="2408">
        <f t="shared" si="19"/>
        <v>5.7200000000000001E-2</v>
      </c>
      <c r="Q49" s="2408">
        <f t="shared" si="19"/>
        <v>2.7200000000000002E-2</v>
      </c>
      <c r="R49" s="2424"/>
      <c r="S49" s="2437"/>
      <c r="T49" s="2438"/>
      <c r="U49" s="2438"/>
      <c r="V49" s="2438"/>
      <c r="X49" s="2438"/>
      <c r="Y49" s="2438"/>
      <c r="Z49" s="2438"/>
    </row>
    <row r="50" spans="1:26">
      <c r="A50" s="2420" t="s">
        <v>1137</v>
      </c>
      <c r="B50" s="2421">
        <f t="shared" ref="B50:C52" si="29">B49/(1+N49)</f>
        <v>254.44570563753314</v>
      </c>
      <c r="C50" s="2421">
        <f t="shared" si="29"/>
        <v>207.37543398705074</v>
      </c>
      <c r="D50" s="2421">
        <f t="shared" si="17"/>
        <v>207.37543398705074</v>
      </c>
      <c r="E50" s="2421">
        <f t="shared" ref="E50:F52" si="30">E49/(1+P49)</f>
        <v>352.81876655315932</v>
      </c>
      <c r="F50" s="2421">
        <f t="shared" si="30"/>
        <v>190.809968847352</v>
      </c>
      <c r="G50" s="3632">
        <v>2010</v>
      </c>
      <c r="H50" s="2446">
        <v>3</v>
      </c>
      <c r="I50" s="2446">
        <v>4.7300000000000004</v>
      </c>
      <c r="J50" s="2446">
        <v>3.9</v>
      </c>
      <c r="K50" s="2446">
        <v>5.03</v>
      </c>
      <c r="L50" s="2447">
        <v>4.21</v>
      </c>
      <c r="N50" s="2423">
        <f t="shared" si="19"/>
        <v>4.7300000000000002E-2</v>
      </c>
      <c r="O50" s="2408">
        <f t="shared" si="19"/>
        <v>3.9E-2</v>
      </c>
      <c r="P50" s="2408">
        <f t="shared" si="19"/>
        <v>5.0300000000000004E-2</v>
      </c>
      <c r="Q50" s="2408">
        <f t="shared" si="19"/>
        <v>4.2099999999999999E-2</v>
      </c>
      <c r="R50" s="2424"/>
      <c r="S50" s="2423"/>
      <c r="T50" s="2408"/>
      <c r="U50" s="2408"/>
      <c r="V50" s="2408"/>
    </row>
    <row r="51" spans="1:26">
      <c r="A51" s="2420" t="s">
        <v>1138</v>
      </c>
      <c r="B51" s="2421">
        <f t="shared" si="29"/>
        <v>242.95398227588385</v>
      </c>
      <c r="C51" s="2421">
        <f t="shared" si="29"/>
        <v>199.59137053614126</v>
      </c>
      <c r="D51" s="2421">
        <f t="shared" si="17"/>
        <v>199.59137053614126</v>
      </c>
      <c r="E51" s="2421">
        <f t="shared" si="30"/>
        <v>335.92189522342125</v>
      </c>
      <c r="F51" s="2421">
        <f t="shared" si="30"/>
        <v>183.10139991109489</v>
      </c>
      <c r="G51" s="3632">
        <v>2010</v>
      </c>
      <c r="H51" s="2433">
        <v>2</v>
      </c>
      <c r="I51" s="2433">
        <v>4.6900000000000004</v>
      </c>
      <c r="J51" s="2433">
        <v>3.55</v>
      </c>
      <c r="K51" s="2433">
        <v>5.07</v>
      </c>
      <c r="L51" s="2434">
        <v>4.2300000000000004</v>
      </c>
      <c r="N51" s="2423">
        <f t="shared" si="19"/>
        <v>4.6900000000000004E-2</v>
      </c>
      <c r="O51" s="2408">
        <f t="shared" si="19"/>
        <v>3.5499999999999997E-2</v>
      </c>
      <c r="P51" s="2408">
        <f t="shared" si="19"/>
        <v>5.0700000000000002E-2</v>
      </c>
      <c r="Q51" s="2408">
        <f t="shared" si="19"/>
        <v>4.2300000000000004E-2</v>
      </c>
      <c r="R51" s="2424"/>
      <c r="S51" s="2423"/>
      <c r="T51" s="2408"/>
      <c r="U51" s="2408"/>
      <c r="V51" s="2408"/>
    </row>
    <row r="52" spans="1:26" ht="13.5" thickBot="1">
      <c r="A52" s="2420" t="s">
        <v>1139</v>
      </c>
      <c r="B52" s="2421">
        <f t="shared" si="29"/>
        <v>232.06990378821649</v>
      </c>
      <c r="C52" s="2421">
        <f t="shared" si="29"/>
        <v>192.74878854286936</v>
      </c>
      <c r="D52" s="2421">
        <f t="shared" si="17"/>
        <v>192.74878854286936</v>
      </c>
      <c r="E52" s="2421">
        <f t="shared" si="30"/>
        <v>319.71247284992984</v>
      </c>
      <c r="F52" s="2421">
        <f t="shared" si="30"/>
        <v>175.67053622862409</v>
      </c>
      <c r="G52" s="3633">
        <v>2010</v>
      </c>
      <c r="H52" s="2422">
        <v>1</v>
      </c>
      <c r="I52" s="2422">
        <v>5.4</v>
      </c>
      <c r="J52" s="2422">
        <v>3.2</v>
      </c>
      <c r="K52" s="2422">
        <v>6.16</v>
      </c>
      <c r="L52" s="2428">
        <v>4.51</v>
      </c>
      <c r="N52" s="2423">
        <f t="shared" si="19"/>
        <v>5.4000000000000006E-2</v>
      </c>
      <c r="O52" s="2408">
        <f t="shared" si="19"/>
        <v>3.2000000000000001E-2</v>
      </c>
      <c r="P52" s="2408">
        <f t="shared" si="19"/>
        <v>6.1600000000000002E-2</v>
      </c>
      <c r="Q52" s="2408">
        <f t="shared" si="19"/>
        <v>4.5100000000000001E-2</v>
      </c>
      <c r="R52" s="2424"/>
      <c r="S52" s="2439">
        <f>B52/B53-1</f>
        <v>5.4863199037347599E-2</v>
      </c>
      <c r="T52" s="2440">
        <f>C52/C53-1</f>
        <v>3.0742184721226584E-2</v>
      </c>
      <c r="U52" s="2440">
        <f>E52/E53-1</f>
        <v>6.2167683886810154E-2</v>
      </c>
      <c r="V52" s="2440">
        <f>F52/F53-1</f>
        <v>4.5657953741810031E-2</v>
      </c>
      <c r="X52" s="2408"/>
      <c r="Y52" s="2408"/>
      <c r="Z52" s="2408"/>
    </row>
    <row r="53" spans="1:26" ht="13.5" thickBot="1">
      <c r="A53" s="2420" t="s">
        <v>1140</v>
      </c>
      <c r="B53" s="2435">
        <v>220</v>
      </c>
      <c r="C53" s="2435">
        <v>187</v>
      </c>
      <c r="D53" s="2435">
        <f t="shared" si="17"/>
        <v>187</v>
      </c>
      <c r="E53" s="2435">
        <v>301</v>
      </c>
      <c r="F53" s="2436">
        <v>168</v>
      </c>
      <c r="G53" s="3631">
        <v>2009</v>
      </c>
      <c r="H53" s="2441">
        <v>4</v>
      </c>
      <c r="I53" s="2441">
        <v>2.2999999999999998</v>
      </c>
      <c r="J53" s="2441">
        <v>1.04</v>
      </c>
      <c r="K53" s="2441">
        <v>2.84</v>
      </c>
      <c r="L53" s="2442">
        <v>0.67</v>
      </c>
      <c r="N53" s="2443">
        <f t="shared" si="19"/>
        <v>2.3E-2</v>
      </c>
      <c r="O53" s="2444">
        <f t="shared" si="19"/>
        <v>1.04E-2</v>
      </c>
      <c r="P53" s="2444">
        <f t="shared" si="19"/>
        <v>2.8399999999999998E-2</v>
      </c>
      <c r="Q53" s="2444">
        <f t="shared" si="19"/>
        <v>6.7000000000000002E-3</v>
      </c>
      <c r="R53" s="2424"/>
      <c r="S53" s="2437"/>
      <c r="T53" s="2438"/>
      <c r="U53" s="2438"/>
      <c r="V53" s="2438"/>
      <c r="X53" s="2438"/>
      <c r="Y53" s="2438"/>
      <c r="Z53" s="2438"/>
    </row>
    <row r="54" spans="1:26">
      <c r="A54" s="2420" t="s">
        <v>1141</v>
      </c>
      <c r="B54" s="2421">
        <f t="shared" ref="B54:C56" si="31">B53/(1+N53)</f>
        <v>215.05376344086022</v>
      </c>
      <c r="C54" s="2421">
        <f t="shared" si="31"/>
        <v>185.0752177355503</v>
      </c>
      <c r="D54" s="2421">
        <f t="shared" si="17"/>
        <v>185.0752177355503</v>
      </c>
      <c r="E54" s="2421">
        <f t="shared" ref="E54:F56" si="32">E53/(1+P53)</f>
        <v>292.68767016725008</v>
      </c>
      <c r="F54" s="2421">
        <f t="shared" si="32"/>
        <v>166.88189132810174</v>
      </c>
      <c r="G54" s="3632">
        <v>2009</v>
      </c>
      <c r="H54" s="2446">
        <v>3</v>
      </c>
      <c r="I54" s="2446">
        <v>2.1</v>
      </c>
      <c r="J54" s="2446">
        <v>1.86</v>
      </c>
      <c r="K54" s="2446">
        <v>2.29</v>
      </c>
      <c r="L54" s="2447">
        <v>0.85</v>
      </c>
      <c r="N54" s="2423">
        <f t="shared" si="19"/>
        <v>2.1000000000000001E-2</v>
      </c>
      <c r="O54" s="2448">
        <f t="shared" si="19"/>
        <v>1.8600000000000002E-2</v>
      </c>
      <c r="P54" s="2448">
        <f t="shared" si="19"/>
        <v>2.29E-2</v>
      </c>
      <c r="Q54" s="2448">
        <f t="shared" si="19"/>
        <v>8.5000000000000006E-3</v>
      </c>
      <c r="R54" s="2424"/>
      <c r="S54" s="2423"/>
      <c r="T54" s="2408"/>
      <c r="U54" s="2408"/>
      <c r="V54" s="2408"/>
    </row>
    <row r="55" spans="1:26">
      <c r="A55" s="2420" t="s">
        <v>1142</v>
      </c>
      <c r="B55" s="2421">
        <f t="shared" si="31"/>
        <v>210.630522469011</v>
      </c>
      <c r="C55" s="2421">
        <f t="shared" si="31"/>
        <v>181.69567812247232</v>
      </c>
      <c r="D55" s="2421">
        <f t="shared" si="17"/>
        <v>181.69567812247232</v>
      </c>
      <c r="E55" s="2421">
        <f t="shared" si="32"/>
        <v>286.13517466736738</v>
      </c>
      <c r="F55" s="2421">
        <f t="shared" si="32"/>
        <v>165.47535084591149</v>
      </c>
      <c r="G55" s="3632">
        <v>2009</v>
      </c>
      <c r="H55" s="2433">
        <v>2</v>
      </c>
      <c r="I55" s="2433">
        <v>0.86</v>
      </c>
      <c r="J55" s="2433">
        <v>-1.1299999999999999</v>
      </c>
      <c r="K55" s="2433">
        <v>1.79</v>
      </c>
      <c r="L55" s="2434">
        <v>-2.0699999999999998</v>
      </c>
      <c r="N55" s="2423">
        <f t="shared" si="19"/>
        <v>8.6E-3</v>
      </c>
      <c r="O55" s="2448">
        <f t="shared" si="19"/>
        <v>-1.1299999999999999E-2</v>
      </c>
      <c r="P55" s="2448">
        <f t="shared" si="19"/>
        <v>1.7899999999999999E-2</v>
      </c>
      <c r="Q55" s="2448">
        <f t="shared" si="19"/>
        <v>-2.07E-2</v>
      </c>
      <c r="R55" s="2424"/>
      <c r="S55" s="2423"/>
      <c r="T55" s="2408"/>
      <c r="U55" s="2408"/>
      <c r="V55" s="2408"/>
    </row>
    <row r="56" spans="1:26">
      <c r="A56" s="2420" t="s">
        <v>1143</v>
      </c>
      <c r="B56" s="2421">
        <f t="shared" si="31"/>
        <v>208.83454537875372</v>
      </c>
      <c r="C56" s="2421">
        <f t="shared" si="31"/>
        <v>183.77230517090351</v>
      </c>
      <c r="D56" s="2421">
        <f t="shared" si="17"/>
        <v>183.77230517090351</v>
      </c>
      <c r="E56" s="2421">
        <f t="shared" si="32"/>
        <v>281.10342338870947</v>
      </c>
      <c r="F56" s="2421">
        <f t="shared" si="32"/>
        <v>168.97309388942256</v>
      </c>
      <c r="G56" s="3633">
        <v>2009</v>
      </c>
      <c r="H56" s="2422">
        <v>1</v>
      </c>
      <c r="I56" s="2422">
        <v>-2.64</v>
      </c>
      <c r="J56" s="2422">
        <v>-2.5299999999999998</v>
      </c>
      <c r="K56" s="2422">
        <v>-3.02</v>
      </c>
      <c r="L56" s="2428">
        <v>1.52</v>
      </c>
      <c r="N56" s="2439">
        <f t="shared" si="19"/>
        <v>-2.64E-2</v>
      </c>
      <c r="O56" s="2440">
        <f t="shared" si="19"/>
        <v>-2.53E-2</v>
      </c>
      <c r="P56" s="2440">
        <f t="shared" si="19"/>
        <v>-3.0200000000000001E-2</v>
      </c>
      <c r="Q56" s="2440">
        <f t="shared" si="19"/>
        <v>1.52E-2</v>
      </c>
      <c r="R56" s="2424"/>
      <c r="S56" s="2439">
        <f>B56/B57-1</f>
        <v>-2.4137638417038754E-2</v>
      </c>
      <c r="T56" s="2440">
        <f>C56/C57-1</f>
        <v>-2.248773845264096E-2</v>
      </c>
      <c r="U56" s="2440">
        <f>E56/E57-1</f>
        <v>-2.7323794502735366E-2</v>
      </c>
      <c r="V56" s="2440">
        <f>F56/F57-1</f>
        <v>1.7910204153148035E-2</v>
      </c>
      <c r="X56" s="2408"/>
      <c r="Y56" s="2408"/>
      <c r="Z56" s="2408"/>
    </row>
    <row r="57" spans="1:26" ht="13.5" thickBot="1">
      <c r="A57" s="2420" t="s">
        <v>1144</v>
      </c>
      <c r="B57" s="2470">
        <v>214</v>
      </c>
      <c r="C57" s="2470">
        <v>188</v>
      </c>
      <c r="D57" s="2470">
        <f t="shared" si="17"/>
        <v>188</v>
      </c>
      <c r="E57" s="2470">
        <v>289</v>
      </c>
      <c r="F57" s="2471">
        <v>166</v>
      </c>
      <c r="G57" s="3631">
        <v>2008</v>
      </c>
      <c r="H57" s="2441">
        <v>4</v>
      </c>
      <c r="I57" s="2441">
        <v>1.73</v>
      </c>
      <c r="J57" s="2441">
        <v>0.03</v>
      </c>
      <c r="K57" s="2441">
        <v>2.59</v>
      </c>
      <c r="L57" s="2442">
        <v>-1.66</v>
      </c>
      <c r="N57" s="2423">
        <f t="shared" si="19"/>
        <v>1.7299999999999999E-2</v>
      </c>
      <c r="O57" s="2408">
        <f t="shared" si="19"/>
        <v>2.9999999999999997E-4</v>
      </c>
      <c r="P57" s="2408">
        <f t="shared" si="19"/>
        <v>2.5899999999999999E-2</v>
      </c>
      <c r="Q57" s="2408">
        <f t="shared" si="19"/>
        <v>-1.66E-2</v>
      </c>
      <c r="R57" s="2424"/>
      <c r="S57" s="2437"/>
      <c r="T57" s="2438"/>
      <c r="U57" s="2438"/>
      <c r="V57" s="2438"/>
      <c r="X57" s="2438"/>
      <c r="Y57" s="2438"/>
      <c r="Z57" s="2438"/>
    </row>
    <row r="58" spans="1:26">
      <c r="A58" s="2420" t="s">
        <v>1145</v>
      </c>
      <c r="B58" s="2421">
        <f t="shared" ref="B58:C60" si="33">B57/(1+N57)</f>
        <v>210.36075887152265</v>
      </c>
      <c r="C58" s="2421">
        <f t="shared" si="33"/>
        <v>187.94361691492554</v>
      </c>
      <c r="D58" s="2421">
        <f t="shared" si="17"/>
        <v>187.94361691492554</v>
      </c>
      <c r="E58" s="2421">
        <f t="shared" ref="E58:F60" si="34">E57/(1+P57)</f>
        <v>281.70386977288234</v>
      </c>
      <c r="F58" s="2421">
        <f t="shared" si="34"/>
        <v>168.80211511083994</v>
      </c>
      <c r="G58" s="3632">
        <v>2008</v>
      </c>
      <c r="H58" s="2446">
        <v>3</v>
      </c>
      <c r="I58" s="2446">
        <v>1.96</v>
      </c>
      <c r="J58" s="2446">
        <v>2.36</v>
      </c>
      <c r="K58" s="2446">
        <v>1.82</v>
      </c>
      <c r="L58" s="2447">
        <v>2.2200000000000002</v>
      </c>
      <c r="N58" s="2423">
        <f t="shared" si="19"/>
        <v>1.9599999999999999E-2</v>
      </c>
      <c r="O58" s="2408">
        <f t="shared" si="19"/>
        <v>2.3599999999999999E-2</v>
      </c>
      <c r="P58" s="2408">
        <f t="shared" si="19"/>
        <v>1.8200000000000001E-2</v>
      </c>
      <c r="Q58" s="2408">
        <f t="shared" si="19"/>
        <v>2.2200000000000001E-2</v>
      </c>
      <c r="R58" s="2424"/>
      <c r="S58" s="2423"/>
      <c r="T58" s="2408"/>
      <c r="U58" s="2408"/>
      <c r="V58" s="2408"/>
    </row>
    <row r="59" spans="1:26">
      <c r="A59" s="2420" t="s">
        <v>1146</v>
      </c>
      <c r="B59" s="2421">
        <f t="shared" si="33"/>
        <v>206.31694671589116</v>
      </c>
      <c r="C59" s="2421">
        <f t="shared" si="33"/>
        <v>183.61041121036101</v>
      </c>
      <c r="D59" s="2421">
        <f t="shared" si="17"/>
        <v>183.61041121036101</v>
      </c>
      <c r="E59" s="2421">
        <f t="shared" si="34"/>
        <v>276.66850301795557</v>
      </c>
      <c r="F59" s="2421">
        <f t="shared" si="34"/>
        <v>165.1360938278614</v>
      </c>
      <c r="G59" s="3632">
        <v>2008</v>
      </c>
      <c r="H59" s="2433">
        <v>2</v>
      </c>
      <c r="I59" s="2433">
        <v>4.93</v>
      </c>
      <c r="J59" s="2433">
        <v>7.38</v>
      </c>
      <c r="K59" s="2433">
        <v>3.98</v>
      </c>
      <c r="L59" s="2434">
        <v>6.86</v>
      </c>
      <c r="N59" s="2423">
        <f t="shared" si="19"/>
        <v>4.9299999999999997E-2</v>
      </c>
      <c r="O59" s="2408">
        <f t="shared" si="19"/>
        <v>7.3800000000000004E-2</v>
      </c>
      <c r="P59" s="2408">
        <f t="shared" si="19"/>
        <v>3.9800000000000002E-2</v>
      </c>
      <c r="Q59" s="2408">
        <f t="shared" si="19"/>
        <v>6.8600000000000008E-2</v>
      </c>
      <c r="R59" s="2424"/>
      <c r="S59" s="2423"/>
      <c r="T59" s="2408"/>
      <c r="U59" s="2408"/>
      <c r="V59" s="2408"/>
    </row>
    <row r="60" spans="1:26" s="2476" customFormat="1" ht="13.5" thickBot="1">
      <c r="A60" s="2420" t="s">
        <v>1147</v>
      </c>
      <c r="B60" s="2473">
        <f t="shared" si="33"/>
        <v>196.62341248059772</v>
      </c>
      <c r="C60" s="2473">
        <f t="shared" si="33"/>
        <v>170.99125648199012</v>
      </c>
      <c r="D60" s="2473">
        <f t="shared" si="17"/>
        <v>170.99125648199012</v>
      </c>
      <c r="E60" s="2473">
        <f t="shared" si="34"/>
        <v>266.07857570490052</v>
      </c>
      <c r="F60" s="2473">
        <f t="shared" si="34"/>
        <v>154.53499328828505</v>
      </c>
      <c r="G60" s="3633">
        <v>2008</v>
      </c>
      <c r="H60" s="2474">
        <v>1</v>
      </c>
      <c r="I60" s="2474">
        <v>4.1399999999999997</v>
      </c>
      <c r="J60" s="2474">
        <v>3.45</v>
      </c>
      <c r="K60" s="2474">
        <v>4.95</v>
      </c>
      <c r="L60" s="2475">
        <v>4.82</v>
      </c>
      <c r="N60" s="2477">
        <f t="shared" si="19"/>
        <v>4.1399999999999999E-2</v>
      </c>
      <c r="O60" s="2478">
        <f t="shared" si="19"/>
        <v>3.4500000000000003E-2</v>
      </c>
      <c r="P60" s="2478">
        <f t="shared" si="19"/>
        <v>4.9500000000000002E-2</v>
      </c>
      <c r="Q60" s="2478">
        <f t="shared" si="19"/>
        <v>4.82E-2</v>
      </c>
      <c r="R60" s="2479"/>
      <c r="S60" s="2477">
        <f>B60/B61-1</f>
        <v>4.5869215322328349E-2</v>
      </c>
      <c r="T60" s="2478">
        <f>C60/C61-1</f>
        <v>3.6310645345394743E-2</v>
      </c>
      <c r="U60" s="2478">
        <f>E60/E61-1</f>
        <v>4.7553447657088688E-2</v>
      </c>
      <c r="V60" s="2478">
        <f>F60/F61-1</f>
        <v>4.4155360055980086E-2</v>
      </c>
      <c r="X60" s="2478"/>
      <c r="Y60" s="2478"/>
      <c r="Z60" s="2478"/>
    </row>
    <row r="61" spans="1:26" ht="13.5" thickBot="1">
      <c r="A61" s="2420" t="s">
        <v>1148</v>
      </c>
      <c r="B61" s="2435">
        <v>188</v>
      </c>
      <c r="C61" s="2435">
        <v>165</v>
      </c>
      <c r="D61" s="2435">
        <f t="shared" si="17"/>
        <v>165</v>
      </c>
      <c r="E61" s="2435">
        <v>254</v>
      </c>
      <c r="F61" s="2436">
        <v>148</v>
      </c>
      <c r="G61" s="3631">
        <v>2007</v>
      </c>
      <c r="H61" s="2480">
        <v>4</v>
      </c>
      <c r="I61" s="2480">
        <v>5.51</v>
      </c>
      <c r="J61" s="2480">
        <v>4.8899999999999997</v>
      </c>
      <c r="K61" s="2480">
        <v>6.43</v>
      </c>
      <c r="L61" s="2481">
        <v>5.36</v>
      </c>
      <c r="N61" s="2482">
        <f t="shared" ref="N61:O64" si="35">B61/B62-1</f>
        <v>4.1339718365245526E-2</v>
      </c>
      <c r="O61" s="2483">
        <f t="shared" si="35"/>
        <v>4.0324492593776018E-2</v>
      </c>
      <c r="P61" s="2483">
        <f t="shared" ref="P61:Q64" si="36">E61/E62-1</f>
        <v>6.1625555347990968E-2</v>
      </c>
      <c r="Q61" s="2483">
        <f t="shared" si="36"/>
        <v>4.6757569250590603E-2</v>
      </c>
      <c r="R61" s="2424"/>
      <c r="S61" s="2437"/>
      <c r="T61" s="2438"/>
      <c r="U61" s="2438"/>
      <c r="V61" s="2438"/>
      <c r="X61" s="2438"/>
      <c r="Y61" s="2438"/>
      <c r="Z61" s="2438"/>
    </row>
    <row r="62" spans="1:26">
      <c r="A62" s="2420" t="s">
        <v>1149</v>
      </c>
      <c r="B62" s="2421">
        <f t="shared" ref="B62:C64" si="37">B63+(B$61-B$65)*I62/SUM(I$61:I$64)</f>
        <v>180.5366651097618</v>
      </c>
      <c r="C62" s="2421">
        <f t="shared" si="37"/>
        <v>158.60435967302453</v>
      </c>
      <c r="D62" s="2421">
        <f t="shared" si="17"/>
        <v>158.60435967302453</v>
      </c>
      <c r="E62" s="2421">
        <f t="shared" ref="E62:F64" si="38">E63+(E$61-E$65)*K62/SUM(K$61:K$64)</f>
        <v>239.25573260785075</v>
      </c>
      <c r="F62" s="2421">
        <f t="shared" si="38"/>
        <v>141.38899430740037</v>
      </c>
      <c r="G62" s="3632">
        <v>2007</v>
      </c>
      <c r="H62" s="2446">
        <v>3</v>
      </c>
      <c r="I62" s="2446">
        <v>8.65</v>
      </c>
      <c r="J62" s="2446">
        <v>8.06</v>
      </c>
      <c r="K62" s="2446">
        <v>9.94</v>
      </c>
      <c r="L62" s="2447">
        <v>5.8</v>
      </c>
      <c r="N62" s="2482">
        <f t="shared" si="35"/>
        <v>6.940217571740015E-2</v>
      </c>
      <c r="O62" s="2483">
        <f t="shared" si="35"/>
        <v>7.1197482471153428E-2</v>
      </c>
      <c r="P62" s="2483">
        <f t="shared" si="36"/>
        <v>0.10529679922579582</v>
      </c>
      <c r="Q62" s="2483">
        <f t="shared" si="36"/>
        <v>5.3292245059512133E-2</v>
      </c>
      <c r="R62" s="2424"/>
      <c r="S62" s="2423"/>
      <c r="T62" s="2408"/>
      <c r="U62" s="2408"/>
      <c r="V62" s="2408"/>
      <c r="X62" s="2484"/>
      <c r="Y62" s="2484"/>
      <c r="Z62" s="2484"/>
    </row>
    <row r="63" spans="1:26">
      <c r="A63" s="2420" t="s">
        <v>1150</v>
      </c>
      <c r="B63" s="2421">
        <f t="shared" si="37"/>
        <v>168.82017748715555</v>
      </c>
      <c r="C63" s="2421">
        <f t="shared" si="37"/>
        <v>148.06267029972753</v>
      </c>
      <c r="D63" s="2421">
        <f t="shared" si="17"/>
        <v>148.06267029972753</v>
      </c>
      <c r="E63" s="2421">
        <f t="shared" si="38"/>
        <v>216.46288379323747</v>
      </c>
      <c r="F63" s="2421">
        <f t="shared" si="38"/>
        <v>134.23529411764704</v>
      </c>
      <c r="G63" s="3632">
        <v>2007</v>
      </c>
      <c r="H63" s="2433">
        <v>2</v>
      </c>
      <c r="I63" s="2433">
        <v>3.67</v>
      </c>
      <c r="J63" s="2433">
        <v>2.3199999999999998</v>
      </c>
      <c r="K63" s="2433">
        <v>5.0199999999999996</v>
      </c>
      <c r="L63" s="2434">
        <v>6.71</v>
      </c>
      <c r="N63" s="2482">
        <f t="shared" si="35"/>
        <v>3.0339138143848032E-2</v>
      </c>
      <c r="O63" s="2483">
        <f t="shared" si="35"/>
        <v>2.0922341588790472E-2</v>
      </c>
      <c r="P63" s="2483">
        <f t="shared" si="36"/>
        <v>5.6164796592717003E-2</v>
      </c>
      <c r="Q63" s="2483">
        <f t="shared" si="36"/>
        <v>6.5704536723887319E-2</v>
      </c>
      <c r="R63" s="2424"/>
      <c r="S63" s="2423"/>
      <c r="T63" s="2408"/>
      <c r="U63" s="2408"/>
      <c r="V63" s="2408"/>
      <c r="X63" s="2484"/>
      <c r="Y63" s="2484"/>
      <c r="Z63" s="2484"/>
    </row>
    <row r="64" spans="1:26">
      <c r="A64" s="2420" t="s">
        <v>1151</v>
      </c>
      <c r="B64" s="2421">
        <f t="shared" si="37"/>
        <v>163.84913591779542</v>
      </c>
      <c r="C64" s="2421">
        <f t="shared" si="37"/>
        <v>145.0283378746594</v>
      </c>
      <c r="D64" s="2421">
        <f t="shared" si="17"/>
        <v>145.0283378746594</v>
      </c>
      <c r="E64" s="2421">
        <f t="shared" si="38"/>
        <v>204.95180722891567</v>
      </c>
      <c r="F64" s="2421">
        <f t="shared" si="38"/>
        <v>125.95920303605313</v>
      </c>
      <c r="G64" s="3633">
        <v>2007</v>
      </c>
      <c r="H64" s="2422">
        <v>1</v>
      </c>
      <c r="I64" s="2422">
        <v>3.58</v>
      </c>
      <c r="J64" s="2422">
        <v>3.08</v>
      </c>
      <c r="K64" s="2422">
        <v>4.34</v>
      </c>
      <c r="L64" s="2428">
        <v>3.21</v>
      </c>
      <c r="N64" s="2485">
        <f t="shared" si="35"/>
        <v>3.0497710174814063E-2</v>
      </c>
      <c r="O64" s="2486">
        <f t="shared" si="35"/>
        <v>2.8569772160704998E-2</v>
      </c>
      <c r="P64" s="2486">
        <f t="shared" si="36"/>
        <v>5.1034908866234296E-2</v>
      </c>
      <c r="Q64" s="2486">
        <f t="shared" si="36"/>
        <v>3.245248390207478E-2</v>
      </c>
      <c r="R64" s="2424"/>
      <c r="S64" s="2439">
        <f>B64/B65-1</f>
        <v>3.0497710174814063E-2</v>
      </c>
      <c r="T64" s="2440">
        <f>C64/C65-1</f>
        <v>2.8569772160704998E-2</v>
      </c>
      <c r="U64" s="2440">
        <f>E64/E65-1</f>
        <v>5.1034908866234296E-2</v>
      </c>
      <c r="V64" s="2440">
        <f>F64/F65-1</f>
        <v>3.245248390207478E-2</v>
      </c>
      <c r="X64" s="2484"/>
      <c r="Y64" s="2484"/>
      <c r="Z64" s="2484"/>
    </row>
    <row r="65" spans="1:26" ht="13.5" thickBot="1">
      <c r="A65" s="2420" t="s">
        <v>1152</v>
      </c>
      <c r="B65" s="2449">
        <v>159</v>
      </c>
      <c r="C65" s="2449">
        <v>141</v>
      </c>
      <c r="D65" s="2449">
        <f t="shared" si="17"/>
        <v>141</v>
      </c>
      <c r="E65" s="2449">
        <v>195</v>
      </c>
      <c r="F65" s="2450">
        <v>122</v>
      </c>
      <c r="G65" s="3631">
        <v>2006</v>
      </c>
      <c r="H65" s="2441">
        <v>4</v>
      </c>
      <c r="I65" s="2441">
        <v>3.79</v>
      </c>
      <c r="J65" s="2441">
        <v>2.21</v>
      </c>
      <c r="K65" s="2441">
        <v>5.65</v>
      </c>
      <c r="L65" s="2442">
        <v>5.41</v>
      </c>
      <c r="N65" s="2482">
        <f t="shared" ref="N65:O68" si="39">I65/SUM(I$65:I$68)*(B$65/B$69-1)</f>
        <v>7.245466462748526E-2</v>
      </c>
      <c r="O65" s="2483">
        <f t="shared" si="39"/>
        <v>2.3237230038062766E-2</v>
      </c>
      <c r="P65" s="2483">
        <f t="shared" ref="P65:Q68" si="40">K65/SUM(K$65:K$68)*(E$65/E$69-1)</f>
        <v>0.16146893866323722</v>
      </c>
      <c r="Q65" s="2483">
        <f t="shared" si="40"/>
        <v>5.0755230321793784E-2</v>
      </c>
      <c r="R65" s="2424"/>
      <c r="S65" s="2437"/>
      <c r="T65" s="2438"/>
      <c r="U65" s="2438"/>
      <c r="V65" s="2438"/>
      <c r="X65" s="2484"/>
      <c r="Y65" s="2484"/>
      <c r="Z65" s="2484"/>
    </row>
    <row r="66" spans="1:26">
      <c r="A66" s="2420" t="s">
        <v>1153</v>
      </c>
      <c r="B66" s="2421">
        <f t="shared" ref="B66:C68" si="41">B67+(B$65-B$69)*I66/SUM(I$65:I$68)</f>
        <v>149.00125628140702</v>
      </c>
      <c r="C66" s="2421">
        <f t="shared" si="41"/>
        <v>137.95592286501378</v>
      </c>
      <c r="D66" s="2421">
        <f t="shared" si="17"/>
        <v>137.95592286501378</v>
      </c>
      <c r="E66" s="2421">
        <f t="shared" ref="E66:F68" si="42">E67+(E$65-E$69)*K66/SUM(K$65:K$68)</f>
        <v>169.97231450719823</v>
      </c>
      <c r="F66" s="2421">
        <f t="shared" si="42"/>
        <v>116.21390374331551</v>
      </c>
      <c r="G66" s="3632">
        <v>2006</v>
      </c>
      <c r="H66" s="2446">
        <v>3</v>
      </c>
      <c r="I66" s="2446">
        <v>0.92</v>
      </c>
      <c r="J66" s="2446">
        <v>1.08</v>
      </c>
      <c r="K66" s="2446">
        <v>0.73</v>
      </c>
      <c r="L66" s="2447">
        <v>1.08</v>
      </c>
      <c r="N66" s="2482">
        <f t="shared" si="39"/>
        <v>1.7587939698492462E-2</v>
      </c>
      <c r="O66" s="2483">
        <f t="shared" si="39"/>
        <v>1.1355750425840628E-2</v>
      </c>
      <c r="P66" s="2483">
        <f t="shared" si="40"/>
        <v>2.0862358446754544E-2</v>
      </c>
      <c r="Q66" s="2483">
        <f t="shared" si="40"/>
        <v>1.0132282578103011E-2</v>
      </c>
      <c r="R66" s="2424"/>
      <c r="S66" s="2423"/>
      <c r="T66" s="2408"/>
      <c r="U66" s="2408"/>
      <c r="V66" s="2408"/>
      <c r="X66" s="2484"/>
      <c r="Y66" s="2484"/>
      <c r="Z66" s="2484"/>
    </row>
    <row r="67" spans="1:26">
      <c r="A67" s="2420" t="s">
        <v>1154</v>
      </c>
      <c r="B67" s="2421">
        <f t="shared" si="41"/>
        <v>146.57412060301507</v>
      </c>
      <c r="C67" s="2421">
        <f t="shared" si="41"/>
        <v>136.46831955922866</v>
      </c>
      <c r="D67" s="2421">
        <f t="shared" si="17"/>
        <v>136.46831955922866</v>
      </c>
      <c r="E67" s="2421">
        <f t="shared" si="42"/>
        <v>166.73864894795128</v>
      </c>
      <c r="F67" s="2421">
        <f t="shared" si="42"/>
        <v>115.05882352941177</v>
      </c>
      <c r="G67" s="3632">
        <v>2006</v>
      </c>
      <c r="H67" s="2433">
        <v>2</v>
      </c>
      <c r="I67" s="2433">
        <v>0.96</v>
      </c>
      <c r="J67" s="2433">
        <v>0.25</v>
      </c>
      <c r="K67" s="2433">
        <v>1.9</v>
      </c>
      <c r="L67" s="2434">
        <v>0.95</v>
      </c>
      <c r="N67" s="2482">
        <f t="shared" si="39"/>
        <v>1.8352632728861701E-2</v>
      </c>
      <c r="O67" s="2483">
        <f t="shared" si="39"/>
        <v>2.6286459319075526E-3</v>
      </c>
      <c r="P67" s="2483">
        <f t="shared" si="40"/>
        <v>5.4299289107991269E-2</v>
      </c>
      <c r="Q67" s="2483">
        <f t="shared" si="40"/>
        <v>8.9126559714794995E-3</v>
      </c>
      <c r="R67" s="2424"/>
      <c r="S67" s="2423"/>
      <c r="T67" s="2408"/>
      <c r="U67" s="2408"/>
      <c r="V67" s="2408"/>
      <c r="X67" s="2484"/>
      <c r="Y67" s="2484"/>
      <c r="Z67" s="2484"/>
    </row>
    <row r="68" spans="1:26">
      <c r="A68" s="2420" t="s">
        <v>1155</v>
      </c>
      <c r="B68" s="2421">
        <f t="shared" si="41"/>
        <v>144.04145728643215</v>
      </c>
      <c r="C68" s="2421">
        <f t="shared" si="41"/>
        <v>136.12396694214877</v>
      </c>
      <c r="D68" s="2421">
        <f t="shared" si="17"/>
        <v>136.12396694214877</v>
      </c>
      <c r="E68" s="2421">
        <f t="shared" si="42"/>
        <v>158.32225913621264</v>
      </c>
      <c r="F68" s="2421">
        <f t="shared" si="42"/>
        <v>114.04278074866311</v>
      </c>
      <c r="G68" s="3633">
        <v>2006</v>
      </c>
      <c r="H68" s="2422">
        <v>1</v>
      </c>
      <c r="I68" s="2422">
        <v>2.29</v>
      </c>
      <c r="J68" s="2422">
        <v>3.72</v>
      </c>
      <c r="K68" s="2422">
        <v>0.75</v>
      </c>
      <c r="L68" s="2428">
        <v>0.04</v>
      </c>
      <c r="N68" s="2485">
        <f t="shared" si="39"/>
        <v>4.3778675988638847E-2</v>
      </c>
      <c r="O68" s="2486">
        <f t="shared" si="39"/>
        <v>3.9114251466784385E-2</v>
      </c>
      <c r="P68" s="2486">
        <f t="shared" si="40"/>
        <v>2.1433929911049188E-2</v>
      </c>
      <c r="Q68" s="2486">
        <f t="shared" si="40"/>
        <v>3.7526972511492629E-4</v>
      </c>
      <c r="R68" s="2424"/>
      <c r="S68" s="2439">
        <f>B68/B69-1</f>
        <v>4.3778675988638716E-2</v>
      </c>
      <c r="T68" s="2440">
        <f>C68/C69-1</f>
        <v>3.91142514667846E-2</v>
      </c>
      <c r="U68" s="2440">
        <f>E68/E69-1</f>
        <v>2.143392991104931E-2</v>
      </c>
      <c r="V68" s="2440">
        <f>F68/F69-1</f>
        <v>3.7526972511492396E-4</v>
      </c>
      <c r="X68" s="2484"/>
      <c r="Y68" s="2484"/>
      <c r="Z68" s="2484"/>
    </row>
    <row r="69" spans="1:26" ht="13.5" thickBot="1">
      <c r="A69" s="2420" t="s">
        <v>1156</v>
      </c>
      <c r="B69" s="2449">
        <v>138</v>
      </c>
      <c r="C69" s="2449">
        <v>131</v>
      </c>
      <c r="D69" s="2449">
        <f t="shared" si="17"/>
        <v>131</v>
      </c>
      <c r="E69" s="2449">
        <v>155</v>
      </c>
      <c r="F69" s="2450">
        <v>114</v>
      </c>
      <c r="G69" s="3631">
        <v>2005</v>
      </c>
      <c r="H69" s="2441">
        <v>4</v>
      </c>
      <c r="I69" s="2441">
        <v>3.29</v>
      </c>
      <c r="J69" s="2441">
        <v>1.44</v>
      </c>
      <c r="K69" s="2441">
        <v>0.66</v>
      </c>
      <c r="L69" s="2442">
        <v>7.78</v>
      </c>
      <c r="N69" s="2482">
        <f t="shared" ref="N69:O72" si="43">I69/SUM(I$69:I$72)*(B$69/B$73-1)</f>
        <v>9.9404603216919935E-2</v>
      </c>
      <c r="O69" s="2483">
        <f t="shared" si="43"/>
        <v>4.7636550760861554E-2</v>
      </c>
      <c r="P69" s="2483">
        <f t="shared" ref="P69:Q72" si="44">K69/SUM(K$69:K$72)*(E$69/E$73-1)</f>
        <v>8.3756345177664976E-2</v>
      </c>
      <c r="Q69" s="2483">
        <f t="shared" si="44"/>
        <v>5.2148766661559584E-2</v>
      </c>
      <c r="R69" s="2424"/>
      <c r="S69" s="2437"/>
      <c r="T69" s="2438"/>
      <c r="U69" s="2438"/>
      <c r="V69" s="2438"/>
      <c r="X69" s="2484"/>
      <c r="Y69" s="2484"/>
      <c r="Z69" s="2484"/>
    </row>
    <row r="70" spans="1:26">
      <c r="A70" s="2420" t="s">
        <v>1157</v>
      </c>
      <c r="B70" s="2421">
        <f t="shared" ref="B70:C72" si="45">B71+(B$69-B$73)*I70/SUM(I$69:I$72)</f>
        <v>125.9720430107527</v>
      </c>
      <c r="C70" s="2421">
        <f t="shared" si="45"/>
        <v>125.1883408071749</v>
      </c>
      <c r="D70" s="2421">
        <f t="shared" si="17"/>
        <v>125.1883408071749</v>
      </c>
      <c r="E70" s="2421">
        <f t="shared" ref="E70:F72" si="46">E71+(E$69-E$73)*K70/SUM(K$69:K$72)</f>
        <v>144.61421319796952</v>
      </c>
      <c r="F70" s="2421">
        <f t="shared" si="46"/>
        <v>108.42008196721311</v>
      </c>
      <c r="G70" s="3632">
        <v>2005</v>
      </c>
      <c r="H70" s="2446">
        <v>3</v>
      </c>
      <c r="I70" s="2446">
        <v>0.46</v>
      </c>
      <c r="J70" s="2446">
        <v>0.32</v>
      </c>
      <c r="K70" s="2446">
        <v>0.42</v>
      </c>
      <c r="L70" s="2447">
        <v>0.64</v>
      </c>
      <c r="N70" s="2482">
        <f t="shared" si="43"/>
        <v>1.3898515951301874E-2</v>
      </c>
      <c r="O70" s="2483">
        <f t="shared" si="43"/>
        <v>1.0585900169080346E-2</v>
      </c>
      <c r="P70" s="2483">
        <f t="shared" si="44"/>
        <v>5.3299492385786795E-2</v>
      </c>
      <c r="Q70" s="2483">
        <f t="shared" si="44"/>
        <v>4.2898728359123568E-3</v>
      </c>
      <c r="R70" s="2424"/>
      <c r="S70" s="2423"/>
      <c r="T70" s="2408"/>
      <c r="U70" s="2408"/>
      <c r="V70" s="2408"/>
      <c r="X70" s="2484"/>
      <c r="Y70" s="2484"/>
      <c r="Z70" s="2484"/>
    </row>
    <row r="71" spans="1:26">
      <c r="A71" s="2420" t="s">
        <v>1158</v>
      </c>
      <c r="B71" s="2421">
        <f t="shared" si="45"/>
        <v>124.29032258064517</v>
      </c>
      <c r="C71" s="2421">
        <f t="shared" si="45"/>
        <v>123.8968609865471</v>
      </c>
      <c r="D71" s="2421">
        <f t="shared" si="17"/>
        <v>123.8968609865471</v>
      </c>
      <c r="E71" s="2421">
        <f t="shared" si="46"/>
        <v>138.00507614213197</v>
      </c>
      <c r="F71" s="2421">
        <f t="shared" si="46"/>
        <v>107.96106557377048</v>
      </c>
      <c r="G71" s="3632">
        <v>2005</v>
      </c>
      <c r="H71" s="2433">
        <v>2</v>
      </c>
      <c r="I71" s="2433">
        <v>0.47</v>
      </c>
      <c r="J71" s="2433">
        <v>0.1</v>
      </c>
      <c r="K71" s="2433">
        <v>0.52</v>
      </c>
      <c r="L71" s="2434">
        <v>0.79</v>
      </c>
      <c r="N71" s="2482">
        <f t="shared" si="43"/>
        <v>1.420065760241713E-2</v>
      </c>
      <c r="O71" s="2483">
        <f t="shared" si="43"/>
        <v>3.3080938028376083E-3</v>
      </c>
      <c r="P71" s="2483">
        <f t="shared" si="44"/>
        <v>6.598984771573603E-2</v>
      </c>
      <c r="Q71" s="2483">
        <f t="shared" si="44"/>
        <v>5.2953117818293153E-3</v>
      </c>
      <c r="R71" s="2424"/>
      <c r="S71" s="2423"/>
      <c r="T71" s="2408"/>
      <c r="U71" s="2408"/>
      <c r="V71" s="2408"/>
      <c r="X71" s="2484"/>
      <c r="Y71" s="2484"/>
      <c r="Z71" s="2484"/>
    </row>
    <row r="72" spans="1:26">
      <c r="A72" s="2420" t="s">
        <v>1159</v>
      </c>
      <c r="B72" s="2421">
        <f t="shared" si="45"/>
        <v>122.57204301075269</v>
      </c>
      <c r="C72" s="2421">
        <f t="shared" si="45"/>
        <v>123.4932735426009</v>
      </c>
      <c r="D72" s="2421">
        <f t="shared" si="17"/>
        <v>123.4932735426009</v>
      </c>
      <c r="E72" s="2421">
        <f t="shared" si="46"/>
        <v>129.82233502538071</v>
      </c>
      <c r="F72" s="2421">
        <f t="shared" si="46"/>
        <v>107.39446721311475</v>
      </c>
      <c r="G72" s="3633">
        <v>2005</v>
      </c>
      <c r="H72" s="2422">
        <v>1</v>
      </c>
      <c r="I72" s="2422">
        <v>0.43</v>
      </c>
      <c r="J72" s="2422">
        <v>0.37</v>
      </c>
      <c r="K72" s="2422">
        <v>0.37</v>
      </c>
      <c r="L72" s="2428">
        <v>0.55000000000000004</v>
      </c>
      <c r="N72" s="2485">
        <f t="shared" si="43"/>
        <v>1.2992090997956099E-2</v>
      </c>
      <c r="O72" s="2486">
        <f t="shared" si="43"/>
        <v>1.2239947070499151E-2</v>
      </c>
      <c r="P72" s="2486">
        <f t="shared" si="44"/>
        <v>4.6954314720812178E-2</v>
      </c>
      <c r="Q72" s="2486">
        <f t="shared" si="44"/>
        <v>3.6866094683621815E-3</v>
      </c>
      <c r="R72" s="2424"/>
      <c r="S72" s="2439">
        <f>B72/B73-1</f>
        <v>1.2992090997956174E-2</v>
      </c>
      <c r="T72" s="2440">
        <f>C72/C73-1</f>
        <v>1.2239947070499246E-2</v>
      </c>
      <c r="U72" s="2440">
        <f>E72/E73-1</f>
        <v>4.695431472081224E-2</v>
      </c>
      <c r="V72" s="2440">
        <f>F72/F73-1</f>
        <v>3.6866094683620787E-3</v>
      </c>
      <c r="X72" s="2484"/>
      <c r="Y72" s="2484"/>
      <c r="Z72" s="2484"/>
    </row>
    <row r="73" spans="1:26" ht="13.5" thickBot="1">
      <c r="A73" s="2420" t="s">
        <v>1160</v>
      </c>
      <c r="B73" s="2470">
        <v>121</v>
      </c>
      <c r="C73" s="2470">
        <v>122</v>
      </c>
      <c r="D73" s="2470">
        <f t="shared" si="17"/>
        <v>122</v>
      </c>
      <c r="E73" s="2470">
        <v>124</v>
      </c>
      <c r="F73" s="2471">
        <v>107</v>
      </c>
      <c r="G73" s="3631">
        <v>2004</v>
      </c>
      <c r="H73" s="2441">
        <v>4</v>
      </c>
      <c r="I73" s="2441">
        <v>0.33</v>
      </c>
      <c r="J73" s="2441">
        <v>0.5</v>
      </c>
      <c r="K73" s="2441">
        <v>0.5</v>
      </c>
      <c r="L73" s="2442">
        <v>0</v>
      </c>
      <c r="N73" s="2482">
        <f t="shared" ref="N73:O76" si="47">I73/SUM(I$73:I$76)*(B$73/B$77-1)</f>
        <v>1.3391770148526898E-2</v>
      </c>
      <c r="O73" s="2483">
        <f t="shared" si="47"/>
        <v>1.063264221158958E-2</v>
      </c>
      <c r="P73" s="2483">
        <f t="shared" ref="P73:Q76" si="48">K73/SUM(K$73:K$76)*(E$73/E$77-1)</f>
        <v>2.2244466688911134E-2</v>
      </c>
      <c r="Q73" s="2483">
        <f t="shared" si="48"/>
        <v>0</v>
      </c>
      <c r="R73" s="2424"/>
      <c r="S73" s="2437"/>
      <c r="T73" s="2438"/>
      <c r="U73" s="2438"/>
      <c r="V73" s="2438"/>
      <c r="X73" s="2484"/>
      <c r="Y73" s="2484"/>
      <c r="Z73" s="2484"/>
    </row>
    <row r="74" spans="1:26">
      <c r="A74" s="2420" t="s">
        <v>1161</v>
      </c>
      <c r="B74" s="2421">
        <f t="shared" ref="B74:C76" si="49">B75+(B$73-B$77)*I74/SUM(I$73:I$76)</f>
        <v>119.51351351351352</v>
      </c>
      <c r="C74" s="2421">
        <f t="shared" si="49"/>
        <v>120.7878787878788</v>
      </c>
      <c r="D74" s="2421">
        <f t="shared" si="17"/>
        <v>120.7878787878788</v>
      </c>
      <c r="E74" s="2421">
        <f t="shared" ref="E74:F76" si="50">E75+(E$73-E$77)*K74/SUM(K$73:K$76)</f>
        <v>121.5975975975976</v>
      </c>
      <c r="F74" s="2421">
        <f t="shared" si="50"/>
        <v>107</v>
      </c>
      <c r="G74" s="3632">
        <v>2004</v>
      </c>
      <c r="H74" s="2446">
        <v>3</v>
      </c>
      <c r="I74" s="2446">
        <v>0.56000000000000005</v>
      </c>
      <c r="J74" s="2446">
        <v>0.8</v>
      </c>
      <c r="K74" s="2446">
        <v>0.83</v>
      </c>
      <c r="L74" s="2447">
        <v>0.06</v>
      </c>
      <c r="N74" s="2482">
        <f t="shared" si="47"/>
        <v>2.2725428130833527E-2</v>
      </c>
      <c r="O74" s="2483">
        <f t="shared" si="47"/>
        <v>1.7012227538543329E-2</v>
      </c>
      <c r="P74" s="2483">
        <f t="shared" si="48"/>
        <v>3.6925814703592477E-2</v>
      </c>
      <c r="Q74" s="2483">
        <f t="shared" si="48"/>
        <v>2.8846153846153744E-2</v>
      </c>
      <c r="R74" s="2424"/>
      <c r="S74" s="2423"/>
      <c r="T74" s="2408"/>
      <c r="U74" s="2408"/>
      <c r="V74" s="2408"/>
      <c r="X74" s="2484"/>
      <c r="Y74" s="2484"/>
      <c r="Z74" s="2484"/>
    </row>
    <row r="75" spans="1:26">
      <c r="A75" s="2420" t="s">
        <v>1162</v>
      </c>
      <c r="B75" s="2421">
        <f t="shared" si="49"/>
        <v>116.99099099099099</v>
      </c>
      <c r="C75" s="2421">
        <f t="shared" si="49"/>
        <v>118.84848484848486</v>
      </c>
      <c r="D75" s="2421">
        <f t="shared" si="17"/>
        <v>118.84848484848486</v>
      </c>
      <c r="E75" s="2421">
        <f t="shared" si="50"/>
        <v>117.60960960960961</v>
      </c>
      <c r="F75" s="2421">
        <f t="shared" si="50"/>
        <v>104</v>
      </c>
      <c r="G75" s="3632">
        <v>2004</v>
      </c>
      <c r="H75" s="2433">
        <v>2</v>
      </c>
      <c r="I75" s="2433">
        <v>1</v>
      </c>
      <c r="J75" s="2433">
        <v>1.5</v>
      </c>
      <c r="K75" s="2433">
        <v>1.5</v>
      </c>
      <c r="L75" s="2434">
        <v>0</v>
      </c>
      <c r="N75" s="2482">
        <f t="shared" si="47"/>
        <v>4.0581121662202721E-2</v>
      </c>
      <c r="O75" s="2483">
        <f t="shared" si="47"/>
        <v>3.1897926634768738E-2</v>
      </c>
      <c r="P75" s="2483">
        <f t="shared" si="48"/>
        <v>6.6733400066733395E-2</v>
      </c>
      <c r="Q75" s="2483">
        <f t="shared" si="48"/>
        <v>0</v>
      </c>
      <c r="R75" s="2424"/>
      <c r="S75" s="2423"/>
      <c r="T75" s="2408"/>
      <c r="U75" s="2408"/>
      <c r="V75" s="2408"/>
      <c r="X75" s="2484"/>
      <c r="Y75" s="2484"/>
      <c r="Z75" s="2484"/>
    </row>
    <row r="76" spans="1:26" s="2476" customFormat="1" ht="13.5" thickBot="1">
      <c r="A76" s="2420" t="s">
        <v>1163</v>
      </c>
      <c r="B76" s="2473">
        <f t="shared" si="49"/>
        <v>112.48648648648648</v>
      </c>
      <c r="C76" s="2473">
        <f t="shared" si="49"/>
        <v>115.21212121212122</v>
      </c>
      <c r="D76" s="2473">
        <f t="shared" si="17"/>
        <v>115.21212121212122</v>
      </c>
      <c r="E76" s="2473">
        <f t="shared" si="50"/>
        <v>110.4024024024024</v>
      </c>
      <c r="F76" s="2473">
        <f t="shared" si="50"/>
        <v>104</v>
      </c>
      <c r="G76" s="3633">
        <v>2004</v>
      </c>
      <c r="H76" s="2474">
        <v>1</v>
      </c>
      <c r="I76" s="2474">
        <v>0.33</v>
      </c>
      <c r="J76" s="2474">
        <v>0.5</v>
      </c>
      <c r="K76" s="2474">
        <v>0.5</v>
      </c>
      <c r="L76" s="2475">
        <v>0</v>
      </c>
      <c r="N76" s="2487">
        <f t="shared" si="47"/>
        <v>1.3391770148526898E-2</v>
      </c>
      <c r="O76" s="2488">
        <f t="shared" si="47"/>
        <v>1.063264221158958E-2</v>
      </c>
      <c r="P76" s="2488">
        <f t="shared" si="48"/>
        <v>2.2244466688911134E-2</v>
      </c>
      <c r="Q76" s="2488">
        <f t="shared" si="48"/>
        <v>0</v>
      </c>
      <c r="R76" s="2479"/>
      <c r="S76" s="2477">
        <f>B76/B77-1</f>
        <v>1.3391770148526883E-2</v>
      </c>
      <c r="T76" s="2478">
        <f>C76/C77-1</f>
        <v>1.063264221158966E-2</v>
      </c>
      <c r="U76" s="2478">
        <f>E76/E77-1</f>
        <v>2.2244466688911224E-2</v>
      </c>
      <c r="V76" s="2478">
        <f>F76/F77-1</f>
        <v>0</v>
      </c>
      <c r="X76" s="2489"/>
      <c r="Y76" s="2489"/>
      <c r="Z76" s="2489"/>
    </row>
    <row r="77" spans="1:26" ht="13.5" thickBot="1">
      <c r="A77" s="2420" t="s">
        <v>1164</v>
      </c>
      <c r="B77" s="2490">
        <v>111</v>
      </c>
      <c r="C77" s="2490">
        <v>114</v>
      </c>
      <c r="D77" s="2490">
        <f t="shared" si="17"/>
        <v>114</v>
      </c>
      <c r="E77" s="2490">
        <v>108</v>
      </c>
      <c r="F77" s="2491">
        <v>104</v>
      </c>
      <c r="G77" s="3631">
        <v>2003</v>
      </c>
      <c r="H77" s="2480">
        <v>4</v>
      </c>
      <c r="I77" s="2492"/>
      <c r="J77" s="2492"/>
      <c r="K77" s="2492"/>
      <c r="L77" s="2492"/>
      <c r="N77" s="2493"/>
      <c r="O77" s="2492"/>
      <c r="P77" s="2492"/>
      <c r="Q77" s="2492"/>
      <c r="S77" s="2493"/>
      <c r="T77" s="2492"/>
      <c r="U77" s="2492"/>
      <c r="V77" s="2492"/>
      <c r="X77" s="2484"/>
      <c r="Y77" s="2484"/>
      <c r="Z77" s="2484"/>
    </row>
    <row r="78" spans="1:26">
      <c r="A78" s="2420" t="s">
        <v>1165</v>
      </c>
      <c r="B78" s="2494">
        <f t="shared" ref="B78:C80" si="51">B79+(B$77-B$81)/4</f>
        <v>109.75</v>
      </c>
      <c r="C78" s="2494">
        <f t="shared" si="51"/>
        <v>112.25</v>
      </c>
      <c r="D78" s="2494">
        <f t="shared" si="17"/>
        <v>112.25</v>
      </c>
      <c r="E78" s="2494">
        <f t="shared" ref="E78:F80" si="52">E79+(E$77-E$81)/4</f>
        <v>107.25</v>
      </c>
      <c r="F78" s="2494">
        <f t="shared" si="52"/>
        <v>103.5</v>
      </c>
      <c r="G78" s="3632">
        <v>2003</v>
      </c>
      <c r="H78" s="2446">
        <v>3</v>
      </c>
      <c r="I78" s="2492"/>
      <c r="J78" s="2492"/>
      <c r="K78" s="2492"/>
      <c r="L78" s="2492"/>
      <c r="X78" s="2484"/>
      <c r="Y78" s="2484"/>
      <c r="Z78" s="2484"/>
    </row>
    <row r="79" spans="1:26">
      <c r="A79" s="2420" t="s">
        <v>1166</v>
      </c>
      <c r="B79" s="2494">
        <f t="shared" si="51"/>
        <v>108.5</v>
      </c>
      <c r="C79" s="2494">
        <f t="shared" si="51"/>
        <v>110.5</v>
      </c>
      <c r="D79" s="2494">
        <f t="shared" si="17"/>
        <v>110.5</v>
      </c>
      <c r="E79" s="2494">
        <f t="shared" si="52"/>
        <v>106.5</v>
      </c>
      <c r="F79" s="2494">
        <f t="shared" si="52"/>
        <v>103</v>
      </c>
      <c r="G79" s="3632">
        <v>2003</v>
      </c>
      <c r="H79" s="2433">
        <v>2</v>
      </c>
      <c r="I79" s="2492"/>
      <c r="J79" s="2492"/>
      <c r="K79" s="2492"/>
      <c r="L79" s="2492"/>
      <c r="X79" s="2484"/>
      <c r="Y79" s="2484"/>
      <c r="Z79" s="2484"/>
    </row>
    <row r="80" spans="1:26" ht="13.5" thickBot="1">
      <c r="A80" s="2420" t="s">
        <v>1167</v>
      </c>
      <c r="B80" s="2494">
        <f t="shared" si="51"/>
        <v>107.25</v>
      </c>
      <c r="C80" s="2494">
        <f t="shared" si="51"/>
        <v>108.75</v>
      </c>
      <c r="D80" s="2494">
        <f t="shared" si="17"/>
        <v>108.75</v>
      </c>
      <c r="E80" s="2494">
        <f t="shared" si="52"/>
        <v>105.75</v>
      </c>
      <c r="F80" s="2494">
        <f t="shared" si="52"/>
        <v>102.5</v>
      </c>
      <c r="G80" s="3633">
        <v>2003</v>
      </c>
      <c r="H80" s="2495">
        <v>1</v>
      </c>
      <c r="I80" s="2492"/>
      <c r="J80" s="2492"/>
      <c r="K80" s="2492"/>
      <c r="L80" s="2492"/>
      <c r="S80" s="2423"/>
      <c r="T80" s="2408"/>
      <c r="U80" s="2408"/>
      <c r="X80" s="2484"/>
      <c r="Y80" s="2484"/>
      <c r="Z80" s="2484"/>
    </row>
    <row r="81" spans="1:26" ht="13.5" thickBot="1">
      <c r="A81" s="2420" t="s">
        <v>1168</v>
      </c>
      <c r="B81" s="2496">
        <v>106</v>
      </c>
      <c r="C81" s="2496">
        <v>107</v>
      </c>
      <c r="D81" s="2496">
        <f t="shared" si="17"/>
        <v>107</v>
      </c>
      <c r="E81" s="2496">
        <v>105</v>
      </c>
      <c r="F81" s="2497">
        <v>102</v>
      </c>
      <c r="G81" s="3631">
        <v>2002</v>
      </c>
      <c r="H81" s="2441">
        <v>4</v>
      </c>
      <c r="I81" s="2492"/>
      <c r="J81" s="2492"/>
      <c r="K81" s="2492"/>
      <c r="L81" s="2492"/>
      <c r="N81" s="2493"/>
      <c r="O81" s="2492"/>
      <c r="P81" s="2492"/>
      <c r="Q81" s="2492"/>
      <c r="S81" s="2493"/>
      <c r="T81" s="2492"/>
      <c r="U81" s="2492"/>
      <c r="V81" s="2492"/>
      <c r="X81" s="2484"/>
      <c r="Y81" s="2484"/>
      <c r="Z81" s="2484"/>
    </row>
    <row r="82" spans="1:26">
      <c r="A82" s="2420" t="s">
        <v>1169</v>
      </c>
      <c r="B82" s="2494">
        <f t="shared" ref="B82:C84" si="53">B83+(B$81-B$85)/4</f>
        <v>105</v>
      </c>
      <c r="C82" s="2494">
        <f t="shared" si="53"/>
        <v>106</v>
      </c>
      <c r="D82" s="2494">
        <f t="shared" si="17"/>
        <v>106</v>
      </c>
      <c r="E82" s="2494">
        <f t="shared" ref="E82:F84" si="54">E83+(E$81-E$85)/4</f>
        <v>104.5</v>
      </c>
      <c r="F82" s="2494">
        <f t="shared" si="54"/>
        <v>101.5</v>
      </c>
      <c r="G82" s="3632">
        <v>2002</v>
      </c>
      <c r="H82" s="2446">
        <v>3</v>
      </c>
      <c r="I82" s="2492"/>
      <c r="J82" s="2492"/>
      <c r="K82" s="2492"/>
      <c r="L82" s="2492"/>
      <c r="X82" s="2484"/>
      <c r="Y82" s="2484"/>
      <c r="Z82" s="2484"/>
    </row>
    <row r="83" spans="1:26">
      <c r="A83" s="2420" t="s">
        <v>1170</v>
      </c>
      <c r="B83" s="2494">
        <f t="shared" si="53"/>
        <v>104</v>
      </c>
      <c r="C83" s="2494">
        <f t="shared" si="53"/>
        <v>105</v>
      </c>
      <c r="D83" s="2494">
        <f t="shared" si="17"/>
        <v>105</v>
      </c>
      <c r="E83" s="2494">
        <f t="shared" si="54"/>
        <v>104</v>
      </c>
      <c r="F83" s="2494">
        <f t="shared" si="54"/>
        <v>101</v>
      </c>
      <c r="G83" s="3632">
        <v>2002</v>
      </c>
      <c r="H83" s="2433">
        <v>2</v>
      </c>
      <c r="I83" s="2492"/>
      <c r="J83" s="2492"/>
      <c r="K83" s="2492"/>
      <c r="L83" s="2492"/>
      <c r="X83" s="2484"/>
      <c r="Y83" s="2484"/>
      <c r="Z83" s="2484"/>
    </row>
    <row r="84" spans="1:26" s="2457" customFormat="1" ht="13.5" thickBot="1">
      <c r="A84" s="2453" t="s">
        <v>1171</v>
      </c>
      <c r="B84" s="2460">
        <f t="shared" si="53"/>
        <v>103</v>
      </c>
      <c r="C84" s="2460">
        <f t="shared" si="53"/>
        <v>104</v>
      </c>
      <c r="D84" s="2460">
        <f t="shared" si="17"/>
        <v>104</v>
      </c>
      <c r="E84" s="2460">
        <f t="shared" si="54"/>
        <v>103.5</v>
      </c>
      <c r="F84" s="2460">
        <f t="shared" si="54"/>
        <v>100.5</v>
      </c>
      <c r="G84" s="3633">
        <v>2002</v>
      </c>
      <c r="H84" s="2498">
        <v>1</v>
      </c>
      <c r="I84" s="2499"/>
      <c r="J84" s="2499"/>
      <c r="K84" s="2499"/>
      <c r="L84" s="2499"/>
      <c r="N84" s="2500"/>
      <c r="S84" s="2500"/>
      <c r="X84" s="2501"/>
      <c r="Y84" s="2501"/>
      <c r="Z84" s="2501"/>
    </row>
    <row r="85" spans="1:26" ht="13.5" thickBot="1">
      <c r="B85" s="2502">
        <v>102</v>
      </c>
      <c r="C85" s="2503">
        <v>103</v>
      </c>
      <c r="D85" s="2503">
        <f t="shared" si="17"/>
        <v>103</v>
      </c>
      <c r="E85" s="2503">
        <v>103</v>
      </c>
      <c r="F85" s="2504">
        <v>100</v>
      </c>
      <c r="I85" s="2492"/>
      <c r="J85" s="2492"/>
      <c r="K85" s="2492"/>
      <c r="L85" s="2492"/>
      <c r="N85" s="2493"/>
      <c r="O85" s="2492"/>
      <c r="P85" s="2492"/>
      <c r="Q85" s="2492"/>
      <c r="S85" s="2493"/>
      <c r="T85" s="2492"/>
      <c r="U85" s="2492"/>
      <c r="V85" s="2492"/>
      <c r="X85" s="2438"/>
      <c r="Y85" s="2438"/>
      <c r="Z85" s="2438"/>
    </row>
    <row r="87" spans="1:26" s="2506" customFormat="1">
      <c r="A87" s="2505" t="s">
        <v>1172</v>
      </c>
      <c r="G87" s="2507"/>
      <c r="N87" s="2507"/>
      <c r="S87" s="2507"/>
    </row>
    <row r="88" spans="1:26" s="2506" customFormat="1">
      <c r="A88" s="2506" t="s">
        <v>1173</v>
      </c>
      <c r="G88" s="2507"/>
      <c r="N88" s="2507"/>
      <c r="S88" s="2507"/>
    </row>
    <row r="89" spans="1:26" s="2506" customFormat="1">
      <c r="A89" s="2506" t="s">
        <v>1174</v>
      </c>
      <c r="G89" s="2507"/>
      <c r="I89" s="2508"/>
      <c r="J89" s="2508"/>
      <c r="K89" s="2508"/>
      <c r="L89" s="2508"/>
      <c r="N89" s="2509"/>
      <c r="O89" s="2508"/>
      <c r="P89" s="2508"/>
      <c r="Q89" s="2508"/>
      <c r="S89" s="2509"/>
      <c r="T89" s="2508"/>
      <c r="U89" s="2508"/>
      <c r="V89" s="2508"/>
    </row>
    <row r="90" spans="1:26" s="2506" customFormat="1">
      <c r="A90" s="2506" t="s">
        <v>1175</v>
      </c>
      <c r="G90" s="2507"/>
      <c r="N90" s="2507"/>
      <c r="S90" s="2507"/>
    </row>
    <row r="97" spans="7:22" ht="13.5" thickBot="1"/>
    <row r="98" spans="7:22">
      <c r="G98" s="2407"/>
      <c r="S98" s="2510" t="s">
        <v>1176</v>
      </c>
      <c r="T98" s="2511" t="s">
        <v>1177</v>
      </c>
      <c r="U98" s="2511" t="s">
        <v>1178</v>
      </c>
      <c r="V98" s="2511" t="s">
        <v>1179</v>
      </c>
    </row>
    <row r="99" spans="7:22">
      <c r="G99" s="2407"/>
      <c r="N99" s="2437"/>
      <c r="O99" s="2438"/>
      <c r="P99" s="2438"/>
      <c r="Q99" s="2438"/>
      <c r="S99" s="2512">
        <v>2006</v>
      </c>
      <c r="T99" s="2513">
        <v>15.1</v>
      </c>
      <c r="U99" s="2513">
        <v>7.43</v>
      </c>
      <c r="V99" s="2513">
        <v>26.26</v>
      </c>
    </row>
    <row r="100" spans="7:22">
      <c r="G100" s="2407"/>
      <c r="N100" s="2437"/>
      <c r="O100" s="2438"/>
      <c r="P100" s="2438"/>
      <c r="Q100" s="2438"/>
      <c r="S100" s="2514">
        <v>2005</v>
      </c>
      <c r="T100" s="2515">
        <v>13.9</v>
      </c>
      <c r="U100" s="2515">
        <v>7.49</v>
      </c>
      <c r="V100" s="2515">
        <v>24.92</v>
      </c>
    </row>
    <row r="101" spans="7:22">
      <c r="G101" s="2407"/>
      <c r="N101" s="2437"/>
      <c r="O101" s="2438"/>
      <c r="P101" s="2438"/>
      <c r="Q101" s="2438"/>
      <c r="S101" s="2512">
        <v>2004</v>
      </c>
      <c r="T101" s="2513">
        <v>9.48</v>
      </c>
      <c r="U101" s="2513">
        <v>7.2</v>
      </c>
      <c r="V101" s="2513">
        <v>14.68</v>
      </c>
    </row>
    <row r="102" spans="7:22">
      <c r="G102" s="2407"/>
      <c r="N102" s="2437"/>
      <c r="O102" s="2438"/>
      <c r="P102" s="2438"/>
      <c r="Q102" s="2438"/>
      <c r="S102" s="2514">
        <v>2003</v>
      </c>
      <c r="T102" s="2515">
        <v>4.5</v>
      </c>
      <c r="U102" s="2515">
        <v>6.12</v>
      </c>
      <c r="V102" s="2515">
        <v>2.34</v>
      </c>
    </row>
    <row r="103" spans="7:22" ht="13.5" thickBot="1">
      <c r="G103" s="2407"/>
      <c r="N103" s="2437"/>
      <c r="O103" s="2438"/>
      <c r="P103" s="2438"/>
      <c r="Q103" s="2438"/>
      <c r="S103" s="2516">
        <v>2002</v>
      </c>
      <c r="T103" s="2517">
        <v>3.59</v>
      </c>
      <c r="U103" s="2517">
        <v>4.54</v>
      </c>
      <c r="V103" s="2517">
        <v>2.5499999999999998</v>
      </c>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row r="119" spans="7:19">
      <c r="G119" s="2407"/>
      <c r="N119" s="2437"/>
      <c r="O119" s="2438"/>
      <c r="P119" s="2438"/>
      <c r="Q119" s="2438"/>
      <c r="S119" s="2407"/>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2817</v>
      </c>
      <c r="C1" s="3645" t="s">
        <v>2818</v>
      </c>
      <c r="D1" s="3646"/>
      <c r="E1" s="3646"/>
      <c r="F1" s="3646"/>
      <c r="G1" s="3646"/>
      <c r="H1" s="3646"/>
      <c r="I1" s="3646"/>
      <c r="J1" s="3646"/>
      <c r="K1" s="3646"/>
      <c r="L1" s="3646"/>
      <c r="M1" s="3646"/>
      <c r="N1" s="3646"/>
      <c r="O1" s="3646"/>
      <c r="P1" s="3646"/>
      <c r="Q1" s="3646"/>
      <c r="R1" s="3646"/>
      <c r="S1" s="3647"/>
      <c r="T1" s="1113" t="s">
        <v>2819</v>
      </c>
    </row>
    <row r="2" spans="1:45" s="663" customFormat="1">
      <c r="A2" s="1114"/>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6"/>
      <c r="B3" s="664"/>
      <c r="C3" s="665"/>
      <c r="D3" s="666"/>
      <c r="E3" s="666"/>
      <c r="F3" s="1471"/>
      <c r="G3" s="1471"/>
      <c r="H3" s="1471"/>
      <c r="I3" s="1471"/>
      <c r="J3" s="1471"/>
      <c r="K3" s="1471"/>
      <c r="L3" s="1472"/>
      <c r="M3" s="1473"/>
      <c r="N3" s="1473"/>
      <c r="O3" s="1471"/>
      <c r="P3" s="1471"/>
      <c r="Q3" s="1471"/>
      <c r="R3" s="1471"/>
      <c r="S3" s="1474"/>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3" t="s">
        <v>2821</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2">D6-$T5</f>
        <v>100</v>
      </c>
      <c r="F6" s="1482">
        <f t="shared" si="2"/>
        <v>100</v>
      </c>
      <c r="G6" s="1482">
        <f t="shared" si="2"/>
        <v>100</v>
      </c>
      <c r="H6" s="1482">
        <f t="shared" si="2"/>
        <v>100</v>
      </c>
      <c r="I6" s="1482">
        <f t="shared" si="2"/>
        <v>100</v>
      </c>
      <c r="J6" s="1482">
        <f t="shared" si="2"/>
        <v>100</v>
      </c>
      <c r="K6" s="1482">
        <f t="shared" si="2"/>
        <v>100</v>
      </c>
      <c r="L6" s="1482">
        <f t="shared" si="2"/>
        <v>100</v>
      </c>
      <c r="M6" s="1482">
        <f t="shared" si="2"/>
        <v>100</v>
      </c>
      <c r="N6" s="1482">
        <f t="shared" si="2"/>
        <v>100</v>
      </c>
      <c r="O6" s="1482">
        <f t="shared" si="2"/>
        <v>100</v>
      </c>
      <c r="P6" s="1482">
        <f t="shared" si="2"/>
        <v>100</v>
      </c>
      <c r="Q6" s="1482">
        <f t="shared" si="2"/>
        <v>100</v>
      </c>
      <c r="R6" s="1482">
        <f t="shared" si="2"/>
        <v>100</v>
      </c>
      <c r="S6" s="1482">
        <f t="shared" si="2"/>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4" t="s">
        <v>2822</v>
      </c>
      <c r="C7" s="1034"/>
      <c r="D7" s="1028"/>
      <c r="E7" s="1028"/>
      <c r="F7" s="1483"/>
      <c r="G7" s="1483"/>
      <c r="H7" s="1483"/>
      <c r="I7" s="1483"/>
      <c r="J7" s="1483"/>
      <c r="K7" s="1483"/>
      <c r="L7" s="1483"/>
      <c r="M7" s="1484"/>
      <c r="N7" s="1485"/>
      <c r="O7" s="1486"/>
      <c r="P7" s="1487"/>
      <c r="Q7" s="1488"/>
      <c r="R7" s="1489"/>
      <c r="S7" s="1490"/>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3">D8-$T7</f>
        <v>100</v>
      </c>
      <c r="F8" s="1482">
        <f t="shared" si="3"/>
        <v>100</v>
      </c>
      <c r="G8" s="1482">
        <f t="shared" si="3"/>
        <v>100</v>
      </c>
      <c r="H8" s="1482">
        <f t="shared" si="3"/>
        <v>100</v>
      </c>
      <c r="I8" s="1482">
        <f t="shared" si="3"/>
        <v>100</v>
      </c>
      <c r="J8" s="1482">
        <f t="shared" si="3"/>
        <v>100</v>
      </c>
      <c r="K8" s="1482">
        <f t="shared" si="3"/>
        <v>100</v>
      </c>
      <c r="L8" s="1482">
        <f t="shared" si="3"/>
        <v>100</v>
      </c>
      <c r="M8" s="1482">
        <f t="shared" si="3"/>
        <v>100</v>
      </c>
      <c r="N8" s="1482">
        <f t="shared" si="3"/>
        <v>100</v>
      </c>
      <c r="O8" s="1482">
        <f t="shared" si="3"/>
        <v>100</v>
      </c>
      <c r="P8" s="1482">
        <f t="shared" si="3"/>
        <v>100</v>
      </c>
      <c r="Q8" s="1482">
        <f t="shared" si="3"/>
        <v>100</v>
      </c>
      <c r="R8" s="1482">
        <f t="shared" si="3"/>
        <v>100</v>
      </c>
      <c r="S8" s="1482">
        <f t="shared" si="3"/>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4" t="s">
        <v>2823</v>
      </c>
      <c r="C9" s="1034"/>
      <c r="D9" s="1028"/>
      <c r="E9" s="1028"/>
      <c r="F9" s="1483"/>
      <c r="G9" s="1483"/>
      <c r="H9" s="1483"/>
      <c r="I9" s="1483"/>
      <c r="J9" s="1483"/>
      <c r="K9" s="1483"/>
      <c r="L9" s="1491"/>
      <c r="M9" s="1484"/>
      <c r="N9" s="1485"/>
      <c r="O9" s="1486"/>
      <c r="P9" s="1487"/>
      <c r="Q9" s="1488"/>
      <c r="R9" s="1489"/>
      <c r="S9" s="1490"/>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4">D10-$T9</f>
        <v>100</v>
      </c>
      <c r="F10" s="1492">
        <f t="shared" si="4"/>
        <v>100</v>
      </c>
      <c r="G10" s="1492">
        <f t="shared" si="4"/>
        <v>100</v>
      </c>
      <c r="H10" s="1492">
        <f t="shared" si="4"/>
        <v>100</v>
      </c>
      <c r="I10" s="1492">
        <f t="shared" si="4"/>
        <v>100</v>
      </c>
      <c r="J10" s="1492">
        <f t="shared" si="4"/>
        <v>100</v>
      </c>
      <c r="K10" s="1492">
        <f t="shared" si="4"/>
        <v>100</v>
      </c>
      <c r="L10" s="1492">
        <f t="shared" si="4"/>
        <v>100</v>
      </c>
      <c r="M10" s="1492">
        <f t="shared" si="4"/>
        <v>100</v>
      </c>
      <c r="N10" s="1492">
        <f t="shared" si="4"/>
        <v>100</v>
      </c>
      <c r="O10" s="1492">
        <f t="shared" si="4"/>
        <v>100</v>
      </c>
      <c r="P10" s="1492">
        <f t="shared" si="4"/>
        <v>100</v>
      </c>
      <c r="Q10" s="1492">
        <f t="shared" si="4"/>
        <v>100</v>
      </c>
      <c r="R10" s="1492">
        <f t="shared" si="4"/>
        <v>100</v>
      </c>
      <c r="S10" s="1492">
        <f t="shared" si="4"/>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3" t="s">
        <v>2824</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5">D12-$T11</f>
        <v>100</v>
      </c>
      <c r="F12" s="1032">
        <f t="shared" si="5"/>
        <v>100</v>
      </c>
      <c r="G12" s="1032">
        <f t="shared" si="5"/>
        <v>100</v>
      </c>
      <c r="H12" s="1032">
        <f t="shared" si="5"/>
        <v>100</v>
      </c>
      <c r="I12" s="1032">
        <f t="shared" si="5"/>
        <v>100</v>
      </c>
      <c r="J12" s="1032">
        <f t="shared" si="5"/>
        <v>100</v>
      </c>
      <c r="K12" s="1032">
        <f t="shared" si="5"/>
        <v>100</v>
      </c>
      <c r="L12" s="1032">
        <f t="shared" si="5"/>
        <v>100</v>
      </c>
      <c r="M12" s="1032">
        <f t="shared" si="5"/>
        <v>100</v>
      </c>
      <c r="N12" s="1032">
        <f t="shared" si="5"/>
        <v>100</v>
      </c>
      <c r="O12" s="1032">
        <f t="shared" si="5"/>
        <v>100</v>
      </c>
      <c r="P12" s="1032">
        <f t="shared" si="5"/>
        <v>100</v>
      </c>
      <c r="Q12" s="1032">
        <f t="shared" si="5"/>
        <v>100</v>
      </c>
      <c r="R12" s="1032">
        <f>Q12-$T11</f>
        <v>100</v>
      </c>
      <c r="S12" s="1032">
        <f t="shared" si="5"/>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3" t="s">
        <v>2825</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3" t="s">
        <v>2826</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2827</v>
      </c>
      <c r="B17" s="2362" t="s">
        <v>2828</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2829</v>
      </c>
      <c r="E19" s="1521"/>
      <c r="F19" s="1521"/>
      <c r="G19" s="1521"/>
      <c r="H19" s="1189"/>
      <c r="I19" s="164"/>
      <c r="J19" s="164"/>
      <c r="K19" s="164"/>
      <c r="L19" s="164"/>
      <c r="M19" s="164"/>
      <c r="N19" s="164"/>
      <c r="O19" s="164"/>
      <c r="P19" s="164"/>
      <c r="Q19" s="164"/>
      <c r="R19" s="726"/>
      <c r="S19" s="134"/>
    </row>
    <row r="20" spans="1:45" ht="16.5" thickBot="1">
      <c r="A20" s="671" t="s">
        <v>2830</v>
      </c>
      <c r="B20" s="300" t="e">
        <f ca="1">IF(D20="——",S22,S22-F20)</f>
        <v>#REF!</v>
      </c>
      <c r="C20" s="164"/>
      <c r="D20" s="2364"/>
      <c r="E20" s="1522"/>
      <c r="F20" s="1113" t="e">
        <f ca="1">SUMIF(INDIRECT("'"&amp;H20&amp;"'"&amp;"!A:A"),"承租人权益价值",INDIRECT("'"&amp;H20&amp;"'"&amp;"!c:c"))</f>
        <v>#REF!</v>
      </c>
      <c r="G20" s="1113" t="s">
        <v>2831</v>
      </c>
      <c r="H20" s="2365"/>
      <c r="I20" s="164"/>
      <c r="J20" s="164"/>
      <c r="K20" s="164"/>
      <c r="L20" s="164"/>
      <c r="M20" s="164"/>
      <c r="N20" s="164"/>
      <c r="O20" s="164"/>
      <c r="P20" s="164"/>
      <c r="Q20" s="164"/>
      <c r="R20" s="726"/>
      <c r="S20" s="134"/>
    </row>
    <row r="21" spans="1:45" ht="15.75">
      <c r="A21" s="671" t="s">
        <v>2832</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2833</v>
      </c>
      <c r="B22" s="24">
        <f>SUM(B24:B10000)</f>
        <v>100</v>
      </c>
      <c r="C22" s="3642" t="s">
        <v>33</v>
      </c>
      <c r="D22" s="3643"/>
      <c r="E22" s="3643"/>
      <c r="F22" s="3643"/>
      <c r="G22" s="3643"/>
      <c r="H22" s="3643"/>
      <c r="I22" s="3643"/>
      <c r="J22" s="3643"/>
      <c r="K22" s="3643"/>
      <c r="L22" s="3643"/>
      <c r="M22" s="3643"/>
      <c r="N22" s="3643"/>
      <c r="O22" s="3643"/>
      <c r="P22" s="3643"/>
      <c r="Q22" s="3644"/>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2839</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6">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85358</v>
      </c>
      <c r="C2" s="2" t="s">
        <v>133</v>
      </c>
      <c r="D2" s="205"/>
      <c r="E2" s="205"/>
      <c r="F2" s="205"/>
      <c r="G2" s="205"/>
    </row>
    <row r="3" spans="1:7" s="206" customFormat="1" ht="18" customHeight="1" thickBot="1">
      <c r="A3" s="209" t="s">
        <v>85</v>
      </c>
      <c r="B3" s="210">
        <f ca="1">ROUND(B2*10000/'数据-汇总表'!E3,0)</f>
        <v>12828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1110</v>
      </c>
    </row>
    <row r="9" spans="1:7" s="220" customFormat="1" ht="13.5" customHeight="1">
      <c r="A9" s="886" t="s">
        <v>800</v>
      </c>
      <c r="B9" s="230" t="s">
        <v>93</v>
      </c>
      <c r="C9" s="231">
        <f>ROUND(D9*E9/10000,0)</f>
        <v>0</v>
      </c>
      <c r="D9" s="953">
        <f>'数据-汇总表'!E5</f>
        <v>0</v>
      </c>
      <c r="E9" s="231">
        <f>'数据-取费表'!B27</f>
        <v>60</v>
      </c>
      <c r="F9" s="227"/>
      <c r="G9" s="232"/>
    </row>
    <row r="10" spans="1:7" s="220" customFormat="1" ht="13.5" customHeight="1">
      <c r="A10" s="886" t="s">
        <v>801</v>
      </c>
      <c r="B10" s="230" t="s">
        <v>94</v>
      </c>
      <c r="C10" s="231">
        <f>ROUND(D10*E10/10000,0)</f>
        <v>399</v>
      </c>
      <c r="D10" s="953">
        <f>'数据-汇总表'!E6</f>
        <v>66539.560000000012</v>
      </c>
      <c r="E10" s="231">
        <f>'数据-取费表'!B28</f>
        <v>60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1331</v>
      </c>
      <c r="D19" s="957">
        <f>'数据-汇总表'!E3</f>
        <v>66539.560000000012</v>
      </c>
      <c r="E19" s="217">
        <f>'数据-取费表'!B31</f>
        <v>200</v>
      </c>
      <c r="F19" s="237"/>
      <c r="G19" s="1" t="s">
        <v>1042</v>
      </c>
    </row>
    <row r="20" spans="1:7" s="220" customFormat="1" ht="13.5" customHeight="1">
      <c r="A20" s="884" t="s">
        <v>1025</v>
      </c>
      <c r="B20" s="216" t="s">
        <v>104</v>
      </c>
      <c r="C20" s="238">
        <f>ROUND((C5+C19)*F20,0)</f>
        <v>658</v>
      </c>
      <c r="D20" s="238"/>
      <c r="E20" s="238"/>
      <c r="F20" s="239">
        <f>'数据-取费表'!B37</f>
        <v>0.03</v>
      </c>
      <c r="G20" s="1198" t="s">
        <v>1036</v>
      </c>
    </row>
    <row r="21" spans="1:7" s="220" customFormat="1" ht="13.5" customHeight="1">
      <c r="A21" s="884" t="s">
        <v>1027</v>
      </c>
      <c r="B21" s="216" t="s">
        <v>105</v>
      </c>
      <c r="C21" s="241">
        <f>F21</f>
        <v>1.4999999999999999E-2</v>
      </c>
      <c r="D21" s="242" t="s">
        <v>126</v>
      </c>
      <c r="E21" s="238"/>
      <c r="F21" s="239">
        <f>'数据-取费表'!B38</f>
        <v>1.4999999999999999E-2</v>
      </c>
      <c r="G21" s="240" t="s">
        <v>106</v>
      </c>
    </row>
    <row r="22" spans="1:7" s="220" customFormat="1" ht="13.5" customHeight="1">
      <c r="A22" s="884" t="s">
        <v>786</v>
      </c>
      <c r="B22" s="216" t="s">
        <v>107</v>
      </c>
      <c r="C22" s="1262">
        <f ca="1">ROUND(SUM(C23:C25),0)</f>
        <v>1979</v>
      </c>
      <c r="D22" s="241">
        <f ca="1">C26</f>
        <v>6.9999999999999999E-4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3">
        <f ca="1">ROUND(IF('数据-取费表'!B22&lt;=1,C5*F22*'数据-取费表'!B23,C5*(POWER((1+F22),'数据-取费表'!B23)-1)),0)</f>
        <v>1832</v>
      </c>
      <c r="D23" s="244"/>
      <c r="E23" s="244"/>
      <c r="F23" s="245"/>
      <c r="G23" s="246" t="s">
        <v>108</v>
      </c>
    </row>
    <row r="24" spans="1:7" s="220" customFormat="1" ht="13.5" customHeight="1">
      <c r="A24" s="887" t="s">
        <v>792</v>
      </c>
      <c r="B24" s="221" t="s">
        <v>1024</v>
      </c>
      <c r="C24" s="1263">
        <f ca="1">ROUND(IF('数据-取费表'!B22&lt;=1,C19*F22*('数据-取费表'!B19/2+'数据-取费表'!B21),C19*(POWER((1+F22),('数据-取费表'!B19/2+'数据-取费表'!B21))-1)),0)</f>
        <v>118</v>
      </c>
      <c r="D24" s="244"/>
      <c r="E24" s="244"/>
      <c r="F24" s="245"/>
      <c r="G24" s="246" t="s">
        <v>109</v>
      </c>
    </row>
    <row r="25" spans="1:7" s="220" customFormat="1" ht="24">
      <c r="A25" s="887" t="s">
        <v>793</v>
      </c>
      <c r="B25" s="221" t="s">
        <v>1026</v>
      </c>
      <c r="C25" s="1263">
        <f ca="1">ROUND(IF('数据-取费表'!B22&lt;=1,C20*F22*'数据-取费表'!B23/2,C20*(POWER((1+F22),'数据-取费表'!B23/2)-1)),0)</f>
        <v>29</v>
      </c>
      <c r="D25" s="244"/>
      <c r="E25" s="247"/>
      <c r="F25" s="245"/>
      <c r="G25" s="248" t="s">
        <v>110</v>
      </c>
    </row>
    <row r="26" spans="1:7" s="220" customFormat="1">
      <c r="A26" s="887" t="s">
        <v>795</v>
      </c>
      <c r="B26" s="221" t="s">
        <v>1028</v>
      </c>
      <c r="C26" s="244">
        <f ca="1">ROUND(IF('数据-取费表'!B22&lt;=1,F21*F22*'数据-取费表'!B23/2,F21*(POWER((1+F22),'数据-取费表'!B23/2)-1)),4)</f>
        <v>6.9999999999999999E-4</v>
      </c>
      <c r="D26" s="244"/>
      <c r="E26" s="247"/>
      <c r="F26" s="245"/>
      <c r="G26" s="249"/>
    </row>
    <row r="27" spans="1:7" s="220" customFormat="1" ht="24.75">
      <c r="A27" s="884" t="s">
        <v>787</v>
      </c>
      <c r="B27" s="250" t="s">
        <v>112</v>
      </c>
      <c r="C27" s="251">
        <f>C28</f>
        <v>2712</v>
      </c>
      <c r="D27" s="241">
        <f>C29</f>
        <v>1.8E-3</v>
      </c>
      <c r="E27" s="242" t="s">
        <v>126</v>
      </c>
      <c r="F27" s="252">
        <f>'数据-取费表'!Q16</f>
        <v>0.12</v>
      </c>
      <c r="G27" s="253" t="s">
        <v>1037</v>
      </c>
    </row>
    <row r="28" spans="1:7" s="220" customFormat="1" ht="13.5" customHeight="1">
      <c r="A28" s="887" t="s">
        <v>794</v>
      </c>
      <c r="B28" s="254" t="s">
        <v>1030</v>
      </c>
      <c r="C28" s="255">
        <f>ROUND((C5+C19+C20)*F27*'数据-取费表'!B21/'数据-取费表'!B20,0)</f>
        <v>2712</v>
      </c>
      <c r="D28" s="241"/>
      <c r="E28" s="242"/>
      <c r="F28" s="252"/>
      <c r="G28" s="253"/>
    </row>
    <row r="29" spans="1:7" s="220" customFormat="1" ht="13.5" customHeight="1">
      <c r="A29" s="887" t="s">
        <v>792</v>
      </c>
      <c r="B29" s="254" t="s">
        <v>1031</v>
      </c>
      <c r="C29" s="244">
        <f>ROUND(C21*F27*'数据-取费表'!B21/'数据-取费表'!B20,4)</f>
        <v>1.8E-3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29370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44798</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39877</v>
      </c>
      <c r="D34" s="223"/>
      <c r="E34" s="226"/>
      <c r="F34" s="263">
        <f>IF('数据-取费表'!B24=0,1,'数据-取费表'!N16)</f>
        <v>1</v>
      </c>
      <c r="G34" s="225" t="s">
        <v>116</v>
      </c>
    </row>
    <row r="35" spans="1:7" ht="13.5" customHeight="1">
      <c r="A35" s="887" t="s">
        <v>796</v>
      </c>
      <c r="B35" s="221" t="s">
        <v>60</v>
      </c>
      <c r="C35" s="226">
        <f>ROUND(C34*F35,0)</f>
        <v>1994</v>
      </c>
      <c r="D35" s="226"/>
      <c r="E35" s="226"/>
      <c r="F35" s="265">
        <f>'数据-取费表'!B33</f>
        <v>0.05</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2329</v>
      </c>
      <c r="D37" s="223">
        <f>'数据-汇总表'!E3</f>
        <v>66539.560000000012</v>
      </c>
      <c r="E37" s="255">
        <f>'数据-取费表'!B35</f>
        <v>350</v>
      </c>
      <c r="F37" s="265"/>
      <c r="G37" s="267" t="s">
        <v>119</v>
      </c>
    </row>
    <row r="38" spans="1:7" ht="13.5" customHeight="1">
      <c r="A38" s="887" t="s">
        <v>799</v>
      </c>
      <c r="B38" s="221" t="s">
        <v>63</v>
      </c>
      <c r="C38" s="226">
        <f>ROUND(C34*F38,0)</f>
        <v>598</v>
      </c>
      <c r="D38" s="226"/>
      <c r="E38" s="226"/>
      <c r="F38" s="265">
        <f>'数据-取费表'!B36</f>
        <v>1.4999999999999999E-2</v>
      </c>
      <c r="G38" s="225" t="s">
        <v>117</v>
      </c>
    </row>
    <row r="39" spans="1:7" s="220" customFormat="1" ht="13.5" customHeight="1">
      <c r="A39" s="884" t="s">
        <v>783</v>
      </c>
      <c r="B39" s="216" t="s">
        <v>104</v>
      </c>
      <c r="C39" s="238">
        <f>ROUND(C33*F20,0)</f>
        <v>1344</v>
      </c>
      <c r="D39" s="238"/>
      <c r="E39" s="238"/>
      <c r="F39" s="239"/>
      <c r="G39" s="1198" t="s">
        <v>1039</v>
      </c>
    </row>
    <row r="40" spans="1:7" s="220" customFormat="1" ht="13.5" customHeight="1">
      <c r="A40" s="884" t="s">
        <v>784</v>
      </c>
      <c r="B40" s="216" t="s">
        <v>105</v>
      </c>
      <c r="C40" s="268">
        <f>F21</f>
        <v>1.4999999999999999E-2</v>
      </c>
      <c r="D40" s="242" t="s">
        <v>129</v>
      </c>
      <c r="E40" s="238"/>
      <c r="F40" s="239"/>
      <c r="G40" s="240" t="s">
        <v>120</v>
      </c>
    </row>
    <row r="41" spans="1:7" s="220" customFormat="1" ht="13.5" customHeight="1">
      <c r="A41" s="884" t="s">
        <v>785</v>
      </c>
      <c r="B41" s="216" t="s">
        <v>107</v>
      </c>
      <c r="C41" s="238">
        <f ca="1">ROUND(SUM(C42:C43),0)</f>
        <v>2007</v>
      </c>
      <c r="D41" s="241">
        <f ca="1">C44</f>
        <v>6.9999999999999999E-4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1949</v>
      </c>
      <c r="D42" s="244"/>
      <c r="E42" s="244"/>
      <c r="F42" s="245"/>
      <c r="G42" s="3486" t="s">
        <v>121</v>
      </c>
    </row>
    <row r="43" spans="1:7" ht="13.5" customHeight="1">
      <c r="A43" s="887" t="s">
        <v>792</v>
      </c>
      <c r="B43" s="221" t="s">
        <v>1032</v>
      </c>
      <c r="C43" s="244">
        <f ca="1">ROUND(IF('数据-取费表'!B22&lt;=1,C39*F22*'数据-取费表'!B21/2,C39*(POWER((1+F22),'数据-取费表'!B21/2)-1)),0)</f>
        <v>58</v>
      </c>
      <c r="D43" s="244"/>
      <c r="E43" s="244"/>
      <c r="F43" s="245"/>
      <c r="G43" s="3487"/>
    </row>
    <row r="44" spans="1:7" ht="13.5" customHeight="1">
      <c r="A44" s="887" t="s">
        <v>793</v>
      </c>
      <c r="B44" s="221" t="s">
        <v>1034</v>
      </c>
      <c r="C44" s="244">
        <f ca="1">ROUND(IF('数据-取费表'!B22&lt;=1,C40*F22*'数据-取费表'!B21/2,C40*(POWER((1+F22),'数据-取费表'!B21/2)-1)),4)</f>
        <v>6.9999999999999999E-4</v>
      </c>
      <c r="D44" s="244"/>
      <c r="E44" s="244"/>
      <c r="F44" s="245"/>
      <c r="G44" s="3488"/>
    </row>
    <row r="45" spans="1:7" s="220" customFormat="1" ht="13.5" customHeight="1">
      <c r="A45" s="884" t="s">
        <v>786</v>
      </c>
      <c r="B45" s="250" t="s">
        <v>112</v>
      </c>
      <c r="C45" s="251">
        <f>C46</f>
        <v>5537</v>
      </c>
      <c r="D45" s="241">
        <f>C47</f>
        <v>1.8E-3</v>
      </c>
      <c r="E45" s="242" t="s">
        <v>129</v>
      </c>
      <c r="F45" s="252"/>
      <c r="G45" s="253" t="s">
        <v>1040</v>
      </c>
    </row>
    <row r="46" spans="1:7" s="220" customFormat="1" ht="13.5" customHeight="1">
      <c r="A46" s="887" t="s">
        <v>794</v>
      </c>
      <c r="B46" s="254" t="s">
        <v>1033</v>
      </c>
      <c r="C46" s="255">
        <f>ROUND((C33+C39)*F27,0)</f>
        <v>5537</v>
      </c>
      <c r="D46" s="269"/>
      <c r="E46" s="242"/>
      <c r="F46" s="252"/>
      <c r="G46" s="253"/>
    </row>
    <row r="47" spans="1:7" s="220" customFormat="1" ht="13.5" customHeight="1">
      <c r="A47" s="887" t="s">
        <v>792</v>
      </c>
      <c r="B47" s="254" t="s">
        <v>1035</v>
      </c>
      <c r="C47" s="244">
        <f>ROUND(C40*F27,4)</f>
        <v>1.8E-3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57779</v>
      </c>
      <c r="D49" s="238"/>
      <c r="E49" s="238"/>
      <c r="F49" s="270"/>
      <c r="G49" s="240" t="s">
        <v>1041</v>
      </c>
    </row>
    <row r="50" spans="1:7" s="264" customFormat="1" ht="24">
      <c r="A50" s="884" t="s">
        <v>789</v>
      </c>
      <c r="B50" s="216" t="s">
        <v>124</v>
      </c>
      <c r="C50" s="238"/>
      <c r="D50" s="238"/>
      <c r="E50" s="238"/>
      <c r="F50" s="270">
        <f>IF('数据-取费表'!B24=0,'数据-取费表'!N16,1)</f>
        <v>0.96899999999999997</v>
      </c>
      <c r="G50" s="253" t="s">
        <v>125</v>
      </c>
    </row>
    <row r="51" spans="1:7" ht="16.5" customHeight="1">
      <c r="A51" s="884" t="s">
        <v>790</v>
      </c>
      <c r="B51" s="216" t="s">
        <v>132</v>
      </c>
      <c r="C51" s="238">
        <f ca="1">ROUND(C49*F50,0)</f>
        <v>55988</v>
      </c>
      <c r="D51" s="238"/>
      <c r="E51" s="238"/>
      <c r="F51" s="270"/>
      <c r="G51" s="240" t="s">
        <v>64</v>
      </c>
    </row>
    <row r="52" spans="1:7" s="214" customFormat="1" ht="16.5" thickBot="1">
      <c r="A52" s="271" t="s">
        <v>65</v>
      </c>
      <c r="B52" s="272"/>
      <c r="C52" s="273">
        <f ca="1">C31+C51</f>
        <v>85358</v>
      </c>
      <c r="D52" s="272"/>
      <c r="E52" s="272"/>
      <c r="F52" s="272"/>
      <c r="G52" s="274"/>
    </row>
    <row r="55" spans="1:7" ht="15">
      <c r="B55" s="276" t="s">
        <v>66</v>
      </c>
      <c r="C55" s="277"/>
    </row>
    <row r="56" spans="1:7">
      <c r="B56" s="279" t="s">
        <v>67</v>
      </c>
      <c r="C56" s="280">
        <f ca="1">ROUND(C51/C52,3)</f>
        <v>0.65600000000000003</v>
      </c>
    </row>
    <row r="57" spans="1:7">
      <c r="B57" s="279" t="s">
        <v>68</v>
      </c>
      <c r="C57" s="281">
        <f ca="1">1-C56</f>
        <v>0.34399999999999997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48" t="s">
        <v>156</v>
      </c>
      <c r="B1" s="3648"/>
      <c r="C1" s="3648"/>
      <c r="D1" s="3648"/>
      <c r="E1" s="3648"/>
      <c r="F1" s="364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49" t="s">
        <v>169</v>
      </c>
      <c r="B2" s="3649"/>
      <c r="C2" s="3649"/>
      <c r="D2" s="3649"/>
      <c r="E2" s="3649"/>
      <c r="F2" s="364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5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5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48" t="s">
        <v>839</v>
      </c>
      <c r="B1" s="364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1261</v>
      </c>
      <c r="C1" s="1462">
        <f>项目基本情况!D3</f>
        <v>44541</v>
      </c>
      <c r="D1" s="1468" t="s">
        <v>1262</v>
      </c>
      <c r="E1" s="1463">
        <f>'数据-取费表'!B22</f>
        <v>2</v>
      </c>
      <c r="F1" s="1468" t="s">
        <v>1263</v>
      </c>
      <c r="G1" s="1464">
        <f ca="1">INDIRECT("d"&amp;$K$1)/100</f>
        <v>3.85E-2</v>
      </c>
      <c r="H1" s="1468" t="s">
        <v>1293</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1264</v>
      </c>
      <c r="E2" s="1406"/>
      <c r="F2" s="1406" t="s">
        <v>1265</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1266</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1267</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1268</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1269</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1270</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1271</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1272</v>
      </c>
      <c r="C10" s="1434"/>
      <c r="D10" s="1434"/>
      <c r="E10" s="1434"/>
      <c r="F10" s="1434"/>
      <c r="G10" s="1434"/>
      <c r="H10" s="1434"/>
      <c r="I10" s="1408"/>
      <c r="J10" s="1408"/>
      <c r="K10" s="1434"/>
      <c r="L10" s="1435" t="s">
        <v>1273</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1274</v>
      </c>
      <c r="C11" s="1439" t="s">
        <v>1275</v>
      </c>
      <c r="D11" s="1440" t="s">
        <v>1276</v>
      </c>
      <c r="E11" s="1441"/>
      <c r="F11" s="1440" t="s">
        <v>1277</v>
      </c>
      <c r="G11" s="1442"/>
      <c r="H11" s="1441"/>
      <c r="I11" s="1440" t="s">
        <v>1278</v>
      </c>
      <c r="J11" s="1441"/>
      <c r="K11" s="1437"/>
      <c r="L11" s="1438" t="s">
        <v>1274</v>
      </c>
      <c r="M11" s="1439" t="s">
        <v>1275</v>
      </c>
      <c r="N11" s="1438" t="s">
        <v>1279</v>
      </c>
      <c r="O11" s="1440" t="s">
        <v>1280</v>
      </c>
      <c r="P11" s="1442"/>
      <c r="Q11" s="1442"/>
      <c r="R11" s="1442"/>
      <c r="S11" s="1442"/>
      <c r="T11" s="1441"/>
      <c r="U11" s="1440" t="s">
        <v>1281</v>
      </c>
      <c r="V11" s="1442"/>
      <c r="W11" s="1441"/>
      <c r="X11" s="1438" t="s">
        <v>1282</v>
      </c>
      <c r="Y11" s="1438" t="s">
        <v>1283</v>
      </c>
      <c r="Z11" s="1438" t="s">
        <v>1284</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1285</v>
      </c>
      <c r="E12" s="1447" t="s">
        <v>1286</v>
      </c>
      <c r="F12" s="1447" t="s">
        <v>1287</v>
      </c>
      <c r="G12" s="1447" t="s">
        <v>1288</v>
      </c>
      <c r="H12" s="1447" t="s">
        <v>1270</v>
      </c>
      <c r="I12" s="1448" t="s">
        <v>1289</v>
      </c>
      <c r="J12" s="1448" t="s">
        <v>1289</v>
      </c>
      <c r="K12" s="1444"/>
      <c r="L12" s="1445"/>
      <c r="M12" s="1446"/>
      <c r="N12" s="1445"/>
      <c r="O12" s="1448" t="s">
        <v>1290</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1291</v>
      </c>
      <c r="C13" s="3046">
        <v>43941</v>
      </c>
      <c r="D13" s="3047">
        <v>3.85</v>
      </c>
      <c r="E13" s="3047">
        <v>3.85</v>
      </c>
      <c r="F13" s="3047">
        <v>3.85</v>
      </c>
      <c r="G13" s="3047">
        <v>3.85</v>
      </c>
      <c r="H13" s="3047">
        <v>4.6500000000000004</v>
      </c>
      <c r="I13" s="1452"/>
      <c r="J13" s="1452"/>
      <c r="K13" s="1450"/>
      <c r="L13" s="1451" t="s">
        <v>1291</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2"/>
      <c r="C14" s="3043">
        <v>43881</v>
      </c>
      <c r="D14" s="3042">
        <v>4.05</v>
      </c>
      <c r="E14" s="3042">
        <v>4.05</v>
      </c>
      <c r="F14" s="3042">
        <v>4.05</v>
      </c>
      <c r="G14" s="3042">
        <v>4.05</v>
      </c>
      <c r="H14" s="3042">
        <v>4.75</v>
      </c>
      <c r="I14" s="3042"/>
      <c r="J14" s="3042"/>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2"/>
      <c r="C15" s="3043">
        <v>43789</v>
      </c>
      <c r="D15" s="3042">
        <v>4.1500000000000004</v>
      </c>
      <c r="E15" s="3042">
        <v>4.1500000000000004</v>
      </c>
      <c r="F15" s="3042">
        <v>4.1500000000000004</v>
      </c>
      <c r="G15" s="3042">
        <v>4.1500000000000004</v>
      </c>
      <c r="H15" s="3042">
        <v>4.8</v>
      </c>
      <c r="I15" s="3042"/>
      <c r="J15" s="3042"/>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2"/>
      <c r="C16" s="3043">
        <v>43728</v>
      </c>
      <c r="D16" s="3042">
        <v>4.2</v>
      </c>
      <c r="E16" s="3042">
        <v>4.2</v>
      </c>
      <c r="F16" s="3042">
        <v>4.2</v>
      </c>
      <c r="G16" s="3042">
        <v>4.2</v>
      </c>
      <c r="H16" s="3042">
        <v>4.8499999999999996</v>
      </c>
      <c r="I16" s="3042"/>
      <c r="J16" s="3042"/>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1" t="s">
        <v>3051</v>
      </c>
      <c r="C17" s="3044">
        <v>43697</v>
      </c>
      <c r="D17" s="3045">
        <v>4.25</v>
      </c>
      <c r="E17" s="3045">
        <v>4.25</v>
      </c>
      <c r="F17" s="3045">
        <v>4.25</v>
      </c>
      <c r="G17" s="3045">
        <v>4.25</v>
      </c>
      <c r="H17" s="3045">
        <v>4.8499999999999996</v>
      </c>
      <c r="I17" s="3045"/>
      <c r="J17" s="3045"/>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4"/>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1292</v>
      </c>
      <c r="Y42" s="1456" t="s">
        <v>1292</v>
      </c>
      <c r="Z42" s="1456" t="s">
        <v>1292</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1292</v>
      </c>
      <c r="Y43" s="1456" t="s">
        <v>1292</v>
      </c>
      <c r="Z43" s="1456" t="s">
        <v>1292</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1292</v>
      </c>
      <c r="Y44" s="1456" t="s">
        <v>1292</v>
      </c>
      <c r="Z44" s="1456" t="s">
        <v>1292</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1292</v>
      </c>
      <c r="Y45" s="1456" t="s">
        <v>1292</v>
      </c>
      <c r="Z45" s="1456" t="s">
        <v>1292</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1292</v>
      </c>
      <c r="Y46" s="1456" t="s">
        <v>1292</v>
      </c>
      <c r="Z46" s="1456" t="s">
        <v>1292</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1292</v>
      </c>
      <c r="Y47" s="1456" t="s">
        <v>1292</v>
      </c>
      <c r="Z47" s="1456" t="s">
        <v>1292</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1292</v>
      </c>
      <c r="Y48" s="1456" t="s">
        <v>1292</v>
      </c>
      <c r="Z48" s="1456" t="s">
        <v>1292</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1292</v>
      </c>
      <c r="Y49" s="1456" t="s">
        <v>1292</v>
      </c>
      <c r="Z49" s="1456" t="s">
        <v>1292</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1292</v>
      </c>
      <c r="Y50" s="1456" t="s">
        <v>1292</v>
      </c>
      <c r="Z50" s="1456" t="s">
        <v>1292</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1292</v>
      </c>
      <c r="V51" s="1456" t="s">
        <v>1292</v>
      </c>
      <c r="W51" s="1456" t="s">
        <v>1292</v>
      </c>
      <c r="X51" s="1456" t="s">
        <v>1292</v>
      </c>
      <c r="Y51" s="1456" t="s">
        <v>1292</v>
      </c>
      <c r="Z51" s="1456" t="s">
        <v>1292</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1292</v>
      </c>
      <c r="J60" s="1456" t="s">
        <v>1292</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1332</v>
      </c>
      <c r="E1" s="1509" t="s">
        <v>1336</v>
      </c>
      <c r="F1" s="1510" t="s">
        <v>1340</v>
      </c>
    </row>
    <row r="2" spans="1:13" ht="20.25">
      <c r="A2" s="1516" t="s">
        <v>1333</v>
      </c>
    </row>
    <row r="3" spans="1:13" ht="16.5">
      <c r="A3" s="1517" t="s">
        <v>1334</v>
      </c>
    </row>
    <row r="4" spans="1:13" ht="14.25">
      <c r="A4" s="1507" t="s">
        <v>1335</v>
      </c>
      <c r="B4" s="1512" t="s">
        <v>1337</v>
      </c>
      <c r="C4" s="1513"/>
      <c r="D4" s="1514"/>
      <c r="E4" s="1512" t="s">
        <v>27</v>
      </c>
      <c r="F4" s="1513"/>
      <c r="G4" s="1514"/>
      <c r="H4" s="1512" t="s">
        <v>1338</v>
      </c>
      <c r="I4" s="1513"/>
      <c r="J4" s="1514"/>
      <c r="K4" s="1512" t="s">
        <v>6</v>
      </c>
      <c r="L4" s="1513"/>
      <c r="M4" s="1514"/>
    </row>
    <row r="5" spans="1:13" ht="14.25">
      <c r="A5" s="1508" t="s">
        <v>1339</v>
      </c>
      <c r="B5" s="1507" t="s">
        <v>1341</v>
      </c>
      <c r="C5" s="1507" t="s">
        <v>1342</v>
      </c>
      <c r="D5" s="1507" t="s">
        <v>1343</v>
      </c>
      <c r="E5" s="1507" t="s">
        <v>1341</v>
      </c>
      <c r="F5" s="1507" t="s">
        <v>1342</v>
      </c>
      <c r="G5" s="1507" t="s">
        <v>1343</v>
      </c>
      <c r="H5" s="1507" t="s">
        <v>1341</v>
      </c>
      <c r="I5" s="1507" t="s">
        <v>1342</v>
      </c>
      <c r="J5" s="1507" t="s">
        <v>1343</v>
      </c>
      <c r="K5" s="1507" t="s">
        <v>1341</v>
      </c>
      <c r="L5" s="1507" t="s">
        <v>1342</v>
      </c>
      <c r="M5" s="1507" t="s">
        <v>1343</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321" sqref="A321"/>
    </sheetView>
  </sheetViews>
  <sheetFormatPr defaultColWidth="9" defaultRowHeight="13.5"/>
  <cols>
    <col min="1" max="7" width="9" style="3083"/>
    <col min="8" max="8" width="10.5" style="3083" bestFit="1" customWidth="1"/>
    <col min="9" max="16384" width="9" style="3083"/>
  </cols>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313" t="str">
        <f>IF(项目基本情况!B9="房地产市场价值","估价结果一览表","结果表-2")</f>
        <v>结果表-2</v>
      </c>
      <c r="B1" s="3313"/>
      <c r="C1" s="3313"/>
      <c r="D1" s="3313"/>
      <c r="E1" s="3313"/>
      <c r="F1" s="3313"/>
      <c r="G1" s="3313"/>
      <c r="H1" s="3313"/>
      <c r="I1" s="3313"/>
    </row>
    <row r="2" spans="1:9" ht="30" customHeight="1" thickTop="1">
      <c r="A2" s="3314" t="s">
        <v>1600</v>
      </c>
      <c r="B2" s="3314" t="s">
        <v>1601</v>
      </c>
      <c r="C2" s="3314" t="s">
        <v>1602</v>
      </c>
      <c r="D2" s="3314" t="str">
        <f>结果表!D116</f>
        <v>出让国有建设用地使用权价值</v>
      </c>
      <c r="E2" s="3314"/>
      <c r="F2" s="3314" t="str">
        <f>结果表!F116</f>
        <v>在建建筑物价值</v>
      </c>
      <c r="G2" s="3314"/>
      <c r="H2" s="3314" t="str">
        <f>IF(项目基本情况!B9="房地产市场价值","房地产市场价值","房地产价值")</f>
        <v>房地产价值</v>
      </c>
      <c r="I2" s="3314"/>
    </row>
    <row r="3" spans="1:9" ht="15">
      <c r="A3" s="3308"/>
      <c r="B3" s="3308"/>
      <c r="C3" s="3308"/>
      <c r="D3" s="962" t="s">
        <v>1597</v>
      </c>
      <c r="E3" s="962" t="s">
        <v>1603</v>
      </c>
      <c r="F3" s="962" t="s">
        <v>1597</v>
      </c>
      <c r="G3" s="962" t="s">
        <v>1598</v>
      </c>
      <c r="H3" s="962" t="s">
        <v>1597</v>
      </c>
      <c r="I3" s="962" t="s">
        <v>1598</v>
      </c>
    </row>
    <row r="4" spans="1:9" ht="30">
      <c r="A4" s="1687" t="str">
        <f>项目基本情况!S2</f>
        <v>青海省西宁市城中区麟河路31号商业服务、物业用房房地产</v>
      </c>
      <c r="B4" s="962">
        <f>项目基本情况!C17</f>
        <v>66539.560000000012</v>
      </c>
      <c r="C4" s="962">
        <f>项目基本情况!C18</f>
        <v>62220.89</v>
      </c>
      <c r="D4" s="962">
        <f ca="1">结果表!D118</f>
        <v>14453</v>
      </c>
      <c r="E4" s="962">
        <f ca="1">结果表!E118</f>
        <v>2172</v>
      </c>
      <c r="F4" s="962">
        <f ca="1">结果表!F118</f>
        <v>42225</v>
      </c>
      <c r="G4" s="962">
        <f ca="1">结果表!G118</f>
        <v>6346</v>
      </c>
      <c r="H4" s="962">
        <f ca="1">结果表!H118</f>
        <v>56678</v>
      </c>
      <c r="I4" s="962">
        <f ca="1">结果表!I118</f>
        <v>8518</v>
      </c>
    </row>
    <row r="5" spans="1:9" ht="30" customHeight="1">
      <c r="A5" s="3308" t="s">
        <v>1599</v>
      </c>
      <c r="B5" s="3308"/>
      <c r="C5" s="3308"/>
      <c r="D5" s="3309" t="str">
        <f ca="1">结果表!D119</f>
        <v>壹亿肆仟肆佰伍拾叁万元整</v>
      </c>
      <c r="E5" s="3309"/>
      <c r="F5" s="3309" t="str">
        <f ca="1">结果表!F119</f>
        <v>肆亿贰仟贰佰贰拾伍万元整</v>
      </c>
      <c r="G5" s="3309"/>
      <c r="H5" s="3309" t="str">
        <f ca="1">结果表!H119</f>
        <v>伍亿陆仟陆佰柒拾捌万元整</v>
      </c>
      <c r="I5" s="3309"/>
    </row>
    <row r="6" spans="1:9" ht="15.75">
      <c r="A6" s="3307" t="str">
        <f>结果表!A120</f>
        <v>估价师知悉的法定优先受偿款</v>
      </c>
      <c r="B6" s="3307"/>
      <c r="C6" s="3307"/>
      <c r="D6" s="3307">
        <f>结果表!D120</f>
        <v>20000</v>
      </c>
      <c r="E6" s="3307"/>
      <c r="F6" s="3307"/>
      <c r="G6" s="3307"/>
      <c r="H6" s="3307"/>
      <c r="I6" s="3307"/>
    </row>
    <row r="7" spans="1:9" ht="15">
      <c r="A7" s="3308" t="s">
        <v>1599</v>
      </c>
      <c r="B7" s="3308"/>
      <c r="C7" s="3308"/>
      <c r="D7" s="3310" t="str">
        <f>结果表!D121</f>
        <v>贰亿元整</v>
      </c>
      <c r="E7" s="3311"/>
      <c r="F7" s="3311"/>
      <c r="G7" s="3311"/>
      <c r="H7" s="3311"/>
      <c r="I7" s="3312"/>
    </row>
    <row r="8" spans="1:9" ht="15.75">
      <c r="A8" s="3307" t="str">
        <f>结果表!A122</f>
        <v>房地产抵押价值</v>
      </c>
      <c r="B8" s="3307"/>
      <c r="C8" s="3307"/>
      <c r="D8" s="3307">
        <f ca="1">结果表!D122</f>
        <v>36678</v>
      </c>
      <c r="E8" s="3307"/>
      <c r="F8" s="3307"/>
      <c r="G8" s="3307"/>
      <c r="H8" s="3307"/>
      <c r="I8" s="3307"/>
    </row>
    <row r="9" spans="1:9" ht="15">
      <c r="A9" s="3308" t="s">
        <v>1599</v>
      </c>
      <c r="B9" s="3308"/>
      <c r="C9" s="3308"/>
      <c r="D9" s="3309" t="str">
        <f ca="1">结果表!D123</f>
        <v>叁亿陆仟陆佰柒拾捌万元整</v>
      </c>
      <c r="E9" s="3309"/>
      <c r="F9" s="3309"/>
      <c r="G9" s="3309"/>
      <c r="H9" s="3309"/>
      <c r="I9" s="3309"/>
    </row>
    <row r="10" spans="1:9" ht="15.75">
      <c r="A10" s="3307" t="str">
        <f>结果表!A124</f>
        <v/>
      </c>
      <c r="B10" s="3307"/>
      <c r="C10" s="3307"/>
      <c r="D10" s="3307" t="str">
        <f>结果表!D124</f>
        <v>——</v>
      </c>
      <c r="E10" s="3307"/>
      <c r="F10" s="3307"/>
      <c r="G10" s="3307"/>
      <c r="H10" s="3307"/>
      <c r="I10" s="3307"/>
    </row>
    <row r="11" spans="1:9" ht="15">
      <c r="A11" s="3308" t="s">
        <v>1599</v>
      </c>
      <c r="B11" s="3308"/>
      <c r="C11" s="3308"/>
      <c r="D11" s="3309" t="e">
        <f>结果表!D125</f>
        <v>#VALUE!</v>
      </c>
      <c r="E11" s="3309"/>
      <c r="F11" s="3309"/>
      <c r="G11" s="3309"/>
      <c r="H11" s="3309"/>
      <c r="I11" s="3309"/>
    </row>
    <row r="12" spans="1:9" ht="15.75">
      <c r="A12" s="3307" t="str">
        <f>结果表!A126</f>
        <v/>
      </c>
      <c r="B12" s="3307"/>
      <c r="C12" s="3307"/>
      <c r="D12" s="3307" t="str">
        <f>结果表!D126</f>
        <v>——</v>
      </c>
      <c r="E12" s="3307"/>
      <c r="F12" s="3307"/>
      <c r="G12" s="3307"/>
      <c r="H12" s="3307"/>
      <c r="I12" s="3307"/>
    </row>
    <row r="13" spans="1:9" ht="15.75" thickBot="1">
      <c r="A13" s="3304" t="s">
        <v>1599</v>
      </c>
      <c r="B13" s="3304"/>
      <c r="C13" s="3304"/>
      <c r="D13" s="3305" t="e">
        <f>结果表!D127</f>
        <v>#VALUE!</v>
      </c>
      <c r="E13" s="3305"/>
      <c r="F13" s="3305"/>
      <c r="G13" s="3305"/>
      <c r="H13" s="3305"/>
      <c r="I13" s="3305"/>
    </row>
    <row r="14" spans="1:9" ht="15" thickTop="1">
      <c r="A14" s="3306" t="s">
        <v>1604</v>
      </c>
      <c r="B14" s="3306"/>
      <c r="C14" s="3306"/>
      <c r="D14" s="3306"/>
      <c r="E14" s="3306"/>
      <c r="F14" s="3306"/>
      <c r="G14" s="3306"/>
      <c r="H14" s="3306"/>
      <c r="I14" s="3306"/>
    </row>
    <row r="16" spans="1:9" ht="18.75">
      <c r="A16" s="1688" t="s">
        <v>1587</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90" workbookViewId="0">
      <selection activeCell="W200" sqref="W200"/>
    </sheetView>
  </sheetViews>
  <sheetFormatPr defaultColWidth="9" defaultRowHeight="13.5"/>
  <cols>
    <col min="1" max="16384" width="9" style="3083"/>
  </cols>
  <sheetData/>
  <phoneticPr fontId="140"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8"/>
  <sheetViews>
    <sheetView workbookViewId="0">
      <selection activeCell="C29" sqref="C29"/>
    </sheetView>
  </sheetViews>
  <sheetFormatPr defaultRowHeight="13.5"/>
  <cols>
    <col min="1" max="1" width="10.5" customWidth="1"/>
    <col min="2" max="2" width="12.875" customWidth="1"/>
    <col min="3" max="3" width="8.75" customWidth="1"/>
  </cols>
  <sheetData>
    <row r="1" spans="1:13" ht="14.25">
      <c r="A1" s="3668" t="s">
        <v>1044</v>
      </c>
      <c r="B1" s="3669"/>
      <c r="C1" s="3670"/>
      <c r="D1" s="3671">
        <f>SUM(I10,I15,I20,I21,I23)</f>
        <v>4309</v>
      </c>
      <c r="E1" s="3671"/>
      <c r="F1" s="3671"/>
      <c r="G1" s="3671"/>
      <c r="H1" s="3671"/>
      <c r="I1" s="3672"/>
    </row>
    <row r="2" spans="1:13">
      <c r="A2" s="3658" t="s">
        <v>1045</v>
      </c>
      <c r="B2" s="3659" t="s">
        <v>1046</v>
      </c>
      <c r="C2" s="3659"/>
      <c r="D2" s="1209" t="s">
        <v>1047</v>
      </c>
      <c r="E2" s="1209" t="s">
        <v>1048</v>
      </c>
      <c r="F2" s="1209" t="s">
        <v>1049</v>
      </c>
      <c r="G2" s="1209" t="s">
        <v>1050</v>
      </c>
      <c r="H2" s="1209" t="s">
        <v>1051</v>
      </c>
      <c r="I2" s="1210" t="s">
        <v>1052</v>
      </c>
    </row>
    <row r="3" spans="1:13">
      <c r="A3" s="3658"/>
      <c r="B3" s="3659" t="s">
        <v>3350</v>
      </c>
      <c r="C3" s="3659"/>
      <c r="D3" s="1211">
        <v>12</v>
      </c>
      <c r="E3" s="3090">
        <v>900</v>
      </c>
      <c r="F3" s="1212">
        <v>1</v>
      </c>
      <c r="G3" s="1212">
        <v>0.4</v>
      </c>
      <c r="H3" s="1213">
        <v>365</v>
      </c>
      <c r="I3" s="1214">
        <f>ROUND(D3*E3*F3*G3*H3/10000,0)</f>
        <v>158</v>
      </c>
      <c r="M3" s="3077"/>
    </row>
    <row r="4" spans="1:13">
      <c r="A4" s="3658"/>
      <c r="B4" s="3659" t="s">
        <v>3351</v>
      </c>
      <c r="C4" s="3659"/>
      <c r="D4" s="1211">
        <v>3</v>
      </c>
      <c r="E4" s="3090">
        <v>1200</v>
      </c>
      <c r="F4" s="1212">
        <f>F3</f>
        <v>1</v>
      </c>
      <c r="G4" s="1212">
        <v>0.15</v>
      </c>
      <c r="H4" s="1213">
        <v>365</v>
      </c>
      <c r="I4" s="1214">
        <f t="shared" ref="I4:I9" si="0">ROUND(D4*E4*F4*G4*H4/10000,0)</f>
        <v>20</v>
      </c>
    </row>
    <row r="5" spans="1:13">
      <c r="A5" s="3658"/>
      <c r="B5" s="3659" t="s">
        <v>3352</v>
      </c>
      <c r="C5" s="3659"/>
      <c r="D5" s="1211">
        <v>300</v>
      </c>
      <c r="E5" s="3090">
        <v>450</v>
      </c>
      <c r="F5" s="1212">
        <f>F3</f>
        <v>1</v>
      </c>
      <c r="G5" s="1212">
        <v>0.55000000000000004</v>
      </c>
      <c r="H5" s="1213">
        <v>365</v>
      </c>
      <c r="I5" s="1214">
        <f t="shared" si="0"/>
        <v>2710</v>
      </c>
    </row>
    <row r="6" spans="1:13">
      <c r="A6" s="3658"/>
      <c r="B6" s="3659" t="s">
        <v>3334</v>
      </c>
      <c r="C6" s="3659"/>
      <c r="D6" s="1211"/>
      <c r="E6" s="3093"/>
      <c r="F6" s="1212"/>
      <c r="G6" s="1212"/>
      <c r="H6" s="1213"/>
      <c r="I6" s="1214">
        <f t="shared" si="0"/>
        <v>0</v>
      </c>
    </row>
    <row r="7" spans="1:13">
      <c r="A7" s="3658"/>
      <c r="B7" s="3659" t="s">
        <v>1053</v>
      </c>
      <c r="C7" s="3659"/>
      <c r="D7" s="1211"/>
      <c r="E7" s="1209"/>
      <c r="F7" s="1212"/>
      <c r="G7" s="1212"/>
      <c r="H7" s="1213"/>
      <c r="I7" s="1214">
        <f t="shared" si="0"/>
        <v>0</v>
      </c>
    </row>
    <row r="8" spans="1:13">
      <c r="A8" s="3658"/>
      <c r="B8" s="3659" t="s">
        <v>1054</v>
      </c>
      <c r="C8" s="3659"/>
      <c r="D8" s="1211"/>
      <c r="E8" s="1209"/>
      <c r="F8" s="1212"/>
      <c r="G8" s="1212"/>
      <c r="H8" s="1213"/>
      <c r="I8" s="1214">
        <f t="shared" si="0"/>
        <v>0</v>
      </c>
    </row>
    <row r="9" spans="1:13">
      <c r="A9" s="3658"/>
      <c r="B9" s="3659" t="s">
        <v>1055</v>
      </c>
      <c r="C9" s="3659"/>
      <c r="D9" s="1211"/>
      <c r="E9" s="1209"/>
      <c r="F9" s="1212"/>
      <c r="G9" s="1212"/>
      <c r="H9" s="1213"/>
      <c r="I9" s="1214">
        <f t="shared" si="0"/>
        <v>0</v>
      </c>
    </row>
    <row r="10" spans="1:13">
      <c r="A10" s="3658"/>
      <c r="B10" s="3660" t="s">
        <v>1056</v>
      </c>
      <c r="C10" s="3660"/>
      <c r="D10" s="1215">
        <f>SUM(D3:D9)</f>
        <v>315</v>
      </c>
      <c r="E10" s="1215" t="e">
        <f>ROUND(D1*10000/D10/H9,0)</f>
        <v>#DIV/0!</v>
      </c>
      <c r="F10" s="1216"/>
      <c r="G10" s="1216"/>
      <c r="H10" s="1217"/>
      <c r="I10" s="1218">
        <f>SUM(I3:I9)</f>
        <v>2888</v>
      </c>
    </row>
    <row r="11" spans="1:13" ht="14.25">
      <c r="A11" s="3658" t="s">
        <v>1057</v>
      </c>
      <c r="B11" s="3659" t="s">
        <v>1058</v>
      </c>
      <c r="C11" s="3659"/>
      <c r="D11" s="1211" t="s">
        <v>1059</v>
      </c>
      <c r="E11" s="1211" t="s">
        <v>1060</v>
      </c>
      <c r="F11" s="1212" t="s">
        <v>1061</v>
      </c>
      <c r="G11" s="1212" t="s">
        <v>1051</v>
      </c>
      <c r="H11" s="1219" t="s">
        <v>1062</v>
      </c>
      <c r="I11" s="1210" t="s">
        <v>1052</v>
      </c>
    </row>
    <row r="12" spans="1:13">
      <c r="A12" s="3658"/>
      <c r="B12" s="3659" t="s">
        <v>1063</v>
      </c>
      <c r="C12" s="3659"/>
      <c r="D12" s="1211"/>
      <c r="E12" s="1211">
        <v>223</v>
      </c>
      <c r="F12" s="1212"/>
      <c r="G12" s="1213"/>
      <c r="H12" s="1220"/>
      <c r="I12" s="1210">
        <v>575</v>
      </c>
    </row>
    <row r="13" spans="1:13">
      <c r="A13" s="3658"/>
      <c r="B13" s="3659" t="s">
        <v>1064</v>
      </c>
      <c r="C13" s="3659"/>
      <c r="D13" s="1211"/>
      <c r="E13" s="1211">
        <v>145</v>
      </c>
      <c r="F13" s="1212"/>
      <c r="G13" s="1213"/>
      <c r="H13" s="1220"/>
      <c r="I13" s="1210">
        <v>395</v>
      </c>
    </row>
    <row r="14" spans="1:13">
      <c r="A14" s="3658"/>
      <c r="B14" s="3659" t="s">
        <v>1065</v>
      </c>
      <c r="C14" s="3659"/>
      <c r="D14" s="1211"/>
      <c r="E14" s="1211">
        <v>110</v>
      </c>
      <c r="F14" s="1212"/>
      <c r="G14" s="1213"/>
      <c r="H14" s="1220"/>
      <c r="I14" s="1210">
        <v>10</v>
      </c>
    </row>
    <row r="15" spans="1:13">
      <c r="A15" s="3658"/>
      <c r="B15" s="3660" t="s">
        <v>1056</v>
      </c>
      <c r="C15" s="3660"/>
      <c r="D15" s="1215"/>
      <c r="E15" s="1215">
        <f>SUM(E12:E14)</f>
        <v>478</v>
      </c>
      <c r="F15" s="1216"/>
      <c r="G15" s="1213"/>
      <c r="H15" s="1220"/>
      <c r="I15" s="1221">
        <f>SUM(I12:I14)</f>
        <v>980</v>
      </c>
    </row>
    <row r="16" spans="1:13" ht="24">
      <c r="A16" s="3658" t="s">
        <v>1066</v>
      </c>
      <c r="B16" s="3659" t="s">
        <v>1067</v>
      </c>
      <c r="C16" s="3659"/>
      <c r="D16" s="1211" t="s">
        <v>1047</v>
      </c>
      <c r="E16" s="1222" t="s">
        <v>1068</v>
      </c>
      <c r="F16" s="1212" t="s">
        <v>1069</v>
      </c>
      <c r="G16" s="1213" t="s">
        <v>1051</v>
      </c>
      <c r="H16" s="1219" t="s">
        <v>1062</v>
      </c>
      <c r="I16" s="1210" t="s">
        <v>1052</v>
      </c>
    </row>
    <row r="17" spans="1:9" ht="14.25">
      <c r="A17" s="3658"/>
      <c r="B17" s="3659" t="s">
        <v>3353</v>
      </c>
      <c r="C17" s="3659"/>
      <c r="D17" s="1211">
        <v>1</v>
      </c>
      <c r="E17" s="1211">
        <v>15000</v>
      </c>
      <c r="F17" s="1212">
        <v>0.2</v>
      </c>
      <c r="G17" s="1213">
        <v>365</v>
      </c>
      <c r="H17" s="1223"/>
      <c r="I17" s="1224">
        <f>ROUND(D17*E17*F17*G17/10000,0)</f>
        <v>110</v>
      </c>
    </row>
    <row r="18" spans="1:9" ht="14.25">
      <c r="A18" s="3658"/>
      <c r="B18" s="3659" t="s">
        <v>3354</v>
      </c>
      <c r="C18" s="3659"/>
      <c r="D18" s="1211">
        <v>4</v>
      </c>
      <c r="E18" s="1211">
        <v>6000</v>
      </c>
      <c r="F18" s="1212">
        <v>0.3</v>
      </c>
      <c r="G18" s="1213">
        <v>365</v>
      </c>
      <c r="H18" s="1223"/>
      <c r="I18" s="1224">
        <f>ROUND(D18*E18*F18*G18/10000,0)</f>
        <v>263</v>
      </c>
    </row>
    <row r="19" spans="1:9" ht="14.25">
      <c r="A19" s="3658"/>
      <c r="B19" s="3659" t="s">
        <v>1070</v>
      </c>
      <c r="C19" s="3659"/>
      <c r="D19" s="1211"/>
      <c r="E19" s="1211"/>
      <c r="F19" s="1212"/>
      <c r="G19" s="1213"/>
      <c r="H19" s="1223"/>
      <c r="I19" s="1224">
        <f>ROUND(D19*E19*F19*G19/10000,0)</f>
        <v>0</v>
      </c>
    </row>
    <row r="20" spans="1:9">
      <c r="A20" s="3658"/>
      <c r="B20" s="3660" t="s">
        <v>1056</v>
      </c>
      <c r="C20" s="3660"/>
      <c r="D20" s="1215">
        <f>SUM(D17:D19)</f>
        <v>5</v>
      </c>
      <c r="E20" s="1215"/>
      <c r="F20" s="1216"/>
      <c r="G20" s="1213"/>
      <c r="H20" s="1220"/>
      <c r="I20" s="1221">
        <f>SUM(I17:I19)</f>
        <v>373</v>
      </c>
    </row>
    <row r="21" spans="1:9">
      <c r="A21" s="3658" t="s">
        <v>1071</v>
      </c>
      <c r="B21" s="3661"/>
      <c r="C21" s="3661"/>
      <c r="D21" s="3661"/>
      <c r="E21" s="3661"/>
      <c r="F21" s="3661"/>
      <c r="G21" s="3661"/>
      <c r="H21" s="3091"/>
      <c r="I21" s="1218">
        <f>ROUND(I10*H21,0)</f>
        <v>0</v>
      </c>
    </row>
    <row r="22" spans="1:9" ht="14.25">
      <c r="A22" s="3662" t="s">
        <v>1072</v>
      </c>
      <c r="B22" s="3663"/>
      <c r="C22" s="3664"/>
      <c r="D22" s="1225" t="s">
        <v>1073</v>
      </c>
      <c r="E22" s="1225" t="s">
        <v>1074</v>
      </c>
      <c r="F22" s="1226" t="s">
        <v>1075</v>
      </c>
      <c r="G22" s="1226" t="s">
        <v>1076</v>
      </c>
      <c r="H22" s="1219" t="s">
        <v>1077</v>
      </c>
      <c r="I22" s="1210" t="s">
        <v>1078</v>
      </c>
    </row>
    <row r="23" spans="1:9" ht="14.25" thickBot="1">
      <c r="A23" s="3665"/>
      <c r="B23" s="3666"/>
      <c r="C23" s="3667"/>
      <c r="D23" s="1227"/>
      <c r="E23" s="1227"/>
      <c r="F23" s="1227"/>
      <c r="G23" s="1228"/>
      <c r="H23" s="1229"/>
      <c r="I23" s="3105">
        <f>ROUND(K63,0)</f>
        <v>68</v>
      </c>
    </row>
    <row r="26" spans="1:9">
      <c r="A26" s="1231" t="s">
        <v>1079</v>
      </c>
      <c r="B26" s="1231"/>
      <c r="C26" s="1231"/>
      <c r="D26" s="1231"/>
      <c r="E26" s="3655">
        <f>C27-C30-C31-C32</f>
        <v>1300</v>
      </c>
      <c r="F26" s="3655"/>
      <c r="G26" s="3655"/>
      <c r="H26" s="1497" t="s">
        <v>1300</v>
      </c>
    </row>
    <row r="27" spans="1:9">
      <c r="A27" s="1232">
        <v>1</v>
      </c>
      <c r="B27" s="1233" t="s">
        <v>1080</v>
      </c>
      <c r="C27" s="1233">
        <f>C28+C29</f>
        <v>2888</v>
      </c>
      <c r="D27" s="1233"/>
      <c r="E27" s="3656"/>
      <c r="F27" s="3656"/>
      <c r="G27" s="3656"/>
    </row>
    <row r="28" spans="1:9">
      <c r="A28" s="1234" t="s">
        <v>1081</v>
      </c>
      <c r="B28" s="1233" t="s">
        <v>1082</v>
      </c>
      <c r="C28" s="1233">
        <f>I10</f>
        <v>2888</v>
      </c>
      <c r="D28" s="1233"/>
      <c r="E28" s="3656"/>
      <c r="F28" s="3656"/>
      <c r="G28" s="3656"/>
    </row>
    <row r="29" spans="1:9">
      <c r="A29" s="1234" t="s">
        <v>1083</v>
      </c>
      <c r="B29" s="1233" t="s">
        <v>1084</v>
      </c>
      <c r="C29" s="1233">
        <f>I21</f>
        <v>0</v>
      </c>
      <c r="D29" s="1233"/>
      <c r="E29" s="1233" t="s">
        <v>1085</v>
      </c>
      <c r="F29" s="1233"/>
      <c r="G29" s="1233"/>
    </row>
    <row r="30" spans="1:9">
      <c r="A30" s="1232">
        <v>2</v>
      </c>
      <c r="B30" s="1233" t="s">
        <v>1086</v>
      </c>
      <c r="C30" s="1233">
        <f>ROUND(C27*D30,0)</f>
        <v>722</v>
      </c>
      <c r="D30" s="3092">
        <v>0.25</v>
      </c>
      <c r="E30" s="1233" t="s">
        <v>1087</v>
      </c>
      <c r="F30" s="1233"/>
      <c r="G30" s="1233"/>
    </row>
    <row r="31" spans="1:9">
      <c r="A31" s="1232">
        <v>3</v>
      </c>
      <c r="B31" s="1233" t="s">
        <v>1088</v>
      </c>
      <c r="C31" s="1233">
        <f>ROUND(C27*D31,0)</f>
        <v>722</v>
      </c>
      <c r="D31" s="3106">
        <f>20%+5%</f>
        <v>0.25</v>
      </c>
      <c r="E31" s="1233" t="s">
        <v>1089</v>
      </c>
      <c r="F31" s="1233"/>
      <c r="G31" s="1233"/>
    </row>
    <row r="32" spans="1:9">
      <c r="A32" s="1232">
        <v>4</v>
      </c>
      <c r="B32" s="1233" t="s">
        <v>1090</v>
      </c>
      <c r="C32" s="1233">
        <f>ROUND(C27*D32,0)</f>
        <v>144</v>
      </c>
      <c r="D32" s="1235">
        <v>0.05</v>
      </c>
      <c r="E32" s="3657"/>
      <c r="F32" s="3657"/>
      <c r="G32" s="3657"/>
    </row>
    <row r="33" spans="1:13" hidden="1">
      <c r="A33" s="3652" t="s">
        <v>1091</v>
      </c>
      <c r="B33" s="3653"/>
      <c r="C33" s="3653"/>
      <c r="D33" s="3654"/>
      <c r="E33" s="3655"/>
      <c r="F33" s="3655"/>
      <c r="G33" s="3655"/>
    </row>
    <row r="34" spans="1:13" hidden="1">
      <c r="A34" s="1236">
        <v>1</v>
      </c>
      <c r="B34" s="1233" t="s">
        <v>1092</v>
      </c>
      <c r="C34" s="1233"/>
      <c r="D34" s="1233"/>
      <c r="E34" s="3656"/>
      <c r="F34" s="3656"/>
      <c r="G34" s="3656"/>
    </row>
    <row r="35" spans="1:13" hidden="1">
      <c r="A35" s="1236">
        <v>2</v>
      </c>
      <c r="B35" s="1233" t="s">
        <v>1093</v>
      </c>
      <c r="C35" s="1233"/>
      <c r="D35" s="1233"/>
      <c r="E35" s="3656"/>
      <c r="F35" s="3656"/>
      <c r="G35" s="3656"/>
    </row>
    <row r="36" spans="1:13" hidden="1">
      <c r="A36" s="1236">
        <v>3</v>
      </c>
      <c r="B36" s="1233" t="s">
        <v>1094</v>
      </c>
      <c r="C36" s="1233"/>
      <c r="D36" s="1233"/>
      <c r="E36" s="3656"/>
      <c r="F36" s="3656"/>
      <c r="G36" s="3656"/>
    </row>
    <row r="37" spans="1:13" hidden="1">
      <c r="A37" s="1236">
        <v>4</v>
      </c>
      <c r="B37" s="1233" t="s">
        <v>1095</v>
      </c>
      <c r="C37" s="1233"/>
      <c r="D37" s="1233"/>
      <c r="E37" s="3656"/>
      <c r="F37" s="3656"/>
      <c r="G37" s="3656"/>
    </row>
    <row r="38" spans="1:13" hidden="1">
      <c r="A38" s="3652" t="s">
        <v>1096</v>
      </c>
      <c r="B38" s="3653"/>
      <c r="C38" s="3653"/>
      <c r="D38" s="3654"/>
      <c r="E38" s="3655"/>
      <c r="F38" s="3655"/>
      <c r="G38" s="3655"/>
    </row>
    <row r="42" spans="1:13" ht="14.25" thickBot="1"/>
    <row r="43" spans="1:13" ht="14.25" thickBot="1">
      <c r="A43" s="3557" t="s">
        <v>3355</v>
      </c>
      <c r="B43" s="3558"/>
      <c r="C43" s="3103" t="s">
        <v>3376</v>
      </c>
      <c r="D43" s="3103" t="s">
        <v>3377</v>
      </c>
      <c r="E43" s="3559" t="s">
        <v>3378</v>
      </c>
      <c r="F43" s="3560"/>
      <c r="G43" s="3094" t="s">
        <v>3379</v>
      </c>
    </row>
    <row r="44" spans="1:13" ht="14.25" thickBot="1">
      <c r="A44" s="3561" t="s">
        <v>3380</v>
      </c>
      <c r="B44" s="3095" t="s">
        <v>3381</v>
      </c>
      <c r="C44" s="3095"/>
      <c r="D44" s="3095"/>
      <c r="E44" s="3559"/>
      <c r="F44" s="3560"/>
      <c r="G44" s="3101"/>
    </row>
    <row r="45" spans="1:13" ht="14.25" thickBot="1">
      <c r="A45" s="3562"/>
      <c r="B45" s="3095" t="s">
        <v>3382</v>
      </c>
      <c r="C45" s="3101">
        <v>12</v>
      </c>
      <c r="D45" s="3101" t="s">
        <v>3383</v>
      </c>
      <c r="E45" s="3559">
        <v>900</v>
      </c>
      <c r="F45" s="3560"/>
      <c r="G45" s="3100">
        <v>0.4</v>
      </c>
      <c r="I45">
        <f>E45*C45*365*G45</f>
        <v>1576800</v>
      </c>
      <c r="K45">
        <f>SUM(I45:I47)/10000</f>
        <v>2887.5150000000003</v>
      </c>
      <c r="L45">
        <f>K46+K50+K53+K63</f>
        <v>1565.0913499999999</v>
      </c>
      <c r="M45">
        <f>L45/K45</f>
        <v>0.54202016266582154</v>
      </c>
    </row>
    <row r="46" spans="1:13" ht="14.25" thickBot="1">
      <c r="A46" s="3562"/>
      <c r="B46" s="3095" t="s">
        <v>3384</v>
      </c>
      <c r="C46" s="3101">
        <v>3</v>
      </c>
      <c r="D46" s="3101" t="s">
        <v>3385</v>
      </c>
      <c r="E46" s="3559">
        <v>1200</v>
      </c>
      <c r="F46" s="3560"/>
      <c r="G46" s="3100">
        <v>0.15</v>
      </c>
      <c r="I46">
        <f>E46*C46*365*G46</f>
        <v>197100</v>
      </c>
      <c r="J46" s="3104" t="s">
        <v>3422</v>
      </c>
      <c r="K46">
        <f>K45*J47</f>
        <v>144.37575000000001</v>
      </c>
      <c r="M46">
        <f>K46/K45</f>
        <v>4.9999999999999996E-2</v>
      </c>
    </row>
    <row r="47" spans="1:13" ht="14.25" thickBot="1">
      <c r="A47" s="3562"/>
      <c r="B47" s="3095" t="s">
        <v>3386</v>
      </c>
      <c r="C47" s="3101">
        <v>300</v>
      </c>
      <c r="D47" s="3101" t="s">
        <v>3387</v>
      </c>
      <c r="E47" s="3559">
        <v>450</v>
      </c>
      <c r="F47" s="3560"/>
      <c r="G47" s="3100">
        <v>0.55000000000000004</v>
      </c>
      <c r="I47">
        <f>E47*C47*365*G47</f>
        <v>27101250.000000004</v>
      </c>
      <c r="J47" s="3099">
        <v>0.05</v>
      </c>
    </row>
    <row r="48" spans="1:13" ht="14.25" thickBot="1">
      <c r="A48" s="3563"/>
      <c r="B48" s="3564" t="s">
        <v>3388</v>
      </c>
      <c r="C48" s="3565"/>
      <c r="D48" s="3565"/>
      <c r="E48" s="3565"/>
      <c r="F48" s="3565"/>
      <c r="G48" s="3566"/>
    </row>
    <row r="49" spans="1:13" ht="14.25" thickBot="1">
      <c r="A49" s="3557" t="s">
        <v>3355</v>
      </c>
      <c r="B49" s="3558"/>
      <c r="C49" s="3559" t="s">
        <v>3376</v>
      </c>
      <c r="D49" s="3560"/>
      <c r="E49" s="3559" t="s">
        <v>3389</v>
      </c>
      <c r="F49" s="3560"/>
      <c r="G49" s="3101" t="s">
        <v>3390</v>
      </c>
    </row>
    <row r="50" spans="1:13" ht="14.25" thickBot="1">
      <c r="A50" s="3561" t="s">
        <v>3391</v>
      </c>
      <c r="B50" s="3095" t="s">
        <v>3392</v>
      </c>
      <c r="C50" s="3559">
        <v>1</v>
      </c>
      <c r="D50" s="3560"/>
      <c r="E50" s="3559">
        <v>15000</v>
      </c>
      <c r="F50" s="3560"/>
      <c r="G50" s="3100">
        <v>0.2</v>
      </c>
      <c r="I50">
        <f>E50*365*G50*C50</f>
        <v>1095000</v>
      </c>
      <c r="K50">
        <f>SUM(I50:I51)/10000</f>
        <v>372.3</v>
      </c>
      <c r="M50">
        <f>K50/K45</f>
        <v>0.12893439514599922</v>
      </c>
    </row>
    <row r="51" spans="1:13" ht="14.25" thickBot="1">
      <c r="A51" s="3563"/>
      <c r="B51" s="3095" t="s">
        <v>3393</v>
      </c>
      <c r="C51" s="3559">
        <v>4</v>
      </c>
      <c r="D51" s="3560"/>
      <c r="E51" s="3559">
        <v>6000</v>
      </c>
      <c r="F51" s="3560"/>
      <c r="G51" s="3100">
        <v>0.3</v>
      </c>
      <c r="I51">
        <f>E51*365*G51*C51</f>
        <v>2628000</v>
      </c>
    </row>
    <row r="52" spans="1:13" ht="14.25" thickBot="1">
      <c r="A52" s="3557" t="s">
        <v>3355</v>
      </c>
      <c r="B52" s="3558"/>
      <c r="C52" s="3559" t="s">
        <v>3356</v>
      </c>
      <c r="D52" s="3560"/>
      <c r="E52" s="3559" t="s">
        <v>3357</v>
      </c>
      <c r="F52" s="3560"/>
      <c r="G52" s="3101" t="s">
        <v>3358</v>
      </c>
    </row>
    <row r="53" spans="1:13" ht="14.25" thickBot="1">
      <c r="A53" s="3561" t="s">
        <v>3394</v>
      </c>
      <c r="B53" s="3095" t="s">
        <v>3395</v>
      </c>
      <c r="C53" s="3559">
        <v>110</v>
      </c>
      <c r="D53" s="3560"/>
      <c r="E53" s="3559">
        <v>10</v>
      </c>
      <c r="F53" s="3560"/>
      <c r="G53" s="3100">
        <v>0.38</v>
      </c>
      <c r="K53">
        <f>E53+E54+E55</f>
        <v>980</v>
      </c>
      <c r="M53">
        <f>K53/K45</f>
        <v>0.33939217631769875</v>
      </c>
    </row>
    <row r="54" spans="1:13" ht="14.25" thickBot="1">
      <c r="A54" s="3562"/>
      <c r="B54" s="3095" t="s">
        <v>3396</v>
      </c>
      <c r="C54" s="3559">
        <v>223</v>
      </c>
      <c r="D54" s="3560"/>
      <c r="E54" s="3559">
        <v>575</v>
      </c>
      <c r="F54" s="3560"/>
      <c r="G54" s="3100">
        <v>0.4</v>
      </c>
    </row>
    <row r="55" spans="1:13" ht="14.25" thickBot="1">
      <c r="A55" s="3562"/>
      <c r="B55" s="3095" t="s">
        <v>3397</v>
      </c>
      <c r="C55" s="3559">
        <v>145</v>
      </c>
      <c r="D55" s="3560"/>
      <c r="E55" s="3559">
        <v>395</v>
      </c>
      <c r="F55" s="3560"/>
      <c r="G55" s="3100">
        <v>0.5</v>
      </c>
    </row>
    <row r="56" spans="1:13" ht="14.25" thickBot="1">
      <c r="A56" s="3563"/>
      <c r="B56" s="3095"/>
      <c r="C56" s="3559"/>
      <c r="D56" s="3560"/>
      <c r="E56" s="3559"/>
      <c r="F56" s="3560"/>
      <c r="G56" s="3101"/>
    </row>
    <row r="57" spans="1:13" ht="14.25" thickBot="1">
      <c r="A57" s="3561" t="s">
        <v>3398</v>
      </c>
      <c r="B57" s="3095" t="s">
        <v>3399</v>
      </c>
      <c r="C57" s="3559"/>
      <c r="D57" s="3560"/>
      <c r="E57" s="3559"/>
      <c r="F57" s="3560"/>
      <c r="G57" s="3101"/>
    </row>
    <row r="58" spans="1:13" ht="14.25" thickBot="1">
      <c r="A58" s="3562"/>
      <c r="B58" s="3095" t="s">
        <v>3400</v>
      </c>
      <c r="C58" s="3559"/>
      <c r="D58" s="3560"/>
      <c r="E58" s="3559"/>
      <c r="F58" s="3560"/>
      <c r="G58" s="3101"/>
    </row>
    <row r="59" spans="1:13" ht="14.25" thickBot="1">
      <c r="A59" s="3562"/>
      <c r="B59" s="3095" t="s">
        <v>3401</v>
      </c>
      <c r="C59" s="3559"/>
      <c r="D59" s="3560"/>
      <c r="E59" s="3559"/>
      <c r="F59" s="3560"/>
      <c r="G59" s="3101"/>
    </row>
    <row r="60" spans="1:13" ht="14.25" thickBot="1">
      <c r="A60" s="3562"/>
      <c r="B60" s="3095" t="s">
        <v>3402</v>
      </c>
      <c r="C60" s="3559"/>
      <c r="D60" s="3560"/>
      <c r="E60" s="3559"/>
      <c r="F60" s="3560"/>
      <c r="G60" s="3101"/>
    </row>
    <row r="61" spans="1:13" ht="14.25" thickBot="1">
      <c r="A61" s="3563"/>
      <c r="B61" s="3095"/>
      <c r="C61" s="3559"/>
      <c r="D61" s="3560"/>
      <c r="E61" s="3559"/>
      <c r="F61" s="3560"/>
      <c r="G61" s="3101"/>
    </row>
    <row r="62" spans="1:13" ht="14.25" thickBot="1">
      <c r="A62" s="3557" t="s">
        <v>3355</v>
      </c>
      <c r="B62" s="3558"/>
      <c r="C62" s="3559" t="s">
        <v>3403</v>
      </c>
      <c r="D62" s="3560"/>
      <c r="E62" s="3102" t="s">
        <v>3404</v>
      </c>
      <c r="F62" s="3102" t="s">
        <v>3405</v>
      </c>
      <c r="G62" s="3101" t="s">
        <v>3406</v>
      </c>
    </row>
    <row r="63" spans="1:13" ht="14.25" thickBot="1">
      <c r="A63" s="3567" t="s">
        <v>3407</v>
      </c>
      <c r="B63" s="3095" t="s">
        <v>3408</v>
      </c>
      <c r="C63" s="3559" t="s">
        <v>3409</v>
      </c>
      <c r="D63" s="3560"/>
      <c r="E63" s="3101" t="s">
        <v>3410</v>
      </c>
      <c r="F63" s="3101"/>
      <c r="G63" s="3101" t="s">
        <v>3411</v>
      </c>
      <c r="I63">
        <f>4.93*365*120/10000</f>
        <v>21.593399999999995</v>
      </c>
      <c r="K63">
        <f>I63+I64+I65</f>
        <v>68.415599999999998</v>
      </c>
      <c r="M63">
        <f>K63/K45</f>
        <v>2.3693591202123623E-2</v>
      </c>
    </row>
    <row r="64" spans="1:13" ht="14.25" thickBot="1">
      <c r="A64" s="3568"/>
      <c r="B64" s="3095" t="s">
        <v>3412</v>
      </c>
      <c r="C64" s="3559" t="s">
        <v>3413</v>
      </c>
      <c r="D64" s="3560"/>
      <c r="E64" s="3101" t="s">
        <v>3410</v>
      </c>
      <c r="F64" s="3101"/>
      <c r="G64" s="3101" t="s">
        <v>3414</v>
      </c>
      <c r="I64">
        <f>3.65*365*120/10000</f>
        <v>15.987</v>
      </c>
    </row>
    <row r="65" spans="1:9" ht="14.25" thickBot="1">
      <c r="A65" s="3568"/>
      <c r="B65" s="3095" t="s">
        <v>3415</v>
      </c>
      <c r="C65" s="3559" t="s">
        <v>3416</v>
      </c>
      <c r="D65" s="3560"/>
      <c r="E65" s="3101" t="s">
        <v>3410</v>
      </c>
      <c r="F65" s="3101"/>
      <c r="G65" s="3101" t="s">
        <v>3417</v>
      </c>
      <c r="I65">
        <f>7.04*365*120/10000</f>
        <v>30.8352</v>
      </c>
    </row>
    <row r="66" spans="1:9" ht="14.25" thickBot="1">
      <c r="A66" s="3569"/>
      <c r="B66" s="3095"/>
      <c r="C66" s="3559"/>
      <c r="D66" s="3560"/>
      <c r="E66" s="3101"/>
      <c r="F66" s="3101"/>
      <c r="G66" s="3101"/>
    </row>
    <row r="67" spans="1:9" ht="14.25" thickBot="1">
      <c r="A67" s="3557" t="s">
        <v>3355</v>
      </c>
      <c r="B67" s="3558"/>
      <c r="C67" s="3559" t="s">
        <v>3418</v>
      </c>
      <c r="D67" s="3560"/>
      <c r="E67" s="3559" t="s">
        <v>3419</v>
      </c>
      <c r="F67" s="3560"/>
      <c r="G67" s="3101" t="s">
        <v>3420</v>
      </c>
    </row>
    <row r="68" spans="1:9" ht="14.25" customHeight="1" thickBot="1">
      <c r="A68" s="3557" t="s">
        <v>3421</v>
      </c>
      <c r="B68" s="3558"/>
      <c r="C68" s="3559">
        <v>71</v>
      </c>
      <c r="D68" s="3560"/>
      <c r="E68" s="3559">
        <v>0</v>
      </c>
      <c r="F68" s="3560"/>
      <c r="G68" s="3101">
        <v>0</v>
      </c>
    </row>
  </sheetData>
  <mergeCells count="90">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 ref="A43:B43"/>
    <mergeCell ref="E43:F43"/>
    <mergeCell ref="A44:A48"/>
    <mergeCell ref="E44:F44"/>
    <mergeCell ref="E45:F45"/>
    <mergeCell ref="E46:F46"/>
    <mergeCell ref="E47:F47"/>
    <mergeCell ref="B48:G48"/>
    <mergeCell ref="A49:B49"/>
    <mergeCell ref="C49:D49"/>
    <mergeCell ref="E49:F49"/>
    <mergeCell ref="A50:A51"/>
    <mergeCell ref="C50:D50"/>
    <mergeCell ref="E50:F50"/>
    <mergeCell ref="C51:D51"/>
    <mergeCell ref="E51:F51"/>
    <mergeCell ref="A52:B52"/>
    <mergeCell ref="C52:D52"/>
    <mergeCell ref="E52:F52"/>
    <mergeCell ref="A53:A56"/>
    <mergeCell ref="C53:D53"/>
    <mergeCell ref="E53:F53"/>
    <mergeCell ref="C54:D54"/>
    <mergeCell ref="E54:F54"/>
    <mergeCell ref="C55:D55"/>
    <mergeCell ref="E55:F55"/>
    <mergeCell ref="C56:D56"/>
    <mergeCell ref="E56:F56"/>
    <mergeCell ref="A57:A61"/>
    <mergeCell ref="C57:D57"/>
    <mergeCell ref="E57:F57"/>
    <mergeCell ref="C58:D58"/>
    <mergeCell ref="E58:F58"/>
    <mergeCell ref="C59:D59"/>
    <mergeCell ref="E59:F59"/>
    <mergeCell ref="C60:D60"/>
    <mergeCell ref="E60:F60"/>
    <mergeCell ref="C61:D61"/>
    <mergeCell ref="E61:F61"/>
    <mergeCell ref="A62:B62"/>
    <mergeCell ref="C62:D62"/>
    <mergeCell ref="A63:A66"/>
    <mergeCell ref="C63:D63"/>
    <mergeCell ref="C64:D64"/>
    <mergeCell ref="C65:D65"/>
    <mergeCell ref="C66:D66"/>
    <mergeCell ref="A67:B67"/>
    <mergeCell ref="C67:D67"/>
    <mergeCell ref="E67:F67"/>
    <mergeCell ref="A68:B68"/>
    <mergeCell ref="C68:D68"/>
    <mergeCell ref="E68:F68"/>
  </mergeCells>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1"/>
  <sheetViews>
    <sheetView topLeftCell="A25" workbookViewId="0">
      <selection activeCell="A44" sqref="A44:G61"/>
    </sheetView>
  </sheetViews>
  <sheetFormatPr defaultRowHeight="13.5"/>
  <cols>
    <col min="1" max="1" width="10.5" customWidth="1"/>
    <col min="2" max="2" width="12.875" customWidth="1"/>
    <col min="3" max="3" width="8.75" customWidth="1"/>
    <col min="4" max="4" width="9.5" bestFit="1" customWidth="1"/>
    <col min="9" max="9" width="9.5" bestFit="1" customWidth="1"/>
  </cols>
  <sheetData>
    <row r="1" spans="1:13" ht="14.25">
      <c r="A1" s="3668" t="s">
        <v>1044</v>
      </c>
      <c r="B1" s="3669"/>
      <c r="C1" s="3670"/>
      <c r="D1" s="3671">
        <f>SUM(I10,I15,I20,I21,I23)</f>
        <v>4500</v>
      </c>
      <c r="E1" s="3671"/>
      <c r="F1" s="3671"/>
      <c r="G1" s="3671"/>
      <c r="H1" s="3671"/>
      <c r="I1" s="3672"/>
    </row>
    <row r="2" spans="1:13">
      <c r="A2" s="3658" t="s">
        <v>3347</v>
      </c>
      <c r="B2" s="3659" t="s">
        <v>1046</v>
      </c>
      <c r="C2" s="3659"/>
      <c r="D2" s="3084" t="s">
        <v>1047</v>
      </c>
      <c r="E2" s="3084" t="s">
        <v>1048</v>
      </c>
      <c r="F2" s="3084" t="s">
        <v>1049</v>
      </c>
      <c r="G2" s="3084" t="s">
        <v>1050</v>
      </c>
      <c r="H2" s="3084" t="s">
        <v>1051</v>
      </c>
      <c r="I2" s="1210" t="s">
        <v>1052</v>
      </c>
    </row>
    <row r="3" spans="1:13">
      <c r="A3" s="3658"/>
      <c r="B3" s="3659" t="s">
        <v>3343</v>
      </c>
      <c r="C3" s="3659"/>
      <c r="D3" s="1211"/>
      <c r="E3" s="3090"/>
      <c r="F3" s="1212"/>
      <c r="G3" s="1212"/>
      <c r="H3" s="1213"/>
      <c r="I3" s="3110">
        <v>1632.71</v>
      </c>
      <c r="M3" s="3077"/>
    </row>
    <row r="4" spans="1:13">
      <c r="A4" s="3658"/>
      <c r="B4" s="3659" t="s">
        <v>3344</v>
      </c>
      <c r="C4" s="3659"/>
      <c r="D4" s="1211"/>
      <c r="E4" s="3090"/>
      <c r="F4" s="1212"/>
      <c r="G4" s="1212"/>
      <c r="H4" s="1213"/>
      <c r="I4" s="3110">
        <v>1235.3</v>
      </c>
    </row>
    <row r="5" spans="1:13">
      <c r="A5" s="3658"/>
      <c r="B5" s="3659" t="s">
        <v>3345</v>
      </c>
      <c r="C5" s="3659"/>
      <c r="D5" s="1211"/>
      <c r="E5" s="3090"/>
      <c r="F5" s="1212"/>
      <c r="G5" s="1212"/>
      <c r="H5" s="1213"/>
      <c r="I5" s="1214">
        <v>0</v>
      </c>
    </row>
    <row r="6" spans="1:13">
      <c r="A6" s="3658"/>
      <c r="B6" s="3659" t="s">
        <v>3346</v>
      </c>
      <c r="C6" s="3659"/>
      <c r="D6" s="1211"/>
      <c r="E6" s="3090"/>
      <c r="F6" s="1212"/>
      <c r="G6" s="1212"/>
      <c r="H6" s="1213"/>
      <c r="I6" s="1214">
        <v>380.59</v>
      </c>
    </row>
    <row r="7" spans="1:13">
      <c r="A7" s="3658"/>
      <c r="B7" s="3659" t="s">
        <v>3348</v>
      </c>
      <c r="C7" s="3659"/>
      <c r="D7" s="1211"/>
      <c r="E7" s="3084"/>
      <c r="F7" s="1212"/>
      <c r="G7" s="1212"/>
      <c r="H7" s="1213"/>
      <c r="I7" s="1214">
        <v>552.61</v>
      </c>
    </row>
    <row r="8" spans="1:13">
      <c r="A8" s="3658"/>
      <c r="B8" s="3659" t="s">
        <v>3349</v>
      </c>
      <c r="C8" s="3659"/>
      <c r="D8" s="1211"/>
      <c r="E8" s="3084"/>
      <c r="F8" s="1212"/>
      <c r="G8" s="1212"/>
      <c r="H8" s="1213"/>
      <c r="I8" s="1214">
        <f>12.76+6.06+6.42+112.51+381.85+93.06+47.47+10.87+7.27+20.51</f>
        <v>698.78000000000009</v>
      </c>
    </row>
    <row r="9" spans="1:13">
      <c r="A9" s="3658"/>
      <c r="B9" s="3659"/>
      <c r="C9" s="3659"/>
      <c r="D9" s="1211"/>
      <c r="E9" s="3084"/>
      <c r="F9" s="1212"/>
      <c r="G9" s="1212"/>
      <c r="H9" s="1213"/>
      <c r="I9" s="1214">
        <f>ROUND(D9*E9*F9*G9*H9/10000,0)</f>
        <v>0</v>
      </c>
    </row>
    <row r="10" spans="1:13">
      <c r="A10" s="3658"/>
      <c r="B10" s="3660" t="s">
        <v>1056</v>
      </c>
      <c r="C10" s="3660"/>
      <c r="D10" s="1215">
        <f>SUM(D3:D9)</f>
        <v>0</v>
      </c>
      <c r="E10" s="1215" t="e">
        <f>ROUND(D1*10000/D10/H9,0)</f>
        <v>#DIV/0!</v>
      </c>
      <c r="F10" s="1216"/>
      <c r="G10" s="1216"/>
      <c r="H10" s="1217"/>
      <c r="I10" s="3111">
        <f>ROUND(SUM(I3:I9),0)</f>
        <v>4500</v>
      </c>
    </row>
    <row r="11" spans="1:13" ht="14.25">
      <c r="A11" s="3658" t="s">
        <v>1057</v>
      </c>
      <c r="B11" s="3659" t="s">
        <v>1058</v>
      </c>
      <c r="C11" s="3659"/>
      <c r="D11" s="1211" t="s">
        <v>1059</v>
      </c>
      <c r="E11" s="1211" t="s">
        <v>1060</v>
      </c>
      <c r="F11" s="1212" t="s">
        <v>1061</v>
      </c>
      <c r="G11" s="1212" t="s">
        <v>1051</v>
      </c>
      <c r="H11" s="1219" t="s">
        <v>1</v>
      </c>
      <c r="I11" s="1210" t="s">
        <v>1052</v>
      </c>
    </row>
    <row r="12" spans="1:13">
      <c r="A12" s="3658"/>
      <c r="B12" s="3659"/>
      <c r="C12" s="3659"/>
      <c r="D12" s="1211"/>
      <c r="E12" s="1211"/>
      <c r="F12" s="1212"/>
      <c r="G12" s="1213"/>
      <c r="H12" s="1220"/>
      <c r="I12" s="1210"/>
    </row>
    <row r="13" spans="1:13">
      <c r="A13" s="3658"/>
      <c r="B13" s="3659"/>
      <c r="C13" s="3659"/>
      <c r="D13" s="1211"/>
      <c r="E13" s="1211"/>
      <c r="F13" s="1212"/>
      <c r="G13" s="1213"/>
      <c r="H13" s="1220"/>
      <c r="I13" s="1210">
        <f>ROUND(D13*E13*F13*G13/10000,0)</f>
        <v>0</v>
      </c>
    </row>
    <row r="14" spans="1:13">
      <c r="A14" s="3658"/>
      <c r="B14" s="3659"/>
      <c r="C14" s="3659"/>
      <c r="D14" s="1211"/>
      <c r="E14" s="1211"/>
      <c r="F14" s="1212"/>
      <c r="G14" s="1213"/>
      <c r="H14" s="1220"/>
      <c r="I14" s="1210">
        <f>ROUND(D14*E14*F14*G14/10000,0)</f>
        <v>0</v>
      </c>
    </row>
    <row r="15" spans="1:13">
      <c r="A15" s="3658"/>
      <c r="B15" s="3660" t="s">
        <v>1056</v>
      </c>
      <c r="C15" s="3660"/>
      <c r="D15" s="1215"/>
      <c r="E15" s="1215">
        <f>SUM(E12:E14)</f>
        <v>0</v>
      </c>
      <c r="F15" s="1216"/>
      <c r="G15" s="1213"/>
      <c r="H15" s="1220"/>
      <c r="I15" s="1221">
        <f>SUM(I12:I14)</f>
        <v>0</v>
      </c>
    </row>
    <row r="16" spans="1:13" ht="24">
      <c r="A16" s="3658" t="s">
        <v>1066</v>
      </c>
      <c r="B16" s="3659" t="s">
        <v>1067</v>
      </c>
      <c r="C16" s="3659"/>
      <c r="D16" s="1211" t="s">
        <v>1047</v>
      </c>
      <c r="E16" s="1222" t="s">
        <v>1068</v>
      </c>
      <c r="F16" s="1212" t="s">
        <v>1069</v>
      </c>
      <c r="G16" s="1213" t="s">
        <v>1051</v>
      </c>
      <c r="H16" s="1219" t="s">
        <v>1</v>
      </c>
      <c r="I16" s="1210" t="s">
        <v>1052</v>
      </c>
    </row>
    <row r="17" spans="1:9" ht="14.25">
      <c r="A17" s="3658"/>
      <c r="B17" s="3659"/>
      <c r="C17" s="3659"/>
      <c r="D17" s="1211"/>
      <c r="E17" s="1211"/>
      <c r="F17" s="1212"/>
      <c r="G17" s="1213"/>
      <c r="H17" s="1223"/>
      <c r="I17" s="1224">
        <f>ROUND(D17*E17*F17*G17/10000,0)</f>
        <v>0</v>
      </c>
    </row>
    <row r="18" spans="1:9" ht="14.25">
      <c r="A18" s="3658"/>
      <c r="B18" s="3659"/>
      <c r="C18" s="3659"/>
      <c r="D18" s="1211"/>
      <c r="E18" s="1211"/>
      <c r="F18" s="1212"/>
      <c r="G18" s="1213"/>
      <c r="H18" s="1223"/>
      <c r="I18" s="1224">
        <f>ROUND(D18*E18*F18*G18/10000,0)</f>
        <v>0</v>
      </c>
    </row>
    <row r="19" spans="1:9" ht="14.25">
      <c r="A19" s="3658"/>
      <c r="B19" s="3659"/>
      <c r="C19" s="3659"/>
      <c r="D19" s="1211"/>
      <c r="E19" s="1211"/>
      <c r="F19" s="1212"/>
      <c r="G19" s="1213"/>
      <c r="H19" s="1223"/>
      <c r="I19" s="1224">
        <f>ROUND(D19*E19*F19*G19/10000,0)</f>
        <v>0</v>
      </c>
    </row>
    <row r="20" spans="1:9">
      <c r="A20" s="3658"/>
      <c r="B20" s="3660" t="s">
        <v>1056</v>
      </c>
      <c r="C20" s="3660"/>
      <c r="D20" s="1215">
        <f>SUM(D17:D19)</f>
        <v>0</v>
      </c>
      <c r="E20" s="1215"/>
      <c r="F20" s="1216"/>
      <c r="G20" s="1213"/>
      <c r="H20" s="1220"/>
      <c r="I20" s="1221">
        <f>SUM(I17:I19)</f>
        <v>0</v>
      </c>
    </row>
    <row r="21" spans="1:9">
      <c r="A21" s="3658" t="s">
        <v>1071</v>
      </c>
      <c r="B21" s="3661"/>
      <c r="C21" s="3661"/>
      <c r="D21" s="3661"/>
      <c r="E21" s="3661"/>
      <c r="F21" s="3661"/>
      <c r="G21" s="3661"/>
      <c r="H21" s="3091"/>
      <c r="I21" s="1218">
        <f>ROUND(I10*H21,0)</f>
        <v>0</v>
      </c>
    </row>
    <row r="22" spans="1:9" ht="14.25">
      <c r="A22" s="3662" t="s">
        <v>1072</v>
      </c>
      <c r="B22" s="3663"/>
      <c r="C22" s="3664"/>
      <c r="D22" s="1225" t="s">
        <v>1073</v>
      </c>
      <c r="E22" s="1225" t="s">
        <v>1074</v>
      </c>
      <c r="F22" s="1226" t="s">
        <v>1051</v>
      </c>
      <c r="G22" s="1226" t="s">
        <v>1076</v>
      </c>
      <c r="H22" s="1219" t="s">
        <v>1</v>
      </c>
      <c r="I22" s="1210" t="s">
        <v>1052</v>
      </c>
    </row>
    <row r="23" spans="1:9" ht="14.25" thickBot="1">
      <c r="A23" s="3665"/>
      <c r="B23" s="3666"/>
      <c r="C23" s="3667"/>
      <c r="D23" s="1227"/>
      <c r="E23" s="1227"/>
      <c r="F23" s="1227"/>
      <c r="G23" s="1228"/>
      <c r="H23" s="1229"/>
      <c r="I23" s="1230">
        <f>ROUND(E23*D23*F23*(1-G23)/10000,0)</f>
        <v>0</v>
      </c>
    </row>
    <row r="26" spans="1:9">
      <c r="A26" s="1231" t="s">
        <v>1079</v>
      </c>
      <c r="B26" s="1231"/>
      <c r="C26" s="1231"/>
      <c r="D26" s="1231"/>
      <c r="E26" s="3655">
        <f>C27-C30-C31-C32</f>
        <v>1800</v>
      </c>
      <c r="F26" s="3655"/>
      <c r="G26" s="3655"/>
      <c r="H26" s="1497" t="s">
        <v>1300</v>
      </c>
    </row>
    <row r="27" spans="1:9">
      <c r="A27" s="3086">
        <v>1</v>
      </c>
      <c r="B27" s="3085" t="s">
        <v>1080</v>
      </c>
      <c r="C27" s="3085">
        <f>C28+C29</f>
        <v>4500</v>
      </c>
      <c r="D27" s="3085"/>
      <c r="E27" s="3656"/>
      <c r="F27" s="3656"/>
      <c r="G27" s="3656"/>
    </row>
    <row r="28" spans="1:9">
      <c r="A28" s="1234" t="s">
        <v>1081</v>
      </c>
      <c r="B28" s="3085" t="s">
        <v>1082</v>
      </c>
      <c r="C28" s="3085">
        <f>I10</f>
        <v>4500</v>
      </c>
      <c r="D28" s="3085"/>
      <c r="E28" s="3656"/>
      <c r="F28" s="3656"/>
      <c r="G28" s="3656"/>
    </row>
    <row r="29" spans="1:9">
      <c r="A29" s="1234" t="s">
        <v>1083</v>
      </c>
      <c r="B29" s="3085" t="s">
        <v>1084</v>
      </c>
      <c r="C29" s="3085">
        <f>I21</f>
        <v>0</v>
      </c>
      <c r="D29" s="3085"/>
      <c r="E29" s="3085" t="s">
        <v>1085</v>
      </c>
      <c r="F29" s="3085"/>
      <c r="G29" s="3085"/>
    </row>
    <row r="30" spans="1:9">
      <c r="A30" s="3086">
        <v>2</v>
      </c>
      <c r="B30" s="3085" t="s">
        <v>1086</v>
      </c>
      <c r="C30" s="3085">
        <f>ROUND(C27*D30,0)</f>
        <v>900</v>
      </c>
      <c r="D30" s="3092">
        <v>0.2</v>
      </c>
      <c r="E30" s="3085" t="s">
        <v>1087</v>
      </c>
      <c r="F30" s="3085"/>
      <c r="G30" s="3085"/>
    </row>
    <row r="31" spans="1:9">
      <c r="A31" s="3086">
        <v>3</v>
      </c>
      <c r="B31" s="3085" t="s">
        <v>1088</v>
      </c>
      <c r="C31" s="3085">
        <f>ROUND(C27*D31,0)</f>
        <v>1350</v>
      </c>
      <c r="D31" s="1235">
        <f>25%+5%</f>
        <v>0.3</v>
      </c>
      <c r="E31" s="3085" t="s">
        <v>1089</v>
      </c>
      <c r="F31" s="3085"/>
      <c r="G31" s="3085"/>
    </row>
    <row r="32" spans="1:9">
      <c r="A32" s="3086">
        <v>4</v>
      </c>
      <c r="B32" s="3085" t="s">
        <v>1090</v>
      </c>
      <c r="C32" s="3085">
        <f>ROUND(C27*D32,0)</f>
        <v>450</v>
      </c>
      <c r="D32" s="1235">
        <v>0.1</v>
      </c>
      <c r="E32" s="3657"/>
      <c r="F32" s="3657"/>
      <c r="G32" s="3657"/>
    </row>
    <row r="33" spans="1:7" hidden="1">
      <c r="A33" s="3652" t="s">
        <v>1091</v>
      </c>
      <c r="B33" s="3653"/>
      <c r="C33" s="3653"/>
      <c r="D33" s="3654"/>
      <c r="E33" s="3655"/>
      <c r="F33" s="3655"/>
      <c r="G33" s="3655"/>
    </row>
    <row r="34" spans="1:7" hidden="1">
      <c r="A34" s="1236">
        <v>1</v>
      </c>
      <c r="B34" s="3085" t="s">
        <v>1092</v>
      </c>
      <c r="C34" s="3085"/>
      <c r="D34" s="3085"/>
      <c r="E34" s="3656"/>
      <c r="F34" s="3656"/>
      <c r="G34" s="3656"/>
    </row>
    <row r="35" spans="1:7" hidden="1">
      <c r="A35" s="1236">
        <v>2</v>
      </c>
      <c r="B35" s="3085" t="s">
        <v>1093</v>
      </c>
      <c r="C35" s="3085"/>
      <c r="D35" s="3085"/>
      <c r="E35" s="3656"/>
      <c r="F35" s="3656"/>
      <c r="G35" s="3656"/>
    </row>
    <row r="36" spans="1:7" hidden="1">
      <c r="A36" s="1236">
        <v>3</v>
      </c>
      <c r="B36" s="3085" t="s">
        <v>1094</v>
      </c>
      <c r="C36" s="3085"/>
      <c r="D36" s="3085"/>
      <c r="E36" s="3656"/>
      <c r="F36" s="3656"/>
      <c r="G36" s="3656"/>
    </row>
    <row r="37" spans="1:7" hidden="1">
      <c r="A37" s="1236">
        <v>4</v>
      </c>
      <c r="B37" s="3085" t="s">
        <v>1095</v>
      </c>
      <c r="C37" s="3085"/>
      <c r="D37" s="3085"/>
      <c r="E37" s="3656"/>
      <c r="F37" s="3656"/>
      <c r="G37" s="3656"/>
    </row>
    <row r="38" spans="1:7" hidden="1">
      <c r="A38" s="3652" t="s">
        <v>1096</v>
      </c>
      <c r="B38" s="3653"/>
      <c r="C38" s="3653"/>
      <c r="D38" s="3654"/>
      <c r="E38" s="3655"/>
      <c r="F38" s="3655"/>
      <c r="G38" s="3655"/>
    </row>
    <row r="43" spans="1:7" ht="14.25" thickBot="1"/>
    <row r="44" spans="1:7" s="3108" customFormat="1" ht="14.25" thickBot="1">
      <c r="A44" s="3570" t="s">
        <v>3355</v>
      </c>
      <c r="B44" s="3571"/>
      <c r="C44" s="3103" t="s">
        <v>3356</v>
      </c>
      <c r="D44" s="3103" t="s">
        <v>3357</v>
      </c>
      <c r="E44" s="3103" t="s">
        <v>3358</v>
      </c>
    </row>
    <row r="45" spans="1:7" ht="14.25" thickBot="1">
      <c r="A45" s="3561" t="s">
        <v>3359</v>
      </c>
      <c r="B45" s="3095" t="s">
        <v>3360</v>
      </c>
      <c r="C45" s="3096">
        <v>298422</v>
      </c>
      <c r="D45" s="3098">
        <v>1632.71</v>
      </c>
      <c r="E45" s="3100">
        <v>0.06</v>
      </c>
      <c r="G45">
        <f>D45*E45</f>
        <v>97.962599999999995</v>
      </c>
    </row>
    <row r="46" spans="1:7" ht="14.25" thickBot="1">
      <c r="A46" s="3562"/>
      <c r="B46" s="3095" t="s">
        <v>3361</v>
      </c>
      <c r="C46" s="3096">
        <v>235233</v>
      </c>
      <c r="D46" s="3098">
        <v>1235.3</v>
      </c>
      <c r="E46" s="3100">
        <v>0.11</v>
      </c>
      <c r="G46">
        <f>D46*E46</f>
        <v>135.88300000000001</v>
      </c>
    </row>
    <row r="47" spans="1:7" ht="14.25" thickBot="1">
      <c r="A47" s="3562"/>
      <c r="B47" s="3095" t="s">
        <v>3362</v>
      </c>
      <c r="C47" s="3096">
        <v>12739</v>
      </c>
      <c r="D47" s="3101">
        <v>380.59</v>
      </c>
      <c r="E47" s="3100">
        <v>0.67</v>
      </c>
      <c r="G47">
        <f>D47*E47</f>
        <v>254.99529999999999</v>
      </c>
    </row>
    <row r="48" spans="1:7" ht="14.25" thickBot="1">
      <c r="A48" s="3563"/>
      <c r="B48" s="3095" t="s">
        <v>3363</v>
      </c>
      <c r="C48" s="3101"/>
      <c r="D48" s="3101">
        <v>552.61</v>
      </c>
      <c r="E48" s="3101" t="s">
        <v>3364</v>
      </c>
    </row>
    <row r="49" spans="1:7" ht="14.25" thickBot="1">
      <c r="A49" s="3561" t="s">
        <v>3365</v>
      </c>
      <c r="B49" s="3095" t="s">
        <v>3366</v>
      </c>
      <c r="C49" s="3101"/>
      <c r="D49" s="3101">
        <v>12.76</v>
      </c>
      <c r="E49" s="3100">
        <v>0.03</v>
      </c>
      <c r="G49">
        <f t="shared" ref="G49:G57" si="0">D49*E49</f>
        <v>0.38279999999999997</v>
      </c>
    </row>
    <row r="50" spans="1:7" ht="14.25" thickBot="1">
      <c r="A50" s="3562"/>
      <c r="B50" s="3095" t="s">
        <v>3367</v>
      </c>
      <c r="C50" s="3101"/>
      <c r="D50" s="3101">
        <v>6.06</v>
      </c>
      <c r="E50" s="3100">
        <v>0.05</v>
      </c>
      <c r="G50">
        <f t="shared" si="0"/>
        <v>0.30299999999999999</v>
      </c>
    </row>
    <row r="51" spans="1:7" ht="14.25" thickBot="1">
      <c r="A51" s="3562"/>
      <c r="B51" s="3095" t="s">
        <v>3368</v>
      </c>
      <c r="C51" s="3101"/>
      <c r="D51" s="3101">
        <v>6.42</v>
      </c>
      <c r="E51" s="3100">
        <v>0.18</v>
      </c>
      <c r="G51">
        <f t="shared" si="0"/>
        <v>1.1556</v>
      </c>
    </row>
    <row r="52" spans="1:7" ht="14.25" thickBot="1">
      <c r="A52" s="3562"/>
      <c r="B52" s="3095" t="s">
        <v>3369</v>
      </c>
      <c r="C52" s="3101"/>
      <c r="D52" s="3101">
        <v>112.51</v>
      </c>
      <c r="E52" s="3100">
        <v>0.63</v>
      </c>
      <c r="G52">
        <f t="shared" si="0"/>
        <v>70.88130000000001</v>
      </c>
    </row>
    <row r="53" spans="1:7" ht="14.25" thickBot="1">
      <c r="A53" s="3562"/>
      <c r="B53" s="3095" t="s">
        <v>3370</v>
      </c>
      <c r="C53" s="3101"/>
      <c r="D53" s="3101">
        <v>381.85</v>
      </c>
      <c r="E53" s="3100">
        <v>0.38</v>
      </c>
      <c r="G53">
        <f t="shared" si="0"/>
        <v>145.10300000000001</v>
      </c>
    </row>
    <row r="54" spans="1:7" ht="14.25" thickBot="1">
      <c r="A54" s="3562"/>
      <c r="B54" s="3095" t="s">
        <v>3371</v>
      </c>
      <c r="C54" s="3101"/>
      <c r="D54" s="3101">
        <v>93.06</v>
      </c>
      <c r="E54" s="3100">
        <v>0.63</v>
      </c>
      <c r="G54">
        <f t="shared" si="0"/>
        <v>58.627800000000001</v>
      </c>
    </row>
    <row r="55" spans="1:7" ht="14.25" thickBot="1">
      <c r="A55" s="3562"/>
      <c r="B55" s="3095" t="s">
        <v>3372</v>
      </c>
      <c r="C55" s="3101"/>
      <c r="D55" s="3101">
        <v>47.47</v>
      </c>
      <c r="E55" s="3100">
        <v>0.28000000000000003</v>
      </c>
      <c r="G55">
        <f t="shared" si="0"/>
        <v>13.291600000000001</v>
      </c>
    </row>
    <row r="56" spans="1:7" ht="14.25" thickBot="1">
      <c r="A56" s="3562"/>
      <c r="B56" s="3095" t="s">
        <v>3373</v>
      </c>
      <c r="C56" s="3101"/>
      <c r="D56" s="3101">
        <v>10.87</v>
      </c>
      <c r="E56" s="3100">
        <v>0.62</v>
      </c>
      <c r="G56">
        <f t="shared" si="0"/>
        <v>6.7393999999999998</v>
      </c>
    </row>
    <row r="57" spans="1:7" ht="14.25" thickBot="1">
      <c r="A57" s="3562"/>
      <c r="B57" s="3095" t="s">
        <v>3374</v>
      </c>
      <c r="C57" s="3101"/>
      <c r="D57" s="3101">
        <v>7.27</v>
      </c>
      <c r="E57" s="3100">
        <v>0.69</v>
      </c>
      <c r="G57">
        <f t="shared" si="0"/>
        <v>5.0162999999999993</v>
      </c>
    </row>
    <row r="58" spans="1:7" ht="14.25" thickBot="1">
      <c r="A58" s="3562"/>
      <c r="B58" s="3095" t="s">
        <v>3375</v>
      </c>
      <c r="C58" s="3101"/>
      <c r="D58" s="3101">
        <v>20.51</v>
      </c>
      <c r="E58" s="3101" t="s">
        <v>3364</v>
      </c>
    </row>
    <row r="59" spans="1:7" ht="14.25" thickBot="1">
      <c r="A59" s="3563"/>
      <c r="B59" s="3095"/>
      <c r="C59" s="3101"/>
      <c r="D59" s="3101"/>
      <c r="E59" s="3102"/>
    </row>
    <row r="61" spans="1:7">
      <c r="D61" s="3097">
        <f>SUM(D45:D58)</f>
        <v>4499.9900000000025</v>
      </c>
      <c r="E61">
        <f>G61/D61</f>
        <v>0.17563187918195367</v>
      </c>
      <c r="G61" s="3097">
        <f>SUM(G45:G58)</f>
        <v>790.34170000000006</v>
      </c>
    </row>
  </sheetData>
  <mergeCells count="41">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B11:C11"/>
    <mergeCell ref="B12:C12"/>
    <mergeCell ref="B13:C13"/>
    <mergeCell ref="B14:C14"/>
    <mergeCell ref="B15:C15"/>
    <mergeCell ref="A44:B44"/>
    <mergeCell ref="A45:A48"/>
    <mergeCell ref="A49:A59"/>
    <mergeCell ref="A1:C1"/>
    <mergeCell ref="D1:I1"/>
    <mergeCell ref="A2:A10"/>
    <mergeCell ref="B2:C2"/>
    <mergeCell ref="B3:C3"/>
    <mergeCell ref="B4:C4"/>
    <mergeCell ref="B5:C5"/>
    <mergeCell ref="B6:C6"/>
    <mergeCell ref="B7:C7"/>
    <mergeCell ref="B8:C8"/>
    <mergeCell ref="B9:C9"/>
    <mergeCell ref="B10:C10"/>
    <mergeCell ref="A11:A15"/>
  </mergeCells>
  <phoneticPr fontId="14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321" t="s">
        <v>1621</v>
      </c>
      <c r="B1" s="3321"/>
      <c r="C1" s="3321"/>
      <c r="D1" s="3321"/>
    </row>
    <row r="2" spans="1:4" ht="18">
      <c r="A2" s="3322" t="s">
        <v>1605</v>
      </c>
      <c r="B2" s="3322"/>
      <c r="C2" s="3322"/>
      <c r="D2" s="3322"/>
    </row>
    <row r="3" spans="1:4" ht="18.75">
      <c r="A3" s="1691" t="s">
        <v>1606</v>
      </c>
      <c r="B3" s="1691" t="s">
        <v>1607</v>
      </c>
      <c r="C3" s="1691" t="s">
        <v>1608</v>
      </c>
      <c r="D3" s="1691" t="s">
        <v>1609</v>
      </c>
    </row>
    <row r="4" spans="1:4" ht="56.25" customHeight="1">
      <c r="A4" s="1692" t="str">
        <f>项目基本情况!B4</f>
        <v>王鹏</v>
      </c>
      <c r="B4" s="1693">
        <f ca="1">项目基本情况!C4</f>
        <v>0</v>
      </c>
      <c r="C4" s="1694"/>
      <c r="D4" s="1695" t="s">
        <v>1610</v>
      </c>
    </row>
    <row r="5" spans="1:4" ht="56.25" customHeight="1">
      <c r="A5" s="1692" t="str">
        <f>项目基本情况!D4</f>
        <v>郑燚</v>
      </c>
      <c r="B5" s="1693">
        <f ca="1">项目基本情况!E4</f>
        <v>1120070131</v>
      </c>
      <c r="C5" s="1696"/>
      <c r="D5" s="1695" t="s">
        <v>1610</v>
      </c>
    </row>
    <row r="6" spans="1:4" ht="18">
      <c r="A6" s="3322" t="s">
        <v>1611</v>
      </c>
      <c r="B6" s="3322"/>
      <c r="C6" s="3322"/>
      <c r="D6" s="3322"/>
    </row>
    <row r="7" spans="1:4" ht="18.75">
      <c r="A7" s="1691" t="s">
        <v>1606</v>
      </c>
      <c r="B7" s="1693" t="s">
        <v>1612</v>
      </c>
      <c r="C7" s="1691" t="s">
        <v>1608</v>
      </c>
      <c r="D7" s="1691" t="s">
        <v>1609</v>
      </c>
    </row>
    <row r="8" spans="1:4" ht="56.25" customHeight="1">
      <c r="A8" s="1697" t="s">
        <v>837</v>
      </c>
      <c r="B8" s="1697" t="s">
        <v>1</v>
      </c>
      <c r="C8" s="1694"/>
      <c r="D8" s="1695" t="s">
        <v>1610</v>
      </c>
    </row>
    <row r="9" spans="1:4">
      <c r="A9" s="683"/>
      <c r="B9" s="683"/>
      <c r="C9" s="683"/>
      <c r="D9" s="683"/>
    </row>
    <row r="10" spans="1:4" ht="18.75">
      <c r="A10" s="1698" t="s">
        <v>1613</v>
      </c>
      <c r="B10" s="683"/>
      <c r="C10" s="683"/>
      <c r="D10" s="683"/>
    </row>
    <row r="11" spans="1:4" ht="30" customHeight="1">
      <c r="A11" s="3323" t="s">
        <v>1614</v>
      </c>
      <c r="B11" s="3315"/>
      <c r="C11" s="3315"/>
      <c r="D11" s="3315"/>
    </row>
    <row r="12" spans="1:4" ht="15.75">
      <c r="A12" s="33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spans="1:4" ht="30" customHeight="1">
      <c r="A13" s="33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spans="1:4" ht="15.75" customHeight="1">
      <c r="A14" s="3315" t="str">
        <f>IF(项目基本情况!B8="抵押","4.本次评估估价师所知悉的法定优先受偿款情况说明如下：","——")</f>
        <v>4.本次评估估价师所知悉的法定优先受偿款情况说明如下：</v>
      </c>
      <c r="B14" s="3320"/>
      <c r="C14" s="3320"/>
      <c r="D14" s="3320"/>
    </row>
    <row r="15" spans="1:4" ht="42" customHeight="1">
      <c r="A15" s="3315" t="str">
        <f>IF(项目基本情况!B8="抵押","（1）"&amp;CONCATENATE(项目基本情况!L20,项目基本情况!L21,项目基本情况!L22),"——")</f>
        <v>（1）根据估价对象《房屋所有权证》原件、《国有土地使用权》复印件，截至价值时点，估价对象抵押权未见登记。</v>
      </c>
      <c r="B15" s="3315"/>
      <c r="C15" s="3315"/>
      <c r="D15" s="3315"/>
    </row>
    <row r="16" spans="1:4" ht="30" customHeight="1">
      <c r="A16" s="3317" t="s">
        <v>1615</v>
      </c>
      <c r="B16" s="3317"/>
      <c r="C16" s="3317"/>
      <c r="D16" s="3317"/>
    </row>
    <row r="17" spans="1:4" ht="144" customHeight="1">
      <c r="A17" s="3317" t="s">
        <v>1616</v>
      </c>
      <c r="B17" s="3317"/>
      <c r="C17" s="3317"/>
      <c r="D17" s="3317"/>
    </row>
    <row r="18" spans="1:4" ht="15.75" customHeight="1">
      <c r="A18" s="3315" t="str">
        <f>IF(项目基本情况!B8="抵押",结果表!K120,"——")</f>
        <v>故，本次评估估价师知悉的法定优先受偿款为人民币20000万元整。</v>
      </c>
      <c r="B18" s="3315"/>
      <c r="C18" s="3315"/>
      <c r="D18" s="3315"/>
    </row>
    <row r="19" spans="1:4" ht="46.5" customHeight="1">
      <c r="A19" s="33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5"/>
      <c r="C19" s="3315"/>
      <c r="D19" s="3315"/>
    </row>
    <row r="20" spans="1:4" ht="57.75" customHeight="1">
      <c r="A20" s="33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5"/>
      <c r="C20" s="3315"/>
      <c r="D20" s="3315"/>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8"/>
      <c r="C21" s="3318"/>
      <c r="D21" s="3318"/>
    </row>
    <row r="22" spans="1:4" ht="18.75" customHeight="1">
      <c r="A22" s="3319" t="s">
        <v>1617</v>
      </c>
      <c r="B22" s="3319"/>
      <c r="C22" s="3319"/>
      <c r="D22" s="3319"/>
    </row>
    <row r="23" spans="1:4">
      <c r="A23" s="1699"/>
      <c r="B23" s="1671"/>
      <c r="C23" s="1671"/>
      <c r="D23" s="1671"/>
    </row>
    <row r="24" spans="1:4">
      <c r="A24" s="1699"/>
      <c r="B24" s="1671"/>
      <c r="C24" s="1671"/>
      <c r="D24" s="1671"/>
    </row>
    <row r="25" spans="1:4" ht="18.75">
      <c r="A25" s="1700" t="s">
        <v>1618</v>
      </c>
    </row>
    <row r="26" spans="1:4" ht="18">
      <c r="A26" s="1669"/>
    </row>
    <row r="27" spans="1:4" ht="18.75">
      <c r="A27" s="1669" t="s">
        <v>1619</v>
      </c>
    </row>
    <row r="30" spans="1:4" ht="18.75">
      <c r="D30" s="1700" t="s">
        <v>1620</v>
      </c>
    </row>
    <row r="31" spans="1:4" ht="13.5" customHeight="1">
      <c r="C31" s="3316">
        <v>42551</v>
      </c>
      <c r="D31" s="33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1622</v>
      </c>
    </row>
    <row r="3" spans="1:7">
      <c r="A3" s="1705" t="s">
        <v>82</v>
      </c>
      <c r="B3" s="1689" t="s">
        <v>1623</v>
      </c>
      <c r="G3" s="1706"/>
    </row>
    <row r="4" spans="1:7">
      <c r="G4" s="1706"/>
    </row>
    <row r="5" spans="1:7">
      <c r="A5" s="1708" t="s">
        <v>73</v>
      </c>
      <c r="B5" s="1689" t="s">
        <v>1624</v>
      </c>
      <c r="G5" s="1706"/>
    </row>
    <row r="6" spans="1:7">
      <c r="G6" s="1706"/>
    </row>
    <row r="7" spans="1:7">
      <c r="A7" s="1709" t="s">
        <v>135</v>
      </c>
      <c r="B7" s="1689" t="s">
        <v>1625</v>
      </c>
      <c r="G7" s="1706"/>
    </row>
    <row r="8" spans="1:7">
      <c r="G8" s="1706"/>
    </row>
    <row r="9" spans="1:7">
      <c r="A9" s="1710" t="s">
        <v>74</v>
      </c>
      <c r="B9" s="1689" t="s">
        <v>1626</v>
      </c>
    </row>
    <row r="11" spans="1:7">
      <c r="A11" s="1711" t="s">
        <v>75</v>
      </c>
      <c r="B11" s="1712" t="s">
        <v>72</v>
      </c>
    </row>
    <row r="13" spans="1:7">
      <c r="A13" s="1713" t="s">
        <v>1627</v>
      </c>
    </row>
    <row r="15" spans="1:7" ht="13.5">
      <c r="A15" s="3329" t="s">
        <v>1628</v>
      </c>
      <c r="B15" s="3324" t="s">
        <v>136</v>
      </c>
      <c r="C15" s="3325"/>
    </row>
    <row r="16" spans="1:7" ht="13.5">
      <c r="A16" s="3330"/>
      <c r="B16" s="3324" t="s">
        <v>69</v>
      </c>
      <c r="C16" s="3325"/>
    </row>
    <row r="17" spans="1:3" ht="13.5">
      <c r="A17" s="3330"/>
      <c r="B17" s="3327" t="s">
        <v>1629</v>
      </c>
      <c r="C17" s="1714" t="s">
        <v>1628</v>
      </c>
    </row>
    <row r="18" spans="1:3" ht="13.5">
      <c r="A18" s="3330"/>
      <c r="B18" s="3327"/>
      <c r="C18" s="1714" t="s">
        <v>1630</v>
      </c>
    </row>
    <row r="19" spans="1:3" ht="13.5">
      <c r="A19" s="3330"/>
      <c r="B19" s="3327"/>
      <c r="C19" s="1714" t="s">
        <v>1631</v>
      </c>
    </row>
    <row r="20" spans="1:3" ht="13.5">
      <c r="A20" s="3331"/>
      <c r="B20" s="3326" t="s">
        <v>1632</v>
      </c>
      <c r="C20" s="3325"/>
    </row>
    <row r="21" spans="1:3" ht="13.5">
      <c r="A21" s="1715" t="s">
        <v>1633</v>
      </c>
      <c r="B21" s="1716"/>
      <c r="C21" s="1717"/>
    </row>
    <row r="22" spans="1:3" ht="13.5">
      <c r="A22" s="3328" t="s">
        <v>1634</v>
      </c>
      <c r="B22" s="3326" t="s">
        <v>1635</v>
      </c>
      <c r="C22" s="3325"/>
    </row>
    <row r="23" spans="1:3" ht="13.5">
      <c r="A23" s="3328"/>
      <c r="B23" s="3326" t="s">
        <v>1636</v>
      </c>
      <c r="C23" s="3325"/>
    </row>
    <row r="24" spans="1:3" ht="13.5">
      <c r="A24" s="3328"/>
      <c r="B24" s="3326" t="s">
        <v>1637</v>
      </c>
      <c r="C24" s="3325"/>
    </row>
    <row r="25" spans="1:3" ht="13.5">
      <c r="A25" s="3328"/>
      <c r="B25" s="3327" t="s">
        <v>1638</v>
      </c>
      <c r="C25" s="1714" t="s">
        <v>1639</v>
      </c>
    </row>
    <row r="26" spans="1:3" ht="13.5">
      <c r="A26" s="3328"/>
      <c r="B26" s="3327"/>
      <c r="C26" s="1714" t="s">
        <v>1640</v>
      </c>
    </row>
    <row r="27" spans="1:3" ht="13.5">
      <c r="A27" s="3328"/>
      <c r="B27" s="3327"/>
      <c r="C27" s="1714" t="s">
        <v>1641</v>
      </c>
    </row>
    <row r="28" spans="1:3" ht="13.5">
      <c r="A28" s="3328"/>
      <c r="B28" s="3327"/>
      <c r="C28" s="1714" t="s">
        <v>1642</v>
      </c>
    </row>
    <row r="29" spans="1:3" ht="13.5">
      <c r="A29" s="3328"/>
      <c r="B29" s="3327"/>
      <c r="C29" s="1714" t="s">
        <v>1643</v>
      </c>
    </row>
    <row r="30" spans="1:3" ht="13.5">
      <c r="A30" s="3328"/>
      <c r="B30" s="3327"/>
      <c r="C30" s="1714" t="s">
        <v>1644</v>
      </c>
    </row>
    <row r="31" spans="1:3" ht="13.5">
      <c r="A31" s="3328"/>
      <c r="B31" s="3327"/>
      <c r="C31" s="1714" t="s">
        <v>1645</v>
      </c>
    </row>
    <row r="32" spans="1:3" ht="13.5">
      <c r="A32" s="3328"/>
      <c r="B32" s="3327"/>
      <c r="C32" s="1714" t="s">
        <v>1646</v>
      </c>
    </row>
    <row r="33" spans="1:3" ht="13.5">
      <c r="A33" s="3328"/>
      <c r="B33" s="3327"/>
      <c r="C33" s="1714" t="s">
        <v>1647</v>
      </c>
    </row>
    <row r="34" spans="1:3">
      <c r="A34" s="1718" t="s">
        <v>76</v>
      </c>
    </row>
    <row r="37" spans="1:3">
      <c r="A37" s="1718" t="s">
        <v>1648</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2874</v>
      </c>
      <c r="B2" s="2559">
        <f ca="1">TODAY()</f>
        <v>44544</v>
      </c>
      <c r="C2" s="2560" t="s">
        <v>2875</v>
      </c>
      <c r="D2" s="2560"/>
      <c r="E2" s="2560"/>
      <c r="F2" s="2556"/>
      <c r="G2" s="2556"/>
      <c r="H2" s="2556"/>
    </row>
    <row r="3" spans="1:8" ht="24" customHeight="1">
      <c r="A3" s="2561" t="s">
        <v>2876</v>
      </c>
      <c r="B3" s="2562" t="s">
        <v>2877</v>
      </c>
      <c r="C3" s="2562" t="s">
        <v>2878</v>
      </c>
      <c r="D3" s="2563" t="s">
        <v>2879</v>
      </c>
      <c r="E3" s="2564" t="s">
        <v>2880</v>
      </c>
      <c r="F3" s="1470" t="s">
        <v>2881</v>
      </c>
      <c r="G3" s="2562" t="s">
        <v>2878</v>
      </c>
      <c r="H3" s="2563" t="s">
        <v>2882</v>
      </c>
    </row>
    <row r="4" spans="1:8" ht="24" customHeight="1">
      <c r="A4" s="1470" t="s">
        <v>2883</v>
      </c>
      <c r="B4" s="1470">
        <f ca="1">IF(C4&lt;B2,"已过期",1119970066)</f>
        <v>1119970066</v>
      </c>
      <c r="C4" s="2565">
        <v>44876</v>
      </c>
      <c r="D4" s="2566" t="str">
        <f ca="1">A4&amp;"（注册号："&amp;B4&amp;"）"</f>
        <v>梁津（注册号：1119970066）</v>
      </c>
      <c r="E4" s="2567" t="s">
        <v>2883</v>
      </c>
      <c r="F4" s="1470">
        <f ca="1">IF(G4&lt;B2,"已过期",96010014)</f>
        <v>96010014</v>
      </c>
      <c r="G4" s="2568">
        <v>47118</v>
      </c>
      <c r="H4" s="2569" t="str">
        <f ca="1">E4&amp;"（注册号："&amp;F4&amp;"）"</f>
        <v>梁津（注册号：96010014）</v>
      </c>
    </row>
    <row r="5" spans="1:8" ht="24" customHeight="1">
      <c r="A5" s="1470" t="s">
        <v>2884</v>
      </c>
      <c r="B5" s="1470">
        <f ca="1">IF(C5&lt;B2,"已过期",1119970111)</f>
        <v>1119970111</v>
      </c>
      <c r="C5" s="2565">
        <v>44876</v>
      </c>
      <c r="D5" s="2566" t="str">
        <f t="shared" ref="D5:D15" ca="1" si="0">A5&amp;"（注册号："&amp;B5&amp;"）"</f>
        <v>叶凌（注册号：1119970111）</v>
      </c>
      <c r="E5" s="2567" t="s">
        <v>2884</v>
      </c>
      <c r="F5" s="1470">
        <f ca="1">IF(G5&lt;B2,"已过期",94010078)</f>
        <v>94010078</v>
      </c>
      <c r="G5" s="2568">
        <v>46387</v>
      </c>
      <c r="H5" s="2569" t="str">
        <f t="shared" ref="H5:H16" ca="1" si="1">E5&amp;"（注册号："&amp;F5&amp;"）"</f>
        <v>叶凌（注册号：94010078）</v>
      </c>
    </row>
    <row r="6" spans="1:8" ht="24" customHeight="1">
      <c r="A6" s="1470" t="s">
        <v>2885</v>
      </c>
      <c r="B6" s="1470" t="str">
        <f ca="1">IF(C6&lt;B2,"已过期",1120050019)</f>
        <v>已过期</v>
      </c>
      <c r="C6" s="2565">
        <v>44395</v>
      </c>
      <c r="D6" s="2566" t="str">
        <f t="shared" ca="1" si="0"/>
        <v>王鹏（注册号：已过期）</v>
      </c>
      <c r="E6" s="2567" t="s">
        <v>2885</v>
      </c>
      <c r="F6" s="1470">
        <f ca="1">IF(G6&lt;B2,"已过期",2002110030)</f>
        <v>2002110030</v>
      </c>
      <c r="G6" s="2568">
        <v>46387</v>
      </c>
      <c r="H6" s="2569" t="str">
        <f t="shared" ca="1" si="1"/>
        <v>王鹏（注册号：2002110030）</v>
      </c>
    </row>
    <row r="7" spans="1:8" ht="24" customHeight="1">
      <c r="A7" s="1470" t="s">
        <v>2886</v>
      </c>
      <c r="B7" s="1470">
        <f ca="1">IF(C7&lt;B2,"已过期",1120000080)</f>
        <v>1120000080</v>
      </c>
      <c r="C7" s="2565">
        <v>44876</v>
      </c>
      <c r="D7" s="2566" t="str">
        <f t="shared" ca="1" si="0"/>
        <v>欧红伟（注册号：1120000080）</v>
      </c>
      <c r="E7" s="2567" t="s">
        <v>2886</v>
      </c>
      <c r="F7" s="1470">
        <f ca="1">IF(G7&lt;B2,"已过期",2000110082)</f>
        <v>2000110082</v>
      </c>
      <c r="G7" s="2568">
        <v>46387</v>
      </c>
      <c r="H7" s="2569" t="str">
        <f t="shared" ca="1" si="1"/>
        <v>欧红伟（注册号：2000110082）</v>
      </c>
    </row>
    <row r="8" spans="1:8" ht="24" customHeight="1">
      <c r="A8" s="1470" t="s">
        <v>2887</v>
      </c>
      <c r="B8" s="1470">
        <f ca="1">IF(C8&lt;B2,"已过期",1419970001)</f>
        <v>1419970001</v>
      </c>
      <c r="C8" s="2565">
        <v>44899</v>
      </c>
      <c r="D8" s="2566" t="str">
        <f t="shared" ca="1" si="0"/>
        <v>吴薇（注册号：1419970001）</v>
      </c>
      <c r="E8" s="2567" t="s">
        <v>2887</v>
      </c>
      <c r="F8" s="1470">
        <f ca="1">IF(G8&lt;B2,"已过期",2002110125)</f>
        <v>2002110125</v>
      </c>
      <c r="G8" s="2568">
        <v>47118</v>
      </c>
      <c r="H8" s="2569" t="str">
        <f t="shared" ca="1" si="1"/>
        <v>吴薇（注册号：2002110125）</v>
      </c>
    </row>
    <row r="9" spans="1:8" ht="24" customHeight="1">
      <c r="A9" s="1470" t="s">
        <v>2888</v>
      </c>
      <c r="B9" s="1470">
        <f ca="1">IF(C9&lt;B2,"已过期",1120060040)</f>
        <v>1120060040</v>
      </c>
      <c r="C9" s="2570">
        <v>44554</v>
      </c>
      <c r="D9" s="2566" t="str">
        <f t="shared" ca="1" si="0"/>
        <v>陈颖（注册号：1120060040）</v>
      </c>
      <c r="E9" s="2567" t="s">
        <v>2888</v>
      </c>
      <c r="F9" s="1470">
        <f ca="1">IF(G9&lt;B2,"已过期",2004110096)</f>
        <v>2004110096</v>
      </c>
      <c r="G9" s="2568">
        <v>47118</v>
      </c>
      <c r="H9" s="2569" t="str">
        <f t="shared" ca="1" si="1"/>
        <v>陈颖（注册号：2004110096）</v>
      </c>
    </row>
    <row r="10" spans="1:8" ht="24" customHeight="1">
      <c r="A10" s="1470" t="s">
        <v>2889</v>
      </c>
      <c r="B10" s="1470">
        <f ca="1">IF(C10&lt;B2,"已过期",1120100036)</f>
        <v>1120100036</v>
      </c>
      <c r="C10" s="2570">
        <v>44675</v>
      </c>
      <c r="D10" s="2566" t="str">
        <f t="shared" ca="1" si="0"/>
        <v>崔锴（注册号：1120100036）</v>
      </c>
      <c r="E10" s="2567" t="s">
        <v>2889</v>
      </c>
      <c r="F10" s="1470">
        <f ca="1">IF(G10&lt;B2,"已过期",2010110070)</f>
        <v>2010110070</v>
      </c>
      <c r="G10" s="2568">
        <v>47907</v>
      </c>
      <c r="H10" s="2569" t="str">
        <f t="shared" ca="1" si="1"/>
        <v>崔锴（注册号：2010110070）</v>
      </c>
    </row>
    <row r="11" spans="1:8" ht="24" customHeight="1">
      <c r="A11" s="1470" t="s">
        <v>2890</v>
      </c>
      <c r="B11" s="1470">
        <f ca="1">IF(C11&lt;B2,"已过期",1120070131)</f>
        <v>1120070131</v>
      </c>
      <c r="C11" s="2565">
        <v>44849</v>
      </c>
      <c r="D11" s="2566" t="str">
        <f t="shared" ca="1" si="0"/>
        <v>郑燚（注册号：1120070131）</v>
      </c>
      <c r="E11" s="2567" t="s">
        <v>2890</v>
      </c>
      <c r="F11" s="1470">
        <f ca="1">IF(G11&lt;B2,"已过期",2014110011)</f>
        <v>2014110011</v>
      </c>
      <c r="G11" s="2568">
        <v>49302</v>
      </c>
      <c r="H11" s="2569" t="str">
        <f t="shared" ca="1" si="1"/>
        <v>郑燚（注册号：2014110011）</v>
      </c>
    </row>
    <row r="12" spans="1:8" ht="24" customHeight="1">
      <c r="A12" s="1470" t="s">
        <v>2891</v>
      </c>
      <c r="B12" s="1470">
        <f ca="1">IF(C12&lt;B2,"已过期",1120040230)</f>
        <v>1120040230</v>
      </c>
      <c r="C12" s="2570">
        <v>44864</v>
      </c>
      <c r="D12" s="2566" t="str">
        <f t="shared" ca="1" si="0"/>
        <v>苏海（注册号：1120040230）</v>
      </c>
      <c r="E12" s="2567" t="s">
        <v>2891</v>
      </c>
      <c r="F12" s="1470">
        <f ca="1">IF(G12&lt;B2,"已过期",98030020)</f>
        <v>98030020</v>
      </c>
      <c r="G12" s="2568">
        <v>47118</v>
      </c>
      <c r="H12" s="2569" t="str">
        <f t="shared" ca="1" si="1"/>
        <v>苏海（注册号：98030020）</v>
      </c>
    </row>
    <row r="13" spans="1:8" ht="24" customHeight="1">
      <c r="A13" s="1470" t="s">
        <v>2892</v>
      </c>
      <c r="B13" s="1470" t="str">
        <f ca="1">IF(C13&lt;B2,"已过期",1120020033)</f>
        <v>已过期</v>
      </c>
      <c r="C13" s="2565">
        <v>44339</v>
      </c>
      <c r="D13" s="2566" t="str">
        <f t="shared" ca="1" si="0"/>
        <v>刘敬东（注册号：已过期）</v>
      </c>
      <c r="E13" s="2567" t="s">
        <v>2892</v>
      </c>
      <c r="F13" s="1470">
        <f ca="1">IF(G13&lt;B2,"已过期",2000110137)</f>
        <v>2000110137</v>
      </c>
      <c r="G13" s="2568">
        <v>46387</v>
      </c>
      <c r="H13" s="2569" t="str">
        <f t="shared" ca="1" si="1"/>
        <v>刘敬东（注册号：2000110137）</v>
      </c>
    </row>
    <row r="14" spans="1:8" ht="24" customHeight="1">
      <c r="A14" s="1470" t="s">
        <v>2893</v>
      </c>
      <c r="B14" s="1470">
        <f ca="1">IF(C14&lt;B2,"已过期",1119980106)</f>
        <v>1119980106</v>
      </c>
      <c r="C14" s="2570">
        <v>44969</v>
      </c>
      <c r="D14" s="2566" t="str">
        <f t="shared" ca="1" si="0"/>
        <v>刘俊财（注册号：1119980106）</v>
      </c>
      <c r="E14" s="2567" t="s">
        <v>2893</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2894</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332" t="s">
        <v>2895</v>
      </c>
      <c r="B17" s="3332"/>
      <c r="C17" s="3332"/>
      <c r="D17" s="3332"/>
      <c r="E17" s="3332"/>
      <c r="F17" s="3332"/>
      <c r="G17" s="3332"/>
      <c r="H17" s="3332"/>
    </row>
    <row r="18" spans="1:8" ht="24" customHeight="1">
      <c r="A18" s="3333" t="s">
        <v>2896</v>
      </c>
      <c r="B18" s="3333"/>
      <c r="C18" s="3333"/>
      <c r="D18" s="2563"/>
      <c r="E18" s="3334" t="s">
        <v>2897</v>
      </c>
      <c r="F18" s="3333"/>
      <c r="G18" s="3333"/>
    </row>
    <row r="19" spans="1:8" s="2574" customFormat="1" ht="24" customHeight="1">
      <c r="A19" s="2573" t="s">
        <v>2898</v>
      </c>
      <c r="B19" s="2562" t="s">
        <v>2899</v>
      </c>
      <c r="C19" s="2562" t="s">
        <v>2878</v>
      </c>
      <c r="D19" s="2563"/>
      <c r="E19" s="2567" t="s">
        <v>2898</v>
      </c>
      <c r="F19" s="2562" t="s">
        <v>2899</v>
      </c>
      <c r="G19" s="2562" t="s">
        <v>2878</v>
      </c>
    </row>
    <row r="20" spans="1:8" s="2574" customFormat="1" ht="24" customHeight="1">
      <c r="A20" s="2575" t="s">
        <v>2900</v>
      </c>
      <c r="B20" s="2575" t="s">
        <v>2901</v>
      </c>
      <c r="C20" s="2568">
        <v>44820</v>
      </c>
      <c r="D20" s="2576"/>
      <c r="E20" s="2577" t="s">
        <v>2902</v>
      </c>
      <c r="F20" s="2575" t="s">
        <v>2903</v>
      </c>
      <c r="G20" s="2578">
        <v>44377</v>
      </c>
    </row>
    <row r="21" spans="1:8" s="2574" customFormat="1" ht="24" customHeight="1">
      <c r="A21" s="2575"/>
      <c r="B21" s="2575"/>
      <c r="C21" s="2579"/>
      <c r="D21" s="2580"/>
      <c r="E21" s="2577" t="s">
        <v>2904</v>
      </c>
      <c r="F21" s="2581" t="s">
        <v>2905</v>
      </c>
      <c r="G21" s="2582">
        <v>44012</v>
      </c>
    </row>
    <row r="22" spans="1:8" ht="24" customHeight="1">
      <c r="C22" s="2583"/>
      <c r="D22" s="2583"/>
      <c r="E22" s="2584"/>
      <c r="F22" s="2585"/>
      <c r="G22" s="2586"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 (元)</vt:lpstr>
      <vt:lpstr>测算过程-汇总</vt:lpstr>
      <vt:lpstr>测算过程 -酒店</vt:lpstr>
      <vt:lpstr>测算过程-温泉</vt:lpstr>
      <vt:lpstr>收益法</vt:lpstr>
      <vt:lpstr>收益法-温泉乐园</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酒店</vt:lpstr>
      <vt:lpstr>商业</vt:lpstr>
      <vt:lpstr>酒店收入计算</vt:lpstr>
      <vt:lpstr>温泉乐园收入计算</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'收益法-温泉乐园'!Print_Area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2021-12-14T13:05:35Z</dcterms:modified>
</cp:coreProperties>
</file>