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8"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1层商业)" sheetId="85" r:id="rId19"/>
    <sheet name="结果表 (库房)" sheetId="80" r:id="rId20"/>
    <sheet name="结果表 (地下车库)" sheetId="83" r:id="rId21"/>
    <sheet name="面积表" sheetId="77" r:id="rId22"/>
    <sheet name="比较法-商业1层" sheetId="33" r:id="rId23"/>
    <sheet name="比较法-商业 (一层租金)" sheetId="79" r:id="rId24"/>
    <sheet name="收益法" sheetId="15" r:id="rId25"/>
    <sheet name="典型户型修正" sheetId="31" r:id="rId26"/>
    <sheet name="成本法" sheetId="68" r:id="rId27"/>
    <sheet name="成本法 (元)" sheetId="69" state="hidden" r:id="rId28"/>
    <sheet name="假设开发法" sheetId="12" state="hidden" r:id="rId29"/>
    <sheet name="收益法 (元)" sheetId="67" state="hidden" r:id="rId30"/>
    <sheet name="基准地价修正" sheetId="43" r:id="rId31"/>
    <sheet name="收益法 (库房)" sheetId="81" r:id="rId32"/>
    <sheet name="酒店收入计算" sheetId="66" state="hidden" r:id="rId33"/>
    <sheet name="比较法-住宅" sheetId="21" state="hidden" r:id="rId34"/>
    <sheet name="比较法-办公" sheetId="34" state="hidden" r:id="rId35"/>
    <sheet name="比较法-工业" sheetId="37" state="hidden" r:id="rId36"/>
    <sheet name="比较法-车位" sheetId="35" r:id="rId37"/>
    <sheet name="收益法 (地下车库)" sheetId="82" r:id="rId38"/>
    <sheet name="比较法-仓储" sheetId="36" state="hidden" r:id="rId39"/>
    <sheet name="案例" sheetId="78" r:id="rId40"/>
    <sheet name="收益法（汇总）" sheetId="70"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84" r:id="rId53"/>
  </sheets>
  <definedNames>
    <definedName name="_xlnm._FilterDatabase" localSheetId="34" hidden="1">'比较法-办公'!$A$1:$L$50</definedName>
    <definedName name="_xlnm._FilterDatabase" localSheetId="38"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 (一层租金)'!$A$1:$L$49</definedName>
    <definedName name="_xlnm._FilterDatabase" localSheetId="22" hidden="1">'比较法-商业1层'!$A$1:$L$49</definedName>
    <definedName name="_xlnm._FilterDatabase" localSheetId="33"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37">'收益法 (地下车库)'!$A$1:$AK$69</definedName>
    <definedName name="_xlnm.Print_Area" localSheetId="31">'收益法 (库房)'!$A$1:$AK$69</definedName>
    <definedName name="_xlnm.Print_Area" localSheetId="2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 (一层租金)'!$B$116:$M$116</definedName>
    <definedName name="商业层高">'比较法-商业1层'!$B$116:$M$116</definedName>
    <definedName name="商业成新度" localSheetId="23">'比较法-商业 (一层租金)'!$B$109:$M$109</definedName>
    <definedName name="商业成新度">'比较法-商业1层'!$B$109:$M$109</definedName>
    <definedName name="商业繁华度">定义!$L$1:$L$6</definedName>
    <definedName name="商业公共部分装修" localSheetId="23">'比较法-商业 (一层租金)'!$B$107:$M$107</definedName>
    <definedName name="商业公共部分装修">'比较法-商业1层'!$B$107:$M$107</definedName>
    <definedName name="商业基础设施水平" localSheetId="23">'比较法-商业 (一层租金)'!$B$112:$M$112</definedName>
    <definedName name="商业基础设施水平">'比较法-商业1层'!$B$112:$M$112</definedName>
    <definedName name="商业建筑结构" localSheetId="23">'比较法-商业 (一层租金)'!$B$105:$M$105</definedName>
    <definedName name="商业建筑结构">'比较法-商业1层'!$B$105:$M$105</definedName>
    <definedName name="商业交易情况" localSheetId="23">'比较法-商业 (一层租金)'!$A$61:$M$61</definedName>
    <definedName name="商业交易情况">'比较法-商业1层'!$A$61:$M$61</definedName>
    <definedName name="商业街名称">修正!$C$59:$C$119</definedName>
    <definedName name="商业进深比" localSheetId="23">'比较法-商业 (一层租金)'!$B$120:$M$120</definedName>
    <definedName name="商业进深比">'比较法-商业1层'!$B$120:$M$120</definedName>
    <definedName name="商业类型" localSheetId="23">'比较法-商业 (一层租金)'!$B$100:$M$100</definedName>
    <definedName name="商业类型">'比较法-商业1层'!$B$100:$M$100</definedName>
    <definedName name="商业临街状况" localSheetId="23">'比较法-商业 (一层租金)'!$B$86:$M$86</definedName>
    <definedName name="商业临街状况">'比较法-商业1层'!$B$86:$M$86</definedName>
    <definedName name="商业楼层" localSheetId="23">'比较法-商业 (一层租金)'!$B$92:$M$92</definedName>
    <definedName name="商业楼层">'比较法-商业1层'!$B$92:$M$92</definedName>
    <definedName name="商业内部装修" localSheetId="23">'比较法-商业 (一层租金)'!$B$122:$M$122</definedName>
    <definedName name="商业内部装修">'比较法-商业1层'!$B$122:$M$122</definedName>
    <definedName name="商业人流量" localSheetId="23">'比较法-商业 (一层租金)'!$B$90:$M$90</definedName>
    <definedName name="商业人流量">'比较法-商业1层'!$B$90:$M$90</definedName>
    <definedName name="商业业态" localSheetId="23">'比较法-商业 (一层租金)'!$B$114:$M$114</definedName>
    <definedName name="商业业态">'比较法-商业1层'!$B$114:$M$114</definedName>
    <definedName name="商业用途" localSheetId="23">'比较法-商业 (一层租金)'!$B$63:$M$63</definedName>
    <definedName name="商业用途">'比较法-商业1层'!$B$63:$M$63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37" i="77" l="1"/>
  <c r="L38" i="77"/>
  <c r="L39" i="77"/>
  <c r="L36" i="77"/>
  <c r="P4" i="77"/>
  <c r="P5" i="77"/>
  <c r="L40" i="77"/>
  <c r="J39" i="77"/>
  <c r="J38" i="77"/>
  <c r="J37" i="77"/>
  <c r="K39" i="77"/>
  <c r="K38" i="77"/>
  <c r="K37" i="77"/>
  <c r="I40" i="77"/>
  <c r="I39" i="77"/>
  <c r="I38" i="77"/>
  <c r="I37" i="77"/>
  <c r="I36" i="77"/>
  <c r="Q3" i="77" l="1"/>
  <c r="Q4" i="77"/>
  <c r="Q6" i="77" s="1"/>
  <c r="R6" i="77" s="1"/>
  <c r="S6" i="77" s="1"/>
  <c r="Q5" i="77"/>
  <c r="Q2" i="77"/>
  <c r="O5" i="77"/>
  <c r="O4" i="77"/>
  <c r="P3" i="77"/>
  <c r="O3" i="77"/>
  <c r="R6" i="1" l="1"/>
  <c r="E111" i="85"/>
  <c r="H111" i="85"/>
  <c r="D126" i="85"/>
  <c r="D127" i="85"/>
  <c r="A126" i="85"/>
  <c r="E109" i="85"/>
  <c r="H109" i="85"/>
  <c r="D124" i="85"/>
  <c r="D125" i="85"/>
  <c r="A124" i="85"/>
  <c r="E107" i="85"/>
  <c r="C17" i="85"/>
  <c r="D17" i="85"/>
  <c r="C18" i="85"/>
  <c r="D18" i="85"/>
  <c r="C24" i="85"/>
  <c r="H105" i="85"/>
  <c r="H106" i="85"/>
  <c r="H103" i="85"/>
  <c r="A122" i="85"/>
  <c r="D120" i="85"/>
  <c r="D121" i="85"/>
  <c r="A120" i="85"/>
  <c r="K120" i="85"/>
  <c r="M18" i="85"/>
  <c r="B118" i="85"/>
  <c r="M19" i="85"/>
  <c r="C118" i="85"/>
  <c r="A118" i="85"/>
  <c r="H112" i="85"/>
  <c r="H110" i="85"/>
  <c r="H104" i="85"/>
  <c r="D101" i="85"/>
  <c r="C101" i="85"/>
  <c r="D89" i="85"/>
  <c r="C89" i="85"/>
  <c r="C87" i="85"/>
  <c r="C91" i="85"/>
  <c r="C92" i="85"/>
  <c r="D93" i="85"/>
  <c r="C94" i="85"/>
  <c r="E90" i="85"/>
  <c r="C76" i="85"/>
  <c r="D77" i="85"/>
  <c r="C77" i="85"/>
  <c r="C74" i="85"/>
  <c r="D78" i="85"/>
  <c r="H77" i="85"/>
  <c r="D68" i="85"/>
  <c r="D48" i="85"/>
  <c r="M52" i="85"/>
  <c r="I55" i="85"/>
  <c r="D59" i="85"/>
  <c r="M55" i="85"/>
  <c r="M56" i="85"/>
  <c r="J55" i="85"/>
  <c r="J56" i="85"/>
  <c r="J57" i="85"/>
  <c r="J59" i="85"/>
  <c r="J61" i="85"/>
  <c r="F59" i="85"/>
  <c r="E59" i="85"/>
  <c r="N56" i="85"/>
  <c r="K56" i="85"/>
  <c r="F56" i="85"/>
  <c r="O55" i="85"/>
  <c r="N55" i="85"/>
  <c r="K55" i="85"/>
  <c r="F55" i="85"/>
  <c r="O54" i="85"/>
  <c r="N54" i="85"/>
  <c r="F54" i="85"/>
  <c r="O53" i="85"/>
  <c r="N53" i="85"/>
  <c r="F53" i="85"/>
  <c r="F48" i="85"/>
  <c r="O52" i="85"/>
  <c r="E48" i="85"/>
  <c r="N52" i="85"/>
  <c r="F52" i="85"/>
  <c r="K49" i="85"/>
  <c r="M47" i="85"/>
  <c r="F33" i="85"/>
  <c r="D27" i="85"/>
  <c r="C25" i="85"/>
  <c r="L19" i="85"/>
  <c r="L18" i="85"/>
  <c r="L4" i="85"/>
  <c r="K4" i="85"/>
  <c r="A2" i="85"/>
  <c r="H1" i="85"/>
  <c r="C17" i="9"/>
  <c r="D17" i="9"/>
  <c r="C18" i="9"/>
  <c r="D18" i="9"/>
  <c r="M18" i="9"/>
  <c r="B118" i="9"/>
  <c r="G17" i="43"/>
  <c r="H17" i="43"/>
  <c r="I17" i="43"/>
  <c r="J17" i="43"/>
  <c r="C16" i="43"/>
  <c r="C5" i="43"/>
  <c r="D5" i="43"/>
  <c r="F34" i="68"/>
  <c r="R11" i="1"/>
  <c r="R10" i="1"/>
  <c r="M11" i="1"/>
  <c r="M10" i="1"/>
  <c r="M16" i="1"/>
  <c r="N16" i="1"/>
  <c r="F50" i="68"/>
  <c r="M10" i="77"/>
  <c r="M5" i="77"/>
  <c r="M4" i="77"/>
  <c r="M3" i="77"/>
  <c r="M2" i="77"/>
  <c r="L369" i="77"/>
  <c r="J367" i="77"/>
  <c r="L4" i="77"/>
  <c r="J9" i="77"/>
  <c r="J6" i="77"/>
  <c r="J3" i="77"/>
  <c r="I9" i="77"/>
  <c r="I6" i="77"/>
  <c r="I3" i="77"/>
  <c r="I2" i="77"/>
  <c r="M33" i="77"/>
  <c r="L33" i="77"/>
  <c r="K33" i="77"/>
  <c r="J33" i="77"/>
  <c r="I33" i="77"/>
  <c r="K2" i="77"/>
  <c r="K3" i="77"/>
  <c r="K6" i="77"/>
  <c r="K9" i="77"/>
  <c r="J368" i="77"/>
  <c r="L5" i="77"/>
  <c r="J369" i="77"/>
  <c r="L7" i="77"/>
  <c r="J370" i="77"/>
  <c r="L8" i="77"/>
  <c r="L9" i="77"/>
  <c r="M9" i="77"/>
  <c r="C33" i="33"/>
  <c r="F33" i="33"/>
  <c r="AA33" i="33"/>
  <c r="D81" i="33"/>
  <c r="F19" i="33"/>
  <c r="AA19" i="33"/>
  <c r="E47" i="33"/>
  <c r="R47" i="33"/>
  <c r="B2" i="1"/>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F21" i="33"/>
  <c r="AA21" i="33"/>
  <c r="D85" i="33"/>
  <c r="E85" i="33"/>
  <c r="F23" i="33"/>
  <c r="AA23" i="33"/>
  <c r="F25" i="33"/>
  <c r="AA25" i="33"/>
  <c r="B88" i="33"/>
  <c r="F26" i="33"/>
  <c r="AA26" i="33"/>
  <c r="B90" i="33"/>
  <c r="D91" i="33"/>
  <c r="E91" i="33"/>
  <c r="F27" i="33"/>
  <c r="AA27" i="33"/>
  <c r="B92" i="33"/>
  <c r="F28" i="33"/>
  <c r="AA28" i="33"/>
  <c r="B94" i="33"/>
  <c r="F29" i="33"/>
  <c r="AA29" i="33"/>
  <c r="B96" i="33"/>
  <c r="F30" i="33"/>
  <c r="AA30" i="33"/>
  <c r="B98" i="33"/>
  <c r="F31" i="33"/>
  <c r="AA31" i="33"/>
  <c r="D101" i="33"/>
  <c r="E101" i="33"/>
  <c r="F32" i="33"/>
  <c r="AA32"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H33" i="33"/>
  <c r="AB33" i="33"/>
  <c r="H19" i="33"/>
  <c r="AB19" i="33"/>
  <c r="G47" i="33"/>
  <c r="T47" i="33"/>
  <c r="G7" i="33"/>
  <c r="H7" i="33"/>
  <c r="AB7" i="33"/>
  <c r="H8" i="33"/>
  <c r="AB8" i="33"/>
  <c r="H9" i="33"/>
  <c r="AB9" i="33"/>
  <c r="H10" i="33"/>
  <c r="AB10" i="33"/>
  <c r="H11" i="33"/>
  <c r="AB11" i="33"/>
  <c r="H12" i="33"/>
  <c r="AB12" i="33"/>
  <c r="H13" i="33"/>
  <c r="AB13" i="33"/>
  <c r="H14" i="33"/>
  <c r="AB14" i="33"/>
  <c r="H15" i="33"/>
  <c r="AB15" i="33"/>
  <c r="H17" i="33"/>
  <c r="AB17"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J33" i="33"/>
  <c r="AC33" i="33"/>
  <c r="J19" i="33"/>
  <c r="AC19" i="33"/>
  <c r="I47" i="33"/>
  <c r="V47" i="33"/>
  <c r="I7" i="33"/>
  <c r="J7" i="33"/>
  <c r="AC7" i="33"/>
  <c r="J8" i="33"/>
  <c r="AC8" i="33"/>
  <c r="J9" i="33"/>
  <c r="AC9" i="33"/>
  <c r="J10" i="33"/>
  <c r="AC10" i="33"/>
  <c r="J11" i="33"/>
  <c r="AC11" i="33"/>
  <c r="J12" i="33"/>
  <c r="AC12" i="33"/>
  <c r="J13" i="33"/>
  <c r="AC13" i="33"/>
  <c r="J14" i="33"/>
  <c r="AC14" i="33"/>
  <c r="J15" i="33"/>
  <c r="AC15" i="33"/>
  <c r="J17" i="33"/>
  <c r="AC17"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33" i="79"/>
  <c r="F33" i="79"/>
  <c r="AA33" i="79"/>
  <c r="D81" i="79"/>
  <c r="F19" i="79"/>
  <c r="AA19" i="79"/>
  <c r="E47" i="79"/>
  <c r="R47" i="79"/>
  <c r="C7" i="79"/>
  <c r="E7" i="79"/>
  <c r="C58" i="79"/>
  <c r="D58" i="79"/>
  <c r="E58" i="79"/>
  <c r="F58" i="79"/>
  <c r="G58" i="79"/>
  <c r="H58" i="79"/>
  <c r="I58" i="79"/>
  <c r="J58" i="79"/>
  <c r="K58" i="79"/>
  <c r="L58" i="79"/>
  <c r="M58" i="79"/>
  <c r="N58" i="79"/>
  <c r="O58" i="79"/>
  <c r="F7" i="79"/>
  <c r="AA7" i="79"/>
  <c r="F8" i="79"/>
  <c r="AA8" i="79"/>
  <c r="C63" i="79"/>
  <c r="F9" i="79"/>
  <c r="AA9" i="79"/>
  <c r="F10" i="79"/>
  <c r="AA10" i="79"/>
  <c r="F11" i="79"/>
  <c r="AA11" i="79"/>
  <c r="B70" i="79"/>
  <c r="F12" i="79"/>
  <c r="AA12" i="79"/>
  <c r="B72" i="79"/>
  <c r="F13" i="79"/>
  <c r="AA13" i="79"/>
  <c r="B74" i="79"/>
  <c r="F14" i="79"/>
  <c r="AA14" i="79"/>
  <c r="D77" i="79"/>
  <c r="E77" i="79"/>
  <c r="F15" i="79"/>
  <c r="AA15" i="79"/>
  <c r="D79" i="79"/>
  <c r="F17" i="79"/>
  <c r="AA17" i="79"/>
  <c r="F21" i="79"/>
  <c r="AA21" i="79"/>
  <c r="D85" i="79"/>
  <c r="E85" i="79"/>
  <c r="F23" i="79"/>
  <c r="AA23" i="79"/>
  <c r="F25" i="79"/>
  <c r="AA25" i="79"/>
  <c r="B88" i="79"/>
  <c r="F26" i="79"/>
  <c r="AA26" i="79"/>
  <c r="B90" i="79"/>
  <c r="D91" i="79"/>
  <c r="E91" i="79"/>
  <c r="F27" i="79"/>
  <c r="AA27" i="79"/>
  <c r="B92" i="79"/>
  <c r="F28" i="79"/>
  <c r="AA28" i="79"/>
  <c r="B94" i="79"/>
  <c r="F29" i="79"/>
  <c r="AA29" i="79"/>
  <c r="B96" i="79"/>
  <c r="F30" i="79"/>
  <c r="AA30" i="79"/>
  <c r="B98" i="79"/>
  <c r="F31" i="79"/>
  <c r="AA31" i="79"/>
  <c r="D101" i="79"/>
  <c r="E101" i="79"/>
  <c r="F101" i="79"/>
  <c r="F32" i="79"/>
  <c r="AA32" i="79"/>
  <c r="F34" i="79"/>
  <c r="AA34" i="79"/>
  <c r="F35" i="79"/>
  <c r="AA35" i="79"/>
  <c r="E36" i="79"/>
  <c r="D111" i="79"/>
  <c r="E111" i="79"/>
  <c r="F111" i="79"/>
  <c r="G111" i="79"/>
  <c r="C36" i="79"/>
  <c r="F36" i="79"/>
  <c r="AA36" i="79"/>
  <c r="D113" i="79"/>
  <c r="F37" i="79"/>
  <c r="AA37" i="79"/>
  <c r="F38" i="79"/>
  <c r="AA38" i="79"/>
  <c r="D117" i="79"/>
  <c r="F39" i="79"/>
  <c r="AA39" i="79"/>
  <c r="F40" i="79"/>
  <c r="AA40" i="79"/>
  <c r="F41" i="79"/>
  <c r="AA41" i="79"/>
  <c r="D123" i="79"/>
  <c r="E123" i="79"/>
  <c r="F123" i="79"/>
  <c r="F42" i="79"/>
  <c r="AA42" i="79"/>
  <c r="D125" i="79"/>
  <c r="F43" i="79"/>
  <c r="AA43" i="79"/>
  <c r="B126" i="79"/>
  <c r="F44" i="79"/>
  <c r="AA44" i="79"/>
  <c r="B128" i="79"/>
  <c r="F45" i="79"/>
  <c r="AA45" i="79"/>
  <c r="B130" i="79"/>
  <c r="F46" i="79"/>
  <c r="AA46" i="79"/>
  <c r="R48" i="79"/>
  <c r="H33" i="79"/>
  <c r="AB33" i="79"/>
  <c r="H19" i="79"/>
  <c r="AB19" i="79"/>
  <c r="G47" i="79"/>
  <c r="T47" i="79"/>
  <c r="G7" i="79"/>
  <c r="H7" i="79"/>
  <c r="AB7" i="79"/>
  <c r="H8" i="79"/>
  <c r="AB8" i="79"/>
  <c r="H9" i="79"/>
  <c r="AB9" i="79"/>
  <c r="H10" i="79"/>
  <c r="AB10" i="79"/>
  <c r="H11" i="79"/>
  <c r="AB11" i="79"/>
  <c r="H12" i="79"/>
  <c r="AB12" i="79"/>
  <c r="H13" i="79"/>
  <c r="AB13" i="79"/>
  <c r="H14" i="79"/>
  <c r="AB14" i="79"/>
  <c r="H15" i="79"/>
  <c r="AB15" i="79"/>
  <c r="H17" i="79"/>
  <c r="AB17" i="79"/>
  <c r="H21" i="79"/>
  <c r="AB21" i="79"/>
  <c r="H23" i="79"/>
  <c r="AB23" i="79"/>
  <c r="H25" i="79"/>
  <c r="AB25" i="79"/>
  <c r="H26" i="79"/>
  <c r="AB26" i="79"/>
  <c r="H27" i="79"/>
  <c r="AB27" i="79"/>
  <c r="H28" i="79"/>
  <c r="AB28" i="79"/>
  <c r="H29" i="79"/>
  <c r="AB29" i="79"/>
  <c r="H30" i="79"/>
  <c r="AB30" i="79"/>
  <c r="H31" i="79"/>
  <c r="AB31" i="79"/>
  <c r="H32" i="79"/>
  <c r="AB32" i="79"/>
  <c r="H34" i="79"/>
  <c r="AB34" i="79"/>
  <c r="H35" i="79"/>
  <c r="AB35" i="79"/>
  <c r="G36" i="79"/>
  <c r="H36" i="79"/>
  <c r="AB36" i="79"/>
  <c r="H37" i="79"/>
  <c r="AB37" i="79"/>
  <c r="H38" i="79"/>
  <c r="AB38" i="79"/>
  <c r="H39" i="79"/>
  <c r="AB39" i="79"/>
  <c r="H40" i="79"/>
  <c r="AB40" i="79"/>
  <c r="H41" i="79"/>
  <c r="AB41" i="79"/>
  <c r="H42" i="79"/>
  <c r="AB42" i="79"/>
  <c r="H43" i="79"/>
  <c r="AB43" i="79"/>
  <c r="H44" i="79"/>
  <c r="AB44" i="79"/>
  <c r="H45" i="79"/>
  <c r="AB45" i="79"/>
  <c r="H46" i="79"/>
  <c r="AB46" i="79"/>
  <c r="T48" i="79"/>
  <c r="J33" i="79"/>
  <c r="AC33" i="79"/>
  <c r="J19" i="79"/>
  <c r="AC19" i="79"/>
  <c r="I47" i="79"/>
  <c r="V47" i="79"/>
  <c r="I7" i="79"/>
  <c r="J7" i="79"/>
  <c r="AC7" i="79"/>
  <c r="J8" i="79"/>
  <c r="AC8" i="79"/>
  <c r="J9" i="79"/>
  <c r="AC9" i="79"/>
  <c r="J10" i="79"/>
  <c r="AC10" i="79"/>
  <c r="J11" i="79"/>
  <c r="AC11" i="79"/>
  <c r="J12" i="79"/>
  <c r="AC12" i="79"/>
  <c r="J13" i="79"/>
  <c r="AC13" i="79"/>
  <c r="J14" i="79"/>
  <c r="AC14" i="79"/>
  <c r="J15" i="79"/>
  <c r="AC15" i="79"/>
  <c r="J17" i="79"/>
  <c r="AC17" i="79"/>
  <c r="J21" i="79"/>
  <c r="AC21" i="79"/>
  <c r="J23" i="79"/>
  <c r="AC23" i="79"/>
  <c r="J25" i="79"/>
  <c r="AC25" i="79"/>
  <c r="J26" i="79"/>
  <c r="AC26" i="79"/>
  <c r="J27" i="79"/>
  <c r="AC27" i="79"/>
  <c r="J28" i="79"/>
  <c r="AC28" i="79"/>
  <c r="J29" i="79"/>
  <c r="AC29" i="79"/>
  <c r="J30" i="79"/>
  <c r="AC30" i="79"/>
  <c r="J31" i="79"/>
  <c r="AC31" i="79"/>
  <c r="J32" i="79"/>
  <c r="AC32" i="79"/>
  <c r="J34" i="79"/>
  <c r="AC34" i="79"/>
  <c r="J35" i="79"/>
  <c r="AC35" i="79"/>
  <c r="I36"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B3" i="79"/>
  <c r="U6" i="1"/>
  <c r="A6" i="1"/>
  <c r="G1" i="15"/>
  <c r="F19" i="6"/>
  <c r="E19" i="6"/>
  <c r="K6" i="1"/>
  <c r="C1" i="73"/>
  <c r="L1" i="73"/>
  <c r="B43" i="1"/>
  <c r="B41" i="1"/>
  <c r="F32" i="15"/>
  <c r="C42" i="1"/>
  <c r="F33" i="15"/>
  <c r="M11" i="77"/>
  <c r="N11" i="77"/>
  <c r="A3" i="3"/>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K16" i="3"/>
  <c r="BC16" i="3"/>
  <c r="M16" i="3"/>
  <c r="BD16" i="3"/>
  <c r="O16" i="3"/>
  <c r="BE16" i="3"/>
  <c r="BB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F20" i="6"/>
  <c r="E20" i="6"/>
  <c r="G21" i="6"/>
  <c r="E21" i="6"/>
  <c r="G22" i="6"/>
  <c r="E22" i="6"/>
  <c r="M7" i="77"/>
  <c r="G23" i="6"/>
  <c r="E23" i="6"/>
  <c r="M8" i="77"/>
  <c r="G24" i="6"/>
  <c r="E24" i="6"/>
  <c r="BA5" i="3"/>
  <c r="E25" i="6"/>
  <c r="E26" i="6"/>
  <c r="E27" i="6"/>
  <c r="BQ5" i="3"/>
  <c r="BS5" i="3"/>
  <c r="F28" i="6"/>
  <c r="BR5" i="3"/>
  <c r="BT5" i="3"/>
  <c r="G28" i="6"/>
  <c r="E28" i="6"/>
  <c r="K19" i="6"/>
  <c r="L19" i="6"/>
  <c r="M19" i="6"/>
  <c r="I19" i="6"/>
  <c r="H19" i="6"/>
  <c r="R19" i="6"/>
  <c r="B58" i="1"/>
  <c r="B52" i="1"/>
  <c r="F34" i="15"/>
  <c r="M6" i="1"/>
  <c r="S6" i="1"/>
  <c r="T6" i="1"/>
  <c r="F15" i="15"/>
  <c r="F17" i="15"/>
  <c r="F18" i="15"/>
  <c r="F20" i="15"/>
  <c r="J1" i="73"/>
  <c r="B22" i="1"/>
  <c r="E1" i="73"/>
  <c r="K1" i="73"/>
  <c r="F23" i="15"/>
  <c r="F21" i="15"/>
  <c r="F28" i="15"/>
  <c r="C28" i="15"/>
  <c r="Y6" i="1"/>
  <c r="E15" i="4"/>
  <c r="F6" i="1"/>
  <c r="M47" i="15"/>
  <c r="J50" i="15"/>
  <c r="J51" i="15"/>
  <c r="B25" i="31"/>
  <c r="B24" i="31"/>
  <c r="C25" i="31"/>
  <c r="E25" i="31"/>
  <c r="D8" i="31"/>
  <c r="E8" i="31"/>
  <c r="G25" i="31"/>
  <c r="D10" i="31"/>
  <c r="E10" i="31"/>
  <c r="I25" i="31"/>
  <c r="K25" i="31"/>
  <c r="M25" i="31"/>
  <c r="O25" i="31"/>
  <c r="Q25" i="31"/>
  <c r="B26" i="31"/>
  <c r="C26" i="31"/>
  <c r="D6" i="31"/>
  <c r="E26" i="31"/>
  <c r="F8" i="31"/>
  <c r="G26" i="31"/>
  <c r="F10" i="31"/>
  <c r="I26" i="31"/>
  <c r="K26" i="31"/>
  <c r="M26" i="31"/>
  <c r="O26" i="31"/>
  <c r="Q26" i="31"/>
  <c r="B27" i="31"/>
  <c r="C27" i="31"/>
  <c r="E27" i="31"/>
  <c r="G8" i="31"/>
  <c r="G27" i="31"/>
  <c r="G10" i="31"/>
  <c r="I27" i="31"/>
  <c r="K27" i="31"/>
  <c r="M27" i="31"/>
  <c r="O27" i="31"/>
  <c r="Q27" i="31"/>
  <c r="C31" i="35"/>
  <c r="F31" i="35"/>
  <c r="AA31" i="35"/>
  <c r="D66" i="35"/>
  <c r="F16" i="35"/>
  <c r="AA16" i="35"/>
  <c r="R37" i="35"/>
  <c r="C7" i="35"/>
  <c r="E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F18" i="35"/>
  <c r="AA18" i="35"/>
  <c r="D70" i="35"/>
  <c r="E70" i="35"/>
  <c r="F20" i="35"/>
  <c r="AA20" i="35"/>
  <c r="D72" i="35"/>
  <c r="F22" i="35"/>
  <c r="AA22" i="35"/>
  <c r="B73" i="35"/>
  <c r="F23" i="35"/>
  <c r="AA23" i="35"/>
  <c r="B75" i="35"/>
  <c r="F24" i="35"/>
  <c r="AA24" i="35"/>
  <c r="B77" i="35"/>
  <c r="F25" i="35"/>
  <c r="AA25" i="35"/>
  <c r="C26" i="35"/>
  <c r="C79" i="35"/>
  <c r="F26" i="35"/>
  <c r="AA26" i="35"/>
  <c r="F27" i="35"/>
  <c r="AA27" i="35"/>
  <c r="F28" i="35"/>
  <c r="AA28" i="35"/>
  <c r="E29" i="35"/>
  <c r="D87" i="35"/>
  <c r="E87" i="35"/>
  <c r="F87" i="35"/>
  <c r="G87" i="35"/>
  <c r="N10" i="1"/>
  <c r="Y10" i="1"/>
  <c r="C29" i="35"/>
  <c r="F29" i="35"/>
  <c r="AA29" i="35"/>
  <c r="F30" i="35"/>
  <c r="AA30" i="35"/>
  <c r="F32" i="35"/>
  <c r="AA32" i="35"/>
  <c r="F33" i="35"/>
  <c r="AA33" i="35"/>
  <c r="B97" i="35"/>
  <c r="F34" i="35"/>
  <c r="AA34" i="35"/>
  <c r="B99" i="35"/>
  <c r="F35" i="35"/>
  <c r="AA35" i="35"/>
  <c r="B101" i="35"/>
  <c r="F36" i="35"/>
  <c r="AA36" i="35"/>
  <c r="R38" i="35"/>
  <c r="H31" i="35"/>
  <c r="AB31" i="35"/>
  <c r="H16" i="35"/>
  <c r="AB16" i="35"/>
  <c r="T37" i="35"/>
  <c r="G7" i="35"/>
  <c r="H7" i="35"/>
  <c r="AB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G29" i="35"/>
  <c r="H29" i="35"/>
  <c r="AB29" i="35"/>
  <c r="H30" i="35"/>
  <c r="AB30" i="35"/>
  <c r="D94" i="35"/>
  <c r="H32" i="35"/>
  <c r="AB32" i="35"/>
  <c r="H33" i="35"/>
  <c r="AB33" i="35"/>
  <c r="H34" i="35"/>
  <c r="AB34" i="35"/>
  <c r="H35" i="35"/>
  <c r="AB35" i="35"/>
  <c r="H36" i="35"/>
  <c r="AB36" i="35"/>
  <c r="T38" i="35"/>
  <c r="J31" i="35"/>
  <c r="AC31" i="35"/>
  <c r="J16" i="35"/>
  <c r="AC16" i="35"/>
  <c r="V37" i="35"/>
  <c r="I7" i="35"/>
  <c r="J7" i="35"/>
  <c r="AC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I29" i="35"/>
  <c r="J29" i="35"/>
  <c r="AC29" i="35"/>
  <c r="J30" i="35"/>
  <c r="AC30" i="35"/>
  <c r="J32" i="35"/>
  <c r="AC32" i="35"/>
  <c r="J33" i="35"/>
  <c r="AC33" i="35"/>
  <c r="J34" i="35"/>
  <c r="AC34" i="35"/>
  <c r="J35" i="35"/>
  <c r="AC35" i="35"/>
  <c r="J36" i="35"/>
  <c r="AC36" i="35"/>
  <c r="V38" i="35"/>
  <c r="R39" i="35"/>
  <c r="C39" i="35"/>
  <c r="A7" i="1"/>
  <c r="A8" i="1"/>
  <c r="A9" i="1"/>
  <c r="A10" i="1"/>
  <c r="A11" i="1"/>
  <c r="A12" i="1"/>
  <c r="A13" i="1"/>
  <c r="F3" i="35"/>
  <c r="B2" i="35"/>
  <c r="G1" i="82"/>
  <c r="F32" i="82"/>
  <c r="F33" i="82"/>
  <c r="D23" i="6"/>
  <c r="K23" i="6"/>
  <c r="L23" i="6"/>
  <c r="M23" i="6"/>
  <c r="I23" i="6"/>
  <c r="H23" i="6"/>
  <c r="R23" i="6"/>
  <c r="F34" i="82"/>
  <c r="K10" i="1"/>
  <c r="S10" i="1"/>
  <c r="T10" i="1"/>
  <c r="F15" i="82"/>
  <c r="F17" i="82"/>
  <c r="F18" i="82"/>
  <c r="F20" i="82"/>
  <c r="F23" i="82"/>
  <c r="F21" i="82"/>
  <c r="F28" i="82"/>
  <c r="C28" i="82"/>
  <c r="G13" i="4"/>
  <c r="G15" i="4"/>
  <c r="F10" i="1"/>
  <c r="M47" i="82"/>
  <c r="J50" i="82"/>
  <c r="J51" i="82"/>
  <c r="C17" i="83"/>
  <c r="D17" i="83"/>
  <c r="C18" i="83"/>
  <c r="D18" i="83"/>
  <c r="J20" i="43"/>
  <c r="F15" i="4"/>
  <c r="F12" i="1"/>
  <c r="F11" i="1"/>
  <c r="I20" i="43"/>
  <c r="I7" i="6"/>
  <c r="G3" i="43"/>
  <c r="E22" i="43"/>
  <c r="G22" i="43"/>
  <c r="G2" i="43"/>
  <c r="F22" i="43"/>
  <c r="H22" i="43"/>
  <c r="D22" i="43"/>
  <c r="C21" i="43"/>
  <c r="C18" i="43"/>
  <c r="I2" i="43"/>
  <c r="N5" i="43"/>
  <c r="F59" i="43"/>
  <c r="H65" i="43"/>
  <c r="G65" i="43"/>
  <c r="K65" i="43"/>
  <c r="D65" i="43"/>
  <c r="H59" i="43"/>
  <c r="G59" i="43"/>
  <c r="K59" i="43"/>
  <c r="D59" i="43"/>
  <c r="H60" i="43"/>
  <c r="G60" i="43"/>
  <c r="K60" i="43"/>
  <c r="D60" i="43"/>
  <c r="H61" i="43"/>
  <c r="G61" i="43"/>
  <c r="K61" i="43"/>
  <c r="D61" i="43"/>
  <c r="D62" i="43"/>
  <c r="D63" i="43"/>
  <c r="D64" i="43"/>
  <c r="H66" i="43"/>
  <c r="G66" i="43"/>
  <c r="K66" i="43"/>
  <c r="J66" i="43"/>
  <c r="D66" i="43"/>
  <c r="D67" i="43"/>
  <c r="E59" i="43"/>
  <c r="B57" i="43"/>
  <c r="C24" i="43"/>
  <c r="M5" i="43"/>
  <c r="C6" i="43"/>
  <c r="C17"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F33" i="43"/>
  <c r="F34" i="43"/>
  <c r="F35" i="43"/>
  <c r="F36" i="43"/>
  <c r="F37" i="43"/>
  <c r="F38" i="43"/>
  <c r="D38" i="43"/>
  <c r="F39" i="43"/>
  <c r="F7" i="68"/>
  <c r="G1" i="68"/>
  <c r="E9" i="68"/>
  <c r="K11" i="1"/>
  <c r="K24" i="6"/>
  <c r="S11" i="1"/>
  <c r="E10" i="68"/>
  <c r="C19" i="68"/>
  <c r="F20" i="68"/>
  <c r="B23" i="1"/>
  <c r="F21" i="68"/>
  <c r="C21" i="68"/>
  <c r="F30" i="68"/>
  <c r="C30" i="68"/>
  <c r="B24" i="1"/>
  <c r="T11" i="1"/>
  <c r="F35" i="68"/>
  <c r="E37" i="68"/>
  <c r="F38" i="68"/>
  <c r="C40" i="68"/>
  <c r="C48" i="68"/>
  <c r="K7" i="1"/>
  <c r="M7" i="1"/>
  <c r="K8" i="1"/>
  <c r="M8" i="1"/>
  <c r="K9" i="1"/>
  <c r="M9" i="1"/>
  <c r="K12" i="1"/>
  <c r="M12" i="1"/>
  <c r="K13" i="1"/>
  <c r="M13" i="1"/>
  <c r="K14" i="1"/>
  <c r="M14" i="1"/>
  <c r="N7" i="1"/>
  <c r="N8" i="1"/>
  <c r="N9" i="1"/>
  <c r="N11" i="1"/>
  <c r="G1" i="81"/>
  <c r="F32" i="81"/>
  <c r="F33" i="81"/>
  <c r="D24" i="6"/>
  <c r="L24" i="6"/>
  <c r="M24" i="6"/>
  <c r="I24" i="6"/>
  <c r="H24" i="6"/>
  <c r="R24" i="6"/>
  <c r="F34" i="81"/>
  <c r="F15" i="81"/>
  <c r="F17" i="81"/>
  <c r="F18" i="81"/>
  <c r="F20" i="81"/>
  <c r="F23" i="81"/>
  <c r="F21" i="81"/>
  <c r="F28" i="81"/>
  <c r="C28" i="81"/>
  <c r="Y11" i="1"/>
  <c r="H13" i="4"/>
  <c r="H15" i="4"/>
  <c r="M47" i="81"/>
  <c r="J50" i="81"/>
  <c r="J51" i="81"/>
  <c r="C17" i="80"/>
  <c r="D17" i="80"/>
  <c r="C18" i="80"/>
  <c r="D18" i="80"/>
  <c r="I14" i="77"/>
  <c r="I15" i="77"/>
  <c r="I16" i="77"/>
  <c r="I17" i="77"/>
  <c r="I18" i="77"/>
  <c r="I22" i="77"/>
  <c r="I23" i="77"/>
  <c r="I24" i="77"/>
  <c r="I25" i="77"/>
  <c r="G6" i="84"/>
  <c r="H6" i="84"/>
  <c r="I6" i="84"/>
  <c r="E6" i="84"/>
  <c r="F3" i="84"/>
  <c r="E3" i="84"/>
  <c r="F4" i="84"/>
  <c r="E4" i="84"/>
  <c r="F5" i="84"/>
  <c r="E5" i="84"/>
  <c r="E7" i="84"/>
  <c r="D7" i="84"/>
  <c r="D6" i="84"/>
  <c r="D5" i="84"/>
  <c r="D4" i="84"/>
  <c r="D3" i="84"/>
  <c r="I7" i="84"/>
  <c r="H7" i="84"/>
  <c r="G7" i="84"/>
  <c r="F7" i="84"/>
  <c r="B5" i="4"/>
  <c r="N2" i="77"/>
  <c r="N3" i="77"/>
  <c r="N4" i="77"/>
  <c r="N5" i="77"/>
  <c r="N7" i="77"/>
  <c r="C16" i="74"/>
  <c r="N8" i="77"/>
  <c r="C17" i="74"/>
  <c r="C24" i="83"/>
  <c r="E107" i="83"/>
  <c r="H105" i="83"/>
  <c r="H106" i="83"/>
  <c r="H103" i="83"/>
  <c r="B16" i="74"/>
  <c r="E111" i="83"/>
  <c r="H111" i="83"/>
  <c r="D126" i="83"/>
  <c r="D127" i="83"/>
  <c r="A126" i="83"/>
  <c r="E109" i="83"/>
  <c r="H109" i="83"/>
  <c r="D124" i="83"/>
  <c r="D125" i="83"/>
  <c r="A124" i="83"/>
  <c r="A122" i="83"/>
  <c r="D120" i="83"/>
  <c r="D121" i="83"/>
  <c r="A120" i="83"/>
  <c r="K120" i="83"/>
  <c r="C35" i="83"/>
  <c r="F118" i="83"/>
  <c r="F119" i="83"/>
  <c r="C34" i="83"/>
  <c r="D118" i="83"/>
  <c r="D119" i="83"/>
  <c r="M18" i="83"/>
  <c r="B118" i="83"/>
  <c r="G118" i="83"/>
  <c r="E118" i="83"/>
  <c r="M19" i="83"/>
  <c r="C118" i="83"/>
  <c r="S2" i="4"/>
  <c r="A118" i="83"/>
  <c r="H112" i="83"/>
  <c r="H110" i="83"/>
  <c r="H104" i="83"/>
  <c r="D3" i="35"/>
  <c r="B3" i="35"/>
  <c r="D101" i="83"/>
  <c r="C101" i="83"/>
  <c r="D89" i="83"/>
  <c r="C89" i="83"/>
  <c r="C87" i="83"/>
  <c r="C91" i="83"/>
  <c r="C92" i="83"/>
  <c r="D93" i="83"/>
  <c r="C94" i="83"/>
  <c r="E90" i="83"/>
  <c r="C76" i="83"/>
  <c r="D77" i="83"/>
  <c r="C77" i="83"/>
  <c r="C74" i="83"/>
  <c r="D78" i="83"/>
  <c r="H77" i="83"/>
  <c r="D68" i="83"/>
  <c r="D48" i="83"/>
  <c r="M52" i="83"/>
  <c r="I55" i="83"/>
  <c r="D59" i="83"/>
  <c r="M55" i="83"/>
  <c r="K6" i="4"/>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C25" i="83"/>
  <c r="L19" i="83"/>
  <c r="L18" i="83"/>
  <c r="L4" i="83"/>
  <c r="K4" i="83"/>
  <c r="A2" i="83"/>
  <c r="H1" i="83"/>
  <c r="D115" i="79"/>
  <c r="D10" i="1"/>
  <c r="K59" i="82"/>
  <c r="P74" i="82"/>
  <c r="Q72" i="82"/>
  <c r="F60" i="82"/>
  <c r="F61" i="82"/>
  <c r="F62" i="82"/>
  <c r="P61" i="82"/>
  <c r="Q59" i="82"/>
  <c r="F59" i="82"/>
  <c r="Q58" i="82"/>
  <c r="Q51" i="82"/>
  <c r="D46" i="82"/>
  <c r="F31" i="82"/>
  <c r="AG10" i="1"/>
  <c r="M18" i="82"/>
  <c r="M19" i="82"/>
  <c r="M20" i="82"/>
  <c r="D24" i="82"/>
  <c r="D23" i="82"/>
  <c r="D22" i="82"/>
  <c r="M17" i="82"/>
  <c r="C24" i="80"/>
  <c r="E107" i="80"/>
  <c r="H105" i="80"/>
  <c r="H106" i="80"/>
  <c r="H103" i="80"/>
  <c r="B17" i="74"/>
  <c r="D11" i="1"/>
  <c r="K59" i="81"/>
  <c r="P74" i="81"/>
  <c r="Q72" i="81"/>
  <c r="F60" i="81"/>
  <c r="F61" i="81"/>
  <c r="F62" i="81"/>
  <c r="P61" i="81"/>
  <c r="Q59" i="81"/>
  <c r="F59" i="81"/>
  <c r="Q58" i="81"/>
  <c r="Q51" i="81"/>
  <c r="D46" i="81"/>
  <c r="F31" i="81"/>
  <c r="AG11" i="1"/>
  <c r="M18" i="81"/>
  <c r="M19" i="81"/>
  <c r="M20" i="81"/>
  <c r="D24" i="81"/>
  <c r="D23" i="81"/>
  <c r="D22" i="81"/>
  <c r="M17" i="81"/>
  <c r="E111" i="80"/>
  <c r="H111" i="80"/>
  <c r="D126" i="80"/>
  <c r="D127" i="80"/>
  <c r="A126" i="80"/>
  <c r="E109" i="80"/>
  <c r="H109" i="80"/>
  <c r="D124" i="80"/>
  <c r="D125" i="80"/>
  <c r="A124" i="80"/>
  <c r="A122" i="80"/>
  <c r="D120" i="80"/>
  <c r="D121" i="80"/>
  <c r="A120" i="80"/>
  <c r="K120" i="80"/>
  <c r="M18" i="80"/>
  <c r="B118" i="80"/>
  <c r="M19" i="80"/>
  <c r="C118" i="80"/>
  <c r="A118" i="80"/>
  <c r="H112" i="80"/>
  <c r="H110" i="80"/>
  <c r="H104" i="80"/>
  <c r="D101" i="80"/>
  <c r="C101" i="80"/>
  <c r="D89" i="80"/>
  <c r="C89" i="80"/>
  <c r="C87" i="80"/>
  <c r="C91" i="80"/>
  <c r="C92" i="80"/>
  <c r="D93" i="80"/>
  <c r="C94" i="80"/>
  <c r="E90" i="80"/>
  <c r="C76" i="80"/>
  <c r="D77" i="80"/>
  <c r="C77" i="80"/>
  <c r="C74" i="80"/>
  <c r="D78" i="80"/>
  <c r="H77" i="80"/>
  <c r="D68" i="80"/>
  <c r="D48" i="80"/>
  <c r="M52" i="80"/>
  <c r="I55" i="80"/>
  <c r="D59" i="80"/>
  <c r="M55" i="80"/>
  <c r="M56" i="80"/>
  <c r="J55" i="80"/>
  <c r="J56" i="80"/>
  <c r="J57" i="80"/>
  <c r="J59" i="80"/>
  <c r="J61" i="80"/>
  <c r="F59" i="80"/>
  <c r="E59" i="80"/>
  <c r="N56" i="80"/>
  <c r="K56" i="80"/>
  <c r="F56" i="80"/>
  <c r="O55" i="80"/>
  <c r="N55" i="80"/>
  <c r="K55" i="80"/>
  <c r="F55" i="80"/>
  <c r="O54" i="80"/>
  <c r="N54" i="80"/>
  <c r="F54" i="80"/>
  <c r="O53" i="80"/>
  <c r="N53" i="80"/>
  <c r="F53" i="80"/>
  <c r="F48" i="80"/>
  <c r="O52" i="80"/>
  <c r="E48" i="80"/>
  <c r="N52" i="80"/>
  <c r="F52" i="80"/>
  <c r="K49" i="80"/>
  <c r="M47" i="80"/>
  <c r="F33" i="80"/>
  <c r="D27" i="80"/>
  <c r="C25" i="80"/>
  <c r="L19" i="80"/>
  <c r="L18" i="80"/>
  <c r="L4" i="80"/>
  <c r="K4" i="80"/>
  <c r="A2" i="80"/>
  <c r="H1" i="80"/>
  <c r="H62" i="43"/>
  <c r="G62" i="43"/>
  <c r="H63" i="43"/>
  <c r="G63" i="43"/>
  <c r="H64" i="43"/>
  <c r="G64" i="43"/>
  <c r="H67" i="43"/>
  <c r="G67" i="43"/>
  <c r="E125" i="79"/>
  <c r="F125" i="79"/>
  <c r="G125" i="79"/>
  <c r="G123" i="79"/>
  <c r="H123" i="79"/>
  <c r="I123" i="79"/>
  <c r="J123" i="79"/>
  <c r="K123" i="79"/>
  <c r="L123" i="79"/>
  <c r="M123" i="79"/>
  <c r="D121" i="79"/>
  <c r="E121" i="79"/>
  <c r="F121" i="79"/>
  <c r="G121" i="79"/>
  <c r="H121" i="79"/>
  <c r="I121" i="79"/>
  <c r="J121" i="79"/>
  <c r="K121" i="79"/>
  <c r="L121" i="79"/>
  <c r="M121" i="79"/>
  <c r="E117" i="79"/>
  <c r="F117" i="79"/>
  <c r="G117" i="79"/>
  <c r="E115" i="79"/>
  <c r="F115" i="79"/>
  <c r="G115" i="79"/>
  <c r="H115" i="79"/>
  <c r="I115" i="79"/>
  <c r="J115" i="79"/>
  <c r="K115" i="79"/>
  <c r="L115" i="79"/>
  <c r="M115" i="79"/>
  <c r="E113" i="79"/>
  <c r="F113" i="79"/>
  <c r="G113" i="79"/>
  <c r="H113" i="79"/>
  <c r="I113" i="79"/>
  <c r="J113" i="79"/>
  <c r="K113" i="79"/>
  <c r="L113" i="79"/>
  <c r="M113"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G101" i="79"/>
  <c r="H101" i="79"/>
  <c r="I101" i="79"/>
  <c r="J101" i="79"/>
  <c r="K101" i="79"/>
  <c r="L101" i="79"/>
  <c r="M101" i="79"/>
  <c r="F91" i="79"/>
  <c r="G91" i="79"/>
  <c r="H91" i="79"/>
  <c r="I91" i="79"/>
  <c r="J91" i="79"/>
  <c r="K91" i="79"/>
  <c r="L91" i="79"/>
  <c r="M91" i="79"/>
  <c r="D87" i="79"/>
  <c r="E87" i="79"/>
  <c r="F87" i="79"/>
  <c r="G87" i="79"/>
  <c r="H87" i="79"/>
  <c r="I87" i="79"/>
  <c r="J87" i="79"/>
  <c r="K87" i="79"/>
  <c r="L87" i="79"/>
  <c r="M87" i="79"/>
  <c r="F85" i="79"/>
  <c r="G85" i="79"/>
  <c r="D83" i="79"/>
  <c r="E83" i="79"/>
  <c r="F83" i="79"/>
  <c r="G83" i="79"/>
  <c r="E81" i="79"/>
  <c r="F81" i="79"/>
  <c r="G81" i="79"/>
  <c r="E79" i="79"/>
  <c r="F79" i="79"/>
  <c r="G79" i="79"/>
  <c r="F77" i="79"/>
  <c r="G77" i="79"/>
  <c r="D69" i="79"/>
  <c r="E69" i="79"/>
  <c r="F69" i="79"/>
  <c r="G69" i="79"/>
  <c r="H69"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B2" i="79"/>
  <c r="Y9" i="1"/>
  <c r="Y8" i="1"/>
  <c r="Y7" i="1"/>
  <c r="B55" i="1"/>
  <c r="B56" i="1"/>
  <c r="B57" i="1"/>
  <c r="B59" i="1"/>
  <c r="B54" i="1"/>
  <c r="M6" i="77"/>
  <c r="J371" i="77"/>
  <c r="E149" i="77"/>
  <c r="E251" i="77"/>
  <c r="E366" i="77"/>
  <c r="E619" i="77"/>
  <c r="E620" i="77"/>
  <c r="AH5" i="71"/>
  <c r="AG5" i="71"/>
  <c r="AE5" i="71"/>
  <c r="AF5" i="71"/>
  <c r="AD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M47" i="67"/>
  <c r="J53" i="67"/>
  <c r="I5" i="3"/>
  <c r="AD5" i="3"/>
  <c r="AH5" i="3"/>
  <c r="AL5" i="3"/>
  <c r="AP5" i="3"/>
  <c r="I4" i="6"/>
  <c r="H33" i="43"/>
  <c r="AH6" i="71"/>
  <c r="AG6" i="71"/>
  <c r="AE6" i="71"/>
  <c r="AF6" i="71"/>
  <c r="AD6" i="71"/>
  <c r="L3" i="71"/>
  <c r="K3" i="71"/>
  <c r="I3" i="71"/>
  <c r="J3" i="71"/>
  <c r="M19" i="9"/>
  <c r="C118" i="9"/>
  <c r="C14" i="74"/>
  <c r="B14" i="74"/>
  <c r="AD7" i="71"/>
  <c r="AG7" i="71"/>
  <c r="AH7" i="71"/>
  <c r="AE7" i="71"/>
  <c r="AF7" i="7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B22" i="31"/>
  <c r="N56" i="9"/>
  <c r="M56" i="9"/>
  <c r="K56" i="9"/>
  <c r="E15" i="74"/>
  <c r="F15"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U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M65" i="43"/>
  <c r="N65" i="43"/>
  <c r="J65" i="43"/>
  <c r="M64" i="43"/>
  <c r="N64" i="43"/>
  <c r="K64" i="43"/>
  <c r="J64" i="43"/>
  <c r="M63" i="43"/>
  <c r="N63" i="43"/>
  <c r="K63" i="43"/>
  <c r="J63" i="43"/>
  <c r="M62" i="43"/>
  <c r="N62" i="43"/>
  <c r="K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2" i="1"/>
  <c r="AG13" i="1"/>
  <c r="D12" i="31"/>
  <c r="E12" i="31"/>
  <c r="F12" i="31"/>
  <c r="G12" i="31"/>
  <c r="H12" i="31"/>
  <c r="I12" i="31"/>
  <c r="J12" i="31"/>
  <c r="K12" i="31"/>
  <c r="L12" i="31"/>
  <c r="M12" i="31"/>
  <c r="N12" i="31"/>
  <c r="O12" i="31"/>
  <c r="P12" i="31"/>
  <c r="Q12" i="31"/>
  <c r="R12" i="31"/>
  <c r="S12" i="31"/>
  <c r="H10" i="31"/>
  <c r="I10" i="31"/>
  <c r="J10" i="31"/>
  <c r="K10" i="31"/>
  <c r="L10" i="31"/>
  <c r="M10" i="31"/>
  <c r="N10" i="31"/>
  <c r="O10" i="31"/>
  <c r="P10" i="31"/>
  <c r="Q10" i="31"/>
  <c r="R10" i="31"/>
  <c r="S10"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3" i="1"/>
  <c r="D6" i="1"/>
  <c r="D9"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D15" i="4"/>
  <c r="F7" i="1"/>
  <c r="G7" i="1"/>
  <c r="F19" i="4"/>
  <c r="F2" i="52"/>
  <c r="B50" i="72"/>
  <c r="D2" i="52"/>
  <c r="B46" i="72"/>
  <c r="B8" i="53"/>
  <c r="B23" i="72"/>
  <c r="L4" i="9"/>
  <c r="B17" i="72"/>
  <c r="B15" i="72"/>
  <c r="A3" i="51"/>
  <c r="C8" i="11"/>
  <c r="B2" i="49"/>
  <c r="B23" i="49" s="1"/>
  <c r="B40" i="48"/>
  <c r="B3" i="72"/>
  <c r="N1" i="43"/>
  <c r="F35" i="4"/>
  <c r="J55" i="39"/>
  <c r="H34" i="43"/>
  <c r="H35" i="43"/>
  <c r="H36" i="43"/>
  <c r="H37" i="43"/>
  <c r="H38" i="43"/>
  <c r="H39"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87" i="33"/>
  <c r="E87"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O12" i="1"/>
  <c r="P12" i="1"/>
  <c r="S13" i="1"/>
  <c r="AR13" i="1"/>
  <c r="R13" i="1"/>
  <c r="AQ11" i="1"/>
  <c r="K22" i="6"/>
  <c r="S9" i="1"/>
  <c r="AR9" i="1"/>
  <c r="M22" i="6"/>
  <c r="I22" i="6"/>
  <c r="H22" i="6"/>
  <c r="D22" i="6"/>
  <c r="R22" i="6"/>
  <c r="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21"/>
  <c r="C7" i="40"/>
  <c r="C63" i="40"/>
  <c r="M47" i="9"/>
  <c r="T35" i="4"/>
  <c r="A19" i="51"/>
  <c r="B14" i="72"/>
  <c r="C46" i="36"/>
  <c r="D46" i="36"/>
  <c r="E46" i="36"/>
  <c r="C59" i="34"/>
  <c r="D59" i="34"/>
  <c r="C52" i="37"/>
  <c r="D52" i="37"/>
  <c r="A4" i="51"/>
  <c r="B6" i="72"/>
  <c r="C58" i="21"/>
  <c r="D58" i="21"/>
  <c r="C94" i="9"/>
  <c r="C4" i="12"/>
  <c r="C92" i="9"/>
  <c r="H55" i="43"/>
  <c r="H51" i="43"/>
  <c r="H56" i="43"/>
  <c r="H76" i="43"/>
  <c r="H72" i="43"/>
  <c r="H77" i="43"/>
  <c r="L20" i="6"/>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C4" i="4" s="1"/>
  <c r="B14" i="49"/>
  <c r="E22" i="49"/>
  <c r="D23" i="15"/>
  <c r="D22" i="15"/>
  <c r="B5" i="49"/>
  <c r="B9" i="49"/>
  <c r="E16" i="49"/>
  <c r="E21" i="49"/>
  <c r="E9" i="49"/>
  <c r="B6" i="49"/>
  <c r="B8" i="49"/>
  <c r="E11" i="49"/>
  <c r="AQ13" i="1"/>
  <c r="O6" i="1"/>
  <c r="P6" i="1"/>
  <c r="F30" i="11"/>
  <c r="C48" i="11"/>
  <c r="F28" i="67"/>
  <c r="C28" i="67"/>
  <c r="F31" i="12"/>
  <c r="F52" i="9"/>
  <c r="C31" i="12"/>
  <c r="M18" i="67"/>
  <c r="F32" i="67"/>
  <c r="F60" i="67"/>
  <c r="F30" i="69"/>
  <c r="C48" i="69"/>
  <c r="F60" i="15"/>
  <c r="M18" i="15"/>
  <c r="E63" i="39"/>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S21" i="6"/>
  <c r="L27" i="6"/>
  <c r="S26" i="6"/>
  <c r="S22" i="6"/>
  <c r="M20" i="6"/>
  <c r="I20" i="6"/>
  <c r="G16" i="1"/>
  <c r="H10" i="40"/>
  <c r="U10" i="40"/>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D10" i="11"/>
  <c r="C10" i="11"/>
  <c r="D20" i="12"/>
  <c r="C20" i="12" s="1"/>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15" i="12" s="1"/>
  <c r="F34" i="11"/>
  <c r="C37" i="11"/>
  <c r="F11" i="12"/>
  <c r="C23" i="12" s="1"/>
  <c r="AC10" i="40"/>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1" i="6"/>
  <c r="R8" i="1"/>
  <c r="D30" i="6"/>
  <c r="D16" i="6"/>
  <c r="A7" i="51"/>
  <c r="B7" i="72"/>
  <c r="C4" i="52"/>
  <c r="B45" i="72"/>
  <c r="A10" i="51"/>
  <c r="B9" i="72"/>
  <c r="D27" i="6"/>
  <c r="C12" i="12"/>
  <c r="U7" i="21"/>
  <c r="I52" i="21"/>
  <c r="J52" i="21"/>
  <c r="I40" i="36"/>
  <c r="J40" i="36"/>
  <c r="R43" i="37"/>
  <c r="E42" i="37"/>
  <c r="I47" i="37"/>
  <c r="J47" i="37"/>
  <c r="G43" i="35"/>
  <c r="H43" i="35"/>
  <c r="I42" i="35"/>
  <c r="J42"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B2" i="33"/>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E4" i="49" l="1"/>
  <c r="B4" i="49"/>
  <c r="E5" i="49"/>
  <c r="E10" i="49"/>
  <c r="E8" i="49"/>
  <c r="B13" i="49"/>
  <c r="B11" i="49"/>
  <c r="E4" i="4" s="1"/>
  <c r="B5" i="62" s="1"/>
  <c r="B73" i="72" s="1"/>
  <c r="E6" i="49"/>
  <c r="E7" i="49"/>
  <c r="B16" i="49"/>
  <c r="B10" i="49"/>
  <c r="C8" i="69"/>
  <c r="C5" i="69" s="1"/>
  <c r="R16" i="1"/>
  <c r="D19" i="69"/>
  <c r="C38" i="69"/>
  <c r="B4" i="62"/>
  <c r="B71" i="72" s="1"/>
  <c r="C18" i="12"/>
  <c r="C14" i="12"/>
  <c r="C16" i="12" s="1"/>
  <c r="C19" i="85"/>
  <c r="C14" i="15"/>
  <c r="F6" i="15"/>
  <c r="F37" i="15"/>
  <c r="M6" i="15"/>
  <c r="F8" i="81"/>
  <c r="F35" i="81"/>
  <c r="F43" i="15"/>
  <c r="D9" i="68"/>
  <c r="F27" i="68"/>
  <c r="F16" i="81"/>
  <c r="F37" i="81"/>
  <c r="F8" i="82"/>
  <c r="C14" i="82"/>
  <c r="M8" i="82"/>
  <c r="F6" i="82"/>
  <c r="F38" i="82"/>
  <c r="C76" i="82"/>
  <c r="M27" i="82"/>
  <c r="M21" i="82"/>
  <c r="M29" i="81"/>
  <c r="J15" i="81"/>
  <c r="E12" i="76"/>
  <c r="B7" i="76"/>
  <c r="M22" i="15"/>
  <c r="L48" i="67"/>
  <c r="M22" i="67"/>
  <c r="F9" i="67"/>
  <c r="M24" i="82"/>
  <c r="E9" i="76"/>
  <c r="B10" i="76"/>
  <c r="AO9" i="1"/>
  <c r="M24" i="67"/>
  <c r="M9" i="67"/>
  <c r="F38" i="67"/>
  <c r="M8" i="67"/>
  <c r="M21" i="67"/>
  <c r="F20" i="31"/>
  <c r="D2" i="21"/>
  <c r="F8" i="15"/>
  <c r="F4" i="73"/>
  <c r="F16" i="15"/>
  <c r="F7" i="15"/>
  <c r="D5" i="73"/>
  <c r="G1" i="73" s="1"/>
  <c r="F13" i="15"/>
  <c r="F38" i="15"/>
  <c r="L48" i="15"/>
  <c r="C76" i="15"/>
  <c r="F26" i="15"/>
  <c r="M8" i="15"/>
  <c r="C36" i="68"/>
  <c r="F9" i="81"/>
  <c r="F26" i="81"/>
  <c r="M9" i="15"/>
  <c r="D4" i="73"/>
  <c r="D10" i="68"/>
  <c r="F6" i="81"/>
  <c r="C14" i="81"/>
  <c r="F43" i="81"/>
  <c r="F13" i="81"/>
  <c r="F38" i="81"/>
  <c r="L48" i="81"/>
  <c r="C19" i="83"/>
  <c r="F9" i="82"/>
  <c r="F26" i="82"/>
  <c r="F7" i="82"/>
  <c r="F43" i="82"/>
  <c r="F40" i="82"/>
  <c r="M9" i="82"/>
  <c r="M8" i="81"/>
  <c r="F16" i="82"/>
  <c r="F37" i="82"/>
  <c r="F42" i="82"/>
  <c r="M6" i="82"/>
  <c r="C20" i="83"/>
  <c r="M28" i="82"/>
  <c r="L47" i="81"/>
  <c r="M26" i="82"/>
  <c r="M22" i="82"/>
  <c r="C76" i="81"/>
  <c r="M26" i="81"/>
  <c r="M22" i="81"/>
  <c r="M23" i="81"/>
  <c r="D2" i="79"/>
  <c r="E10" i="76"/>
  <c r="B8" i="76"/>
  <c r="B13" i="76"/>
  <c r="D3" i="73"/>
  <c r="D7" i="73"/>
  <c r="F6" i="67"/>
  <c r="M26" i="67"/>
  <c r="F7" i="67"/>
  <c r="F43" i="67"/>
  <c r="F16" i="67"/>
  <c r="F37" i="67"/>
  <c r="M26" i="15"/>
  <c r="M29" i="15"/>
  <c r="J15" i="82"/>
  <c r="M28" i="81"/>
  <c r="E7" i="76"/>
  <c r="E11" i="76"/>
  <c r="B12" i="76"/>
  <c r="B9" i="76"/>
  <c r="F5" i="73"/>
  <c r="F3" i="73"/>
  <c r="AO13" i="1"/>
  <c r="M24" i="15"/>
  <c r="M23" i="15"/>
  <c r="F26" i="67"/>
  <c r="J15" i="15"/>
  <c r="M6" i="67"/>
  <c r="L47" i="67"/>
  <c r="F40" i="67"/>
  <c r="M29" i="67"/>
  <c r="F42" i="67"/>
  <c r="M27" i="67"/>
  <c r="AO8" i="1"/>
  <c r="D2" i="36"/>
  <c r="D2" i="33"/>
  <c r="F35" i="67"/>
  <c r="M21" i="15"/>
  <c r="AO7" i="1"/>
  <c r="D2" i="34"/>
  <c r="F9" i="15"/>
  <c r="F35" i="15"/>
  <c r="F36" i="15"/>
  <c r="F42" i="15"/>
  <c r="F40" i="15"/>
  <c r="C34" i="68"/>
  <c r="C20" i="85"/>
  <c r="F7" i="81"/>
  <c r="F36" i="81"/>
  <c r="F42" i="81"/>
  <c r="M6" i="81"/>
  <c r="F35" i="82"/>
  <c r="M9" i="81"/>
  <c r="F36" i="82"/>
  <c r="F40" i="81"/>
  <c r="F13" i="82"/>
  <c r="L48" i="82"/>
  <c r="L47" i="82"/>
  <c r="M29" i="82"/>
  <c r="M23" i="82"/>
  <c r="M21" i="81"/>
  <c r="M24" i="81"/>
  <c r="E8" i="76"/>
  <c r="B11" i="76"/>
  <c r="D6" i="73"/>
  <c r="C76" i="67"/>
  <c r="F13" i="67"/>
  <c r="L47" i="15"/>
  <c r="F36" i="67"/>
  <c r="M23" i="67"/>
  <c r="M27" i="81"/>
  <c r="E13" i="76"/>
  <c r="F7" i="73"/>
  <c r="F6" i="73"/>
  <c r="AO12" i="1"/>
  <c r="F8" i="67"/>
  <c r="M28" i="15"/>
  <c r="J15" i="67"/>
  <c r="M28" i="67"/>
  <c r="M27" i="15"/>
  <c r="E2" i="69"/>
  <c r="E2" i="68"/>
  <c r="F41" i="67"/>
  <c r="D2" i="37"/>
  <c r="D2" i="35"/>
  <c r="K4" i="4" l="1"/>
  <c r="B46" i="48" s="1"/>
  <c r="B4" i="72" s="1"/>
  <c r="B2" i="37"/>
  <c r="B3" i="37" s="1"/>
  <c r="F69" i="67"/>
  <c r="F51" i="67"/>
  <c r="B12" i="70"/>
  <c r="F64" i="67"/>
  <c r="N59" i="15"/>
  <c r="L59" i="15"/>
  <c r="Q61" i="15" s="1"/>
  <c r="M59" i="15"/>
  <c r="L58" i="15"/>
  <c r="Q60" i="15" s="1"/>
  <c r="Q71" i="67"/>
  <c r="J20" i="81"/>
  <c r="M59" i="82"/>
  <c r="N59" i="82"/>
  <c r="L58" i="82"/>
  <c r="L59" i="82"/>
  <c r="Q61" i="82" s="1"/>
  <c r="J53" i="82"/>
  <c r="L60" i="82"/>
  <c r="Q57" i="82" s="1"/>
  <c r="I54" i="82"/>
  <c r="J57" i="82"/>
  <c r="J55" i="82" s="1"/>
  <c r="J58" i="82" s="1"/>
  <c r="Q50" i="82" s="1"/>
  <c r="L56" i="82"/>
  <c r="L57" i="82"/>
  <c r="F68" i="81"/>
  <c r="F64" i="82"/>
  <c r="C34" i="82"/>
  <c r="F63" i="82"/>
  <c r="C62" i="82" s="1"/>
  <c r="F64" i="81"/>
  <c r="F50" i="81"/>
  <c r="M7" i="81"/>
  <c r="J6" i="81" s="1"/>
  <c r="C103" i="85"/>
  <c r="C38" i="68"/>
  <c r="C35" i="68"/>
  <c r="F68" i="15"/>
  <c r="F64" i="15"/>
  <c r="F63" i="15"/>
  <c r="C62" i="15" s="1"/>
  <c r="C34" i="15"/>
  <c r="B2" i="34"/>
  <c r="B3" i="34" s="1"/>
  <c r="B7" i="70"/>
  <c r="J20" i="15"/>
  <c r="F63" i="67"/>
  <c r="C62" i="67" s="1"/>
  <c r="C34" i="67"/>
  <c r="B2" i="36"/>
  <c r="B3" i="36" s="1"/>
  <c r="B8" i="70"/>
  <c r="F70" i="67"/>
  <c r="F68" i="67"/>
  <c r="L58" i="67"/>
  <c r="Q60" i="67" s="1"/>
  <c r="N59" i="67"/>
  <c r="L59" i="67"/>
  <c r="Q61" i="67" s="1"/>
  <c r="M59" i="67"/>
  <c r="C27" i="67"/>
  <c r="B13" i="70"/>
  <c r="F65" i="67"/>
  <c r="F71" i="67"/>
  <c r="F50" i="67"/>
  <c r="M7" i="67"/>
  <c r="J6" i="67" s="1"/>
  <c r="C6" i="67"/>
  <c r="Q71" i="81"/>
  <c r="M59" i="81"/>
  <c r="N59" i="81"/>
  <c r="L58" i="81"/>
  <c r="Q73" i="81" s="1"/>
  <c r="L59" i="81"/>
  <c r="Q61" i="81" s="1"/>
  <c r="C103" i="83"/>
  <c r="F65" i="82"/>
  <c r="F68" i="82"/>
  <c r="F71" i="82"/>
  <c r="F50" i="82"/>
  <c r="M7" i="82"/>
  <c r="J6" i="82" s="1"/>
  <c r="C27" i="82"/>
  <c r="C21" i="83"/>
  <c r="C102" i="83"/>
  <c r="J53" i="81"/>
  <c r="Q52" i="81" s="1"/>
  <c r="L56" i="81"/>
  <c r="L57" i="81"/>
  <c r="J57" i="81"/>
  <c r="J55" i="81" s="1"/>
  <c r="J58" i="81" s="1"/>
  <c r="Q50" i="81" s="1"/>
  <c r="L60" i="81"/>
  <c r="Q66" i="81" s="1"/>
  <c r="I54" i="81"/>
  <c r="F66" i="81"/>
  <c r="F71" i="81"/>
  <c r="C18" i="81"/>
  <c r="C15" i="81"/>
  <c r="C6" i="81"/>
  <c r="C10" i="68"/>
  <c r="E20" i="43"/>
  <c r="O17" i="43" s="1"/>
  <c r="C27" i="81"/>
  <c r="C27" i="15"/>
  <c r="Q71" i="15"/>
  <c r="J57" i="15"/>
  <c r="J55" i="15" s="1"/>
  <c r="J58" i="15" s="1"/>
  <c r="Q50" i="15" s="1"/>
  <c r="L56" i="15"/>
  <c r="L60" i="15"/>
  <c r="Q57" i="15" s="1"/>
  <c r="J53" i="15"/>
  <c r="F1" i="15" s="1"/>
  <c r="I54" i="15"/>
  <c r="L57" i="15"/>
  <c r="F66" i="15"/>
  <c r="B40" i="1"/>
  <c r="F22" i="68" s="1"/>
  <c r="F50" i="15"/>
  <c r="M7" i="15"/>
  <c r="J6" i="15" s="1"/>
  <c r="I1" i="73"/>
  <c r="B39" i="1" s="1"/>
  <c r="M11" i="15" s="1"/>
  <c r="F51" i="15"/>
  <c r="B2" i="21"/>
  <c r="B3" i="21" s="1"/>
  <c r="J20" i="67"/>
  <c r="F66" i="67"/>
  <c r="B9" i="70"/>
  <c r="J57" i="67"/>
  <c r="J55" i="67" s="1"/>
  <c r="J58" i="67" s="1"/>
  <c r="Q50" i="67" s="1"/>
  <c r="L56" i="67"/>
  <c r="I54" i="67"/>
  <c r="J20" i="82"/>
  <c r="Q71" i="82"/>
  <c r="F66" i="82"/>
  <c r="C6" i="82"/>
  <c r="C18" i="82"/>
  <c r="C15" i="82"/>
  <c r="F51" i="82"/>
  <c r="C49" i="82" s="1"/>
  <c r="F65" i="81"/>
  <c r="C29" i="68"/>
  <c r="D27" i="68" s="1"/>
  <c r="C47" i="68"/>
  <c r="D45" i="68" s="1"/>
  <c r="D19" i="68"/>
  <c r="D37" i="68" s="1"/>
  <c r="C37" i="68" s="1"/>
  <c r="C9" i="68"/>
  <c r="F71" i="15"/>
  <c r="F63" i="81"/>
  <c r="C62" i="81" s="1"/>
  <c r="C34" i="81"/>
  <c r="F51" i="81"/>
  <c r="F65" i="15"/>
  <c r="C6" i="15"/>
  <c r="C15" i="15"/>
  <c r="C18" i="15"/>
  <c r="C21" i="85"/>
  <c r="C102" i="85"/>
  <c r="D37" i="69"/>
  <c r="C37" i="69" s="1"/>
  <c r="C33" i="69" s="1"/>
  <c r="C39" i="69" s="1"/>
  <c r="C19" i="69"/>
  <c r="C21" i="12"/>
  <c r="C22" i="12" s="1"/>
  <c r="C30" i="12" s="1"/>
  <c r="C28" i="12" s="1"/>
  <c r="F11" i="15"/>
  <c r="C53" i="15" s="1"/>
  <c r="Q66" i="82"/>
  <c r="Q74" i="82"/>
  <c r="Q73" i="82"/>
  <c r="Q60" i="82"/>
  <c r="Q74" i="67"/>
  <c r="F1" i="82"/>
  <c r="Q52" i="82"/>
  <c r="Q73" i="15"/>
  <c r="C49" i="67"/>
  <c r="Q73" i="67"/>
  <c r="C16" i="67"/>
  <c r="AE10" i="1"/>
  <c r="C17" i="67"/>
  <c r="C14" i="67"/>
  <c r="C16" i="82"/>
  <c r="C16" i="15"/>
  <c r="C16" i="81"/>
  <c r="AE6" i="1"/>
  <c r="C17" i="82"/>
  <c r="C17" i="81"/>
  <c r="C17" i="15"/>
  <c r="C33" i="68" l="1"/>
  <c r="C39" i="68" s="1"/>
  <c r="C46" i="68" s="1"/>
  <c r="C45" i="68" s="1"/>
  <c r="Q74" i="15"/>
  <c r="F24" i="81"/>
  <c r="C24" i="81" s="1"/>
  <c r="C49" i="81"/>
  <c r="C8" i="68"/>
  <c r="N17" i="43"/>
  <c r="G20" i="43" s="1"/>
  <c r="C20" i="43" s="1"/>
  <c r="C33" i="43" s="1"/>
  <c r="Q66" i="15"/>
  <c r="M17" i="43"/>
  <c r="F1" i="81"/>
  <c r="M11" i="82"/>
  <c r="J10" i="82" s="1"/>
  <c r="J5" i="82" s="1"/>
  <c r="J24" i="82" s="1"/>
  <c r="Q57" i="81"/>
  <c r="P17" i="43"/>
  <c r="Q74" i="81"/>
  <c r="F11" i="67"/>
  <c r="C53" i="67" s="1"/>
  <c r="C48" i="67" s="1"/>
  <c r="F11" i="81"/>
  <c r="C53" i="81" s="1"/>
  <c r="C49" i="15"/>
  <c r="F24" i="67"/>
  <c r="C24" i="67" s="1"/>
  <c r="Q60" i="81"/>
  <c r="F22" i="69"/>
  <c r="C44" i="69" s="1"/>
  <c r="D41" i="69" s="1"/>
  <c r="F24" i="82"/>
  <c r="C24" i="82" s="1"/>
  <c r="Q52" i="15"/>
  <c r="J10" i="15"/>
  <c r="J5" i="15" s="1"/>
  <c r="J26" i="15" s="1"/>
  <c r="C19" i="81"/>
  <c r="C20" i="81" s="1"/>
  <c r="C23" i="81" s="1"/>
  <c r="C19" i="15"/>
  <c r="C20" i="15" s="1"/>
  <c r="C26" i="15" s="1"/>
  <c r="C18" i="67"/>
  <c r="C15" i="67"/>
  <c r="C19" i="82"/>
  <c r="C20" i="82" s="1"/>
  <c r="C26" i="82" s="1"/>
  <c r="F22" i="11"/>
  <c r="C26" i="11" s="1"/>
  <c r="D22" i="11" s="1"/>
  <c r="F25" i="12"/>
  <c r="C26" i="12" s="1"/>
  <c r="D25" i="12" s="1"/>
  <c r="F24" i="15"/>
  <c r="C24" i="15" s="1"/>
  <c r="M11" i="67"/>
  <c r="J10" i="67" s="1"/>
  <c r="J5" i="67" s="1"/>
  <c r="J24" i="67" s="1"/>
  <c r="M11" i="81"/>
  <c r="J10" i="81" s="1"/>
  <c r="J5" i="81" s="1"/>
  <c r="J18" i="81" s="1"/>
  <c r="F11" i="82"/>
  <c r="C53" i="82" s="1"/>
  <c r="C48" i="82" s="1"/>
  <c r="C42" i="68"/>
  <c r="C10" i="15"/>
  <c r="C5" i="15" s="1"/>
  <c r="C32" i="15" s="1"/>
  <c r="C46" i="69"/>
  <c r="C45" i="69" s="1"/>
  <c r="C10" i="81"/>
  <c r="C5" i="81" s="1"/>
  <c r="C33" i="81" s="1"/>
  <c r="C48" i="15"/>
  <c r="C66" i="15" s="1"/>
  <c r="C20" i="69"/>
  <c r="C28" i="69" s="1"/>
  <c r="C27" i="69" s="1"/>
  <c r="J26" i="81"/>
  <c r="C24" i="68"/>
  <c r="C26" i="68"/>
  <c r="D22" i="68" s="1"/>
  <c r="C44" i="68"/>
  <c r="D41" i="68" s="1"/>
  <c r="C43" i="68"/>
  <c r="C26" i="69"/>
  <c r="D22" i="69" s="1"/>
  <c r="AE11" i="1"/>
  <c r="F41" i="15"/>
  <c r="F41" i="81"/>
  <c r="F41" i="82"/>
  <c r="C43" i="69" l="1"/>
  <c r="C42" i="69"/>
  <c r="C23" i="69"/>
  <c r="C24" i="69"/>
  <c r="C48" i="81"/>
  <c r="C66" i="81" s="1"/>
  <c r="T2" i="43"/>
  <c r="V2" i="43" s="1"/>
  <c r="C10" i="67"/>
  <c r="C5" i="67" s="1"/>
  <c r="C38" i="67" s="1"/>
  <c r="T4" i="43"/>
  <c r="V4" i="43" s="1"/>
  <c r="C38" i="43"/>
  <c r="E38" i="43" s="1"/>
  <c r="J18" i="82"/>
  <c r="T7" i="43"/>
  <c r="V7" i="43" s="1"/>
  <c r="T12" i="43"/>
  <c r="V12" i="43" s="1"/>
  <c r="C34" i="43"/>
  <c r="E34" i="43" s="1"/>
  <c r="C43" i="11"/>
  <c r="J24" i="15"/>
  <c r="T13" i="43"/>
  <c r="V13" i="43" s="1"/>
  <c r="T10" i="43"/>
  <c r="V10" i="43" s="1"/>
  <c r="T3" i="43"/>
  <c r="V3" i="43" s="1"/>
  <c r="T11" i="43"/>
  <c r="V11" i="43" s="1"/>
  <c r="C36" i="43"/>
  <c r="E36" i="43" s="1"/>
  <c r="C29" i="43"/>
  <c r="E29" i="43" s="1"/>
  <c r="C25" i="11"/>
  <c r="C24" i="11"/>
  <c r="J26" i="82"/>
  <c r="J29" i="82" s="1"/>
  <c r="J24" i="81"/>
  <c r="T5" i="43"/>
  <c r="V5" i="43" s="1"/>
  <c r="T8" i="43"/>
  <c r="V8" i="43" s="1"/>
  <c r="T6" i="43"/>
  <c r="V6" i="43" s="1"/>
  <c r="T15" i="43"/>
  <c r="V15" i="43" s="1"/>
  <c r="T16" i="43"/>
  <c r="V16" i="43" s="1"/>
  <c r="T9" i="43"/>
  <c r="V9" i="43" s="1"/>
  <c r="T14" i="43"/>
  <c r="V14" i="43" s="1"/>
  <c r="C39" i="43"/>
  <c r="G39" i="43" s="1"/>
  <c r="I39" i="43" s="1"/>
  <c r="C37" i="43"/>
  <c r="E37" i="43" s="1"/>
  <c r="C35" i="43"/>
  <c r="G35" i="43" s="1"/>
  <c r="I35" i="43" s="1"/>
  <c r="C44" i="11"/>
  <c r="D41" i="11" s="1"/>
  <c r="C23" i="11"/>
  <c r="C42" i="11"/>
  <c r="C41" i="11" s="1"/>
  <c r="C49" i="11" s="1"/>
  <c r="C51" i="11" s="1"/>
  <c r="J18" i="15"/>
  <c r="C19" i="67"/>
  <c r="C20" i="67" s="1"/>
  <c r="C10" i="82"/>
  <c r="C5" i="82" s="1"/>
  <c r="C38" i="82" s="1"/>
  <c r="C27" i="12"/>
  <c r="C25" i="12" s="1"/>
  <c r="C32" i="12" s="1"/>
  <c r="B2" i="12" s="1"/>
  <c r="B3" i="12" s="1"/>
  <c r="J26" i="67"/>
  <c r="J29" i="67" s="1"/>
  <c r="J18" i="67"/>
  <c r="F69" i="82"/>
  <c r="F69" i="81"/>
  <c r="F69" i="15"/>
  <c r="J29" i="15"/>
  <c r="J29" i="81"/>
  <c r="C25" i="69"/>
  <c r="C41" i="68"/>
  <c r="C49" i="68" s="1"/>
  <c r="C51" i="68" s="1"/>
  <c r="C60" i="15"/>
  <c r="C33" i="15"/>
  <c r="C31" i="15" s="1"/>
  <c r="C38" i="15"/>
  <c r="C23" i="82"/>
  <c r="C29" i="82" s="1"/>
  <c r="C32" i="81"/>
  <c r="C31" i="81" s="1"/>
  <c r="C26" i="81"/>
  <c r="C29" i="81" s="1"/>
  <c r="C38" i="81"/>
  <c r="C23" i="15"/>
  <c r="C29" i="15" s="1"/>
  <c r="C13" i="15" s="1"/>
  <c r="C60" i="67"/>
  <c r="C66" i="67"/>
  <c r="C60" i="82"/>
  <c r="C66" i="82"/>
  <c r="E33" i="43"/>
  <c r="G33" i="43"/>
  <c r="I33" i="43" s="1"/>
  <c r="C32" i="67" l="1"/>
  <c r="G34" i="43"/>
  <c r="I34" i="43" s="1"/>
  <c r="C30" i="43"/>
  <c r="E30" i="43" s="1"/>
  <c r="G38" i="43"/>
  <c r="I38" i="43" s="1"/>
  <c r="C60" i="81"/>
  <c r="C22" i="69"/>
  <c r="C31" i="69" s="1"/>
  <c r="C41" i="69"/>
  <c r="C49" i="69" s="1"/>
  <c r="C51" i="69" s="1"/>
  <c r="E35" i="43"/>
  <c r="E39" i="43"/>
  <c r="C33" i="82"/>
  <c r="C22" i="11"/>
  <c r="C31" i="11" s="1"/>
  <c r="C52" i="11" s="1"/>
  <c r="B2" i="11" s="1"/>
  <c r="B3" i="11" s="1"/>
  <c r="G36" i="43"/>
  <c r="I36" i="43" s="1"/>
  <c r="G37" i="43"/>
  <c r="I37" i="43" s="1"/>
  <c r="C23" i="67"/>
  <c r="C26" i="67"/>
  <c r="C32" i="82"/>
  <c r="C13" i="82"/>
  <c r="L24" i="77" s="1"/>
  <c r="M24" i="77" s="1"/>
  <c r="C36" i="82"/>
  <c r="J14" i="15"/>
  <c r="J22" i="15" s="1"/>
  <c r="C57" i="82"/>
  <c r="C61" i="82" s="1"/>
  <c r="C59" i="82" s="1"/>
  <c r="J59" i="82"/>
  <c r="J60" i="82" s="1"/>
  <c r="Q48" i="82" s="1"/>
  <c r="Q49" i="82"/>
  <c r="C31" i="82"/>
  <c r="Q49" i="15"/>
  <c r="C36" i="15"/>
  <c r="J19" i="82"/>
  <c r="J17" i="82" s="1"/>
  <c r="J14" i="82"/>
  <c r="J13" i="82" s="1"/>
  <c r="J23" i="82" s="1"/>
  <c r="J59" i="15"/>
  <c r="J60" i="15" s="1"/>
  <c r="Q48" i="15" s="1"/>
  <c r="J19" i="15"/>
  <c r="J17" i="15" s="1"/>
  <c r="C57" i="15"/>
  <c r="C61" i="15" s="1"/>
  <c r="C59" i="15" s="1"/>
  <c r="C37" i="15"/>
  <c r="C75" i="15"/>
  <c r="Q70" i="15"/>
  <c r="C56" i="15"/>
  <c r="C65" i="15" s="1"/>
  <c r="C36" i="81"/>
  <c r="C13" i="81"/>
  <c r="C57" i="81"/>
  <c r="J19" i="81"/>
  <c r="J17" i="81" s="1"/>
  <c r="Q49" i="81"/>
  <c r="J14" i="81"/>
  <c r="J59" i="81"/>
  <c r="J60" i="81" s="1"/>
  <c r="C52" i="69" l="1"/>
  <c r="B2" i="69" s="1"/>
  <c r="B3" i="69" s="1"/>
  <c r="C26" i="43"/>
  <c r="C27" i="43"/>
  <c r="C29" i="67"/>
  <c r="J14" i="67" s="1"/>
  <c r="J13" i="67" s="1"/>
  <c r="J23" i="67" s="1"/>
  <c r="C64" i="82"/>
  <c r="J13" i="15"/>
  <c r="J23" i="15" s="1"/>
  <c r="J16" i="15" s="1"/>
  <c r="J25" i="15" s="1"/>
  <c r="C75" i="82"/>
  <c r="Q70" i="82"/>
  <c r="C37" i="82"/>
  <c r="C30" i="82" s="1"/>
  <c r="C39" i="82" s="1"/>
  <c r="Q69" i="82" s="1"/>
  <c r="C56" i="82"/>
  <c r="C65" i="82" s="1"/>
  <c r="C64" i="15"/>
  <c r="C58" i="15" s="1"/>
  <c r="C67" i="15" s="1"/>
  <c r="C68" i="15" s="1"/>
  <c r="C71" i="15" s="1"/>
  <c r="L46" i="82"/>
  <c r="C56" i="11"/>
  <c r="C57" i="11" s="1"/>
  <c r="J22" i="82"/>
  <c r="J16" i="82" s="1"/>
  <c r="J25" i="82" s="1"/>
  <c r="C30" i="15"/>
  <c r="C39" i="15" s="1"/>
  <c r="C40" i="15" s="1"/>
  <c r="L46" i="15"/>
  <c r="J22" i="81"/>
  <c r="J13" i="81"/>
  <c r="J23" i="81" s="1"/>
  <c r="C37" i="81"/>
  <c r="C30" i="81" s="1"/>
  <c r="C39" i="81" s="1"/>
  <c r="C75" i="81"/>
  <c r="C56" i="81"/>
  <c r="C65" i="81" s="1"/>
  <c r="Q70" i="81"/>
  <c r="Q48" i="81"/>
  <c r="L46" i="81"/>
  <c r="C61" i="81"/>
  <c r="C59" i="81" s="1"/>
  <c r="C64" i="81"/>
  <c r="B2" i="43"/>
  <c r="E6" i="76"/>
  <c r="B6" i="76"/>
  <c r="L51" i="82"/>
  <c r="L51" i="15"/>
  <c r="C57" i="69" l="1"/>
  <c r="C56" i="69" s="1"/>
  <c r="C33" i="67"/>
  <c r="C31" i="67" s="1"/>
  <c r="E2" i="76"/>
  <c r="J22" i="67"/>
  <c r="C36" i="67"/>
  <c r="C80" i="82"/>
  <c r="C79" i="82" s="1"/>
  <c r="J59" i="67"/>
  <c r="J60" i="67" s="1"/>
  <c r="L46" i="67" s="1"/>
  <c r="J19" i="67"/>
  <c r="J17" i="67" s="1"/>
  <c r="J16" i="67" s="1"/>
  <c r="J25" i="67" s="1"/>
  <c r="Q49" i="67"/>
  <c r="C13" i="67"/>
  <c r="Q70" i="67" s="1"/>
  <c r="C57" i="67"/>
  <c r="C61" i="67" s="1"/>
  <c r="C59" i="67" s="1"/>
  <c r="C75" i="67"/>
  <c r="C64" i="67"/>
  <c r="C58" i="82"/>
  <c r="C67" i="82" s="1"/>
  <c r="C68" i="82" s="1"/>
  <c r="C71" i="82" s="1"/>
  <c r="C40" i="82"/>
  <c r="Q56" i="82" s="1"/>
  <c r="Q62" i="82" s="1"/>
  <c r="Q69" i="15"/>
  <c r="Q68" i="15" s="1"/>
  <c r="Q68" i="82"/>
  <c r="C80" i="15"/>
  <c r="C79" i="15" s="1"/>
  <c r="C46" i="15"/>
  <c r="J16" i="81"/>
  <c r="J25" i="81" s="1"/>
  <c r="B2" i="76"/>
  <c r="Q67" i="82"/>
  <c r="Q67" i="15"/>
  <c r="C40" i="81"/>
  <c r="Q69" i="81"/>
  <c r="Q68" i="81" s="1"/>
  <c r="C6" i="68"/>
  <c r="B3" i="43"/>
  <c r="B2" i="15"/>
  <c r="C43" i="15"/>
  <c r="Q47" i="15"/>
  <c r="Q53" i="15" s="1"/>
  <c r="Q65" i="15"/>
  <c r="Q75" i="15" s="1"/>
  <c r="Q56" i="15"/>
  <c r="Q62" i="15" s="1"/>
  <c r="C83" i="15"/>
  <c r="C82" i="15" s="1"/>
  <c r="C58" i="81"/>
  <c r="C67" i="81" s="1"/>
  <c r="C68" i="81" s="1"/>
  <c r="C80" i="81"/>
  <c r="C79" i="81" s="1"/>
  <c r="D19" i="85"/>
  <c r="L51" i="81"/>
  <c r="AO6" i="1"/>
  <c r="B2" i="82" l="1"/>
  <c r="B3" i="82" s="1"/>
  <c r="B3" i="76"/>
  <c r="Q48" i="67"/>
  <c r="C37" i="67"/>
  <c r="C30" i="67" s="1"/>
  <c r="C39" i="67" s="1"/>
  <c r="C80" i="67" s="1"/>
  <c r="C79" i="67" s="1"/>
  <c r="C56" i="67"/>
  <c r="C65" i="67" s="1"/>
  <c r="C58" i="67" s="1"/>
  <c r="C67" i="67" s="1"/>
  <c r="C68" i="67" s="1"/>
  <c r="C71" i="67" s="1"/>
  <c r="C43" i="82"/>
  <c r="Q47" i="82"/>
  <c r="Q53" i="82" s="1"/>
  <c r="C46" i="82"/>
  <c r="C83" i="82"/>
  <c r="C82" i="82" s="1"/>
  <c r="Q65" i="82"/>
  <c r="Q75" i="82" s="1"/>
  <c r="D102" i="85"/>
  <c r="D21" i="85"/>
  <c r="D22" i="85"/>
  <c r="G19" i="85"/>
  <c r="G21" i="85" s="1"/>
  <c r="B6" i="70"/>
  <c r="Q67" i="81"/>
  <c r="B3" i="15"/>
  <c r="C71" i="81"/>
  <c r="C46" i="81"/>
  <c r="C7" i="68"/>
  <c r="C5" i="68" s="1"/>
  <c r="B2" i="81"/>
  <c r="Q56" i="81"/>
  <c r="Q62" i="81" s="1"/>
  <c r="Q47" i="81"/>
  <c r="Q53" i="81" s="1"/>
  <c r="Q65" i="81"/>
  <c r="Q75" i="81" s="1"/>
  <c r="C43" i="81"/>
  <c r="C83" i="81"/>
  <c r="C82" i="81" s="1"/>
  <c r="D19" i="83"/>
  <c r="AO10" i="1"/>
  <c r="L51" i="67"/>
  <c r="D34" i="85"/>
  <c r="D35" i="9"/>
  <c r="D20" i="85"/>
  <c r="D19" i="80"/>
  <c r="D35" i="85"/>
  <c r="AO11" i="1"/>
  <c r="D20" i="83"/>
  <c r="D34" i="9"/>
  <c r="B10" i="70" l="1"/>
  <c r="D21" i="83"/>
  <c r="D22" i="83"/>
  <c r="G19" i="83"/>
  <c r="G23" i="83" s="1"/>
  <c r="D102" i="83"/>
  <c r="Q67" i="67"/>
  <c r="L57" i="67"/>
  <c r="L60" i="67" s="1"/>
  <c r="Q66" i="67" s="1"/>
  <c r="C40" i="67"/>
  <c r="Q69" i="67"/>
  <c r="Q68" i="67" s="1"/>
  <c r="D103" i="83"/>
  <c r="G20" i="83"/>
  <c r="D102" i="80"/>
  <c r="D21" i="80"/>
  <c r="B11" i="70"/>
  <c r="D103" i="85"/>
  <c r="G20" i="85"/>
  <c r="C32" i="85" s="1"/>
  <c r="C20" i="68"/>
  <c r="C25" i="68" s="1"/>
  <c r="C23" i="68"/>
  <c r="B3" i="81"/>
  <c r="J24" i="77"/>
  <c r="C32" i="83"/>
  <c r="G21" i="83"/>
  <c r="D20" i="80"/>
  <c r="D16" i="74" l="1"/>
  <c r="F16" i="74" s="1"/>
  <c r="Q57" i="67"/>
  <c r="B2" i="70"/>
  <c r="B3" i="70" s="1"/>
  <c r="C45" i="67"/>
  <c r="C46" i="67" s="1"/>
  <c r="Q56" i="67"/>
  <c r="D2" i="67"/>
  <c r="C83" i="67"/>
  <c r="C82" i="67" s="1"/>
  <c r="Q65" i="67"/>
  <c r="Q75" i="67" s="1"/>
  <c r="Q47" i="67"/>
  <c r="Q53" i="67" s="1"/>
  <c r="C43" i="67"/>
  <c r="D103" i="80"/>
  <c r="H118" i="83"/>
  <c r="D35" i="83"/>
  <c r="D34" i="83"/>
  <c r="K24" i="77"/>
  <c r="O24" i="77" s="1"/>
  <c r="N24" i="77"/>
  <c r="C22" i="68"/>
  <c r="C28" i="68"/>
  <c r="C27" i="68" s="1"/>
  <c r="R24" i="31"/>
  <c r="C35" i="85"/>
  <c r="G118" i="85" s="1"/>
  <c r="F118" i="85" s="1"/>
  <c r="F119" i="85" s="1"/>
  <c r="I118" i="85"/>
  <c r="E16" i="74" l="1"/>
  <c r="Q62" i="67"/>
  <c r="B3" i="67"/>
  <c r="B2" i="67"/>
  <c r="C31" i="68"/>
  <c r="C52" i="68" s="1"/>
  <c r="B2" i="68" s="1"/>
  <c r="C34" i="85"/>
  <c r="S24" i="31"/>
  <c r="R26" i="31"/>
  <c r="S26" i="31" s="1"/>
  <c r="R25" i="31"/>
  <c r="J16" i="77" s="1"/>
  <c r="R27" i="31"/>
  <c r="S27" i="31" s="1"/>
  <c r="I118" i="83"/>
  <c r="C104" i="83"/>
  <c r="H101" i="83"/>
  <c r="H119" i="83"/>
  <c r="H118" i="85"/>
  <c r="C105" i="85"/>
  <c r="E118" i="85"/>
  <c r="D118" i="85" s="1"/>
  <c r="D119" i="85" s="1"/>
  <c r="H102" i="85"/>
  <c r="C19" i="80"/>
  <c r="J14" i="77" l="1"/>
  <c r="L14" i="77" s="1"/>
  <c r="N14" i="77" s="1"/>
  <c r="C57" i="68"/>
  <c r="C56" i="68" s="1"/>
  <c r="J22" i="77"/>
  <c r="K22" i="77" s="1"/>
  <c r="G19" i="80"/>
  <c r="D22" i="80"/>
  <c r="C21" i="80"/>
  <c r="C102" i="80"/>
  <c r="L16" i="77"/>
  <c r="M16" i="77" s="1"/>
  <c r="K16" i="77"/>
  <c r="C104" i="85"/>
  <c r="H119" i="85"/>
  <c r="H101" i="85"/>
  <c r="H107" i="83"/>
  <c r="D45" i="83"/>
  <c r="M48" i="83"/>
  <c r="C105" i="83"/>
  <c r="H102" i="83"/>
  <c r="S25" i="31"/>
  <c r="S22" i="31" s="1"/>
  <c r="J15" i="77"/>
  <c r="B3" i="68"/>
  <c r="D34" i="80"/>
  <c r="D35" i="80"/>
  <c r="C20" i="80"/>
  <c r="K14" i="77" l="1"/>
  <c r="L22" i="77"/>
  <c r="N22" i="77" s="1"/>
  <c r="G20" i="80"/>
  <c r="C103" i="80"/>
  <c r="L15" i="77"/>
  <c r="M15" i="77" s="1"/>
  <c r="K15" i="77"/>
  <c r="N15" i="77"/>
  <c r="B20" i="31"/>
  <c r="R22" i="31"/>
  <c r="B21" i="31" s="1"/>
  <c r="C93" i="83"/>
  <c r="C86" i="83" s="1"/>
  <c r="D55" i="83"/>
  <c r="M53" i="83" s="1"/>
  <c r="C85" i="83"/>
  <c r="C95" i="83" s="1"/>
  <c r="C72" i="83"/>
  <c r="C78" i="83"/>
  <c r="C73" i="83" s="1"/>
  <c r="C64" i="83"/>
  <c r="C63" i="83" s="1"/>
  <c r="C67" i="83" s="1"/>
  <c r="C68" i="83" s="1"/>
  <c r="D54" i="83" s="1"/>
  <c r="D53" i="83"/>
  <c r="D52" i="83"/>
  <c r="D45" i="85"/>
  <c r="M48" i="85"/>
  <c r="H107" i="85"/>
  <c r="M14" i="77"/>
  <c r="O14" i="77" s="1"/>
  <c r="D122" i="83"/>
  <c r="H108" i="83"/>
  <c r="M49" i="83"/>
  <c r="O16" i="77"/>
  <c r="N16" i="77"/>
  <c r="J23" i="77"/>
  <c r="C32" i="80"/>
  <c r="D17" i="74"/>
  <c r="G21" i="80"/>
  <c r="D20" i="9"/>
  <c r="D19" i="9"/>
  <c r="C20" i="9"/>
  <c r="C19" i="9"/>
  <c r="M22" i="77" l="1"/>
  <c r="O22" i="77" s="1"/>
  <c r="C79" i="83"/>
  <c r="D102" i="9"/>
  <c r="D21" i="9"/>
  <c r="G19" i="9"/>
  <c r="C102" i="9"/>
  <c r="D22" i="9"/>
  <c r="C21" i="9"/>
  <c r="D103" i="9"/>
  <c r="G20" i="9"/>
  <c r="C103" i="9"/>
  <c r="H118" i="80"/>
  <c r="C35" i="80"/>
  <c r="F118" i="80" s="1"/>
  <c r="L63" i="83"/>
  <c r="M63" i="83" s="1"/>
  <c r="L64" i="83"/>
  <c r="M64" i="83" s="1"/>
  <c r="L65" i="83"/>
  <c r="M65" i="83" s="1"/>
  <c r="L66" i="83"/>
  <c r="M66" i="83" s="1"/>
  <c r="L67" i="83"/>
  <c r="M67" i="83" s="1"/>
  <c r="L68" i="83"/>
  <c r="M68" i="83" s="1"/>
  <c r="G16" i="74"/>
  <c r="D123" i="83"/>
  <c r="D122" i="85"/>
  <c r="D123" i="85" s="1"/>
  <c r="H108" i="85"/>
  <c r="M49" i="85"/>
  <c r="C93" i="85"/>
  <c r="C86" i="85" s="1"/>
  <c r="D55" i="85"/>
  <c r="M53" i="85" s="1"/>
  <c r="D53" i="85"/>
  <c r="D52" i="85"/>
  <c r="C85" i="85"/>
  <c r="C72" i="85"/>
  <c r="C78" i="85"/>
  <c r="C73" i="85" s="1"/>
  <c r="C64" i="85"/>
  <c r="C63" i="85" s="1"/>
  <c r="C67" i="85" s="1"/>
  <c r="C68" i="85" s="1"/>
  <c r="D54" i="85" s="1"/>
  <c r="C96" i="83"/>
  <c r="E96" i="83" s="1"/>
  <c r="E97" i="83" s="1"/>
  <c r="O15" i="77"/>
  <c r="F17" i="74"/>
  <c r="E17" i="74"/>
  <c r="L23" i="77"/>
  <c r="N23" i="77" s="1"/>
  <c r="N25" i="77" s="1"/>
  <c r="N17" i="77" s="1"/>
  <c r="N18" i="77" s="1"/>
  <c r="K23" i="77"/>
  <c r="J25" i="77"/>
  <c r="C80" i="83"/>
  <c r="E80" i="83" s="1"/>
  <c r="E81" i="83" s="1"/>
  <c r="C95" i="85" l="1"/>
  <c r="C96" i="85" s="1"/>
  <c r="E96" i="85" s="1"/>
  <c r="E97" i="85" s="1"/>
  <c r="C97" i="83"/>
  <c r="D58" i="83" s="1"/>
  <c r="D56" i="83" s="1"/>
  <c r="M54" i="83" s="1"/>
  <c r="N57" i="83" s="1"/>
  <c r="N59" i="83" s="1"/>
  <c r="N60" i="83" s="1"/>
  <c r="C79" i="85"/>
  <c r="C80" i="85" s="1"/>
  <c r="E80" i="85" s="1"/>
  <c r="E81" i="85" s="1"/>
  <c r="N61" i="83"/>
  <c r="L63" i="85"/>
  <c r="M63" i="85" s="1"/>
  <c r="L64" i="85"/>
  <c r="M64" i="85" s="1"/>
  <c r="L65" i="85"/>
  <c r="M65" i="85" s="1"/>
  <c r="L66" i="85"/>
  <c r="M66" i="85" s="1"/>
  <c r="L67" i="85"/>
  <c r="M67" i="85" s="1"/>
  <c r="L68" i="85"/>
  <c r="M68" i="85" s="1"/>
  <c r="C81" i="83"/>
  <c r="J17" i="77"/>
  <c r="K25" i="77"/>
  <c r="M23" i="77"/>
  <c r="O23" i="77" s="1"/>
  <c r="L25" i="77"/>
  <c r="M69" i="83"/>
  <c r="N69" i="83" s="1"/>
  <c r="C34" i="80"/>
  <c r="D118" i="80" s="1"/>
  <c r="D119" i="80" s="1"/>
  <c r="G118" i="80"/>
  <c r="F119" i="80"/>
  <c r="H101" i="80"/>
  <c r="H119" i="80"/>
  <c r="C104" i="80"/>
  <c r="I118" i="80"/>
  <c r="C32" i="9"/>
  <c r="G21" i="9"/>
  <c r="C81" i="85" l="1"/>
  <c r="P57" i="83"/>
  <c r="N58" i="83"/>
  <c r="C105" i="80"/>
  <c r="E118" i="80"/>
  <c r="H102" i="80"/>
  <c r="K17" i="77"/>
  <c r="J18" i="77"/>
  <c r="K18" i="77" s="1"/>
  <c r="M69" i="85"/>
  <c r="N69" i="85" s="1"/>
  <c r="H118" i="9"/>
  <c r="C35" i="9"/>
  <c r="F118" i="9" s="1"/>
  <c r="D45" i="80"/>
  <c r="H107" i="80"/>
  <c r="M48" i="80"/>
  <c r="C97" i="85"/>
  <c r="D58" i="85" s="1"/>
  <c r="D56" i="85" s="1"/>
  <c r="M54" i="85" s="1"/>
  <c r="N57" i="85" s="1"/>
  <c r="L17" i="77"/>
  <c r="L18" i="77" s="1"/>
  <c r="M18" i="77" s="1"/>
  <c r="M25" i="77"/>
  <c r="M17" i="77" s="1"/>
  <c r="O18" i="77" l="1"/>
  <c r="P57" i="85"/>
  <c r="N58" i="85"/>
  <c r="N59" i="85"/>
  <c r="D122" i="80"/>
  <c r="H108" i="80"/>
  <c r="M49" i="80"/>
  <c r="G118" i="9"/>
  <c r="G4" i="52" s="1"/>
  <c r="B52" i="72" s="1"/>
  <c r="F4" i="52"/>
  <c r="B51" i="72" s="1"/>
  <c r="F119" i="9"/>
  <c r="F5" i="52" s="1"/>
  <c r="B53" i="72" s="1"/>
  <c r="I118" i="9"/>
  <c r="D14" i="74"/>
  <c r="H119" i="9"/>
  <c r="H5" i="52" s="1"/>
  <c r="H101" i="9"/>
  <c r="H4" i="52"/>
  <c r="C104" i="9"/>
  <c r="O25" i="77"/>
  <c r="O17" i="77" s="1"/>
  <c r="C93" i="80"/>
  <c r="C86" i="80" s="1"/>
  <c r="D55" i="80"/>
  <c r="M53" i="80" s="1"/>
  <c r="C85" i="80"/>
  <c r="C95" i="80" s="1"/>
  <c r="C72" i="80"/>
  <c r="C78" i="80"/>
  <c r="C73" i="80" s="1"/>
  <c r="C64" i="80"/>
  <c r="C63" i="80" s="1"/>
  <c r="C67" i="80" s="1"/>
  <c r="C68" i="80" s="1"/>
  <c r="D54" i="80" s="1"/>
  <c r="D53" i="80"/>
  <c r="D52" i="80"/>
  <c r="C34" i="9"/>
  <c r="D118" i="9" s="1"/>
  <c r="C79" i="80" l="1"/>
  <c r="C80" i="80" s="1"/>
  <c r="E80" i="80" s="1"/>
  <c r="E81" i="80" s="1"/>
  <c r="I4" i="52"/>
  <c r="E118" i="9"/>
  <c r="E4" i="52" s="1"/>
  <c r="B48" i="72" s="1"/>
  <c r="C105" i="9"/>
  <c r="H102" i="9"/>
  <c r="D7" i="53" s="1"/>
  <c r="B21" i="72" s="1"/>
  <c r="L63" i="80"/>
  <c r="M63" i="80" s="1"/>
  <c r="L64" i="80"/>
  <c r="M64" i="80" s="1"/>
  <c r="L65" i="80"/>
  <c r="M65" i="80" s="1"/>
  <c r="L66" i="80"/>
  <c r="M66" i="80" s="1"/>
  <c r="L67" i="80"/>
  <c r="M67" i="80" s="1"/>
  <c r="L68" i="80"/>
  <c r="M68" i="80" s="1"/>
  <c r="G17" i="74"/>
  <c r="D123" i="80"/>
  <c r="D119" i="9"/>
  <c r="D5" i="52" s="1"/>
  <c r="B49" i="72" s="1"/>
  <c r="D4" i="52"/>
  <c r="B47" i="72" s="1"/>
  <c r="C96" i="80"/>
  <c r="E96" i="80" s="1"/>
  <c r="E97" i="80" s="1"/>
  <c r="H107" i="9"/>
  <c r="M48" i="9"/>
  <c r="D45" i="9"/>
  <c r="D5" i="53"/>
  <c r="E14" i="74"/>
  <c r="F14" i="74"/>
  <c r="B5" i="74"/>
  <c r="N61" i="85"/>
  <c r="N60" i="85"/>
  <c r="B20" i="72" l="1"/>
  <c r="D6" i="53"/>
  <c r="B22" i="72" s="1"/>
  <c r="C97" i="80"/>
  <c r="D58" i="80" s="1"/>
  <c r="D56" i="80" s="1"/>
  <c r="M54" i="80" s="1"/>
  <c r="N57" i="80" s="1"/>
  <c r="M69" i="80"/>
  <c r="N69" i="80" s="1"/>
  <c r="C81" i="80"/>
  <c r="D5" i="74"/>
  <c r="C5" i="74"/>
  <c r="C78" i="9"/>
  <c r="C73" i="9" s="1"/>
  <c r="C85" i="9"/>
  <c r="D55" i="9"/>
  <c r="M53" i="9" s="1"/>
  <c r="C64" i="9"/>
  <c r="C63" i="9" s="1"/>
  <c r="C67" i="9" s="1"/>
  <c r="C68" i="9" s="1"/>
  <c r="D54" i="9" s="1"/>
  <c r="D53" i="9"/>
  <c r="D52" i="9"/>
  <c r="C72" i="9"/>
  <c r="C79" i="9" s="1"/>
  <c r="C93" i="9"/>
  <c r="C86" i="9" s="1"/>
  <c r="H108" i="9"/>
  <c r="D15" i="53" s="1"/>
  <c r="B31" i="72" s="1"/>
  <c r="M49" i="9"/>
  <c r="D122" i="9"/>
  <c r="D13" i="53"/>
  <c r="G14" i="74" l="1"/>
  <c r="B6" i="74" s="1"/>
  <c r="D8" i="52"/>
  <c r="D123" i="9"/>
  <c r="D9" i="52" s="1"/>
  <c r="C80" i="9"/>
  <c r="E80" i="9" s="1"/>
  <c r="E81" i="9" s="1"/>
  <c r="D14" i="53"/>
  <c r="B32" i="72" s="1"/>
  <c r="B30" i="72"/>
  <c r="L68" i="9"/>
  <c r="M68" i="9" s="1"/>
  <c r="L65" i="9"/>
  <c r="M65" i="9" s="1"/>
  <c r="L66" i="9"/>
  <c r="M66" i="9" s="1"/>
  <c r="L64" i="9"/>
  <c r="M64" i="9" s="1"/>
  <c r="L63" i="9"/>
  <c r="M63" i="9" s="1"/>
  <c r="L67" i="9"/>
  <c r="M67" i="9" s="1"/>
  <c r="C95" i="9"/>
  <c r="P57" i="80"/>
  <c r="N58" i="80"/>
  <c r="N59" i="80"/>
  <c r="C96" i="9" l="1"/>
  <c r="E96" i="9" s="1"/>
  <c r="E97" i="9" s="1"/>
  <c r="C6" i="74"/>
  <c r="D6" i="74"/>
  <c r="N61" i="80"/>
  <c r="N60" i="80"/>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<sst xmlns="http://schemas.openxmlformats.org/spreadsheetml/2006/main" count="11160" uniqueCount="3917">
  <si>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</si>
  <si>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</si>
  <si>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</si>
  <si>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</si>
  <si>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</si>
  <si>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</si>
  <si>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</si>
  <si>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</si>
  <si>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</si>
  <si>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</si>
  <si>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</si>
  <si>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</si>
  <si>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</si>
  <si>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</si>
  <si>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</si>
  <si>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</si>
  <si>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</si>
  <si>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</si>
  <si>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</si>
  <si>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</si>
  <si>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</si>
  <si>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</si>
  <si>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</si>
  <si>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</si>
  <si>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</si>
  <si>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</si>
  <si>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</si>
  <si>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</si>
  <si>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</si>
  <si>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</si>
  <si>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</si>
  <si>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</si>
  <si>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</si>
  <si>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</si>
  <si>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</si>
  <si>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</si>
  <si>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</si>
  <si>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</si>
  <si>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</si>
  <si>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</si>
  <si>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</si>
  <si>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</si>
  <si>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</si>
  <si>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</si>
  <si>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</si>
  <si>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</si>
  <si>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</si>
  <si>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</si>
  <si>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</si>
  <si>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</si>
  <si>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</si>
  <si>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</si>
  <si>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</si>
  <si>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</si>
  <si>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</si>
  <si>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</si>
  <si>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</si>
  <si>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</si>
  <si>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</si>
  <si>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</si>
  <si>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</si>
  <si>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</si>
  <si>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</si>
  <si>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</si>
  <si>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</si>
  <si>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</si>
  <si>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</si>
  <si>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</si>
  <si>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</si>
  <si>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</si>
  <si>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</si>
  <si>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</si>
  <si>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</si>
  <si>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</si>
  <si>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</si>
  <si>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</si>
  <si>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</si>
  <si>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</si>
  <si>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</si>
  <si>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</si>
  <si>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</si>
  <si>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</si>
  <si>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</si>
  <si>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</si>
  <si>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</si>
  <si>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</si>
  <si>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</si>
  <si>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</si>
  <si>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</si>
  <si>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</si>
  <si>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</si>
  <si>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</si>
  <si>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</si>
  <si>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</si>
  <si>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</si>
  <si>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</si>
  <si>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</si>
  <si>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</si>
  <si>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</si>
  <si>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</si>
  <si>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</si>
  <si>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</si>
  <si>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</si>
  <si>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</si>
  <si>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</si>
  <si>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</si>
  <si>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</si>
  <si>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</si>
  <si>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</si>
  <si>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</si>
  <si>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</si>
  <si>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</si>
  <si>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</si>
  <si>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</si>
  <si>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</si>
  <si>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</si>
  <si>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</si>
  <si>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</si>
  <si>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</si>
  <si>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</si>
  <si>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</si>
  <si>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</si>
  <si>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</si>
  <si>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</si>
  <si>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</si>
  <si>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</si>
  <si>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</si>
  <si>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</si>
  <si>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</si>
  <si>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</si>
  <si>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</si>
  <si>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</si>
  <si>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</si>
  <si>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</si>
  <si>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</si>
  <si>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</si>
  <si>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</si>
  <si>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</si>
  <si>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</si>
  <si>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</si>
  <si>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</si>
  <si>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</si>
  <si>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</si>
  <si>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</si>
  <si>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</si>
  <si>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</si>
  <si>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</si>
  <si>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</si>
  <si>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</si>
  <si>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</si>
  <si>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</si>
  <si>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</si>
  <si>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</si>
  <si>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</si>
  <si>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</si>
  <si>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</si>
  <si>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</si>
  <si>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</si>
  <si>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</si>
  <si>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</si>
  <si>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</si>
  <si>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</si>
  <si>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</si>
  <si>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</si>
  <si>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</si>
  <si>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</si>
  <si>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</si>
  <si>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</si>
  <si>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</si>
  <si>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</si>
  <si>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</si>
  <si>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</si>
  <si>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</si>
  <si>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</si>
  <si>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</si>
  <si>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</si>
  <si>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</si>
  <si>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</si>
  <si>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</si>
  <si>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</si>
  <si>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</si>
  <si>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</si>
  <si>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</si>
  <si>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</si>
  <si>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</si>
  <si>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</si>
  <si>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</si>
  <si>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</si>
  <si>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</si>
  <si>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</si>
  <si>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</si>
  <si>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</si>
  <si>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</si>
  <si>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</si>
  <si>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</si>
  <si>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</si>
  <si>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</si>
  <si>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</si>
  <si>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</si>
  <si>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</si>
  <si>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</si>
  <si>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</si>
  <si>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</si>
  <si>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</si>
  <si>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</si>
  <si>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</si>
  <si>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</si>
  <si>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</si>
  <si>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</si>
  <si>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</si>
  <si>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</si>
  <si>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</si>
  <si>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</si>
  <si>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</si>
  <si>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</si>
  <si>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</si>
  <si>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</si>
  <si>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</si>
  <si>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</si>
  <si>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</si>
  <si>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</si>
  <si>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</si>
  <si>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</si>
  <si>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</si>
  <si>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</si>
  <si>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</si>
  <si>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</si>
  <si>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</si>
  <si>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</si>
  <si>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</si>
  <si>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</si>
  <si>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</si>
  <si>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</si>
  <si>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</si>
  <si>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</si>
  <si>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</si>
  <si>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</si>
  <si>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</si>
  <si>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</si>
  <si>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</si>
  <si>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</si>
  <si>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</si>
  <si>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</si>
  <si>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</si>
  <si>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</si>
  <si>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</si>
  <si>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</si>
  <si>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</si>
  <si>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</si>
  <si>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</si>
  <si>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</si>
  <si>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</si>
  <si>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</si>
  <si>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</si>
  <si>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</si>
  <si>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</si>
  <si>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</si>
  <si>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</si>
  <si>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</si>
  <si>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</si>
  <si>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</si>
  <si>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</si>
  <si>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</si>
  <si>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</si>
  <si>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</si>
  <si>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</si>
  <si>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</si>
  <si>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</si>
  <si>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</si>
  <si>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</si>
  <si>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</si>
  <si>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</si>
  <si>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</si>
  <si>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</si>
  <si>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</si>
  <si>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</si>
  <si>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</si>
  <si>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</si>
  <si>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</si>
  <si>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</si>
  <si>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</si>
  <si>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</si>
  <si>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</si>
  <si>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</si>
  <si>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</si>
  <si>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</si>
  <si>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</si>
  <si>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</si>
  <si>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</si>
  <si>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</si>
  <si>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</si>
  <si>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</si>
  <si>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</si>
  <si>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</si>
  <si>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</si>
  <si>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</si>
  <si>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</si>
  <si>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</si>
  <si>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</si>
  <si>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</si>
  <si>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</si>
  <si>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</si>
  <si>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</si>
  <si>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</si>
  <si>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</si>
  <si>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</si>
  <si>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</si>
  <si>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</si>
  <si>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</si>
  <si>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</si>
  <si>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</si>
  <si>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</si>
  <si>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</si>
  <si>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</si>
  <si>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</si>
  <si>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</si>
  <si>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</si>
  <si>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</si>
  <si>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</si>
  <si>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</si>
  <si>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</si>
  <si>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</si>
  <si>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</si>
  <si>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</si>
  <si>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</si>
  <si>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</si>
  <si>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</si>
  <si>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</si>
  <si>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</si>
  <si>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</si>
  <si>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</si>
  <si>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</si>
  <si>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</si>
  <si>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</si>
  <si>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</si>
  <si>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</si>
  <si>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</si>
  <si>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</si>
  <si>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</si>
  <si>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</si>
  <si>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</si>
  <si>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</si>
  <si>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</si>
  <si>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</si>
  <si>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</si>
  <si>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</si>
  <si>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</si>
  <si>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</si>
  <si>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</si>
  <si>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</si>
  <si>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</si>
  <si>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</si>
  <si>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</si>
  <si>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</si>
  <si>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</si>
  <si>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</si>
  <si>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</si>
  <si>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</si>
  <si>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</si>
  <si>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</si>
  <si>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</si>
  <si>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</si>
  <si>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</si>
  <si>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</si>
  <si>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</si>
  <si>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</si>
  <si>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</si>
  <si>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</si>
  <si>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</si>
  <si>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</si>
  <si>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</si>
  <si>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</si>
  <si>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</si>
  <si>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</si>
  <si>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</si>
  <si>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</si>
  <si>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</si>
  <si>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</si>
  <si>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</si>
  <si>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</si>
  <si>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</si>
  <si>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</si>
  <si>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</si>
  <si>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</si>
  <si>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</si>
  <si>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</si>
  <si>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</si>
  <si>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</si>
  <si>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</si>
  <si>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</si>
  <si>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</si>
  <si>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</si>
  <si>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</si>
  <si>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</si>
  <si>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</si>
  <si>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</si>
  <si>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</si>
  <si>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</si>
  <si>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</si>
  <si>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</si>
  <si>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</si>
  <si>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</si>
  <si>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</si>
  <si>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</si>
  <si>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</si>
  <si>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</si>
  <si>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</si>
  <si>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</si>
  <si>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</si>
  <si>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</si>
  <si>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</si>
  <si>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</si>
  <si>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</si>
  <si>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</si>
  <si>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</si>
  <si>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</si>
  <si>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</si>
  <si>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</si>
  <si>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</si>
  <si>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</si>
  <si>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</si>
  <si>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</si>
  <si>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</si>
  <si>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</si>
  <si>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</si>
  <si>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</si>
  <si>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</si>
  <si>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</si>
  <si>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</si>
  <si>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</si>
  <si>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</si>
  <si>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</si>
  <si>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</si>
  <si>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</si>
  <si>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</si>
  <si>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</si>
  <si>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</si>
  <si>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</si>
  <si>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</si>
  <si>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</si>
  <si>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</si>
  <si>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</si>
  <si>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</si>
  <si>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</si>
  <si>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</si>
  <si>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</si>
  <si>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</si>
  <si>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</si>
  <si>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</si>
  <si>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</si>
  <si>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</si>
  <si>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</si>
  <si>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</si>
  <si>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</si>
  <si>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</si>
  <si>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</si>
  <si>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</si>
  <si>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</si>
  <si>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</si>
  <si>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</si>
  <si>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</si>
  <si>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</si>
  <si>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</si>
  <si>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</si>
  <si>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</si>
  <si>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</si>
  <si>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</si>
  <si>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</si>
  <si>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</si>
  <si>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</si>
  <si>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</si>
  <si>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</si>
  <si>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</si>
  <si>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</si>
  <si>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</si>
  <si>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</si>
  <si>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</si>
  <si>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</si>
  <si>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</si>
  <si>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</si>
  <si>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</si>
  <si>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</si>
  <si>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</si>
  <si>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</si>
  <si>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</si>
  <si>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</si>
  <si>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</si>
  <si>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</si>
  <si>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</si>
  <si>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</si>
  <si>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</si>
  <si>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</si>
  <si>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</si>
  <si>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</si>
  <si>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</si>
  <si>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</si>
  <si>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</si>
  <si>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</si>
  <si>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</si>
  <si>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</si>
  <si>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</si>
  <si>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</si>
  <si>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</si>
  <si>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</si>
  <si>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</si>
  <si>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</si>
  <si>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</si>
  <si>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</si>
  <si>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</si>
  <si>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</si>
  <si>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</si>
  <si>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</si>
  <si>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</si>
  <si>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</si>
  <si>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</si>
  <si>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</si>
  <si>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</si>
  <si>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</si>
  <si>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</si>
  <si>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</si>
  <si>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</si>
  <si>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</si>
  <si>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</si>
  <si>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</si>
  <si>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</si>
  <si>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</si>
  <si>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</si>
  <si>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</si>
  <si>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</si>
  <si>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</si>
  <si>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</si>
  <si>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</si>
  <si>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</si>
  <si>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</si>
  <si>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</si>
  <si>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</si>
  <si>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</si>
  <si>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</si>
  <si>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</si>
  <si>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</si>
  <si>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</si>
  <si>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</si>
  <si>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</si>
  <si>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</si>
  <si>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</si>
  <si>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</si>
  <si>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</si>
  <si>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</si>
  <si>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</si>
  <si>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</si>
  <si>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</si>
  <si>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</si>
  <si>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</si>
  <si>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</si>
  <si>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</si>
  <si>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</si>
  <si>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</si>
  <si>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</si>
  <si>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</si>
  <si>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</si>
  <si>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</si>
  <si>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</si>
  <si>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</si>
  <si>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</si>
  <si>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</si>
  <si>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</si>
  <si>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</si>
  <si>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</si>
  <si>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</si>
  <si>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</si>
  <si>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</si>
  <si>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</si>
  <si>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</si>
  <si>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</si>
  <si>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</si>
  <si>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</si>
  <si>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</si>
  <si>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</si>
  <si>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</si>
  <si>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</si>
  <si>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</si>
  <si>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</si>
  <si>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</si>
  <si>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</si>
  <si>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</si>
  <si>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</si>
  <si>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</si>
  <si>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</si>
  <si>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</si>
  <si>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</si>
  <si>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</si>
  <si>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</si>
  <si>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</si>
  <si>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</si>
  <si>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</si>
  <si>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</si>
  <si>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</si>
  <si>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</si>
  <si>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</si>
  <si>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</si>
  <si>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</si>
  <si>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</si>
  <si>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</si>
  <si>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</si>
  <si>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</si>
  <si>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</si>
  <si>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</si>
  <si>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</si>
  <si>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</si>
  <si>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</si>
  <si>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</si>
  <si>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</si>
  <si>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</si>
  <si>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</si>
  <si>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</si>
  <si>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</si>
  <si>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</si>
  <si>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</si>
  <si>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</si>
  <si>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</si>
  <si>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</si>
  <si>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</si>
  <si>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</si>
  <si>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</si>
  <si>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</si>
  <si>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</si>
  <si>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</si>
  <si>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</si>
  <si>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</si>
  <si>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</si>
  <si>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</si>
  <si>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</si>
  <si>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</si>
  <si>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</si>
  <si>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</si>
  <si>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</si>
  <si>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</si>
  <si>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</si>
  <si>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</si>
  <si>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</si>
  <si>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</si>
  <si>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</si>
  <si>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</si>
  <si>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</si>
  <si>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</si>
  <si>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</si>
  <si>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</si>
  <si>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</si>
  <si>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</si>
  <si>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</si>
  <si>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</si>
  <si>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</si>
  <si>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</si>
  <si>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</si>
  <si>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</si>
  <si>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</si>
  <si>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</si>
  <si>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</si>
  <si>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</si>
  <si>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</si>
  <si>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</si>
  <si>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</si>
  <si>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</si>
  <si>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</si>
  <si>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</si>
  <si>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</si>
  <si>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</si>
  <si>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</si>
  <si>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</si>
  <si>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</si>
  <si>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</si>
  <si>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</si>
  <si>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</si>
  <si>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</si>
  <si>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</si>
  <si>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</si>
  <si>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</si>
  <si>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</si>
  <si>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</si>
  <si>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</si>
  <si>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</si>
  <si>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</si>
  <si>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</si>
  <si>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</si>
  <si>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</si>
  <si>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</si>
  <si>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</si>
  <si>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</si>
  <si>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</si>
  <si>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</si>
  <si>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</si>
  <si>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</si>
  <si>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</si>
  <si>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</si>
  <si>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</si>
  <si>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</si>
  <si>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</si>
  <si>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</si>
  <si>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</si>
  <si>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</si>
  <si>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</si>
  <si>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</si>
  <si>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</si>
  <si>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</si>
  <si>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</si>
  <si>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</si>
  <si>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</si>
  <si>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</si>
  <si>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</si>
  <si>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</si>
  <si>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</si>
  <si>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</si>
  <si>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</si>
  <si>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</si>
  <si>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</si>
  <si>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</si>
  <si>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</si>
  <si>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</si>
  <si>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</si>
  <si>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</si>
  <si>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</si>
  <si>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</si>
  <si>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</si>
  <si>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</si>
  <si>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</si>
  <si>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</si>
  <si>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</si>
  <si>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</si>
  <si>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</si>
  <si>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</si>
  <si>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</si>
  <si>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</si>
  <si>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</si>
  <si>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</si>
  <si>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</si>
  <si>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</si>
  <si>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</si>
  <si>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</si>
  <si>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</si>
  <si>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</si>
  <si>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</si>
  <si>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</si>
  <si>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</si>
  <si>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</si>
  <si>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</si>
  <si>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</si>
  <si>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</si>
  <si>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</si>
  <si>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</si>
  <si>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</si>
  <si>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</si>
  <si>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</si>
  <si>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</si>
  <si>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</si>
  <si>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</si>
  <si>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</si>
  <si>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</si>
  <si>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</si>
  <si>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</si>
  <si>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</si>
  <si>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</si>
  <si>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</si>
  <si>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</si>
  <si>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</si>
  <si>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</si>
  <si>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</si>
  <si>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</si>
  <si>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</si>
  <si>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</si>
  <si>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</si>
  <si>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</si>
  <si>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</si>
  <si>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</si>
  <si>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</si>
  <si>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</si>
  <si>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</si>
  <si>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</si>
  <si>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</si>
  <si>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</si>
  <si>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</si>
  <si>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</si>
  <si>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</si>
  <si>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</si>
  <si>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</si>
  <si>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</si>
  <si>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</si>
  <si>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</si>
  <si>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</si>
  <si>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</si>
  <si>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</si>
  <si>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</si>
  <si>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</si>
  <si>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</si>
  <si>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</si>
  <si>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</si>
  <si>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</si>
  <si>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</si>
  <si>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</si>
  <si>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</si>
  <si>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</si>
  <si>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</si>
  <si>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</si>
  <si>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</si>
  <si>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</si>
  <si>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</si>
  <si>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</si>
  <si>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</si>
  <si>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</si>
  <si>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</si>
  <si>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</si>
  <si>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</si>
  <si>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</si>
  <si>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</si>
  <si>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</si>
  <si>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</si>
  <si>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</si>
  <si>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</si>
  <si>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</si>
  <si>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</si>
  <si>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</si>
  <si>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</si>
  <si>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</si>
  <si>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</si>
  <si>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</si>
  <si>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</si>
  <si>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</si>
  <si>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</si>
  <si>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</si>
  <si>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</si>
  <si>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</si>
  <si>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</si>
  <si>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</si>
  <si>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</si>
  <si>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</si>
  <si>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</si>
  <si>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</si>
  <si>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</si>
  <si>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</si>
  <si>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</si>
  <si>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</si>
  <si>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</si>
  <si>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</si>
  <si>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</si>
  <si>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</si>
  <si>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</si>
  <si>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</si>
  <si>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</si>
  <si>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</si>
  <si>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</si>
  <si>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</si>
  <si>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</si>
  <si>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</si>
  <si>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</si>
  <si>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</si>
  <si>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</si>
  <si>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</si>
  <si>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</si>
  <si>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</si>
  <si>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</si>
  <si>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</si>
  <si>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</si>
  <si>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</si>
  <si>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</si>
  <si>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</si>
  <si>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</si>
  <si>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</si>
  <si>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</si>
  <si>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</si>
  <si>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</si>
  <si>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</si>
  <si>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</si>
  <si>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</si>
  <si>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</si>
  <si>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</si>
  <si>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</si>
  <si>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</si>
  <si>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</si>
  <si>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</si>
  <si>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</si>
  <si>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</si>
  <si>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</si>
  <si>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</si>
  <si>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</si>
  <si>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</si>
  <si>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</si>
  <si>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</si>
  <si>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</si>
  <si>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</si>
  <si>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</si>
  <si>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</si>
  <si>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</si>
  <si>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</si>
  <si>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</si>
  <si>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</si>
  <si>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</si>
  <si>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</si>
  <si>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</si>
  <si>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</si>
  <si>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</si>
  <si>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</si>
  <si>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</si>
  <si>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</si>
  <si>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</si>
  <si>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</si>
  <si>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</si>
  <si>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</si>
  <si>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</si>
  <si>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</si>
  <si>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</si>
  <si>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</si>
  <si>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</si>
  <si>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</si>
  <si>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</si>
  <si>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</si>
  <si>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</si>
  <si>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</si>
  <si>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</si>
  <si>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</si>
  <si>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</si>
  <si>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</si>
  <si>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</si>
  <si>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</si>
  <si>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</si>
  <si>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</si>
  <si>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</si>
  <si>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</si>
  <si>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</si>
  <si>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</si>
  <si>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</si>
  <si>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</si>
  <si>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</si>
  <si>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</si>
  <si>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</si>
  <si>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</si>
  <si>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</si>
  <si>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</si>
  <si>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</si>
  <si>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</si>
  <si>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</si>
  <si>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</si>
  <si>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</si>
  <si>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</si>
  <si>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</si>
  <si>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</si>
  <si>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</si>
  <si>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</si>
  <si>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</si>
  <si>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</si>
  <si>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</si>
  <si>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</si>
  <si>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</si>
  <si>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</si>
  <si>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</si>
  <si>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</si>
  <si>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</si>
  <si>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</si>
  <si>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</si>
  <si>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</si>
  <si>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</si>
  <si>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</si>
  <si>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</si>
  <si>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</si>
  <si>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</si>
  <si>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</si>
  <si>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</si>
  <si>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</si>
  <si>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</si>
  <si>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</si>
  <si>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</si>
  <si>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</si>
  <si>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</si>
  <si>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</si>
  <si>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</si>
  <si>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</si>
  <si>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</si>
  <si>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</si>
  <si>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</si>
  <si>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</si>
  <si>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</si>
  <si>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</si>
  <si>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</si>
  <si>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</si>
  <si>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</si>
  <si>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</si>
  <si>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</si>
  <si>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</si>
  <si>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</si>
  <si>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</si>
  <si>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</si>
  <si>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</si>
  <si>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</si>
  <si>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</si>
  <si>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</si>
  <si>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</si>
  <si>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</si>
  <si>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</si>
  <si>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</si>
  <si>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</si>
  <si>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</si>
  <si>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</si>
  <si>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</si>
  <si>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</si>
  <si>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</si>
  <si>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</si>
  <si>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</si>
  <si>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</si>
  <si>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</si>
  <si>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</si>
  <si>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</si>
  <si>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</si>
  <si>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</si>
  <si>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</si>
  <si>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</si>
  <si>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</si>
  <si>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</si>
  <si>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</si>
  <si>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</si>
  <si>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</si>
  <si>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</si>
  <si>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</si>
  <si>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</si>
  <si>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</si>
  <si>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</si>
  <si>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</si>
  <si>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</si>
  <si>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</si>
  <si>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</si>
  <si>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</si>
  <si>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</si>
  <si>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</si>
  <si>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</si>
  <si>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</si>
  <si>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</si>
  <si>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</si>
  <si>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</si>
  <si>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</si>
  <si>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</si>
  <si>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</si>
  <si>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</si>
  <si>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</si>
  <si>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</si>
  <si>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</si>
  <si>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</si>
  <si>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</si>
  <si>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</si>
  <si>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</si>
  <si>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</si>
  <si>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</si>
  <si>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</si>
  <si>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</si>
  <si>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</si>
  <si>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</si>
  <si>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</si>
  <si>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</si>
  <si>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</si>
  <si>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</si>
  <si>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</si>
  <si>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</si>
  <si>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</si>
  <si>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</si>
  <si>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</si>
  <si>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</si>
  <si>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</si>
  <si>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</si>
  <si>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</si>
  <si>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</si>
  <si>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</si>
  <si>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</si>
  <si>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</si>
  <si>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</si>
  <si>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</si>
  <si>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</si>
  <si>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</si>
  <si>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</si>
  <si>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</si>
  <si>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</si>
  <si>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</si>
  <si>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</si>
  <si>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</si>
  <si>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</si>
  <si>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</si>
  <si>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</si>
  <si>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</si>
  <si>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</si>
  <si>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</si>
  <si>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</si>
  <si>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</si>
  <si>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</si>
  <si>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</si>
  <si>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</si>
  <si>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</si>
  <si>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</si>
  <si>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</si>
  <si>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</si>
  <si>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</si>
  <si>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</si>
  <si>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</si>
  <si>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</si>
  <si>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</si>
  <si>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</si>
  <si>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</si>
  <si>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</si>
  <si>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</si>
  <si>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</si>
  <si>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</si>
  <si>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</si>
  <si>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</si>
  <si>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</si>
  <si>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</si>
  <si>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</si>
  <si>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</si>
  <si>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</si>
  <si>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</si>
  <si>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</si>
  <si>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</si>
  <si>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</si>
  <si>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</si>
  <si>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</si>
  <si>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</si>
  <si>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</si>
  <si>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</si>
  <si>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</si>
  <si>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</si>
  <si>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</si>
  <si>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</si>
  <si>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</si>
  <si>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</si>
  <si>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</si>
  <si>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</si>
  <si>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</si>
  <si>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</si>
  <si>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</si>
  <si>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</si>
  <si>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</si>
  <si>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</si>
  <si>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</si>
  <si>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</si>
  <si>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</si>
  <si>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</si>
  <si>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</si>
  <si>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</si>
  <si>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</si>
  <si>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</si>
  <si>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</si>
  <si>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</si>
  <si>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</si>
  <si>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</si>
  <si>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</si>
  <si>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</si>
  <si>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</si>
  <si>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</si>
  <si>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</si>
  <si>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</si>
  <si>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</si>
  <si>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</si>
  <si>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</si>
  <si>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</si>
  <si>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</si>
  <si>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</si>
  <si>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</si>
  <si>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</si>
  <si>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</si>
  <si>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</si>
  <si>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</si>
  <si>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</si>
  <si>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</si>
  <si>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</si>
  <si>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</si>
  <si>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</si>
  <si>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</si>
  <si>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</si>
  <si>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</si>
  <si>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</si>
  <si>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</si>
  <si>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</si>
  <si>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</si>
  <si>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</si>
  <si>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</si>
  <si>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</si>
  <si>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</si>
  <si>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</si>
  <si>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</si>
  <si>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</si>
  <si>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</si>
  <si>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</si>
  <si>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</si>
  <si>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</si>
  <si>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</si>
  <si>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</si>
  <si>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</si>
  <si>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</si>
  <si>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</si>
  <si>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</si>
  <si>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</si>
  <si>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</si>
  <si>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</si>
  <si>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</si>
  <si>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</si>
  <si>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</si>
  <si>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</si>
  <si>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</si>
  <si>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</si>
  <si>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</si>
  <si>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</si>
  <si>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</si>
  <si>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</si>
  <si>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</si>
  <si>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</si>
  <si>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</si>
  <si>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</si>
  <si>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</si>
  <si>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</si>
  <si>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</si>
  <si>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</si>
  <si>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</si>
  <si>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</si>
  <si>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</si>
  <si>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</si>
  <si>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</si>
  <si>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</si>
  <si>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</si>
  <si>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</si>
  <si>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</si>
  <si>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</si>
  <si>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</si>
  <si>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</si>
  <si>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</si>
  <si>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</si>
  <si>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</si>
  <si>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</si>
  <si>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</si>
  <si>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</si>
  <si>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</si>
  <si>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</si>
  <si>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</si>
  <si>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</si>
  <si>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</si>
  <si>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</si>
  <si>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</si>
  <si>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</si>
  <si>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</si>
  <si>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</si>
  <si>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</si>
  <si>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</si>
  <si>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</si>
  <si>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</si>
  <si>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</si>
  <si>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</si>
  <si>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</si>
  <si>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</si>
  <si>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</si>
  <si>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</si>
  <si>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</si>
  <si>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</si>
  <si>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</si>
  <si>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</si>
  <si>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</si>
  <si>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</si>
  <si>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</si>
  <si>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</si>
  <si>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</si>
  <si>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</si>
  <si>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</si>
  <si>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</si>
  <si>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</si>
  <si>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</si>
  <si>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</si>
  <si>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</si>
  <si>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</si>
  <si>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</si>
  <si>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</si>
  <si>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</si>
  <si>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</si>
  <si>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</si>
  <si>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</si>
  <si>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</si>
  <si>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</si>
  <si>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</si>
  <si>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</si>
  <si>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</si>
  <si>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</si>
  <si>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</si>
  <si>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</si>
  <si>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</si>
  <si>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</si>
  <si>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</si>
  <si>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</si>
  <si>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</si>
  <si>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</si>
  <si>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</si>
  <si>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</si>
  <si>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</si>
  <si>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</si>
  <si>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</si>
  <si>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</si>
  <si>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</si>
  <si>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</si>
  <si>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</si>
  <si>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</si>
  <si>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</si>
  <si>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</si>
  <si>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</si>
  <si>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</si>
  <si>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</si>
  <si>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</si>
  <si>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</si>
  <si>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</si>
  <si>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</si>
  <si>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</si>
  <si>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</si>
  <si>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</si>
  <si>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</si>
  <si>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</si>
  <si>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</si>
  <si>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</si>
  <si>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</si>
  <si>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</si>
  <si>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</si>
  <si>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</si>
  <si>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</si>
  <si>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</si>
  <si>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</si>
  <si>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</si>
  <si>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</si>
  <si>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</si>
  <si>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</si>
  <si>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</si>
  <si>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</si>
  <si>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</si>
  <si>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</si>
  <si>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</si>
  <si>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</si>
  <si>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</si>
  <si>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</si>
  <si>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</si>
  <si>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</si>
  <si>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</si>
  <si>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</si>
  <si>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</si>
  <si>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</si>
  <si>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</si>
  <si>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</si>
  <si>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</si>
  <si>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</si>
  <si>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</si>
  <si>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</si>
  <si>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</si>
  <si>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</si>
  <si>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</si>
  <si>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</si>
  <si>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</si>
  <si>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</si>
  <si>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</si>
  <si>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</si>
  <si>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</si>
  <si>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</si>
  <si>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</si>
  <si>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</si>
  <si>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</si>
  <si>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</si>
  <si>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</si>
  <si>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</si>
  <si>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</si>
  <si>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</si>
  <si>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</si>
  <si>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</si>
  <si>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</si>
  <si>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</si>
  <si>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</si>
  <si>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</si>
  <si>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</si>
  <si>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</si>
  <si>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</si>
  <si>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</si>
  <si>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</si>
  <si>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</si>
  <si>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</si>
  <si>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</si>
  <si>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</si>
  <si>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</si>
  <si>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</si>
  <si>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</si>
  <si>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</si>
  <si>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</si>
  <si>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</si>
  <si>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</si>
  <si>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</si>
  <si>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</si>
  <si>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</si>
  <si>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</si>
  <si>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</si>
  <si>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</si>
  <si>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</si>
  <si>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</si>
  <si>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</si>
  <si>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</si>
  <si>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</si>
  <si>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</si>
  <si>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</si>
  <si>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</si>
  <si>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</si>
  <si>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</si>
  <si>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</si>
  <si>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</si>
  <si>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</si>
  <si>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</si>
  <si>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</si>
  <si>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</si>
  <si>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</si>
  <si>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</si>
  <si>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</si>
  <si>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</si>
  <si>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</si>
  <si>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</si>
  <si>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</si>
  <si>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</si>
  <si>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</si>
  <si>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</si>
  <si>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</si>
  <si>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</si>
  <si>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</si>
  <si>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</si>
  <si>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</si>
  <si>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</si>
  <si>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</si>
  <si>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</si>
  <si>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</si>
  <si>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</si>
  <si>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</si>
  <si>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</si>
  <si>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</si>
  <si>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</si>
  <si>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</si>
  <si>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</si>
  <si>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</si>
  <si>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</si>
  <si>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</si>
  <si>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</si>
  <si>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</si>
  <si>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</si>
  <si>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</si>
  <si>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</si>
  <si>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</si>
  <si>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</si>
  <si>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</si>
  <si>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</si>
  <si>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</si>
  <si>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</si>
  <si>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</si>
  <si>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</si>
  <si>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</si>
  <si>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</si>
  <si>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</si>
  <si>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</si>
  <si>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</si>
  <si>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</si>
  <si>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</si>
  <si>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</si>
  <si>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</si>
  <si>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</si>
  <si>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</si>
  <si>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</si>
  <si>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</si>
  <si>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</si>
  <si>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</si>
  <si>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</si>
  <si>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</si>
  <si>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</si>
  <si>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</si>
  <si>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</si>
  <si>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</si>
  <si>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</si>
  <si>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</si>
  <si>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</si>
  <si>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</si>
  <si>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</si>
  <si>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</si>
  <si>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</si>
  <si>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</si>
  <si>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</si>
  <si>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</si>
  <si>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</si>
  <si>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</si>
  <si>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</si>
  <si>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</si>
  <si>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</si>
  <si>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</si>
  <si>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</si>
  <si>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</si>
  <si>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</si>
  <si>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</si>
  <si>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</si>
  <si>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</si>
  <si>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</si>
  <si>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</si>
  <si>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</si>
  <si>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</si>
  <si>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</si>
  <si>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</si>
  <si>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</si>
  <si>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</si>
  <si>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</si>
  <si>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</si>
  <si>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</si>
  <si>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</si>
  <si>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</si>
  <si>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</si>
  <si>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</si>
  <si>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</si>
  <si>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</si>
  <si>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</si>
  <si>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</si>
  <si>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</si>
  <si>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</si>
  <si>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</si>
  <si>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</si>
  <si>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</si>
  <si>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</si>
  <si>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</si>
  <si>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</si>
  <si>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</si>
  <si>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</si>
  <si>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</si>
  <si>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</si>
  <si>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</si>
  <si>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</si>
  <si>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</si>
  <si>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</si>
  <si>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</si>
  <si>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</si>
  <si>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</si>
  <si>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</si>
  <si>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</si>
  <si>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</si>
  <si>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</si>
  <si>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</si>
  <si>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</si>
  <si>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</si>
  <si>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</si>
  <si>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</si>
  <si>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</si>
  <si>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</si>
  <si>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</si>
  <si>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</si>
  <si>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</si>
  <si>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</si>
  <si>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</si>
  <si>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</si>
  <si>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</si>
  <si>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</si>
  <si>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</si>
  <si>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</si>
  <si>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</si>
  <si>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</si>
  <si>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</si>
  <si>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</si>
  <si>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</si>
  <si>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</si>
  <si>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</si>
  <si>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</si>
  <si>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</si>
  <si>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</si>
  <si>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</si>
  <si>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</si>
  <si>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</si>
  <si>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</si>
  <si>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</si>
  <si>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</si>
  <si>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</si>
  <si>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</si>
  <si>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</si>
  <si>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</si>
  <si>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</si>
  <si>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</si>
  <si>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</si>
  <si>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</si>
  <si>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</si>
  <si>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</si>
  <si>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</si>
  <si>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</si>
  <si>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</si>
  <si>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</si>
  <si>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</si>
  <si>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</si>
  <si>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</si>
  <si>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</si>
  <si>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</si>
  <si>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</si>
  <si>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</si>
  <si>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</si>
  <si>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</si>
  <si>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</si>
  <si>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</si>
  <si>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</si>
  <si>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</si>
  <si>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</si>
  <si>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</si>
  <si>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</si>
  <si>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</si>
  <si>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</si>
  <si>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</si>
  <si>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</si>
  <si>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</si>
  <si>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</si>
  <si>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</si>
  <si>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</si>
  <si>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</si>
  <si>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</si>
  <si>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</si>
  <si>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</si>
  <si>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</si>
  <si>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</si>
  <si>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</si>
  <si>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</si>
  <si>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</si>
  <si>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</si>
  <si>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</si>
  <si>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</si>
  <si>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</si>
  <si>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</si>
  <si>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</si>
  <si>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</si>
  <si>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</si>
  <si>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</si>
  <si>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</si>
  <si>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</si>
  <si>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</si>
  <si>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</si>
  <si>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</si>
  <si>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</si>
  <si>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</si>
  <si>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</si>
  <si>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</si>
  <si>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</si>
  <si>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</si>
  <si>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</si>
  <si>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</si>
  <si>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</si>
  <si>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</si>
  <si>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</si>
  <si>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</si>
  <si>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</si>
  <si>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</si>
  <si>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</si>
  <si>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</si>
  <si>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</si>
  <si>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</si>
  <si>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</si>
  <si>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</si>
  <si>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</si>
  <si>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</si>
  <si>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</si>
  <si>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</si>
  <si>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</si>
  <si>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</si>
  <si>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</si>
  <si>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</si>
  <si>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</si>
  <si>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</si>
  <si>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</si>
  <si>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</si>
  <si>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</si>
  <si>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</si>
  <si>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</si>
  <si>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</si>
  <si>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</si>
  <si>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</si>
  <si>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</si>
  <si>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</si>
  <si>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</si>
  <si>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</si>
  <si>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</si>
  <si>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</si>
  <si>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</si>
  <si>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</si>
  <si>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</si>
  <si>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</si>
  <si>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</si>
  <si>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</si>
  <si>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</si>
  <si>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</si>
  <si>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</si>
  <si>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</si>
  <si>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</si>
  <si>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</si>
  <si>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</si>
  <si>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</si>
  <si>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</si>
  <si>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</si>
  <si>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</si>
  <si>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</si>
  <si>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</si>
  <si>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</si>
  <si>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</si>
  <si>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</si>
  <si>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</si>
  <si>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</si>
  <si>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</si>
  <si>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</si>
  <si>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</si>
  <si>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</si>
  <si>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</si>
  <si>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</si>
  <si>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</si>
  <si>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</si>
  <si>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</si>
  <si>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</si>
  <si>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</si>
  <si>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</si>
  <si>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</si>
  <si>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</si>
  <si>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</si>
  <si>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</si>
  <si>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</si>
  <si>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</si>
  <si>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</si>
  <si>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</si>
  <si>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</si>
  <si>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</si>
  <si>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</si>
  <si>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</si>
  <si>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</si>
  <si>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</si>
  <si>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</si>
  <si>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</si>
  <si>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</si>
  <si>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</si>
  <si>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</si>
  <si>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</si>
  <si>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</si>
  <si>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</si>
  <si>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</si>
  <si>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</si>
  <si>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</si>
  <si>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</si>
  <si>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</si>
  <si>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</si>
  <si>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</si>
  <si>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</si>
  <si>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</si>
  <si>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</si>
  <si>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</si>
  <si>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</si>
  <si>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</si>
  <si>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</si>
  <si>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</si>
  <si>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</si>
  <si>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</si>
  <si>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</si>
  <si>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</si>
  <si>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</si>
  <si>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</si>
  <si>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</si>
  <si>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</si>
  <si>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</si>
  <si>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</si>
  <si>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</si>
  <si>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</si>
  <si>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</si>
  <si>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</si>
  <si>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</si>
  <si>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</si>
  <si>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</si>
  <si>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</si>
  <si>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</si>
  <si>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</si>
  <si>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</si>
  <si>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</si>
  <si>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</si>
  <si>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</si>
  <si>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</si>
  <si>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</si>
  <si>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</si>
  <si>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</si>
  <si>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</si>
  <si>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</si>
  <si>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</si>
  <si>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</si>
  <si>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</si>
  <si>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</si>
  <si>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</si>
  <si>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</si>
  <si>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</si>
  <si>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</si>
  <si>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</si>
  <si>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</si>
  <si>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</si>
  <si>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</si>
  <si>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</si>
  <si>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</si>
  <si>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</si>
  <si>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</si>
  <si>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</si>
  <si>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</si>
  <si>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</si>
  <si>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</si>
  <si>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</si>
  <si>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</si>
  <si>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</si>
  <si>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</si>
  <si>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</si>
  <si>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</si>
  <si>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</si>
  <si>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</si>
  <si>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</si>
  <si>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</si>
  <si>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</si>
  <si>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</si>
  <si>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</si>
  <si>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</si>
  <si>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</si>
  <si>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</si>
  <si>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</si>
  <si>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</si>
  <si>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</si>
  <si>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</si>
  <si>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</si>
  <si>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</si>
  <si>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</si>
  <si>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</si>
  <si>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</si>
  <si>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</si>
  <si>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</si>
  <si>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</si>
  <si>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</si>
  <si>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</si>
  <si>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</si>
  <si>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</si>
  <si>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</si>
  <si>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</si>
  <si>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</si>
  <si>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</si>
  <si>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</si>
  <si>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</si>
  <si>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</si>
  <si>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</si>
  <si>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</si>
  <si>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</si>
  <si>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</si>
  <si>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</si>
  <si>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</si>
  <si>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</si>
  <si>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</si>
  <si>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</si>
  <si>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</si>
  <si>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</si>
  <si>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</si>
  <si>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</si>
  <si>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</si>
  <si>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</si>
  <si>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</si>
  <si>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</si>
  <si>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</si>
  <si>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</si>
  <si>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</si>
  <si>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</si>
  <si>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</si>
  <si>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</si>
  <si>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</si>
  <si>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</si>
  <si>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</si>
  <si>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</si>
  <si>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</si>
  <si>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</si>
  <si>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</si>
  <si>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</si>
  <si>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</si>
  <si>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</si>
  <si>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</si>
  <si>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</si>
  <si>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</si>
  <si>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</si>
  <si>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</si>
  <si>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</si>
  <si>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</si>
  <si>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</si>
  <si>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</si>
  <si>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</si>
  <si>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</si>
  <si>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</si>
  <si>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</si>
  <si>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</si>
  <si>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</si>
  <si>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</si>
  <si>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</si>
  <si>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</si>
  <si>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</si>
  <si>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</si>
  <si>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</si>
  <si>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</si>
  <si>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</si>
  <si>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</si>
  <si>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</si>
  <si>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</si>
  <si>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</si>
  <si>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</si>
  <si>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</si>
  <si>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</si>
  <si>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</si>
  <si>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</si>
  <si>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</si>
  <si>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</si>
  <si>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</si>
  <si>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</si>
  <si>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</si>
  <si>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</si>
  <si>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</si>
  <si>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</si>
  <si>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</si>
  <si>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</si>
  <si>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</si>
  <si>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</si>
  <si>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</si>
  <si>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</si>
  <si>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</si>
  <si>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</si>
  <si>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</si>
  <si>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</si>
  <si>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</si>
  <si>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</si>
  <si>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</si>
  <si>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</si>
  <si>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</si>
  <si>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</si>
  <si>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</si>
  <si>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</si>
  <si>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</si>
  <si>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</si>
  <si>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</si>
  <si>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</si>
  <si>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</si>
  <si>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</si>
  <si>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</si>
  <si>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</si>
  <si>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</si>
  <si>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</si>
  <si>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</si>
  <si>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</si>
  <si>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</si>
  <si>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</si>
  <si>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</si>
  <si>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</si>
  <si>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</si>
  <si>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</si>
  <si>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</si>
  <si>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</si>
  <si>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</si>
  <si>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</si>
  <si>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</si>
  <si>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</si>
  <si>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</si>
  <si>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</si>
  <si>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</si>
  <si>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</si>
  <si>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</si>
  <si>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</si>
  <si>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</si>
  <si>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</si>
  <si>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</si>
  <si>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</si>
  <si>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</si>
  <si>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</si>
  <si>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</si>
  <si>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</si>
  <si>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</si>
  <si>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</si>
  <si>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</si>
  <si>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</si>
  <si>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</si>
  <si>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</si>
  <si>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</si>
  <si>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</si>
  <si>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</si>
  <si>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</si>
  <si>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</si>
  <si>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</si>
  <si>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</si>
  <si>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</si>
  <si>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</si>
  <si>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</si>
  <si>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</si>
  <si>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</si>
  <si>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</si>
  <si>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</si>
  <si>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</si>
  <si>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</si>
  <si>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</si>
  <si>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</si>
  <si>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</si>
  <si>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</si>
  <si>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</si>
  <si>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</si>
  <si>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</si>
  <si>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</si>
  <si>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</si>
  <si>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</si>
  <si>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</si>
  <si>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</si>
  <si>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</si>
  <si>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</si>
  <si>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</si>
  <si>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</si>
  <si>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</si>
  <si>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</si>
  <si>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</si>
  <si>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</si>
  <si>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</si>
  <si>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</si>
  <si>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</si>
  <si>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</si>
  <si>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</si>
  <si>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</si>
  <si>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</si>
  <si>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</si>
  <si>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</si>
  <si>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</si>
  <si>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</si>
  <si>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</si>
  <si>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</si>
  <si>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</si>
  <si>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</si>
  <si>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</si>
  <si>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</si>
  <si>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</si>
  <si>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</si>
  <si>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</si>
  <si>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</si>
  <si>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</si>
  <si>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</si>
  <si>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</si>
  <si>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</si>
  <si>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</si>
  <si>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</si>
  <si>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</si>
  <si>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</si>
  <si>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</si>
  <si>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</si>
  <si>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</si>
  <si>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</si>
  <si>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</si>
  <si>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</si>
  <si>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</si>
  <si>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</si>
  <si>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</si>
  <si>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</si>
  <si>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</si>
  <si>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</si>
  <si>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</si>
  <si>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</si>
  <si>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</si>
  <si>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</si>
  <si>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</si>
  <si>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</si>
  <si>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</si>
  <si>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</si>
  <si>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</si>
  <si>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</si>
  <si>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</si>
  <si>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</si>
  <si>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</si>
  <si>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</si>
  <si>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</si>
  <si>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</si>
  <si>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</si>
  <si>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</si>
  <si>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</si>
  <si>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</si>
  <si>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</si>
  <si>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</si>
  <si>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</si>
  <si>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</si>
  <si>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</si>
  <si>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</si>
  <si>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</si>
  <si>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</si>
  <si>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</si>
  <si>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</si>
  <si>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</si>
  <si>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</si>
  <si>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</si>
  <si>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</si>
  <si>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</si>
  <si>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</si>
  <si>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</si>
  <si>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</si>
  <si>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</si>
  <si>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</si>
  <si>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</si>
  <si>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</si>
  <si>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</si>
  <si>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</si>
  <si>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</si>
  <si>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</si>
  <si>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</si>
  <si>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</si>
  <si>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</si>
  <si>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</si>
  <si>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</si>
  <si>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</si>
  <si>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</si>
  <si>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</si>
  <si>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</si>
  <si>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</si>
  <si>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</si>
  <si>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</si>
  <si>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</si>
  <si>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</si>
  <si>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</si>
  <si>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</si>
  <si>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</si>
  <si>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</si>
  <si>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</si>
  <si>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</si>
  <si>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</si>
  <si>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</si>
  <si>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</si>
  <si>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</si>
  <si>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</si>
  <si>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</si>
  <si>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</si>
  <si>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</si>
  <si>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</si>
  <si>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</si>
  <si>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</si>
  <si>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</si>
  <si>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</si>
  <si>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</si>
  <si>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</si>
  <si>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</si>
  <si>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</si>
  <si>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</si>
  <si>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</si>
  <si>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</si>
  <si>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</si>
  <si>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</si>
  <si>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</si>
  <si>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</si>
  <si>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</si>
  <si>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</si>
  <si>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</si>
  <si>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</si>
  <si>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</si>
  <si>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</si>
  <si>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</si>
  <si>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</si>
  <si>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</si>
  <si>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</si>
  <si>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</si>
  <si>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</si>
  <si>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</si>
  <si>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</si>
  <si>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</si>
  <si>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</si>
  <si>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</si>
  <si>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</si>
  <si>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</si>
  <si>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</si>
  <si>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</si>
  <si>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</si>
  <si>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</si>
  <si>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</si>
  <si>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</si>
  <si>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</si>
  <si>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</si>
  <si>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</si>
  <si>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</si>
  <si>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</si>
  <si>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</si>
  <si>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</si>
  <si>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</si>
  <si>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</si>
  <si>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</si>
  <si>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</si>
  <si>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</si>
  <si>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</si>
  <si>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</si>
  <si>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</si>
  <si>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</si>
  <si>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</si>
  <si>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</si>
  <si>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</si>
  <si>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</si>
  <si>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</si>
  <si>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</si>
  <si>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</si>
  <si>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</si>
  <si>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</si>
  <si>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</si>
  <si>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</si>
  <si>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</si>
  <si>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</si>
  <si>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</si>
  <si>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</si>
  <si>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</si>
  <si>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</si>
  <si>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</si>
  <si>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</si>
  <si>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</si>
  <si>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</si>
  <si>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</si>
  <si>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</si>
  <si>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</si>
  <si>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</si>
  <si>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</si>
  <si>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</si>
  <si>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</si>
  <si>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</si>
  <si>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</si>
  <si>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</si>
  <si>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</si>
  <si>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</si>
  <si>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</si>
  <si>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</si>
  <si>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</si>
  <si>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</si>
  <si>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</si>
  <si>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</si>
  <si>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</si>
  <si>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</si>
  <si>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</si>
  <si>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</si>
  <si>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</si>
  <si>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</si>
  <si>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</si>
  <si>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</si>
  <si>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</si>
  <si>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</si>
  <si>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</si>
  <si>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</si>
  <si>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</si>
  <si>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</si>
  <si>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</si>
  <si>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</si>
  <si>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</si>
  <si>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</si>
  <si>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</si>
  <si>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</si>
  <si>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</si>
  <si>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</si>
  <si>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</si>
  <si>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</si>
  <si>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</si>
  <si>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</si>
  <si>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</si>
  <si>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</si>
  <si>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</si>
  <si>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</si>
  <si>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</si>
  <si>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</si>
  <si>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</si>
  <si>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</si>
  <si>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</si>
  <si>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</si>
  <si>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</si>
  <si>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</si>
  <si>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</si>
  <si>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</si>
  <si>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</si>
  <si>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</si>
  <si>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</si>
  <si>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</si>
  <si>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</si>
  <si>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</si>
  <si>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</si>
  <si>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</si>
  <si>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</si>
  <si>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</si>
  <si>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</si>
  <si>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</si>
  <si>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</si>
  <si>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</si>
  <si>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</si>
  <si>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</si>
  <si>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</si>
  <si>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</si>
  <si>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</si>
  <si>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</si>
  <si>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</si>
  <si>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</si>
  <si>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</si>
  <si>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</si>
  <si>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</si>
  <si>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</si>
  <si>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</si>
  <si>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</si>
  <si>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</si>
  <si>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</si>
  <si>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</si>
  <si>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</si>
  <si>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</si>
  <si>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</si>
  <si>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</si>
  <si>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</si>
  <si>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</si>
  <si>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</si>
  <si>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</si>
  <si>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</si>
  <si>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</si>
  <si>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</si>
  <si>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</si>
  <si>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</si>
  <si>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</si>
  <si>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</si>
  <si>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</si>
  <si>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</si>
  <si>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</si>
  <si>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</si>
  <si>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</si>
  <si>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</si>
  <si>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</si>
  <si>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</si>
  <si>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</si>
  <si>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</si>
  <si>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</si>
  <si>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</si>
  <si>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</si>
  <si>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</si>
  <si>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</si>
  <si>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</si>
  <si>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</si>
  <si>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</si>
  <si>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</si>
  <si>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</si>
  <si>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</si>
  <si>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</si>
  <si>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</si>
  <si>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</si>
  <si>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</si>
  <si>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</si>
  <si>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</si>
  <si>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</si>
  <si>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</si>
  <si>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</si>
  <si>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</si>
  <si>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</si>
  <si>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</si>
  <si>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</si>
  <si>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</si>
  <si>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</si>
  <si>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</si>
  <si>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</si>
  <si>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</si>
  <si>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</si>
  <si>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</si>
  <si>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</si>
  <si>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</si>
  <si>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</si>
  <si>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</si>
  <si>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</si>
  <si>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</si>
  <si>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</si>
  <si>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</si>
  <si>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</si>
  <si>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</si>
  <si>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</si>
  <si>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</si>
  <si>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</si>
  <si>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</si>
  <si>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</si>
  <si>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</si>
  <si>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</si>
  <si>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</si>
  <si>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</si>
  <si>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</si>
  <si>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</si>
  <si>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</si>
  <si>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</si>
  <si>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</si>
  <si>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</si>
  <si>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</si>
  <si>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</si>
  <si>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</si>
  <si>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</si>
  <si>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</si>
  <si>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</si>
  <si>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</si>
  <si>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</si>
  <si>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</si>
  <si>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</si>
  <si>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</si>
  <si>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</si>
  <si>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</si>
  <si>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</si>
  <si>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</si>
  <si>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</si>
  <si>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</si>
  <si>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</si>
  <si>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</si>
  <si>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</si>
  <si>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</si>
  <si>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</si>
  <si>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</si>
  <si>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</si>
  <si>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</si>
  <si>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</si>
  <si>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</si>
  <si>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</si>
  <si>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</si>
  <si>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</si>
  <si>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</si>
  <si>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</si>
  <si>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</si>
  <si>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</si>
  <si>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</si>
  <si>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</si>
  <si>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</si>
  <si>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</si>
  <si>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</si>
  <si>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</si>
  <si>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</si>
  <si>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</si>
  <si>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</si>
  <si>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</si>
  <si>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</si>
  <si>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</si>
  <si>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</si>
  <si>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</si>
  <si>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</si>
  <si>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</si>
  <si>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</si>
  <si>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</si>
  <si>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</si>
  <si>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</si>
  <si>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</si>
  <si>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</si>
  <si>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</si>
  <si>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</si>
  <si>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</si>
  <si>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</si>
  <si>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</si>
  <si>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</si>
  <si>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</si>
  <si>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</si>
  <si>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</si>
  <si>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</si>
  <si>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</si>
  <si>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</si>
  <si>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</si>
  <si>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</si>
  <si>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</si>
  <si>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</si>
  <si>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</si>
  <si>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</si>
  <si>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</si>
  <si>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</si>
  <si>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</si>
  <si>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</si>
  <si>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</si>
  <si>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</si>
  <si>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</si>
  <si>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</si>
  <si>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</si>
  <si>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</si>
  <si>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</si>
  <si>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</si>
  <si>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</si>
  <si>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</si>
  <si>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</si>
  <si>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</si>
  <si>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</si>
  <si>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</si>
  <si>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</si>
  <si>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</si>
  <si>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</si>
  <si>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</si>
  <si>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</si>
  <si>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</si>
  <si>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</si>
  <si>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</si>
  <si>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</si>
  <si>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</si>
  <si>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</si>
  <si>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</si>
  <si>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</si>
  <si>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</si>
  <si>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</si>
  <si>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</si>
  <si>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</si>
  <si>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</si>
  <si>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</si>
  <si>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</si>
  <si>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</si>
  <si>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</si>
  <si>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</si>
  <si>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</si>
  <si>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</si>
  <si>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</si>
  <si>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</si>
  <si>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</si>
  <si>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</si>
  <si>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</si>
  <si>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</si>
  <si>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</si>
  <si>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</si>
  <si>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</si>
  <si>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</si>
  <si>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</si>
  <si>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</si>
  <si>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</si>
  <si>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</si>
  <si>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</si>
  <si>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</si>
  <si>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</si>
  <si>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</si>
  <si>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</si>
  <si>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</si>
  <si>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</si>
  <si>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</si>
  <si>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</si>
  <si>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</si>
  <si>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</si>
  <si>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</si>
  <si>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</si>
  <si>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</si>
  <si>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</si>
  <si>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</si>
  <si>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</si>
  <si>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</si>
  <si>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</si>
  <si>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</si>
  <si>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</si>
  <si>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</si>
  <si>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</si>
  <si>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</si>
  <si>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</si>
  <si>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</si>
  <si>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</si>
  <si>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</si>
  <si>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</si>
  <si>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</si>
  <si>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</si>
  <si>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</si>
  <si>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</si>
  <si>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</si>
  <si>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</si>
  <si>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</si>
  <si>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</si>
  <si>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</si>
  <si>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</si>
  <si>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</si>
  <si>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</si>
  <si>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</si>
  <si>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</si>
  <si>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</si>
  <si>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</si>
  <si>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</si>
  <si>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</si>
  <si>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</si>
  <si>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</si>
  <si>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</si>
  <si>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</si>
  <si>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</si>
  <si>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</si>
  <si>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</si>
  <si>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</si>
  <si>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</si>
  <si>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</si>
  <si>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</si>
  <si>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</si>
  <si>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</si>
  <si>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</si>
  <si>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</si>
  <si>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</si>
  <si>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</si>
  <si>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</si>
  <si>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</si>
  <si>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</si>
  <si>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</si>
  <si>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</si>
  <si>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</si>
  <si>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</si>
  <si>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</si>
  <si>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</si>
  <si>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</si>
  <si>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</si>
  <si>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</si>
  <si>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</si>
  <si>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</si>
  <si>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</si>
  <si>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</si>
  <si>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</si>
  <si>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</si>
  <si>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</si>
  <si>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</si>
  <si>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</si>
  <si>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</si>
  <si>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</si>
  <si>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</si>
  <si>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</si>
  <si>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</si>
  <si>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</si>
  <si>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</si>
  <si>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</si>
  <si>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</si>
  <si>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</si>
  <si>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</si>
  <si>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</si>
  <si>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</si>
  <si>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</si>
  <si>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</si>
  <si>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</si>
  <si>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</si>
  <si>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</si>
  <si>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</si>
  <si>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</si>
  <si>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</si>
  <si>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</si>
  <si>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</si>
  <si>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</si>
  <si>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</si>
  <si>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</si>
  <si>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</si>
  <si>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</si>
  <si>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</si>
  <si>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</si>
  <si>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</si>
  <si>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</si>
  <si>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</si>
  <si>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</si>
  <si>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</si>
  <si>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</si>
  <si>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</si>
  <si>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</si>
  <si>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</si>
  <si>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</si>
  <si>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</si>
  <si>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</si>
  <si>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</si>
  <si>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</si>
  <si>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</si>
  <si>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</si>
  <si>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</si>
  <si>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</si>
  <si>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</si>
  <si>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</si>
  <si>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</si>
  <si>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</si>
  <si>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</si>
  <si>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</si>
  <si>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</si>
  <si>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</si>
  <si>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</si>
  <si>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</si>
  <si>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</si>
  <si>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</si>
  <si>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</si>
  <si>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</si>
  <si>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</si>
  <si>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</si>
  <si>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</si>
  <si>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</si>
  <si>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</si>
  <si>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</si>
  <si>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</si>
  <si>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</si>
  <si>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</si>
  <si>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</si>
  <si>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</si>
  <si>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</si>
  <si>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</si>
  <si>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</si>
  <si>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</si>
  <si>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</si>
  <si>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</si>
  <si>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</si>
  <si>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</si>
  <si>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</si>
  <si>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</si>
  <si>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</si>
  <si>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</si>
  <si>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</si>
  <si>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</si>
  <si>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</si>
  <si>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</si>
  <si>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</si>
  <si>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</si>
  <si>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</si>
  <si>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</si>
  <si>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</si>
  <si>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</si>
  <si>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</si>
  <si>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</si>
  <si>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</si>
  <si>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</si>
  <si>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</si>
  <si>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</si>
  <si>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</si>
  <si>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</si>
  <si>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</si>
  <si>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</si>
  <si>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</si>
  <si>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</si>
  <si>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</si>
  <si>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</si>
  <si>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</si>
  <si>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</si>
  <si>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</si>
  <si>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</si>
  <si>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</si>
  <si>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</si>
  <si>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</si>
  <si>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</si>
  <si>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</si>
  <si>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</si>
  <si>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</si>
  <si>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</si>
  <si>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</si>
  <si>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</si>
  <si>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</si>
  <si>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</si>
  <si>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</si>
  <si>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</si>
  <si>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</si>
  <si>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</si>
  <si>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</si>
  <si>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</si>
  <si>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</si>
  <si>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</si>
  <si>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</si>
  <si>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</si>
  <si>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</si>
  <si>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</si>
  <si>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</si>
  <si>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</si>
  <si>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</si>
  <si>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</si>
  <si>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</si>
  <si>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</si>
  <si>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</si>
  <si>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</si>
  <si>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</si>
  <si>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</si>
  <si>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</si>
  <si>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</si>
  <si>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</si>
  <si>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</si>
  <si>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</si>
  <si>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</si>
  <si>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</si>
  <si>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</si>
  <si>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</si>
  <si>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</si>
  <si>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</si>
  <si>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</si>
  <si>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</si>
  <si>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</si>
  <si>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</si>
  <si>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</si>
  <si>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</si>
  <si>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</si>
  <si>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</si>
  <si>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</si>
  <si>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</si>
  <si>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</si>
  <si>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</si>
  <si>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</si>
  <si>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</si>
  <si>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</si>
  <si>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</si>
  <si>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</si>
  <si>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</si>
  <si>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</si>
  <si>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</si>
  <si>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</si>
  <si>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</si>
  <si>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</si>
  <si>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</si>
  <si>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</si>
  <si>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</si>
  <si>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</si>
  <si>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</si>
  <si>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</si>
  <si>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</si>
  <si>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</si>
  <si>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</si>
  <si>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</si>
  <si>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</si>
  <si>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</si>
  <si>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</si>
  <si>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</si>
  <si>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</si>
  <si>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</si>
  <si>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</si>
  <si>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</si>
  <si>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</si>
  <si>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</si>
  <si>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</si>
  <si>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</si>
  <si>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</si>
  <si>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</si>
  <si>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</si>
  <si>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</si>
  <si>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</si>
  <si>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</si>
  <si>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</si>
  <si>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</si>
  <si>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</si>
  <si>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</si>
  <si>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</si>
  <si>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</si>
  <si>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</si>
  <si>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</si>
  <si>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</si>
  <si>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</si>
  <si>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</si>
  <si>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</si>
  <si>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</si>
  <si>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</si>
  <si>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</si>
  <si>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</si>
  <si>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</si>
  <si>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</si>
  <si>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</si>
  <si>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</si>
  <si>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</si>
  <si>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</si>
  <si>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</si>
  <si>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</si>
  <si>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</si>
  <si>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</si>
  <si>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</si>
  <si>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</si>
  <si>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</si>
  <si>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</si>
  <si>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</si>
  <si>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</si>
  <si>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</si>
  <si>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</si>
  <si>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</si>
  <si>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</si>
  <si>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</si>
  <si>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</si>
  <si>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</si>
  <si>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</si>
  <si>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</si>
  <si>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</si>
  <si>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</si>
  <si>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</si>
  <si>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</si>
  <si>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</si>
  <si>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</si>
  <si>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</si>
  <si>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</si>
  <si>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</si>
  <si>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</si>
  <si>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</si>
  <si>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</si>
  <si>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</si>
  <si>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</si>
  <si>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</si>
  <si>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</si>
  <si>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</si>
  <si>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</si>
  <si>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</si>
  <si>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</si>
  <si>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</si>
  <si>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</si>
  <si>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</si>
  <si>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</si>
  <si>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</si>
  <si>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</si>
  <si>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</si>
  <si>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</si>
  <si>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</si>
  <si>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</si>
  <si>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</si>
  <si>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</si>
  <si>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</si>
  <si>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</si>
  <si>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</si>
  <si>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</si>
  <si>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</si>
  <si>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</si>
  <si>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</si>
  <si>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</si>
  <si>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</si>
  <si>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</si>
  <si>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</si>
  <si>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</si>
  <si>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</si>
  <si>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</si>
  <si>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</si>
  <si>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</si>
  <si>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</si>
  <si>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</si>
  <si>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</si>
  <si>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</si>
  <si>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</si>
  <si>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</si>
  <si>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</si>
  <si>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</si>
  <si>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</si>
  <si>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</si>
  <si>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</si>
  <si>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</si>
  <si>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</si>
  <si>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</si>
  <si>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</si>
  <si>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</si>
  <si>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</si>
  <si>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</si>
  <si>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</si>
  <si>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</si>
  <si>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</si>
  <si>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</si>
  <si>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</si>
  <si>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</si>
  <si>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</si>
  <si>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</si>
  <si>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</si>
  <si>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</si>
  <si>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</si>
  <si>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</si>
  <si>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</si>
  <si>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</si>
  <si>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</si>
  <si>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</si>
  <si>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</si>
  <si>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</si>
  <si>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</si>
  <si>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</si>
  <si>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</si>
  <si>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</si>
  <si>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</si>
  <si>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</si>
  <si>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</si>
  <si>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</si>
  <si>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</si>
  <si>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</si>
  <si>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</si>
  <si>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</si>
  <si>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</si>
  <si>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</si>
  <si>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</si>
  <si>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</si>
  <si>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</si>
  <si>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</si>
  <si>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</si>
  <si>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</si>
  <si>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</si>
  <si>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</si>
  <si>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</si>
  <si>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</si>
  <si>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</si>
  <si>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</si>
  <si>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</si>
  <si>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</si>
  <si>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</si>
  <si>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</si>
  <si>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</si>
  <si>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</si>
  <si>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</si>
  <si>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</si>
  <si>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</si>
  <si>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</si>
  <si>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</si>
  <si>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</si>
  <si>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</si>
  <si>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</si>
  <si>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</si>
  <si>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</si>
  <si>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</si>
  <si>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</si>
  <si>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</si>
  <si>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</si>
  <si>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</si>
  <si>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</si>
  <si>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</si>
  <si>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</si>
  <si>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</si>
  <si>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</si>
  <si>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</si>
  <si>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</si>
  <si>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</si>
  <si>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</si>
  <si>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</si>
  <si>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</si>
  <si>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</si>
  <si>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</si>
  <si>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</si>
  <si>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</si>
  <si>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</si>
  <si>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</si>
  <si>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</si>
  <si>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</si>
  <si>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</si>
  <si>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</si>
  <si>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</si>
  <si>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</si>
  <si>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</si>
  <si>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</si>
  <si>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</si>
  <si>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</si>
  <si>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</si>
  <si>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</si>
  <si>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</si>
  <si>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</si>
  <si>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</si>
  <si>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</si>
  <si>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</si>
  <si>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</si>
  <si>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</si>
  <si>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</si>
  <si>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</si>
  <si>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</si>
  <si>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</si>
  <si>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</si>
  <si>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</si>
  <si>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</si>
  <si>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</si>
  <si>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</si>
  <si>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</si>
  <si>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</si>
  <si>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</si>
  <si>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</si>
  <si>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</si>
  <si>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</si>
  <si>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</si>
  <si>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</si>
  <si>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</si>
  <si>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</si>
  <si>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</si>
  <si>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</si>
  <si>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</si>
  <si>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</si>
  <si>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</si>
  <si>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</si>
  <si>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</si>
  <si>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</si>
  <si>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</si>
  <si>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</si>
  <si>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</si>
  <si>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</si>
  <si>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</si>
  <si>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</si>
  <si>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</si>
  <si>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</si>
  <si>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</si>
  <si>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2018-1-0623-P02DYGJ1</t>
    <phoneticPr fontId="7" type="noConversion"/>
  </si>
  <si>
    <t>王鹏</t>
  </si>
  <si>
    <t>崔锴</t>
  </si>
  <si>
    <t>抵押</t>
  </si>
  <si>
    <t>房地产抵押价值</t>
  </si>
  <si>
    <t>北京市</t>
  </si>
  <si>
    <t>企业</t>
  </si>
  <si>
    <t>出让</t>
  </si>
  <si>
    <t>商业、地下商业、地下车库</t>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</si>
  <si>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0057397</t>
    </r>
    <r>
      <rPr>
        <sz val="12"/>
        <color theme="9" tint="-0.249977111117893"/>
        <rFont val="宋体"/>
        <family val="3"/>
        <charset val="134"/>
      </rPr>
      <t>、</t>
    </r>
    <r>
      <rPr>
        <sz val="12"/>
        <color theme="9" tint="-0.249977111117893"/>
        <rFont val="Arial"/>
        <family val="2"/>
      </rPr>
      <t>0026058</t>
    </r>
    <r>
      <rPr>
        <sz val="12"/>
        <color theme="9" tint="-0.249977111117893"/>
        <rFont val="宋体"/>
        <family val="3"/>
        <charset val="134"/>
      </rPr>
      <t>、</t>
    </r>
    <r>
      <rPr>
        <sz val="12"/>
        <color theme="9" tint="-0.249977111117893"/>
        <rFont val="Arial"/>
        <family val="2"/>
      </rPr>
      <t>0026063</t>
    </r>
    <r>
      <rPr>
        <sz val="12"/>
        <color theme="9" tint="-0.249977111117893"/>
        <rFont val="宋体"/>
        <family val="3"/>
        <charset val="134"/>
      </rPr>
      <t>号</t>
    </r>
    <r>
      <rPr>
        <sz val="12"/>
        <color theme="9" tint="-0.249977111117893"/>
        <rFont val="Arial"/>
        <family val="2"/>
      </rPr>
      <t/>
    </r>
    <phoneticPr fontId="7" type="noConversion"/>
  </si>
  <si>
    <t>《不动产权证书》[京（2017）丰不动产权第0057397、0026058、0026063号</t>
    <phoneticPr fontId="7" type="noConversion"/>
  </si>
  <si>
    <t>否</t>
  </si>
  <si>
    <t>综合项目（商业、办公）</t>
  </si>
  <si>
    <t>现房</t>
  </si>
  <si>
    <t>通路</t>
  </si>
  <si>
    <t>通电</t>
  </si>
  <si>
    <t>通上水</t>
  </si>
  <si>
    <t>通下水</t>
  </si>
  <si>
    <t>燃气</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</si>
  <si>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</si>
  <si>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</si>
  <si>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</si>
  <si>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</si>
  <si>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坐落</t>
    <phoneticPr fontId="144" type="noConversion"/>
  </si>
  <si>
    <r>
      <t>丰台区汽车博物馆西路8号院</t>
    </r>
    <r>
      <rPr>
        <sz val="11"/>
        <color theme="1"/>
        <rFont val="宋体"/>
        <family val="3"/>
        <charset val="134"/>
        <scheme val="minor"/>
      </rPr>
      <t>1号楼1层101</t>
    </r>
    <phoneticPr fontId="144" type="noConversion"/>
  </si>
  <si>
    <t>商业</t>
    <phoneticPr fontId="144"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</si>
  <si>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</si>
  <si>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</si>
  <si>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</si>
  <si>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</si>
  <si>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</si>
  <si>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</si>
  <si>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</si>
  <si>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</si>
  <si>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</si>
  <si>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</si>
  <si>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商业</t>
    <phoneticPr fontId="144" type="noConversion"/>
  </si>
  <si>
    <t>丰台区汽车博物馆西路8号院1号楼2层201</t>
    <phoneticPr fontId="144" type="noConversion"/>
  </si>
  <si>
    <t>丰台区汽车博物馆西路8号院1号楼2层202</t>
  </si>
  <si>
    <t>丰台区汽车博物馆西路8号院1号楼2层203</t>
  </si>
  <si>
    <t>丰台区汽车博物馆西路8号院1号楼3层301</t>
    <phoneticPr fontId="144" type="noConversion"/>
  </si>
  <si>
    <t>办公</t>
    <phoneticPr fontId="144"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</si>
  <si>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</si>
  <si>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</si>
  <si>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</si>
  <si>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</si>
  <si>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</si>
  <si>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办公</t>
    <phoneticPr fontId="144" type="noConversion"/>
  </si>
  <si>
    <t>丰台区汽车博物馆西路8号院1号楼3层307</t>
  </si>
  <si>
    <t>丰台区汽车博物馆西路8号院1号楼3层308</t>
  </si>
  <si>
    <t>丰台区汽车博物馆西路8号院1号楼3层309</t>
  </si>
  <si>
    <t>办公</t>
    <phoneticPr fontId="144" type="noConversion"/>
  </si>
  <si>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</si>
  <si>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</si>
  <si>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</si>
  <si>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</si>
  <si>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</si>
  <si>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144"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</si>
  <si>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</si>
  <si>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</si>
  <si>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</si>
  <si>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</si>
  <si>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</si>
  <si>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</si>
  <si>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</si>
  <si>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</si>
  <si>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</si>
  <si>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</si>
  <si>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</si>
  <si>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</si>
  <si>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</si>
  <si>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144"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</si>
  <si>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</si>
  <si>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</si>
  <si>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</si>
  <si>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</si>
  <si>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</si>
  <si>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</si>
  <si>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</si>
  <si>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</si>
  <si>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</si>
  <si>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</si>
  <si>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</si>
  <si>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</si>
  <si>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</si>
  <si>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144"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</si>
  <si>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</si>
  <si>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</si>
  <si>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</si>
  <si>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</si>
  <si>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</si>
  <si>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</si>
  <si>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</si>
  <si>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</si>
  <si>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</si>
  <si>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</si>
  <si>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</si>
  <si>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</si>
  <si>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</si>
  <si>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144"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</si>
  <si>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</si>
  <si>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</si>
  <si>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</si>
  <si>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</si>
  <si>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</si>
  <si>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</si>
  <si>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</si>
  <si>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</si>
  <si>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</si>
  <si>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</si>
  <si>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</si>
  <si>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</si>
  <si>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</si>
  <si>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144"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</si>
  <si>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</si>
  <si>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</si>
  <si>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</si>
  <si>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</si>
  <si>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</si>
  <si>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</si>
  <si>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</si>
  <si>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</si>
  <si>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</si>
  <si>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</si>
  <si>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</si>
  <si>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</si>
  <si>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</si>
  <si>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144"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</si>
  <si>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</si>
  <si>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</si>
  <si>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</si>
  <si>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</si>
  <si>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</si>
  <si>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</si>
  <si>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</si>
  <si>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</si>
  <si>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</si>
  <si>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</si>
  <si>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</si>
  <si>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</si>
  <si>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</si>
  <si>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144"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</si>
  <si>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</si>
  <si>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</si>
  <si>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</si>
  <si>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</si>
  <si>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</si>
  <si>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</si>
  <si>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</si>
  <si>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</si>
  <si>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</si>
  <si>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</si>
  <si>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</si>
  <si>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</si>
  <si>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</si>
  <si>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144"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</si>
  <si>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</si>
  <si>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</si>
  <si>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</si>
  <si>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</si>
  <si>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</si>
  <si>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</si>
  <si>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</si>
  <si>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</si>
  <si>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</si>
  <si>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</si>
  <si>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</si>
  <si>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</si>
  <si>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</si>
  <si>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144"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</si>
  <si>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</si>
  <si>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</si>
  <si>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</si>
  <si>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</si>
  <si>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</si>
  <si>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</si>
  <si>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丰台区汽车博物馆西路8号院2号楼2层201</t>
    <phoneticPr fontId="144" type="noConversion"/>
  </si>
  <si>
    <t>商业</t>
    <phoneticPr fontId="144" type="noConversion"/>
  </si>
  <si>
    <t>丰台区汽车博物馆西路8号院2号楼2层202</t>
  </si>
  <si>
    <t>丰台区汽车博物馆西路8号院2号楼2层203</t>
  </si>
  <si>
    <t>丰台区汽车博物馆西路8号院2号楼3层301</t>
    <phoneticPr fontId="144"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</si>
  <si>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</si>
  <si>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</si>
  <si>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</si>
  <si>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</si>
  <si>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</si>
  <si>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</si>
  <si>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</si>
  <si>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</si>
  <si>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</si>
  <si>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</si>
  <si>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</si>
  <si>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</si>
  <si>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丰台区汽车博物馆西路8号院2号楼3层314</t>
    <phoneticPr fontId="144" type="noConversion"/>
  </si>
  <si>
    <t>丰台区汽车博物馆西路8号院2号楼4层401</t>
    <phoneticPr fontId="144"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</si>
  <si>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</si>
  <si>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</si>
  <si>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</si>
  <si>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</si>
  <si>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</si>
  <si>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</si>
  <si>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</si>
  <si>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</si>
  <si>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</si>
  <si>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</si>
  <si>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</si>
  <si>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</si>
  <si>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</si>
  <si>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144"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</si>
  <si>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</si>
  <si>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</si>
  <si>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</si>
  <si>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</si>
  <si>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</si>
  <si>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</si>
  <si>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</si>
  <si>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</si>
  <si>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</si>
  <si>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</si>
  <si>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</si>
  <si>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</si>
  <si>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丰台区汽车博物馆西路8号院2号楼5层514</t>
    <phoneticPr fontId="144" type="noConversion"/>
  </si>
  <si>
    <t>丰台区汽车博物馆西路8号院2号楼6层601</t>
    <phoneticPr fontId="144"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</si>
  <si>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</si>
  <si>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</si>
  <si>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</si>
  <si>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</si>
  <si>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</si>
  <si>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</si>
  <si>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</si>
  <si>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</si>
  <si>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</si>
  <si>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</si>
  <si>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</si>
  <si>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</si>
  <si>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</si>
  <si>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144"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</si>
  <si>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</si>
  <si>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</si>
  <si>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</si>
  <si>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</si>
  <si>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</si>
  <si>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</si>
  <si>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</si>
  <si>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</si>
  <si>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</si>
  <si>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</si>
  <si>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</si>
  <si>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</si>
  <si>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</si>
  <si>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144"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</si>
  <si>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</si>
  <si>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</si>
  <si>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</si>
  <si>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</si>
  <si>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</si>
  <si>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</si>
  <si>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</si>
  <si>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</si>
  <si>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</si>
  <si>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</si>
  <si>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</si>
  <si>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</si>
  <si>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</si>
  <si>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144"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</si>
  <si>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</si>
  <si>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</si>
  <si>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</si>
  <si>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</si>
  <si>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</si>
  <si>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</si>
  <si>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144"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</si>
  <si>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</si>
  <si>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</si>
  <si>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</si>
  <si>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</si>
  <si>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</si>
  <si>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</si>
  <si>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丰台区汽车博物馆西路8号院3号楼1层101</t>
    <phoneticPr fontId="144" type="noConversion"/>
  </si>
  <si>
    <t>商业</t>
    <phoneticPr fontId="144" type="noConversion"/>
  </si>
  <si>
    <t>丰台区汽车博物馆西路8号院3号楼1层102</t>
  </si>
  <si>
    <t>丰台区汽车博物馆西路8号院3号楼1层103</t>
  </si>
  <si>
    <t>丰台区汽车博物馆西路8号院3号楼1层104</t>
  </si>
  <si>
    <t>丰台区汽车博物馆西路8号院3号楼2层201</t>
    <phoneticPr fontId="144"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</si>
  <si>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</si>
  <si>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</si>
  <si>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</si>
  <si>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</si>
  <si>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144"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</si>
  <si>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</si>
  <si>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</si>
  <si>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</si>
  <si>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</si>
  <si>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</si>
  <si>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</si>
  <si>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</si>
  <si>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</si>
  <si>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</si>
  <si>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</si>
  <si>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</si>
  <si>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</si>
  <si>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</si>
  <si>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144"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</si>
  <si>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</si>
  <si>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</si>
  <si>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</si>
  <si>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</si>
  <si>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</si>
  <si>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</si>
  <si>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</si>
  <si>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</si>
  <si>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</si>
  <si>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</si>
  <si>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</si>
  <si>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</si>
  <si>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</si>
  <si>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144"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</si>
  <si>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</si>
  <si>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</si>
  <si>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</si>
  <si>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</si>
  <si>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</si>
  <si>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</si>
  <si>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</si>
  <si>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</si>
  <si>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</si>
  <si>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</si>
  <si>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</si>
  <si>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</si>
  <si>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</si>
  <si>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144"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</si>
  <si>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</si>
  <si>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</si>
  <si>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</si>
  <si>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</si>
  <si>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</si>
  <si>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</si>
  <si>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</si>
  <si>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</si>
  <si>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</si>
  <si>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</si>
  <si>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</si>
  <si>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</si>
  <si>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</si>
  <si>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144"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</si>
  <si>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</si>
  <si>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</si>
  <si>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</si>
  <si>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</si>
  <si>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</si>
  <si>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</si>
  <si>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</si>
  <si>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</si>
  <si>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</si>
  <si>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</si>
  <si>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</si>
  <si>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</si>
  <si>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</si>
  <si>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144"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</si>
  <si>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</si>
  <si>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</si>
  <si>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</si>
  <si>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</si>
  <si>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</si>
  <si>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</si>
  <si>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</si>
  <si>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</si>
  <si>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</si>
  <si>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</si>
  <si>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</si>
  <si>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</si>
  <si>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</si>
  <si>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144"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</si>
  <si>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</si>
  <si>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</si>
  <si>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</si>
  <si>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</si>
  <si>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</si>
  <si>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</si>
  <si>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</si>
  <si>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</si>
  <si>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</si>
  <si>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</si>
  <si>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</si>
  <si>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</si>
  <si>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</si>
  <si>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144"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</si>
  <si>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</si>
  <si>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</si>
  <si>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</si>
  <si>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</si>
  <si>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</si>
  <si>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丰台区汽车博物馆西路8号院3号楼10层1007</t>
    <phoneticPr fontId="144" type="noConversion"/>
  </si>
  <si>
    <t>序号</t>
    <phoneticPr fontId="144" type="noConversion"/>
  </si>
  <si>
    <t>用途</t>
    <phoneticPr fontId="144" type="noConversion"/>
  </si>
  <si>
    <t>面积</t>
    <phoneticPr fontId="144" type="noConversion"/>
  </si>
  <si>
    <t>楼号</t>
    <phoneticPr fontId="144" type="noConversion"/>
  </si>
  <si>
    <t>1号楼</t>
    <phoneticPr fontId="144" type="noConversion"/>
  </si>
  <si>
    <t>小计</t>
    <phoneticPr fontId="144" type="noConversion"/>
  </si>
  <si>
    <t>库房</t>
  </si>
  <si>
    <t>库房</t>
    <phoneticPr fontId="144" type="noConversion"/>
  </si>
  <si>
    <t>丰台区汽车博物馆西路8号院4幢-3层-301</t>
    <phoneticPr fontId="144" type="noConversion"/>
  </si>
  <si>
    <t>丰台区汽车博物馆西路8号院4幢-3层-302</t>
  </si>
  <si>
    <t>丰台区汽车博物馆西路8号院4幢-3层-303</t>
  </si>
  <si>
    <t>丰台区汽车博物馆西路8号院4幢-3层-304</t>
  </si>
  <si>
    <t>丰台区汽车博物馆西路8号院4幢-3层-305</t>
  </si>
  <si>
    <t>丰台区汽车博物馆西路8号院4幢-3层-306</t>
  </si>
  <si>
    <t>丰台区汽车博物馆西路8号院4幢-3层-307</t>
  </si>
  <si>
    <t>丰台区汽车博物馆西路8号院4幢-3层-308</t>
  </si>
  <si>
    <t>丰台区汽车博物馆西路8号院4幢-3层-309</t>
  </si>
  <si>
    <t>丰台区汽车博物馆西路8号院4幢-2层-0001</t>
    <phoneticPr fontId="144" type="noConversion"/>
  </si>
  <si>
    <t>丰台区汽车博物馆西路8号院4幢-2层-0002</t>
  </si>
  <si>
    <t>丰台区汽车博物馆西路8号院4幢-2层-0003</t>
  </si>
  <si>
    <t>丰台区汽车博物馆西路8号院4幢-2层-0004</t>
  </si>
  <si>
    <t>丰台区汽车博物馆西路8号院4幢-2层-0005</t>
  </si>
  <si>
    <t>丰台区汽车博物馆西路8号院4幢-2层-0006</t>
  </si>
  <si>
    <t>丰台区汽车博物馆西路8号院4幢-2层-0007</t>
  </si>
  <si>
    <t>丰台区汽车博物馆西路8号院4幢-2层-0008</t>
  </si>
  <si>
    <t>丰台区汽车博物馆西路8号院4幢-2层-0009</t>
  </si>
  <si>
    <t>丰台区汽车博物馆西路8号院4幢-2层-0010</t>
  </si>
  <si>
    <t>丰台区汽车博物馆西路8号院4幢-2层-0011</t>
  </si>
  <si>
    <t>丰台区汽车博物馆西路8号院4幢-2层-0012</t>
  </si>
  <si>
    <t>丰台区汽车博物馆西路8号院4幢-2层-0013</t>
  </si>
  <si>
    <t>丰台区汽车博物馆西路8号院4幢-2层-0014</t>
  </si>
  <si>
    <t>丰台区汽车博物馆西路8号院4幢-2层-0015</t>
  </si>
  <si>
    <t>丰台区汽车博物馆西路8号院4幢-2层-0016</t>
  </si>
  <si>
    <t>丰台区汽车博物馆西路8号院4幢-2层-0017</t>
  </si>
  <si>
    <t>丰台区汽车博物馆西路8号院4幢-2层-0018</t>
  </si>
  <si>
    <t>丰台区汽车博物馆西路8号院4幢-2层-0019</t>
  </si>
  <si>
    <t>丰台区汽车博物馆西路8号院4幢-2层-0020</t>
  </si>
  <si>
    <t>丰台区汽车博物馆西路8号院4幢-2层-0021</t>
  </si>
  <si>
    <t>丰台区汽车博物馆西路8号院4幢-2层-0022</t>
  </si>
  <si>
    <t>丰台区汽车博物馆西路8号院4幢-2层-0023</t>
  </si>
  <si>
    <t>丰台区汽车博物馆西路8号院4幢-2层-0024</t>
  </si>
  <si>
    <t>丰台区汽车博物馆西路8号院4幢-2层-0025</t>
  </si>
  <si>
    <t>丰台区汽车博物馆西路8号院4幢-2层-0026</t>
  </si>
  <si>
    <t>丰台区汽车博物馆西路8号院4幢-2层-0027</t>
  </si>
  <si>
    <t>丰台区汽车博物馆西路8号院4幢-2层-0028</t>
  </si>
  <si>
    <t>丰台区汽车博物馆西路8号院4幢-2层-0029</t>
  </si>
  <si>
    <t>丰台区汽车博物馆西路8号院4幢-2层-0030</t>
  </si>
  <si>
    <t>丰台区汽车博物馆西路8号院4幢-2层-0031</t>
  </si>
  <si>
    <t>丰台区汽车博物馆西路8号院4幢-2层-0032</t>
  </si>
  <si>
    <t>丰台区汽车博物馆西路8号院4幢-2层-0033</t>
  </si>
  <si>
    <t>丰台区汽车博物馆西路8号院4幢-2层-0034</t>
  </si>
  <si>
    <t>丰台区汽车博物馆西路8号院4幢-2层-0035</t>
  </si>
  <si>
    <t>丰台区汽车博物馆西路8号院4幢-2层-0036</t>
  </si>
  <si>
    <t>丰台区汽车博物馆西路8号院4幢-2层-0037</t>
  </si>
  <si>
    <t>丰台区汽车博物馆西路8号院4幢-2层-0038</t>
  </si>
  <si>
    <t>丰台区汽车博物馆西路8号院4幢-2层-0039</t>
  </si>
  <si>
    <t>丰台区汽车博物馆西路8号院4幢-2层-0040</t>
  </si>
  <si>
    <t>丰台区汽车博物馆西路8号院4幢-2层-0041</t>
  </si>
  <si>
    <t>丰台区汽车博物馆西路8号院4幢-2层-0042</t>
  </si>
  <si>
    <t>丰台区汽车博物馆西路8号院4幢-2层-0043</t>
  </si>
  <si>
    <t>丰台区汽车博物馆西路8号院4幢-2层-0044</t>
  </si>
  <si>
    <t>丰台区汽车博物馆西路8号院4幢-2层-0045</t>
  </si>
  <si>
    <t>丰台区汽车博物馆西路8号院4幢-2层-0046</t>
  </si>
  <si>
    <t>丰台区汽车博物馆西路8号院4幢-2层-0047</t>
  </si>
  <si>
    <t>丰台区汽车博物馆西路8号院4幢-2层-0048</t>
  </si>
  <si>
    <t>丰台区汽车博物馆西路8号院4幢-2层-0049</t>
  </si>
  <si>
    <t>丰台区汽车博物馆西路8号院4幢-2层-0050</t>
  </si>
  <si>
    <t>丰台区汽车博物馆西路8号院4幢-2层-0051</t>
  </si>
  <si>
    <t>丰台区汽车博物馆西路8号院4幢-2层-0052</t>
  </si>
  <si>
    <t>丰台区汽车博物馆西路8号院4幢-2层-0053</t>
  </si>
  <si>
    <t>丰台区汽车博物馆西路8号院4幢-2层-0054</t>
  </si>
  <si>
    <t>丰台区汽车博物馆西路8号院4幢-2层-0055</t>
  </si>
  <si>
    <t>丰台区汽车博物馆西路8号院4幢-2层-0056</t>
  </si>
  <si>
    <t>丰台区汽车博物馆西路8号院4幢-2层-0057</t>
  </si>
  <si>
    <t>丰台区汽车博物馆西路8号院4幢-2层-0058</t>
  </si>
  <si>
    <t>丰台区汽车博物馆西路8号院4幢-2层-0059</t>
  </si>
  <si>
    <t>丰台区汽车博物馆西路8号院4幢-2层-0060</t>
  </si>
  <si>
    <t>丰台区汽车博物馆西路8号院4幢-2层-0061</t>
  </si>
  <si>
    <t>丰台区汽车博物馆西路8号院4幢-2层-0062</t>
  </si>
  <si>
    <t>丰台区汽车博物馆西路8号院4幢-2层-0063</t>
  </si>
  <si>
    <t>丰台区汽车博物馆西路8号院4幢-2层-0064</t>
  </si>
  <si>
    <t>丰台区汽车博物馆西路8号院4幢-2层-0065</t>
  </si>
  <si>
    <t>丰台区汽车博物馆西路8号院4幢-2层-0066</t>
  </si>
  <si>
    <t>丰台区汽车博物馆西路8号院4幢-2层-0067</t>
  </si>
  <si>
    <t>丰台区汽车博物馆西路8号院4幢-2层-0068</t>
  </si>
  <si>
    <t>丰台区汽车博物馆西路8号院4幢-2层-0069</t>
  </si>
  <si>
    <t>丰台区汽车博物馆西路8号院4幢-2层-0070</t>
  </si>
  <si>
    <t>丰台区汽车博物馆西路8号院4幢-2层-0071</t>
  </si>
  <si>
    <t>丰台区汽车博物馆西路8号院4幢-2层-0072</t>
  </si>
  <si>
    <t>丰台区汽车博物馆西路8号院4幢-2层-0073</t>
  </si>
  <si>
    <t>丰台区汽车博物馆西路8号院4幢-2层-0074</t>
  </si>
  <si>
    <t>丰台区汽车博物馆西路8号院4幢-2层-0075</t>
  </si>
  <si>
    <t>丰台区汽车博物馆西路8号院4幢-2层-0076</t>
  </si>
  <si>
    <t>丰台区汽车博物馆西路8号院4幢-2层-0077</t>
  </si>
  <si>
    <t>丰台区汽车博物馆西路8号院4幢-2层-0078</t>
  </si>
  <si>
    <t>丰台区汽车博物馆西路8号院4幢-2层-0079</t>
  </si>
  <si>
    <t>丰台区汽车博物馆西路8号院4幢-2层-0080</t>
  </si>
  <si>
    <t>丰台区汽车博物馆西路8号院4幢-2层-0081</t>
  </si>
  <si>
    <t>丰台区汽车博物馆西路8号院4幢-2层-0082</t>
  </si>
  <si>
    <t>丰台区汽车博物馆西路8号院4幢-2层-0083</t>
  </si>
  <si>
    <t>丰台区汽车博物馆西路8号院4幢-2层-0084</t>
  </si>
  <si>
    <t>丰台区汽车博物馆西路8号院4幢-2层-0085</t>
  </si>
  <si>
    <t>丰台区汽车博物馆西路8号院4幢-2层-0086</t>
  </si>
  <si>
    <t>丰台区汽车博物馆西路8号院4幢-2层-0089</t>
  </si>
  <si>
    <t>丰台区汽车博物馆西路8号院4幢-2层-0090</t>
  </si>
  <si>
    <t>丰台区汽车博物馆西路8号院4幢-2层-0091</t>
  </si>
  <si>
    <t>丰台区汽车博物馆西路8号院4幢-2层-0092</t>
  </si>
  <si>
    <t>丰台区汽车博物馆西路8号院4幢-2层-0093</t>
  </si>
  <si>
    <t>丰台区汽车博物馆西路8号院4幢-2层-0094</t>
  </si>
  <si>
    <t>丰台区汽车博物馆西路8号院4幢-2层-0096</t>
  </si>
  <si>
    <t>丰台区汽车博物馆西路8号院4幢-2层-0097</t>
  </si>
  <si>
    <t>丰台区汽车博物馆西路8号院4幢-2层-0098</t>
  </si>
  <si>
    <t>丰台区汽车博物馆西路8号院4幢-2层-0099</t>
  </si>
  <si>
    <t>丰台区汽车博物馆西路8号院4幢-2层-0100</t>
  </si>
  <si>
    <t>丰台区汽车博物馆西路8号院4幢-2层-0101</t>
  </si>
  <si>
    <t>丰台区汽车博物馆西路8号院4幢-2层-0102</t>
  </si>
  <si>
    <t>丰台区汽车博物馆西路8号院4幢-2层-0103</t>
  </si>
  <si>
    <t>丰台区汽车博物馆西路8号院4幢-2层-0104</t>
  </si>
  <si>
    <t>丰台区汽车博物馆西路8号院4幢-2层-0106</t>
  </si>
  <si>
    <t>丰台区汽车博物馆西路8号院4幢-2层-0107</t>
  </si>
  <si>
    <t>丰台区汽车博物馆西路8号院4幢-2层-0108</t>
  </si>
  <si>
    <t>丰台区汽车博物馆西路8号院4幢-2层-0109</t>
  </si>
  <si>
    <t>丰台区汽车博物馆西路8号院4幢-2层-0110</t>
  </si>
  <si>
    <t>丰台区汽车博物馆西路8号院4幢-2层-0111</t>
  </si>
  <si>
    <t>丰台区汽车博物馆西路8号院4幢-2层-0112</t>
  </si>
  <si>
    <t>丰台区汽车博物馆西路8号院4幢-2层-0113</t>
  </si>
  <si>
    <t>丰台区汽车博物馆西路8号院4幢-2层-0114</t>
  </si>
  <si>
    <t>丰台区汽车博物馆西路8号院4幢-2层-0115</t>
  </si>
  <si>
    <t>丰台区汽车博物馆西路8号院4幢-2层-0116</t>
  </si>
  <si>
    <t>丰台区汽车博物馆西路8号院4幢-2层-0117</t>
  </si>
  <si>
    <t>丰台区汽车博物馆西路8号院4幢-2层-0118</t>
  </si>
  <si>
    <t>丰台区汽车博物馆西路8号院4幢-2层-0119</t>
  </si>
  <si>
    <t>丰台区汽车博物馆西路8号院4幢-2层-0120</t>
  </si>
  <si>
    <t>丰台区汽车博物馆西路8号院4幢-2层-0121</t>
  </si>
  <si>
    <t>丰台区汽车博物馆西路8号院4幢-2层-0122</t>
  </si>
  <si>
    <t>丰台区汽车博物馆西路8号院4幢-2层-0123</t>
  </si>
  <si>
    <t>丰台区汽车博物馆西路8号院4幢-2层-0124</t>
  </si>
  <si>
    <t>丰台区汽车博物馆西路8号院4幢-2层-0125</t>
  </si>
  <si>
    <t>丰台区汽车博物馆西路8号院4幢-2层-0126</t>
  </si>
  <si>
    <t>丰台区汽车博物馆西路8号院4幢-2层-0127</t>
  </si>
  <si>
    <t>丰台区汽车博物馆西路8号院4幢-2层-0128</t>
  </si>
  <si>
    <t>丰台区汽车博物馆西路8号院4幢-2层-0129</t>
  </si>
  <si>
    <t>丰台区汽车博物馆西路8号院4幢-2层-0130</t>
  </si>
  <si>
    <t>丰台区汽车博物馆西路8号院4幢-2层-0131</t>
  </si>
  <si>
    <t>丰台区汽车博物馆西路8号院4幢-2层-0132</t>
  </si>
  <si>
    <t>丰台区汽车博物馆西路8号院4幢-2层-0133</t>
  </si>
  <si>
    <t>丰台区汽车博物馆西路8号院4幢-2层-0134</t>
  </si>
  <si>
    <t>丰台区汽车博物馆西路8号院4幢-2层-0135</t>
  </si>
  <si>
    <t>丰台区汽车博物馆西路8号院4幢-2层-0136</t>
  </si>
  <si>
    <t>丰台区汽车博物馆西路8号院4幢-2层-0137</t>
  </si>
  <si>
    <t>丰台区汽车博物馆西路8号院4幢-2层-0138</t>
  </si>
  <si>
    <t>丰台区汽车博物馆西路8号院4幢-2层-0139</t>
  </si>
  <si>
    <t>丰台区汽车博物馆西路8号院4幢-2层-0140</t>
  </si>
  <si>
    <t>丰台区汽车博物馆西路8号院4幢-2层-0141</t>
  </si>
  <si>
    <t>丰台区汽车博物馆西路8号院4幢-2层-0142</t>
  </si>
  <si>
    <t>丰台区汽车博物馆西路8号院4幢-2层-0143</t>
  </si>
  <si>
    <t>丰台区汽车博物馆西路8号院4幢-2层-0144</t>
  </si>
  <si>
    <t>丰台区汽车博物馆西路8号院4幢-2层-0145</t>
  </si>
  <si>
    <t>丰台区汽车博物馆西路8号院4幢-2层-0146</t>
  </si>
  <si>
    <t>丰台区汽车博物馆西路8号院4幢-2层-0147</t>
  </si>
  <si>
    <t>丰台区汽车博物馆西路8号院4幢-2层-0148</t>
  </si>
  <si>
    <t>丰台区汽车博物馆西路8号院4幢-2层-0149</t>
  </si>
  <si>
    <t>丰台区汽车博物馆西路8号院4幢-2层-0150</t>
  </si>
  <si>
    <t>丰台区汽车博物馆西路8号院4幢-2层-0151</t>
  </si>
  <si>
    <t>丰台区汽车博物馆西路8号院4幢-2层-0152</t>
  </si>
  <si>
    <t>丰台区汽车博物馆西路8号院4幢-2层-0153</t>
  </si>
  <si>
    <t>丰台区汽车博物馆西路8号院4幢-2层-0154</t>
  </si>
  <si>
    <t>丰台区汽车博物馆西路8号院4幢-2层-0155</t>
  </si>
  <si>
    <t>丰台区汽车博物馆西路8号院4幢-2层-0156</t>
  </si>
  <si>
    <t>丰台区汽车博物馆西路8号院4幢-2层-0157</t>
  </si>
  <si>
    <t>丰台区汽车博物馆西路8号院4幢-2层-0158</t>
  </si>
  <si>
    <t>丰台区汽车博物馆西路8号院4幢-2层-0159</t>
  </si>
  <si>
    <t>丰台区汽车博物馆西路8号院4幢-2层-0160</t>
  </si>
  <si>
    <t>丰台区汽车博物馆西路8号院4幢-2层-0161</t>
  </si>
  <si>
    <t>丰台区汽车博物馆西路8号院4幢-2层-0162</t>
  </si>
  <si>
    <t>丰台区汽车博物馆西路8号院4幢-2层-0163</t>
  </si>
  <si>
    <t>丰台区汽车博物馆西路8号院4幢-2层-0164</t>
  </si>
  <si>
    <t>丰台区汽车博物馆西路8号院4幢-2层-0165</t>
  </si>
  <si>
    <t>丰台区汽车博物馆西路8号院4幢-2层-0166</t>
  </si>
  <si>
    <t>丰台区汽车博物馆西路8号院4幢-2层-0167</t>
  </si>
  <si>
    <t>丰台区汽车博物馆西路8号院4幢-2层-0168</t>
  </si>
  <si>
    <t>丰台区汽车博物馆西路8号院4幢-2层-0169</t>
  </si>
  <si>
    <t>丰台区汽车博物馆西路8号院4幢-2层-0170</t>
  </si>
  <si>
    <t>丰台区汽车博物馆西路8号院4幢-2层-0171</t>
  </si>
  <si>
    <t>丰台区汽车博物馆西路8号院4幢-2层-0172</t>
  </si>
  <si>
    <t>丰台区汽车博物馆西路8号院4幢-2层-0173</t>
  </si>
  <si>
    <t>丰台区汽车博物馆西路8号院4幢-2层-0174</t>
  </si>
  <si>
    <t>丰台区汽车博物馆西路8号院4幢-2层-0175</t>
  </si>
  <si>
    <t>丰台区汽车博物馆西路8号院4幢-2层-0176</t>
  </si>
  <si>
    <t>丰台区汽车博物馆西路8号院4幢-2层-0177</t>
  </si>
  <si>
    <t>丰台区汽车博物馆西路8号院4幢-2层-0178</t>
  </si>
  <si>
    <t>丰台区汽车博物馆西路8号院4幢-2层-0179</t>
  </si>
  <si>
    <t>丰台区汽车博物馆西路8号院4幢-2层-0180</t>
  </si>
  <si>
    <t>丰台区汽车博物馆西路8号院4幢-2层-0181</t>
  </si>
  <si>
    <t>丰台区汽车博物馆西路8号院4幢-2层-0182</t>
  </si>
  <si>
    <t>丰台区汽车博物馆西路8号院4幢-2层-0183</t>
  </si>
  <si>
    <t>丰台区汽车博物馆西路8号院4幢-2层-0184</t>
  </si>
  <si>
    <t>丰台区汽车博物馆西路8号院4幢-2层-0185</t>
  </si>
  <si>
    <t>丰台区汽车博物馆西路8号院4幢-2层-0186</t>
  </si>
  <si>
    <t>丰台区汽车博物馆西路8号院4幢-2层-0187</t>
  </si>
  <si>
    <t>丰台区汽车博物馆西路8号院4幢-2层-0188</t>
  </si>
  <si>
    <t>丰台区汽车博物馆西路8号院4幢-2层-0189</t>
  </si>
  <si>
    <t>丰台区汽车博物馆西路8号院4幢-2层-0190</t>
  </si>
  <si>
    <t>丰台区汽车博物馆西路8号院4幢-2层-0191</t>
  </si>
  <si>
    <t>丰台区汽车博物馆西路8号院4幢-2层-0192</t>
  </si>
  <si>
    <t>丰台区汽车博物馆西路8号院4幢-2层-0193</t>
  </si>
  <si>
    <t>丰台区汽车博物馆西路8号院4幢-2层-0194</t>
  </si>
  <si>
    <t>丰台区汽车博物馆西路8号院4幢-2层-0195</t>
  </si>
  <si>
    <t>丰台区汽车博物馆西路8号院4幢-2层-0196</t>
  </si>
  <si>
    <t>丰台区汽车博物馆西路8号院4幢-2层-0197</t>
  </si>
  <si>
    <t>丰台区汽车博物馆西路8号院4幢-2层-0198</t>
  </si>
  <si>
    <t>丰台区汽车博物馆西路8号院4幢-2层-0199</t>
  </si>
  <si>
    <t>丰台区汽车博物馆西路8号院4幢-2层-0200</t>
  </si>
  <si>
    <t>丰台区汽车博物馆西路8号院4幢-2层-0201</t>
  </si>
  <si>
    <t>丰台区汽车博物馆西路8号院4幢-2层-0202</t>
  </si>
  <si>
    <t>丰台区汽车博物馆西路8号院4幢-2层-0203</t>
  </si>
  <si>
    <t>丰台区汽车博物馆西路8号院4幢-2层-0204</t>
  </si>
  <si>
    <t>丰台区汽车博物馆西路8号院4幢-2层-0205</t>
  </si>
  <si>
    <t>丰台区汽车博物馆西路8号院4幢-2层-0206</t>
  </si>
  <si>
    <t>丰台区汽车博物馆西路8号院4幢-2层-0207</t>
  </si>
  <si>
    <t>丰台区汽车博物馆西路8号院4幢-2层-0208</t>
  </si>
  <si>
    <t>丰台区汽车博物馆西路8号院4幢-2层-0209</t>
  </si>
  <si>
    <t>丰台区汽车博物馆西路8号院4幢-2层-0210</t>
  </si>
  <si>
    <t>丰台区汽车博物馆西路8号院4幢-2层-0211</t>
  </si>
  <si>
    <t>丰台区汽车博物馆西路8号院4幢-2层-0212</t>
  </si>
  <si>
    <t>丰台区汽车博物馆西路8号院4幢-2层-0213</t>
  </si>
  <si>
    <t>丰台区汽车博物馆西路8号院4幢-2层-0214</t>
  </si>
  <si>
    <t>丰台区汽车博物馆西路8号院4幢-2层-0215</t>
  </si>
  <si>
    <t>丰台区汽车博物馆西路8号院4幢-2层-0216</t>
  </si>
  <si>
    <t>丰台区汽车博物馆西路8号院4幢-2层-0217</t>
  </si>
  <si>
    <t>丰台区汽车博物馆西路8号院4幢-2层-0218</t>
  </si>
  <si>
    <t>丰台区汽车博物馆西路8号院4幢-2层-0219</t>
  </si>
  <si>
    <t>丰台区汽车博物馆西路8号院4幢-2层-0220</t>
  </si>
  <si>
    <t>丰台区汽车博物馆西路8号院4幢-1层-101</t>
    <phoneticPr fontId="144" type="noConversion"/>
  </si>
  <si>
    <t>丰台区汽车博物馆西路8号院4幢-1层-104</t>
  </si>
  <si>
    <t>丰台区汽车博物馆西路8号院4幢-1层-109</t>
  </si>
  <si>
    <t>丰台区汽车博物馆西路8号院4幢-1层-110</t>
  </si>
  <si>
    <t>丰台区汽车博物馆西路8号院4幢-1层-111</t>
  </si>
  <si>
    <t>丰台区汽车博物馆西路8号院4幢-1层-112</t>
  </si>
  <si>
    <t>丰台区汽车博物馆西路8号院4幢-1层-113</t>
  </si>
  <si>
    <t>丰台区汽车博物馆西路8号院4幢-1层-114</t>
  </si>
  <si>
    <t>丰台区汽车博物馆西路8号院4幢-1层-115</t>
  </si>
  <si>
    <t>丰台区汽车博物馆西路8号院4幢-1层-116</t>
  </si>
  <si>
    <t>丰台区汽车博物馆西路8号院4幢-1层-119</t>
  </si>
  <si>
    <t>丰台区汽车博物馆西路8号院4幢-1层-120</t>
  </si>
  <si>
    <t>丰台区汽车博物馆西路8号院4幢-2层-0105</t>
    <phoneticPr fontId="144" type="noConversion"/>
  </si>
  <si>
    <t>车位</t>
    <phoneticPr fontId="144" type="noConversion"/>
  </si>
  <si>
    <t>丰台区汽车博物馆西路8号院4幢-2层-0202</t>
    <phoneticPr fontId="144" type="noConversion"/>
  </si>
  <si>
    <t>商业</t>
    <phoneticPr fontId="144" type="noConversion"/>
  </si>
  <si>
    <t>丰台区汽车博物馆西路8号院4幢-1层-103</t>
    <phoneticPr fontId="144" type="noConversion"/>
  </si>
  <si>
    <t>丰台区汽车博物馆西路8号院4幢-1层-108</t>
    <phoneticPr fontId="144" type="noConversion"/>
  </si>
  <si>
    <t>丰台区汽车博物馆西路8号院4幢-1层-118</t>
    <phoneticPr fontId="144" type="noConversion"/>
  </si>
  <si>
    <t>丰台区汽车博物馆西路8号院4幢-2层-0095</t>
    <phoneticPr fontId="144" type="noConversion"/>
  </si>
  <si>
    <t>丰台区汽车博物馆西路8号院4幢-2层-0087</t>
    <phoneticPr fontId="144" type="noConversion"/>
  </si>
  <si>
    <t>丰台区汽车博物馆西路8号院4幢-2层-0088</t>
    <phoneticPr fontId="144" type="noConversion"/>
  </si>
  <si>
    <t>小计</t>
    <phoneticPr fontId="144" type="noConversion"/>
  </si>
  <si>
    <t>合计</t>
    <phoneticPr fontId="144" type="noConversion"/>
  </si>
  <si>
    <t>1号楼</t>
    <phoneticPr fontId="144" type="noConversion"/>
  </si>
  <si>
    <t>2号楼</t>
    <phoneticPr fontId="144" type="noConversion"/>
  </si>
  <si>
    <t>3号楼</t>
    <phoneticPr fontId="144" type="noConversion"/>
  </si>
  <si>
    <t>合计</t>
    <phoneticPr fontId="144" type="noConversion"/>
  </si>
  <si>
    <t>商业</t>
    <phoneticPr fontId="144" type="noConversion"/>
  </si>
  <si>
    <t>1层</t>
    <phoneticPr fontId="144" type="noConversion"/>
  </si>
  <si>
    <t>2层</t>
    <phoneticPr fontId="144" type="noConversion"/>
  </si>
  <si>
    <t>办公</t>
    <phoneticPr fontId="144" type="noConversion"/>
  </si>
  <si>
    <t>4号楼</t>
    <phoneticPr fontId="144" type="noConversion"/>
  </si>
  <si>
    <t>地下1层</t>
  </si>
  <si>
    <t>地下1层</t>
    <phoneticPr fontId="144" type="noConversion"/>
  </si>
  <si>
    <t>商业</t>
    <phoneticPr fontId="144" type="noConversion"/>
  </si>
  <si>
    <t>地下2层</t>
  </si>
  <si>
    <t>地下2层</t>
    <phoneticPr fontId="144" type="noConversion"/>
  </si>
  <si>
    <t>车位</t>
    <phoneticPr fontId="144" type="noConversion"/>
  </si>
  <si>
    <t>库房</t>
    <phoneticPr fontId="144" type="noConversion"/>
  </si>
  <si>
    <t>地下2层</t>
    <phoneticPr fontId="144" type="noConversion"/>
  </si>
  <si>
    <t>地下车库</t>
    <phoneticPr fontId="144" type="noConversion"/>
  </si>
  <si>
    <t>分摊土地</t>
    <phoneticPr fontId="144" type="noConversion"/>
  </si>
  <si>
    <t>是</t>
  </si>
  <si>
    <t>地上</t>
  </si>
  <si>
    <t>底商</t>
  </si>
  <si>
    <t>北京丰科建房地产开发有限公司</t>
    <phoneticPr fontId="7" type="noConversion"/>
  </si>
  <si>
    <t>地下</t>
  </si>
  <si>
    <t>车库</t>
  </si>
  <si>
    <t>仓储</t>
  </si>
  <si>
    <t>商业1层</t>
  </si>
  <si>
    <t>商业1层</t>
    <phoneticPr fontId="8"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</si>
  <si>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8" type="noConversion"/>
  </si>
  <si>
    <r>
      <rPr>
        <sz val="10"/>
        <color indexed="8"/>
        <rFont val="宋体"/>
        <family val="3"/>
        <charset val="134"/>
      </rPr>
      <t>商业地下</t>
    </r>
    <r>
      <rPr>
        <sz val="10"/>
        <color indexed="8"/>
        <rFont val="Arial"/>
        <family val="2"/>
      </rPr>
      <t>1</t>
    </r>
    <r>
      <rPr>
        <sz val="10"/>
        <color indexed="8"/>
        <rFont val="宋体"/>
        <family val="3"/>
        <charset val="134"/>
      </rPr>
      <t>层</t>
    </r>
    <phoneticPr fontId="8" type="noConversion"/>
  </si>
  <si>
    <r>
      <rPr>
        <sz val="11"/>
        <color indexed="8"/>
        <rFont val="宋体"/>
        <family val="3"/>
        <charset val="134"/>
      </rPr>
      <t>商业地下</t>
    </r>
    <r>
      <rPr>
        <sz val="11"/>
        <color indexed="8"/>
        <rFont val="Arial"/>
        <family val="2"/>
      </rPr>
      <t>2</t>
    </r>
    <r>
      <rPr>
        <sz val="11"/>
        <color indexed="8"/>
        <rFont val="宋体"/>
        <family val="3"/>
        <charset val="134"/>
      </rPr>
      <t>层</t>
    </r>
    <phoneticPr fontId="8" type="noConversion"/>
  </si>
  <si>
    <t>地下车库</t>
    <phoneticPr fontId="8" type="noConversion"/>
  </si>
  <si>
    <t>库房</t>
    <phoneticPr fontId="8" type="noConversion"/>
  </si>
  <si>
    <t>成新度</t>
  </si>
  <si>
    <t>项目局部</t>
  </si>
  <si>
    <t>售价</t>
  </si>
  <si>
    <t>商业</t>
    <phoneticPr fontId="32" type="noConversion"/>
  </si>
  <si>
    <t>30-40（含）</t>
  </si>
  <si>
    <t>估价对象位于丰台科技园，周边商业氛围一般，人流量一般，商业繁华度一般</t>
    <phoneticPr fontId="26" type="noConversion"/>
  </si>
  <si>
    <t>一般</t>
  </si>
  <si>
    <t>较好</t>
  </si>
  <si>
    <t>估价对象周边道路状况较好、公共交通通达情况较好、停车便捷程度较好，综合评价交通便捷度较好</t>
    <phoneticPr fontId="42" type="noConversion"/>
  </si>
  <si>
    <t>估价对象所在区域公共配套设施齐备情况一般</t>
    <phoneticPr fontId="42" type="noConversion"/>
  </si>
  <si>
    <t>七通</t>
  </si>
  <si>
    <t>单面临街</t>
  </si>
  <si>
    <t>单面临街</t>
    <phoneticPr fontId="32" type="noConversion"/>
  </si>
  <si>
    <t>较好</t>
    <phoneticPr fontId="32"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</si>
  <si>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</si>
  <si>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</si>
  <si>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</si>
  <si>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</si>
  <si>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</si>
  <si>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</si>
  <si>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</si>
  <si>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</si>
  <si>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</si>
  <si>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r>
      <t>1</t>
    </r>
    <r>
      <rPr>
        <sz val="11"/>
        <color indexed="8"/>
        <rFont val="宋体"/>
        <family val="3"/>
        <charset val="134"/>
      </rPr>
      <t>层</t>
    </r>
    <phoneticPr fontId="32" type="noConversion"/>
  </si>
  <si>
    <t>1层</t>
  </si>
  <si>
    <t>独栋商业</t>
    <phoneticPr fontId="4" type="noConversion"/>
  </si>
  <si>
    <t>商业街商铺</t>
    <phoneticPr fontId="4" type="noConversion"/>
  </si>
  <si>
    <t>写字楼底商</t>
    <phoneticPr fontId="4" type="noConversion"/>
  </si>
  <si>
    <t>住宅底商</t>
    <phoneticPr fontId="4" type="noConversion"/>
  </si>
  <si>
    <t>写字楼底商</t>
  </si>
  <si>
    <t>钢混</t>
    <phoneticPr fontId="4" type="noConversion"/>
  </si>
  <si>
    <t>混合</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</si>
  <si>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</si>
  <si>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</si>
  <si>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</si>
  <si>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</si>
  <si>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</si>
  <si>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</si>
  <si>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</si>
  <si>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</si>
  <si>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</si>
  <si>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</si>
  <si>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</si>
  <si>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标准层高</t>
    <phoneticPr fontId="4" type="noConversion"/>
  </si>
  <si>
    <t>钢混</t>
  </si>
  <si>
    <t>普装</t>
  </si>
  <si>
    <t>精装</t>
  </si>
  <si>
    <t>六通</t>
  </si>
  <si>
    <t>可餐饮</t>
  </si>
  <si>
    <t>标准层高</t>
  </si>
  <si>
    <t>毛坯</t>
  </si>
  <si>
    <t>总部基地</t>
    <phoneticPr fontId="4" type="noConversion"/>
  </si>
  <si>
    <r>
      <t>1-2</t>
    </r>
    <r>
      <rPr>
        <sz val="11"/>
        <color indexed="8"/>
        <rFont val="宋体"/>
        <family val="3"/>
        <charset val="134"/>
      </rPr>
      <t>层</t>
    </r>
    <phoneticPr fontId="32" type="noConversion"/>
  </si>
  <si>
    <t>1-2层</t>
  </si>
  <si>
    <t>独栋商业</t>
  </si>
  <si>
    <t>租金</t>
  </si>
  <si>
    <t>简装</t>
  </si>
  <si>
    <t>诺德中心三期</t>
    <phoneticPr fontId="4" type="noConversion"/>
  </si>
  <si>
    <t>58-548</t>
    <phoneticPr fontId="32" type="noConversion"/>
  </si>
  <si>
    <t>58-548</t>
    <phoneticPr fontId="144" type="noConversion"/>
  </si>
  <si>
    <t>万达金街</t>
    <phoneticPr fontId="4" type="noConversion"/>
  </si>
  <si>
    <t>商业综合体</t>
  </si>
  <si>
    <t>商业综合体</t>
    <phoneticPr fontId="144" type="noConversion"/>
  </si>
  <si>
    <t>标准层高</t>
    <phoneticPr fontId="144" type="noConversion"/>
  </si>
  <si>
    <t>挑高（可夹层）</t>
    <phoneticPr fontId="4" type="noConversion"/>
  </si>
  <si>
    <t>收益法</t>
  </si>
  <si>
    <t>比较法-商业1层</t>
  </si>
  <si>
    <t>比较法-商业1层</t>
    <phoneticPr fontId="17" type="noConversion"/>
  </si>
  <si>
    <t>按租金收入计税</t>
  </si>
  <si>
    <t>非生产用房</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</si>
  <si>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</si>
  <si>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</si>
  <si>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地下一层</t>
  </si>
  <si>
    <t>地下一层</t>
    <phoneticPr fontId="26" type="noConversion"/>
  </si>
  <si>
    <t>地下二层</t>
  </si>
  <si>
    <t>地下二层</t>
    <phoneticPr fontId="26" type="noConversion"/>
  </si>
  <si>
    <t>1层商业</t>
    <phoneticPr fontId="26" type="noConversion"/>
  </si>
  <si>
    <r>
      <t>2</t>
    </r>
    <r>
      <rPr>
        <sz val="10"/>
        <color indexed="8"/>
        <rFont val="宋体"/>
        <family val="3"/>
        <charset val="134"/>
      </rPr>
      <t>层商业</t>
    </r>
    <phoneticPr fontId="26" type="noConversion"/>
  </si>
  <si>
    <t>地下1层商业</t>
    <phoneticPr fontId="26" type="noConversion"/>
  </si>
  <si>
    <r>
      <rPr>
        <sz val="10"/>
        <color indexed="8"/>
        <rFont val="宋体"/>
        <family val="3"/>
        <charset val="134"/>
      </rPr>
      <t>地下</t>
    </r>
    <r>
      <rPr>
        <sz val="10"/>
        <color indexed="8"/>
        <rFont val="Arial"/>
        <family val="2"/>
      </rPr>
      <t>2</t>
    </r>
    <r>
      <rPr>
        <sz val="10"/>
        <color indexed="8"/>
        <rFont val="宋体"/>
        <family val="3"/>
        <charset val="134"/>
      </rPr>
      <t>层商业</t>
    </r>
    <phoneticPr fontId="26" type="noConversion"/>
  </si>
  <si>
    <t>2层</t>
  </si>
  <si>
    <t>商务金融用地（办公类）</t>
  </si>
  <si>
    <t>自定义容积率</t>
  </si>
  <si>
    <t>按公示增长率计算</t>
  </si>
  <si>
    <t>容积率修正</t>
  </si>
  <si>
    <t>不临58条商业街</t>
  </si>
  <si>
    <t>六通一平</t>
  </si>
  <si>
    <t>缺少</t>
  </si>
  <si>
    <t>通热</t>
  </si>
  <si>
    <t>一致</t>
    <phoneticPr fontId="26" type="noConversion"/>
  </si>
  <si>
    <t>次干道</t>
    <phoneticPr fontId="26" type="noConversion"/>
  </si>
  <si>
    <t>好</t>
  </si>
  <si>
    <t>全部缴纳</t>
  </si>
  <si>
    <t>已包含在土地取得成本中</t>
  </si>
  <si>
    <t>未包含在土地购买价格中</t>
  </si>
  <si>
    <t>成本法</t>
  </si>
  <si>
    <t>押一</t>
  </si>
  <si>
    <t>收益法 (库房)</t>
  </si>
  <si>
    <t>收益法 (库房)</t>
    <phoneticPr fontId="17" type="noConversion"/>
  </si>
  <si>
    <t>收益法 (地下车库)</t>
  </si>
  <si>
    <t>收益法 (地下车库)</t>
    <phoneticPr fontId="17" type="noConversion"/>
  </si>
  <si>
    <t>自定义</t>
  </si>
  <si>
    <t>车位</t>
    <phoneticPr fontId="144" type="noConversion"/>
  </si>
  <si>
    <t>地下车库</t>
    <phoneticPr fontId="33" type="noConversion"/>
  </si>
  <si>
    <t>40-50（含）</t>
  </si>
  <si>
    <t>普装</t>
    <phoneticPr fontId="33" type="noConversion"/>
  </si>
  <si>
    <t>专业</t>
  </si>
  <si>
    <t>专业</t>
    <phoneticPr fontId="33" type="noConversion"/>
  </si>
  <si>
    <t>鲁能丰和台</t>
    <phoneticPr fontId="4" type="noConversion"/>
  </si>
  <si>
    <t>写字楼地下车库</t>
  </si>
  <si>
    <t>写字楼地下车库</t>
    <phoneticPr fontId="33" type="noConversion"/>
  </si>
  <si>
    <t>住宅地下车库</t>
  </si>
  <si>
    <t>住宅地下车库</t>
    <phoneticPr fontId="33" type="noConversion"/>
  </si>
  <si>
    <t>中景理想家</t>
    <phoneticPr fontId="4" type="noConversion"/>
  </si>
  <si>
    <t>地下1层</t>
    <phoneticPr fontId="3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</si>
  <si>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3" type="noConversion"/>
  </si>
  <si>
    <t>比较法-车位</t>
  </si>
  <si>
    <t>元/车位</t>
  </si>
  <si>
    <t>诺德中心二期</t>
    <phoneticPr fontId="4" type="noConversion"/>
  </si>
  <si>
    <t>诺德中心三期</t>
    <phoneticPr fontId="4" type="noConversion"/>
  </si>
  <si>
    <t>临街</t>
    <phoneticPr fontId="4" type="noConversion"/>
  </si>
  <si>
    <t>可视性</t>
    <phoneticPr fontId="4" type="noConversion"/>
  </si>
  <si>
    <t>人流量</t>
    <phoneticPr fontId="4" type="noConversion"/>
  </si>
  <si>
    <t>装修</t>
    <phoneticPr fontId="4" type="noConversion"/>
  </si>
  <si>
    <t>面积</t>
    <phoneticPr fontId="4" type="noConversion"/>
  </si>
  <si>
    <t>临街</t>
  </si>
  <si>
    <t>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</si>
  <si>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</si>
  <si>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</si>
  <si>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</si>
  <si>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</si>
  <si>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</si>
  <si>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</si>
  <si>
    <t>较差</t>
    <phoneticPr fontId="26" type="noConversion"/>
  </si>
  <si>
    <t>差</t>
  </si>
  <si>
    <t>差</t>
    <phoneticPr fontId="26" type="noConversion"/>
  </si>
  <si>
    <t>大</t>
    <phoneticPr fontId="26" type="noConversion"/>
  </si>
  <si>
    <t>较大</t>
  </si>
  <si>
    <t>较大</t>
    <phoneticPr fontId="26" type="noConversion"/>
  </si>
  <si>
    <t>较小</t>
  </si>
  <si>
    <t>较小</t>
    <phoneticPr fontId="26" type="noConversion"/>
  </si>
  <si>
    <t>小</t>
  </si>
  <si>
    <t>小</t>
    <phoneticPr fontId="26" type="noConversion"/>
  </si>
  <si>
    <t>大业信托有限责任公司</t>
    <phoneticPr fontId="7" type="noConversion"/>
  </si>
  <si>
    <r>
      <rPr>
        <sz val="12"/>
        <color theme="9" tint="-0.249977111117893"/>
        <rFont val="宋体"/>
        <family val="3"/>
        <charset val="134"/>
      </rPr>
      <t>丰台区汽车博物馆西路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t>
    </r>
    <phoneticPr fontId="7" type="noConversion"/>
  </si>
  <si>
    <t>序号</t>
    <phoneticPr fontId="144" type="noConversion"/>
  </si>
  <si>
    <t>项目名称</t>
    <phoneticPr fontId="144" type="noConversion"/>
  </si>
  <si>
    <t>分摊出让国有建设用地使用权面积（平方米）</t>
    <phoneticPr fontId="144" type="noConversion"/>
  </si>
  <si>
    <t>建筑面积（平方米）</t>
    <phoneticPr fontId="144" type="noConversion"/>
  </si>
  <si>
    <t>商业</t>
    <phoneticPr fontId="144" type="noConversion"/>
  </si>
  <si>
    <t>地下商业</t>
    <phoneticPr fontId="144" type="noConversion"/>
  </si>
  <si>
    <t>库房</t>
    <phoneticPr fontId="144" type="noConversion"/>
  </si>
  <si>
    <t>车位</t>
    <phoneticPr fontId="144" type="noConversion"/>
  </si>
  <si>
    <t>北京市丰台区汽车博物馆西路8号院1号楼</t>
    <phoneticPr fontId="144" type="noConversion"/>
  </si>
  <si>
    <t>北京市丰台区汽车博物馆西路8号院2号楼</t>
    <phoneticPr fontId="144" type="noConversion"/>
  </si>
  <si>
    <t>北京市丰台区汽车博物馆西路8号院3号楼</t>
    <phoneticPr fontId="144" type="noConversion"/>
  </si>
  <si>
    <t>北京市丰台区汽车博物馆西路8号院4幢</t>
    <phoneticPr fontId="144" type="noConversion"/>
  </si>
  <si>
    <t>合计</t>
    <phoneticPr fontId="144" type="noConversion"/>
  </si>
  <si>
    <t>——</t>
    <phoneticPr fontId="144" type="noConversion"/>
  </si>
  <si>
    <t>——</t>
    <phoneticPr fontId="144" type="noConversion"/>
  </si>
  <si>
    <r>
      <rPr>
        <sz val="12"/>
        <color theme="9" tint="-0.249977111117893"/>
        <rFont val="宋体"/>
        <family val="3"/>
        <charset val="134"/>
      </rPr>
      <t>商业及地下商业</t>
    </r>
    <r>
      <rPr>
        <sz val="12"/>
        <color theme="9" tint="-0.249977111117893"/>
        <rFont val="Arial"/>
        <family val="2"/>
      </rPr>
      <t>32.95</t>
    </r>
    <r>
      <rPr>
        <sz val="12"/>
        <color theme="9" tint="-0.249977111117893"/>
        <rFont val="宋体"/>
        <family val="3"/>
        <charset val="134"/>
      </rPr>
      <t>年、地下车库</t>
    </r>
    <r>
      <rPr>
        <sz val="12"/>
        <color theme="9" tint="-0.249977111117893"/>
        <rFont val="Arial"/>
        <family val="2"/>
      </rPr>
      <t>42.95</t>
    </r>
    <r>
      <rPr>
        <sz val="12"/>
        <color theme="9" tint="-0.249977111117893"/>
        <rFont val="宋体"/>
        <family val="3"/>
        <charset val="134"/>
      </rPr>
      <t>年、地下仓储</t>
    </r>
    <r>
      <rPr>
        <sz val="12"/>
        <color theme="9" tint="-0.249977111117893"/>
        <rFont val="Arial"/>
        <family val="2"/>
      </rPr>
      <t>42.95</t>
    </r>
    <r>
      <rPr>
        <sz val="12"/>
        <color theme="9" tint="-0.249977111117893"/>
        <rFont val="宋体"/>
        <family val="3"/>
        <charset val="134"/>
      </rPr>
      <t>年</t>
    </r>
    <phoneticPr fontId="7" type="noConversion"/>
  </si>
  <si>
    <t>建筑物价值</t>
  </si>
  <si>
    <t>分摊土地面积</t>
  </si>
  <si>
    <t>建筑面积</t>
  </si>
  <si>
    <t>1号楼</t>
    <phoneticPr fontId="144" type="noConversion"/>
  </si>
  <si>
    <t>2号楼</t>
    <phoneticPr fontId="144" type="noConversion"/>
  </si>
  <si>
    <t>3号楼</t>
    <phoneticPr fontId="144" type="noConversion"/>
  </si>
  <si>
    <t>4号楼</t>
    <phoneticPr fontId="144" type="noConversion"/>
  </si>
  <si>
    <t>面积</t>
    <phoneticPr fontId="144" type="noConversion"/>
  </si>
  <si>
    <t>总价</t>
    <phoneticPr fontId="144" type="noConversion"/>
  </si>
  <si>
    <t>单价</t>
    <phoneticPr fontId="144" type="noConversion"/>
  </si>
  <si>
    <t>收益比率</t>
  </si>
  <si>
    <t>成本比率</t>
  </si>
  <si>
    <t>建筑物</t>
    <phoneticPr fontId="144" type="noConversion"/>
  </si>
  <si>
    <t>土地</t>
    <phoneticPr fontId="144" type="noConversion"/>
  </si>
  <si>
    <t>4号楼商业</t>
    <phoneticPr fontId="144" type="noConversion"/>
  </si>
  <si>
    <t>4号楼库房</t>
    <phoneticPr fontId="144" type="noConversion"/>
  </si>
  <si>
    <t>4号楼车位</t>
    <phoneticPr fontId="144" type="noConversion"/>
  </si>
  <si>
    <t>合计</t>
    <phoneticPr fontId="144" type="noConversion"/>
  </si>
  <si>
    <t>一层商业</t>
    <phoneticPr fontId="144" type="noConversion"/>
  </si>
  <si>
    <t>二层商业</t>
    <phoneticPr fontId="144" type="noConversion"/>
  </si>
  <si>
    <t>地下一层商业</t>
    <phoneticPr fontId="144" type="noConversion"/>
  </si>
  <si>
    <t>地下二层商业</t>
    <phoneticPr fontId="144" type="noConversion"/>
  </si>
  <si>
    <t>估价对象</t>
    <phoneticPr fontId="144" type="noConversion"/>
  </si>
  <si>
    <t>楼面单价</t>
  </si>
  <si>
    <t>典型户型修正</t>
  </si>
  <si>
    <t>典型户型修正</t>
    <phoneticPr fontId="17" type="noConversion"/>
  </si>
  <si>
    <t>1层</t>
    <phoneticPr fontId="144" type="noConversion"/>
  </si>
  <si>
    <t>2层</t>
    <phoneticPr fontId="144" type="noConversion"/>
  </si>
  <si>
    <t>地下一层</t>
    <phoneticPr fontId="144" type="noConversion"/>
  </si>
  <si>
    <t>地下二层</t>
    <phoneticPr fontId="144" type="noConversion"/>
  </si>
  <si>
    <t>面积</t>
    <phoneticPr fontId="144" type="noConversion"/>
  </si>
  <si>
    <t>合计</t>
    <phoneticPr fontId="144" type="noConversion"/>
  </si>
  <si>
    <t>租金单价</t>
    <phoneticPr fontId="144" type="noConversion"/>
  </si>
  <si>
    <t>修正系数</t>
    <phoneticPr fontId="144" type="noConversion"/>
  </si>
  <si>
    <t>年收益</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</si>
</sst>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6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151"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00" fillId="0" borderId="0" xfId="0" applyFont="1">
      <alignment vertical="center"/>
    </xf>
    <xf numFmtId="0" fontId="0" fillId="5" borderId="0" xfId="0" applyFill="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0" fontId="107" fillId="5" borderId="37" xfId="0" applyNumberFormat="1" applyFont="1" applyFill="1" applyBorder="1" applyAlignment="1" applyProtection="1">
      <alignment horizontal="center" vertical="center" wrapText="1"/>
      <protection locked="0"/>
    </xf>
    <xf numFmtId="0" fontId="116" fillId="5" borderId="20" xfId="0" applyNumberFormat="1" applyFont="1" applyFill="1" applyBorder="1" applyAlignment="1" applyProtection="1">
      <alignment vertical="center" wrapText="1"/>
      <protection locked="0"/>
    </xf>
    <xf numFmtId="0" fontId="139" fillId="0" borderId="109" xfId="0" applyNumberFormat="1" applyFont="1" applyFill="1" applyBorder="1" applyAlignment="1" applyProtection="1">
      <alignment horizontal="center" vertical="center" wrapText="1"/>
      <protection locked="0"/>
    </xf>
    <xf numFmtId="0" fontId="121" fillId="6" borderId="98" xfId="0" applyNumberFormat="1" applyFont="1" applyFill="1" applyBorder="1" applyAlignment="1" applyProtection="1">
      <alignment horizontal="center" vertical="center" wrapText="1"/>
    </xf>
    <xf numFmtId="0" fontId="139" fillId="0" borderId="18" xfId="0" applyNumberFormat="1" applyFont="1" applyFill="1" applyBorder="1" applyAlignment="1" applyProtection="1">
      <alignment horizontal="center" vertical="center" wrapText="1"/>
      <protection locked="0"/>
    </xf>
    <xf numFmtId="0" fontId="121" fillId="6" borderId="18" xfId="0" applyNumberFormat="1" applyFont="1" applyFill="1" applyBorder="1" applyAlignment="1" applyProtection="1">
      <alignment horizontal="center" vertical="center" wrapText="1"/>
    </xf>
    <xf numFmtId="17" fontId="55" fillId="0" borderId="37"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0" fontId="55" fillId="5" borderId="5"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protection locked="0"/>
    </xf>
    <xf numFmtId="0" fontId="55" fillId="5" borderId="37" xfId="0" applyNumberFormat="1" applyFont="1" applyFill="1" applyBorder="1" applyAlignment="1" applyProtection="1">
      <alignment horizontal="center" vertical="center" wrapText="1"/>
      <protection locked="0"/>
    </xf>
    <xf numFmtId="181" fontId="58" fillId="5" borderId="61" xfId="0" applyNumberFormat="1" applyFont="1" applyFill="1" applyBorder="1" applyAlignment="1" applyProtection="1">
      <alignment horizontal="center" vertical="center"/>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31" fillId="0" borderId="2" xfId="0" applyNumberFormat="1"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xf>
    <xf numFmtId="0" fontId="100" fillId="0" borderId="1" xfId="0" applyFont="1" applyBorder="1">
      <alignment vertical="center"/>
    </xf>
    <xf numFmtId="0" fontId="0" fillId="0" borderId="1" xfId="0" applyBorder="1">
      <alignment vertical="center"/>
    </xf>
    <xf numFmtId="0" fontId="100" fillId="0" borderId="1" xfId="0" applyFont="1" applyBorder="1">
      <alignment vertical="center"/>
    </xf>
    <xf numFmtId="0" fontId="0" fillId="0" borderId="1" xfId="0" applyFill="1" applyBorder="1">
      <alignment vertical="center"/>
    </xf>
    <xf numFmtId="0" fontId="187" fillId="0" borderId="3"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7" fontId="51" fillId="14" borderId="1" xfId="1" applyNumberFormat="1" applyFont="1" applyFill="1" applyBorder="1" applyAlignment="1" applyProtection="1">
      <alignment horizontal="center" vertical="center"/>
      <protection locked="0"/>
    </xf>
    <xf numFmtId="177" fontId="48" fillId="14" borderId="1" xfId="1" applyNumberFormat="1" applyFont="1" applyFill="1" applyBorder="1" applyAlignment="1" applyProtection="1">
      <alignment horizontal="center" vertical="center"/>
      <protection locked="0"/>
    </xf>
    <xf numFmtId="0" fontId="100" fillId="0" borderId="1" xfId="0"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vertical="center"/>
    </xf>
    <xf numFmtId="0" fontId="0" fillId="0" borderId="1" xfId="0" applyBorder="1" applyAlignment="1">
      <alignment vertical="center"/>
    </xf>
    <xf numFmtId="0" fontId="100" fillId="0" borderId="1" xfId="0" applyFont="1" applyBorder="1">
      <alignment vertical="center"/>
    </xf>
    <xf numFmtId="179" fontId="0" fillId="0" borderId="1" xfId="0" applyNumberFormat="1" applyBorder="1">
      <alignment vertical="center"/>
    </xf>
    <xf numFmtId="176" fontId="0" fillId="0" borderId="1" xfId="0" applyNumberFormat="1" applyBorder="1">
      <alignment vertical="center"/>
    </xf>
    <xf numFmtId="1" fontId="0" fillId="0" borderId="1" xfId="0" applyNumberFormat="1" applyBorder="1">
      <alignment vertical="center"/>
    </xf>
    <xf numFmtId="0" fontId="100" fillId="0" borderId="1" xfId="0" applyFont="1" applyFill="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9525</xdr:rowOff>
    </xdr:from>
    <xdr:to>
      <xdr:col>8</xdr:col>
      <xdr:colOff>314325</xdr:colOff>
      <xdr:row>28</xdr:row>
      <xdr:rowOff>1133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9525"/>
          <a:ext cx="5629275" cy="4792208"/>
        </a:xfrm>
        <a:prstGeom prst="rect">
          <a:avLst/>
        </a:prstGeom>
      </xdr:spPr>
    </xdr:pic>
    <xdr:clientData/>
  </xdr:twoCellAnchor>
  <xdr:twoCellAnchor editAs="oneCell">
    <xdr:from>
      <xdr:col>8</xdr:col>
      <xdr:colOff>142875</xdr:colOff>
      <xdr:row>10</xdr:row>
      <xdr:rowOff>66675</xdr:rowOff>
    </xdr:from>
    <xdr:to>
      <xdr:col>14</xdr:col>
      <xdr:colOff>628075</xdr:colOff>
      <xdr:row>21</xdr:row>
      <xdr:rowOff>95011</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781175"/>
          <a:ext cx="4600000" cy="1914286"/>
        </a:xfrm>
        <a:prstGeom prst="rect">
          <a:avLst/>
        </a:prstGeom>
      </xdr:spPr>
    </xdr:pic>
    <xdr:clientData/>
  </xdr:twoCellAnchor>
  <xdr:twoCellAnchor editAs="oneCell">
    <xdr:from>
      <xdr:col>0</xdr:col>
      <xdr:colOff>171450</xdr:colOff>
      <xdr:row>28</xdr:row>
      <xdr:rowOff>57150</xdr:rowOff>
    </xdr:from>
    <xdr:to>
      <xdr:col>11</xdr:col>
      <xdr:colOff>600075</xdr:colOff>
      <xdr:row>49</xdr:row>
      <xdr:rowOff>32567</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4857750"/>
          <a:ext cx="7972425" cy="3575867"/>
        </a:xfrm>
        <a:prstGeom prst="rect">
          <a:avLst/>
        </a:prstGeom>
      </xdr:spPr>
    </xdr:pic>
    <xdr:clientData/>
  </xdr:twoCellAnchor>
  <xdr:twoCellAnchor editAs="oneCell">
    <xdr:from>
      <xdr:col>0</xdr:col>
      <xdr:colOff>257176</xdr:colOff>
      <xdr:row>44</xdr:row>
      <xdr:rowOff>38100</xdr:rowOff>
    </xdr:from>
    <xdr:to>
      <xdr:col>7</xdr:col>
      <xdr:colOff>676275</xdr:colOff>
      <xdr:row>49</xdr:row>
      <xdr:rowOff>9165</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6" y="7581900"/>
          <a:ext cx="5219699" cy="828315"/>
        </a:xfrm>
        <a:prstGeom prst="rect">
          <a:avLst/>
        </a:prstGeom>
      </xdr:spPr>
    </xdr:pic>
    <xdr:clientData/>
  </xdr:twoCellAnchor>
  <xdr:twoCellAnchor editAs="oneCell">
    <xdr:from>
      <xdr:col>0</xdr:col>
      <xdr:colOff>352425</xdr:colOff>
      <xdr:row>49</xdr:row>
      <xdr:rowOff>104776</xdr:rowOff>
    </xdr:from>
    <xdr:to>
      <xdr:col>7</xdr:col>
      <xdr:colOff>438150</xdr:colOff>
      <xdr:row>75</xdr:row>
      <xdr:rowOff>168068</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8505826"/>
          <a:ext cx="4886325" cy="4520992"/>
        </a:xfrm>
        <a:prstGeom prst="rect">
          <a:avLst/>
        </a:prstGeom>
      </xdr:spPr>
    </xdr:pic>
    <xdr:clientData/>
  </xdr:twoCellAnchor>
  <xdr:twoCellAnchor editAs="oneCell">
    <xdr:from>
      <xdr:col>4</xdr:col>
      <xdr:colOff>647700</xdr:colOff>
      <xdr:row>62</xdr:row>
      <xdr:rowOff>28575</xdr:rowOff>
    </xdr:from>
    <xdr:to>
      <xdr:col>12</xdr:col>
      <xdr:colOff>180975</xdr:colOff>
      <xdr:row>67</xdr:row>
      <xdr:rowOff>144722</xdr:rowOff>
    </xdr:to>
    <xdr:pic>
      <xdr:nvPicPr>
        <xdr:cNvPr id="7" name="图片 6"/>
        <xdr:cNvPicPr>
          <a:picLocks noChangeAspect="1"/>
        </xdr:cNvPicPr>
      </xdr:nvPicPr>
      <xdr:blipFill>
        <a:blip xmlns:r="http://schemas.openxmlformats.org/officeDocument/2006/relationships" r:embed="rId6"/>
        <a:stretch>
          <a:fillRect/>
        </a:stretch>
      </xdr:blipFill>
      <xdr:spPr>
        <a:xfrm>
          <a:off x="3390900" y="10658475"/>
          <a:ext cx="5019675" cy="973397"/>
        </a:xfrm>
        <a:prstGeom prst="rect">
          <a:avLst/>
        </a:prstGeom>
      </xdr:spPr>
    </xdr:pic>
    <xdr:clientData/>
  </xdr:twoCellAnchor>
  <xdr:twoCellAnchor editAs="oneCell">
    <xdr:from>
      <xdr:col>0</xdr:col>
      <xdr:colOff>238125</xdr:colOff>
      <xdr:row>76</xdr:row>
      <xdr:rowOff>28575</xdr:rowOff>
    </xdr:from>
    <xdr:to>
      <xdr:col>11</xdr:col>
      <xdr:colOff>95250</xdr:colOff>
      <xdr:row>97</xdr:row>
      <xdr:rowOff>95086</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3058775"/>
          <a:ext cx="7400925" cy="3666961"/>
        </a:xfrm>
        <a:prstGeom prst="rect">
          <a:avLst/>
        </a:prstGeom>
      </xdr:spPr>
    </xdr:pic>
    <xdr:clientData/>
  </xdr:twoCellAnchor>
  <xdr:twoCellAnchor editAs="oneCell">
    <xdr:from>
      <xdr:col>0</xdr:col>
      <xdr:colOff>457200</xdr:colOff>
      <xdr:row>91</xdr:row>
      <xdr:rowOff>133350</xdr:rowOff>
    </xdr:from>
    <xdr:to>
      <xdr:col>9</xdr:col>
      <xdr:colOff>457274</xdr:colOff>
      <xdr:row>97</xdr:row>
      <xdr:rowOff>85725</xdr:rowOff>
    </xdr:to>
    <xdr:pic>
      <xdr:nvPicPr>
        <xdr:cNvPr id="9" name="图片 8"/>
        <xdr:cNvPicPr>
          <a:picLocks noChangeAspect="1"/>
        </xdr:cNvPicPr>
      </xdr:nvPicPr>
      <xdr:blipFill>
        <a:blip xmlns:r="http://schemas.openxmlformats.org/officeDocument/2006/relationships" r:embed="rId8"/>
        <a:stretch>
          <a:fillRect/>
        </a:stretch>
      </xdr:blipFill>
      <xdr:spPr>
        <a:xfrm>
          <a:off x="457200" y="15735300"/>
          <a:ext cx="6172274" cy="981075"/>
        </a:xfrm>
        <a:prstGeom prst="rect">
          <a:avLst/>
        </a:prstGeom>
      </xdr:spPr>
    </xdr:pic>
    <xdr:clientData/>
  </xdr:twoCellAnchor>
  <xdr:twoCellAnchor editAs="oneCell">
    <xdr:from>
      <xdr:col>0</xdr:col>
      <xdr:colOff>200026</xdr:colOff>
      <xdr:row>98</xdr:row>
      <xdr:rowOff>85725</xdr:rowOff>
    </xdr:from>
    <xdr:to>
      <xdr:col>10</xdr:col>
      <xdr:colOff>600076</xdr:colOff>
      <xdr:row>119</xdr:row>
      <xdr:rowOff>39506</xdr:rowOff>
    </xdr:to>
    <xdr:pic>
      <xdr:nvPicPr>
        <xdr:cNvPr id="10" name="图片 9"/>
        <xdr:cNvPicPr>
          <a:picLocks noChangeAspect="1"/>
        </xdr:cNvPicPr>
      </xdr:nvPicPr>
      <xdr:blipFill>
        <a:blip xmlns:r="http://schemas.openxmlformats.org/officeDocument/2006/relationships" r:embed="rId9"/>
        <a:stretch>
          <a:fillRect/>
        </a:stretch>
      </xdr:blipFill>
      <xdr:spPr>
        <a:xfrm>
          <a:off x="200026" y="16887825"/>
          <a:ext cx="7258050" cy="3554231"/>
        </a:xfrm>
        <a:prstGeom prst="rect">
          <a:avLst/>
        </a:prstGeom>
      </xdr:spPr>
    </xdr:pic>
    <xdr:clientData/>
  </xdr:twoCellAnchor>
  <xdr:twoCellAnchor editAs="oneCell">
    <xdr:from>
      <xdr:col>0</xdr:col>
      <xdr:colOff>323850</xdr:colOff>
      <xdr:row>112</xdr:row>
      <xdr:rowOff>47625</xdr:rowOff>
    </xdr:from>
    <xdr:to>
      <xdr:col>8</xdr:col>
      <xdr:colOff>257175</xdr:colOff>
      <xdr:row>118</xdr:row>
      <xdr:rowOff>107028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23850" y="19250025"/>
          <a:ext cx="5419725" cy="1088103"/>
        </a:xfrm>
        <a:prstGeom prst="rect">
          <a:avLst/>
        </a:prstGeom>
      </xdr:spPr>
    </xdr:pic>
    <xdr:clientData/>
  </xdr:twoCellAnchor>
  <xdr:twoCellAnchor editAs="oneCell">
    <xdr:from>
      <xdr:col>0</xdr:col>
      <xdr:colOff>342900</xdr:colOff>
      <xdr:row>120</xdr:row>
      <xdr:rowOff>57151</xdr:rowOff>
    </xdr:from>
    <xdr:to>
      <xdr:col>11</xdr:col>
      <xdr:colOff>119675</xdr:colOff>
      <xdr:row>157</xdr:row>
      <xdr:rowOff>152401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42900" y="20631151"/>
          <a:ext cx="7320575" cy="6438900"/>
        </a:xfrm>
        <a:prstGeom prst="rect">
          <a:avLst/>
        </a:prstGeom>
      </xdr:spPr>
    </xdr:pic>
    <xdr:clientData/>
  </xdr:twoCellAnchor>
  <xdr:twoCellAnchor editAs="oneCell">
    <xdr:from>
      <xdr:col>0</xdr:col>
      <xdr:colOff>247650</xdr:colOff>
      <xdr:row>158</xdr:row>
      <xdr:rowOff>9526</xdr:rowOff>
    </xdr:from>
    <xdr:to>
      <xdr:col>9</xdr:col>
      <xdr:colOff>4977</xdr:colOff>
      <xdr:row>189</xdr:row>
      <xdr:rowOff>85726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47650" y="27098626"/>
          <a:ext cx="5929527" cy="5391150"/>
        </a:xfrm>
        <a:prstGeom prst="rect">
          <a:avLst/>
        </a:prstGeom>
      </xdr:spPr>
    </xdr:pic>
    <xdr:clientData/>
  </xdr:twoCellAnchor>
  <xdr:twoCellAnchor editAs="oneCell">
    <xdr:from>
      <xdr:col>9</xdr:col>
      <xdr:colOff>0</xdr:colOff>
      <xdr:row>157</xdr:row>
      <xdr:rowOff>95251</xdr:rowOff>
    </xdr:from>
    <xdr:to>
      <xdr:col>20</xdr:col>
      <xdr:colOff>103321</xdr:colOff>
      <xdr:row>178</xdr:row>
      <xdr:rowOff>164919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27012901"/>
          <a:ext cx="7647121" cy="3670118"/>
        </a:xfrm>
        <a:prstGeom prst="rect">
          <a:avLst/>
        </a:prstGeom>
      </xdr:spPr>
    </xdr:pic>
    <xdr:clientData/>
  </xdr:twoCellAnchor>
  <xdr:twoCellAnchor editAs="oneCell">
    <xdr:from>
      <xdr:col>9</xdr:col>
      <xdr:colOff>57150</xdr:colOff>
      <xdr:row>178</xdr:row>
      <xdr:rowOff>133350</xdr:rowOff>
    </xdr:from>
    <xdr:to>
      <xdr:col>19</xdr:col>
      <xdr:colOff>331956</xdr:colOff>
      <xdr:row>198</xdr:row>
      <xdr:rowOff>22629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29350" y="30651450"/>
          <a:ext cx="7132806" cy="3318279"/>
        </a:xfrm>
        <a:prstGeom prst="rect">
          <a:avLst/>
        </a:prstGeom>
      </xdr:spPr>
    </xdr:pic>
    <xdr:clientData/>
  </xdr:twoCellAnchor>
  <xdr:twoCellAnchor editAs="oneCell">
    <xdr:from>
      <xdr:col>0</xdr:col>
      <xdr:colOff>419101</xdr:colOff>
      <xdr:row>190</xdr:row>
      <xdr:rowOff>76201</xdr:rowOff>
    </xdr:from>
    <xdr:to>
      <xdr:col>8</xdr:col>
      <xdr:colOff>638175</xdr:colOff>
      <xdr:row>220</xdr:row>
      <xdr:rowOff>21559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19101" y="32651701"/>
          <a:ext cx="5705474" cy="5088858"/>
        </a:xfrm>
        <a:prstGeom prst="rect">
          <a:avLst/>
        </a:prstGeom>
      </xdr:spPr>
    </xdr:pic>
    <xdr:clientData/>
  </xdr:twoCellAnchor>
  <xdr:twoCellAnchor editAs="oneCell">
    <xdr:from>
      <xdr:col>6</xdr:col>
      <xdr:colOff>371475</xdr:colOff>
      <xdr:row>197</xdr:row>
      <xdr:rowOff>133350</xdr:rowOff>
    </xdr:from>
    <xdr:to>
      <xdr:col>11</xdr:col>
      <xdr:colOff>456761</xdr:colOff>
      <xdr:row>212</xdr:row>
      <xdr:rowOff>133029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486275" y="33909000"/>
          <a:ext cx="3514286" cy="2571429"/>
        </a:xfrm>
        <a:prstGeom prst="rect">
          <a:avLst/>
        </a:prstGeom>
      </xdr:spPr>
    </xdr:pic>
    <xdr:clientData/>
  </xdr:twoCellAnchor>
  <xdr:twoCellAnchor editAs="oneCell">
    <xdr:from>
      <xdr:col>0</xdr:col>
      <xdr:colOff>514351</xdr:colOff>
      <xdr:row>220</xdr:row>
      <xdr:rowOff>95251</xdr:rowOff>
    </xdr:from>
    <xdr:to>
      <xdr:col>12</xdr:col>
      <xdr:colOff>616166</xdr:colOff>
      <xdr:row>242</xdr:row>
      <xdr:rowOff>152401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14351" y="37814251"/>
          <a:ext cx="8331415" cy="3829050"/>
        </a:xfrm>
        <a:prstGeom prst="rect">
          <a:avLst/>
        </a:prstGeom>
      </xdr:spPr>
    </xdr:pic>
    <xdr:clientData/>
  </xdr:twoCellAnchor>
  <xdr:twoCellAnchor editAs="oneCell">
    <xdr:from>
      <xdr:col>9</xdr:col>
      <xdr:colOff>523875</xdr:colOff>
      <xdr:row>118</xdr:row>
      <xdr:rowOff>76201</xdr:rowOff>
    </xdr:from>
    <xdr:to>
      <xdr:col>19</xdr:col>
      <xdr:colOff>27507</xdr:colOff>
      <xdr:row>148</xdr:row>
      <xdr:rowOff>40425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696075" y="20307301"/>
          <a:ext cx="6361632" cy="5107724"/>
        </a:xfrm>
        <a:prstGeom prst="rect">
          <a:avLst/>
        </a:prstGeom>
      </xdr:spPr>
    </xdr:pic>
    <xdr:clientData/>
  </xdr:twoCellAnchor>
  <xdr:twoCellAnchor editAs="oneCell">
    <xdr:from>
      <xdr:col>1</xdr:col>
      <xdr:colOff>38100</xdr:colOff>
      <xdr:row>260</xdr:row>
      <xdr:rowOff>19050</xdr:rowOff>
    </xdr:from>
    <xdr:to>
      <xdr:col>17</xdr:col>
      <xdr:colOff>217682</xdr:colOff>
      <xdr:row>264</xdr:row>
      <xdr:rowOff>9441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723900" y="44596050"/>
          <a:ext cx="11152382" cy="676191"/>
        </a:xfrm>
        <a:prstGeom prst="rect">
          <a:avLst/>
        </a:prstGeom>
      </xdr:spPr>
    </xdr:pic>
    <xdr:clientData/>
  </xdr:twoCellAnchor>
  <xdr:twoCellAnchor editAs="oneCell">
    <xdr:from>
      <xdr:col>1</xdr:col>
      <xdr:colOff>28575</xdr:colOff>
      <xdr:row>250</xdr:row>
      <xdr:rowOff>9525</xdr:rowOff>
    </xdr:from>
    <xdr:to>
      <xdr:col>13</xdr:col>
      <xdr:colOff>208499</xdr:colOff>
      <xdr:row>259</xdr:row>
      <xdr:rowOff>161713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714375" y="42872025"/>
          <a:ext cx="8409524" cy="1695238"/>
        </a:xfrm>
        <a:prstGeom prst="rect">
          <a:avLst/>
        </a:prstGeom>
      </xdr:spPr>
    </xdr:pic>
    <xdr:clientData/>
  </xdr:twoCellAnchor>
  <xdr:twoCellAnchor editAs="oneCell">
    <xdr:from>
      <xdr:col>1</xdr:col>
      <xdr:colOff>0</xdr:colOff>
      <xdr:row>264</xdr:row>
      <xdr:rowOff>28575</xdr:rowOff>
    </xdr:from>
    <xdr:to>
      <xdr:col>17</xdr:col>
      <xdr:colOff>171450</xdr:colOff>
      <xdr:row>267</xdr:row>
      <xdr:rowOff>160948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45291375"/>
          <a:ext cx="11144250" cy="646723"/>
        </a:xfrm>
        <a:prstGeom prst="rect">
          <a:avLst/>
        </a:prstGeom>
      </xdr:spPr>
    </xdr:pic>
    <xdr:clientData/>
  </xdr:twoCellAnchor>
  <xdr:twoCellAnchor editAs="oneCell">
    <xdr:from>
      <xdr:col>1</xdr:col>
      <xdr:colOff>57150</xdr:colOff>
      <xdr:row>268</xdr:row>
      <xdr:rowOff>0</xdr:rowOff>
    </xdr:from>
    <xdr:to>
      <xdr:col>17</xdr:col>
      <xdr:colOff>198636</xdr:colOff>
      <xdr:row>290</xdr:row>
      <xdr:rowOff>66196</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42950" y="45948600"/>
          <a:ext cx="11114286" cy="3838096"/>
        </a:xfrm>
        <a:prstGeom prst="rect">
          <a:avLst/>
        </a:prstGeom>
      </xdr:spPr>
    </xdr:pic>
    <xdr:clientData/>
  </xdr:twoCellAnchor>
  <xdr:twoCellAnchor editAs="oneCell">
    <xdr:from>
      <xdr:col>1</xdr:col>
      <xdr:colOff>38100</xdr:colOff>
      <xdr:row>290</xdr:row>
      <xdr:rowOff>66675</xdr:rowOff>
    </xdr:from>
    <xdr:to>
      <xdr:col>13</xdr:col>
      <xdr:colOff>56120</xdr:colOff>
      <xdr:row>299</xdr:row>
      <xdr:rowOff>152197</xdr:rowOff>
    </xdr:to>
    <xdr:pic>
      <xdr:nvPicPr>
        <xdr:cNvPr id="26" name="图片 25"/>
        <xdr:cNvPicPr>
          <a:picLocks noChangeAspect="1"/>
        </xdr:cNvPicPr>
      </xdr:nvPicPr>
      <xdr:blipFill>
        <a:blip xmlns:r="http://schemas.openxmlformats.org/officeDocument/2006/relationships" r:embed="rId23"/>
        <a:stretch>
          <a:fillRect/>
        </a:stretch>
      </xdr:blipFill>
      <xdr:spPr>
        <a:xfrm>
          <a:off x="723900" y="49787175"/>
          <a:ext cx="8247620" cy="1628572"/>
        </a:xfrm>
        <a:prstGeom prst="rect">
          <a:avLst/>
        </a:prstGeom>
      </xdr:spPr>
    </xdr:pic>
    <xdr:clientData/>
  </xdr:twoCellAnchor>
  <xdr:twoCellAnchor editAs="oneCell">
    <xdr:from>
      <xdr:col>1</xdr:col>
      <xdr:colOff>38101</xdr:colOff>
      <xdr:row>300</xdr:row>
      <xdr:rowOff>9525</xdr:rowOff>
    </xdr:from>
    <xdr:to>
      <xdr:col>14</xdr:col>
      <xdr:colOff>647701</xdr:colOff>
      <xdr:row>320</xdr:row>
      <xdr:rowOff>12740</xdr:rowOff>
    </xdr:to>
    <xdr:pic>
      <xdr:nvPicPr>
        <xdr:cNvPr id="29" name="图片 28"/>
        <xdr:cNvPicPr>
          <a:picLocks noChangeAspect="1"/>
        </xdr:cNvPicPr>
      </xdr:nvPicPr>
      <xdr:blipFill>
        <a:blip xmlns:r="http://schemas.openxmlformats.org/officeDocument/2006/relationships" r:embed="rId24"/>
        <a:stretch>
          <a:fillRect/>
        </a:stretch>
      </xdr:blipFill>
      <xdr:spPr>
        <a:xfrm>
          <a:off x="723901" y="51444525"/>
          <a:ext cx="9525000" cy="3432215"/>
        </a:xfrm>
        <a:prstGeom prst="rect">
          <a:avLst/>
        </a:prstGeom>
      </xdr:spPr>
    </xdr:pic>
    <xdr:clientData/>
  </xdr:twoCellAnchor>
  <xdr:twoCellAnchor editAs="oneCell">
    <xdr:from>
      <xdr:col>1</xdr:col>
      <xdr:colOff>0</xdr:colOff>
      <xdr:row>320</xdr:row>
      <xdr:rowOff>142875</xdr:rowOff>
    </xdr:from>
    <xdr:to>
      <xdr:col>12</xdr:col>
      <xdr:colOff>46677</xdr:colOff>
      <xdr:row>326</xdr:row>
      <xdr:rowOff>133223</xdr:rowOff>
    </xdr:to>
    <xdr:pic>
      <xdr:nvPicPr>
        <xdr:cNvPr id="30" name="图片 29"/>
        <xdr:cNvPicPr>
          <a:picLocks noChangeAspect="1"/>
        </xdr:cNvPicPr>
      </xdr:nvPicPr>
      <xdr:blipFill>
        <a:blip xmlns:r="http://schemas.openxmlformats.org/officeDocument/2006/relationships" r:embed="rId25"/>
        <a:stretch>
          <a:fillRect/>
        </a:stretch>
      </xdr:blipFill>
      <xdr:spPr>
        <a:xfrm>
          <a:off x="685800" y="55006875"/>
          <a:ext cx="7590477" cy="1019048"/>
        </a:xfrm>
        <a:prstGeom prst="rect">
          <a:avLst/>
        </a:prstGeom>
      </xdr:spPr>
    </xdr:pic>
    <xdr:clientData/>
  </xdr:twoCellAnchor>
  <xdr:twoCellAnchor editAs="oneCell">
    <xdr:from>
      <xdr:col>1</xdr:col>
      <xdr:colOff>76200</xdr:colOff>
      <xdr:row>327</xdr:row>
      <xdr:rowOff>57150</xdr:rowOff>
    </xdr:from>
    <xdr:to>
      <xdr:col>15</xdr:col>
      <xdr:colOff>161925</xdr:colOff>
      <xdr:row>332</xdr:row>
      <xdr:rowOff>2367</xdr:rowOff>
    </xdr:to>
    <xdr:pic>
      <xdr:nvPicPr>
        <xdr:cNvPr id="31" name="图片 30"/>
        <xdr:cNvPicPr>
          <a:picLocks noChangeAspect="1"/>
        </xdr:cNvPicPr>
      </xdr:nvPicPr>
      <xdr:blipFill>
        <a:blip xmlns:r="http://schemas.openxmlformats.org/officeDocument/2006/relationships" r:embed="rId26"/>
        <a:stretch>
          <a:fillRect/>
        </a:stretch>
      </xdr:blipFill>
      <xdr:spPr>
        <a:xfrm>
          <a:off x="762000" y="56121300"/>
          <a:ext cx="9686925" cy="802467"/>
        </a:xfrm>
        <a:prstGeom prst="rect">
          <a:avLst/>
        </a:prstGeom>
      </xdr:spPr>
    </xdr:pic>
    <xdr:clientData/>
  </xdr:twoCellAnchor>
  <xdr:twoCellAnchor editAs="oneCell">
    <xdr:from>
      <xdr:col>1</xdr:col>
      <xdr:colOff>95250</xdr:colOff>
      <xdr:row>332</xdr:row>
      <xdr:rowOff>9525</xdr:rowOff>
    </xdr:from>
    <xdr:to>
      <xdr:col>12</xdr:col>
      <xdr:colOff>599070</xdr:colOff>
      <xdr:row>343</xdr:row>
      <xdr:rowOff>95004</xdr:rowOff>
    </xdr:to>
    <xdr:pic>
      <xdr:nvPicPr>
        <xdr:cNvPr id="32" name="图片 31"/>
        <xdr:cNvPicPr>
          <a:picLocks noChangeAspect="1"/>
        </xdr:cNvPicPr>
      </xdr:nvPicPr>
      <xdr:blipFill>
        <a:blip xmlns:r="http://schemas.openxmlformats.org/officeDocument/2006/relationships" r:embed="rId27"/>
        <a:stretch>
          <a:fillRect/>
        </a:stretch>
      </xdr:blipFill>
      <xdr:spPr>
        <a:xfrm>
          <a:off x="781050" y="56930925"/>
          <a:ext cx="8047620" cy="1971429"/>
        </a:xfrm>
        <a:prstGeom prst="rect">
          <a:avLst/>
        </a:prstGeom>
      </xdr:spPr>
    </xdr:pic>
    <xdr:clientData/>
  </xdr:twoCellAnchor>
  <xdr:twoCellAnchor editAs="oneCell">
    <xdr:from>
      <xdr:col>1</xdr:col>
      <xdr:colOff>9525</xdr:colOff>
      <xdr:row>344</xdr:row>
      <xdr:rowOff>9525</xdr:rowOff>
    </xdr:from>
    <xdr:to>
      <xdr:col>17</xdr:col>
      <xdr:colOff>341488</xdr:colOff>
      <xdr:row>350</xdr:row>
      <xdr:rowOff>47492</xdr:rowOff>
    </xdr:to>
    <xdr:pic>
      <xdr:nvPicPr>
        <xdr:cNvPr id="33" name="图片 32"/>
        <xdr:cNvPicPr>
          <a:picLocks noChangeAspect="1"/>
        </xdr:cNvPicPr>
      </xdr:nvPicPr>
      <xdr:blipFill>
        <a:blip xmlns:r="http://schemas.openxmlformats.org/officeDocument/2006/relationships" r:embed="rId28"/>
        <a:stretch>
          <a:fillRect/>
        </a:stretch>
      </xdr:blipFill>
      <xdr:spPr>
        <a:xfrm>
          <a:off x="695325" y="58988325"/>
          <a:ext cx="11304763" cy="1066667"/>
        </a:xfrm>
        <a:prstGeom prst="rect">
          <a:avLst/>
        </a:prstGeom>
      </xdr:spPr>
    </xdr:pic>
    <xdr:clientData/>
  </xdr:twoCellAnchor>
  <xdr:twoCellAnchor editAs="oneCell">
    <xdr:from>
      <xdr:col>1</xdr:col>
      <xdr:colOff>0</xdr:colOff>
      <xdr:row>352</xdr:row>
      <xdr:rowOff>0</xdr:rowOff>
    </xdr:from>
    <xdr:to>
      <xdr:col>14</xdr:col>
      <xdr:colOff>246505</xdr:colOff>
      <xdr:row>375</xdr:row>
      <xdr:rowOff>132841</xdr:rowOff>
    </xdr:to>
    <xdr:pic>
      <xdr:nvPicPr>
        <xdr:cNvPr id="34" name="图片 33"/>
        <xdr:cNvPicPr>
          <a:picLocks noChangeAspect="1"/>
        </xdr:cNvPicPr>
      </xdr:nvPicPr>
      <xdr:blipFill>
        <a:blip xmlns:r="http://schemas.openxmlformats.org/officeDocument/2006/relationships" r:embed="rId29"/>
        <a:stretch>
          <a:fillRect/>
        </a:stretch>
      </xdr:blipFill>
      <xdr:spPr>
        <a:xfrm>
          <a:off x="685800" y="60350400"/>
          <a:ext cx="9161905" cy="4076191"/>
        </a:xfrm>
        <a:prstGeom prst="rect">
          <a:avLst/>
        </a:prstGeom>
      </xdr:spPr>
    </xdr:pic>
    <xdr:clientData/>
  </xdr:twoCellAnchor>
  <xdr:twoCellAnchor editAs="oneCell">
    <xdr:from>
      <xdr:col>1</xdr:col>
      <xdr:colOff>0</xdr:colOff>
      <xdr:row>376</xdr:row>
      <xdr:rowOff>0</xdr:rowOff>
    </xdr:from>
    <xdr:to>
      <xdr:col>14</xdr:col>
      <xdr:colOff>217934</xdr:colOff>
      <xdr:row>391</xdr:row>
      <xdr:rowOff>56822</xdr:rowOff>
    </xdr:to>
    <xdr:pic>
      <xdr:nvPicPr>
        <xdr:cNvPr id="35" name="图片 34"/>
        <xdr:cNvPicPr>
          <a:picLocks noChangeAspect="1"/>
        </xdr:cNvPicPr>
      </xdr:nvPicPr>
      <xdr:blipFill>
        <a:blip xmlns:r="http://schemas.openxmlformats.org/officeDocument/2006/relationships" r:embed="rId30"/>
        <a:stretch>
          <a:fillRect/>
        </a:stretch>
      </xdr:blipFill>
      <xdr:spPr>
        <a:xfrm>
          <a:off x="685800" y="64465200"/>
          <a:ext cx="9133334" cy="2628572"/>
        </a:xfrm>
        <a:prstGeom prst="rect">
          <a:avLst/>
        </a:prstGeom>
      </xdr:spPr>
    </xdr:pic>
    <xdr:clientData/>
  </xdr:twoCellAnchor>
  <xdr:twoCellAnchor editAs="oneCell">
    <xdr:from>
      <xdr:col>0</xdr:col>
      <xdr:colOff>638175</xdr:colOff>
      <xdr:row>221</xdr:row>
      <xdr:rowOff>9525</xdr:rowOff>
    </xdr:from>
    <xdr:to>
      <xdr:col>9</xdr:col>
      <xdr:colOff>76200</xdr:colOff>
      <xdr:row>248</xdr:row>
      <xdr:rowOff>90599</xdr:rowOff>
    </xdr:to>
    <xdr:pic>
      <xdr:nvPicPr>
        <xdr:cNvPr id="24" name="图片 23"/>
        <xdr:cNvPicPr>
          <a:picLocks noChangeAspect="1"/>
        </xdr:cNvPicPr>
      </xdr:nvPicPr>
      <xdr:blipFill>
        <a:blip xmlns:r="http://schemas.openxmlformats.org/officeDocument/2006/relationships" r:embed="rId31"/>
        <a:stretch>
          <a:fillRect/>
        </a:stretch>
      </xdr:blipFill>
      <xdr:spPr>
        <a:xfrm>
          <a:off x="638175" y="37899975"/>
          <a:ext cx="5610225" cy="47102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北京市丰台区汽车博物馆西路8号院1、2、3号楼、4幢房地产抵押价值预评估</v>
      </c>
    </row>
    <row r="3" spans="1:2" s="1589" customFormat="1">
      <c r="A3" s="1587" t="s">
        <v>1221</v>
      </c>
      <c r="B3" s="1588" t="str">
        <f>'预评函-封皮'!B40</f>
        <v>大业信托有限责任公司</v>
      </c>
    </row>
    <row r="4" spans="1:2" s="1589" customFormat="1">
      <c r="A4" s="1587" t="s">
        <v>1222</v>
      </c>
      <c r="B4" s="1588" t="str">
        <f ca="1">'预评函-封皮'!B46</f>
        <v>王鹏（注册号：1120050019)、崔锴（注册号：1120100036)</v>
      </c>
    </row>
    <row r="5" spans="1:2" s="1583" customFormat="1" ht="15" thickBot="1">
      <c r="A5" s="1590" t="s">
        <v>1223</v>
      </c>
      <c r="B5" s="1591" t="str">
        <f>'预评函-封皮'!B49</f>
        <v>康正预评字2018-1-0623-P02DYGJ1号</v>
      </c>
    </row>
    <row r="6" spans="1:2" s="1586" customFormat="1" ht="15" thickTop="1">
      <c r="A6" s="1584" t="s">
        <v>1224</v>
      </c>
      <c r="B6" s="1585" t="str">
        <f>'预评函-1'!A4</f>
        <v>受贵公司委托，我公司对北京市丰台区汽车博物馆西路8号院1、2、3号楼、4幢房地产抵押价值进行了预评估。</v>
      </c>
    </row>
    <row r="7" spans="1:2" s="1589" customFormat="1">
      <c r="A7" s="1587" t="s">
        <v>1264</v>
      </c>
      <c r="B7" s="1588" t="str">
        <f>'预评函-1'!A7</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2018年8月30日（评估专业人员实地查勘之日）</v>
      </c>
    </row>
    <row r="13" spans="1:2" s="1589" customFormat="1">
      <c r="A13" s="1587" t="s">
        <v>1227</v>
      </c>
      <c r="B13" s="1588" t="str">
        <f>'预评函-1'!A18</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4" spans="1:2" s="1589" customFormat="1">
      <c r="A14" s="1587" t="s">
        <v>1228</v>
      </c>
      <c r="B14" s="1588" t="str">
        <f>'预评函-1'!A19</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本次评估采用的主估价方法为基准地价系数修正法和基准地价系数修正法。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59487</v>
      </c>
    </row>
    <row r="21" spans="1:2" s="1589" customFormat="1">
      <c r="A21" s="1587" t="s">
        <v>1235</v>
      </c>
      <c r="B21" s="1588">
        <f ca="1">'预评函-2'!D7</f>
        <v>17411</v>
      </c>
    </row>
    <row r="22" spans="1:2" s="1589" customFormat="1">
      <c r="A22" s="1587" t="s">
        <v>1236</v>
      </c>
      <c r="B22" s="1588" t="str">
        <f ca="1">'预评函-2'!D6</f>
        <v>伍亿玖仟肆佰捌拾柒万元整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59487</v>
      </c>
    </row>
    <row r="31" spans="1:2" s="1589" customFormat="1">
      <c r="A31" s="1587" t="s">
        <v>1274</v>
      </c>
      <c r="B31" s="1588">
        <f ca="1">'预评函-2'!D15</f>
        <v>17411</v>
      </c>
    </row>
    <row r="32" spans="1:2" s="1589" customFormat="1">
      <c r="A32" s="1587" t="s">
        <v>1241</v>
      </c>
      <c r="B32" s="1588" t="str">
        <f ca="1">'预评函-2'!D14</f>
        <v>伍亿玖仟肆佰捌拾柒万元整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北京市丰台区汽车博物馆西路8号院1、2、3号楼、4幢房地产</v>
      </c>
    </row>
    <row r="42" spans="1:2" s="1589" customFormat="1">
      <c r="A42" s="1587" t="s">
        <v>1288</v>
      </c>
      <c r="B42" s="1588" t="str">
        <f>'预评函-3'!B2</f>
        <v>建筑面积</v>
      </c>
    </row>
    <row r="43" spans="1:2" s="1589" customFormat="1">
      <c r="A43" s="1587" t="s">
        <v>1289</v>
      </c>
      <c r="B43" s="1588">
        <f>'预评函-3'!B4</f>
        <v>34166.230000000018</v>
      </c>
    </row>
    <row r="44" spans="1:2" s="1589" customFormat="1">
      <c r="A44" s="1587" t="s">
        <v>1273</v>
      </c>
      <c r="B44" s="1588" t="str">
        <f>'预评函-3'!C2</f>
        <v>(分摊)土地面积</v>
      </c>
    </row>
    <row r="45" spans="1:2" s="1589" customFormat="1">
      <c r="A45" s="1587" t="s">
        <v>1245</v>
      </c>
      <c r="B45" s="1588">
        <f>'预评函-3'!C4</f>
        <v>6030.62</v>
      </c>
    </row>
    <row r="46" spans="1:2" s="1589" customFormat="1">
      <c r="A46" s="1587" t="s">
        <v>1271</v>
      </c>
      <c r="B46" s="1588" t="str">
        <f>'预评函-3'!D2</f>
        <v>出让国有建设用地使用权价值</v>
      </c>
    </row>
    <row r="47" spans="1:2" s="1589" customFormat="1">
      <c r="A47" s="1587" t="s">
        <v>1246</v>
      </c>
      <c r="B47" s="1588">
        <f ca="1">'预评函-3'!D4</f>
        <v>48541</v>
      </c>
    </row>
    <row r="48" spans="1:2" s="1589" customFormat="1">
      <c r="A48" s="1587" t="s">
        <v>1247</v>
      </c>
      <c r="B48" s="1588">
        <f ca="1">'预评函-3'!E4</f>
        <v>14207</v>
      </c>
    </row>
    <row r="49" spans="1:2" s="1589" customFormat="1">
      <c r="A49" s="1587" t="s">
        <v>1248</v>
      </c>
      <c r="B49" s="1588" t="str">
        <f ca="1">'预评函-3'!D5</f>
        <v>肆亿捌仟伍佰肆拾壹万元整</v>
      </c>
    </row>
    <row r="50" spans="1:2" s="1589" customFormat="1">
      <c r="A50" s="1587" t="s">
        <v>1272</v>
      </c>
      <c r="B50" s="1588" t="str">
        <f>'预评函-3'!F2</f>
        <v>建筑物价值</v>
      </c>
    </row>
    <row r="51" spans="1:2" s="1589" customFormat="1">
      <c r="A51" s="1587" t="s">
        <v>1249</v>
      </c>
      <c r="B51" s="1588">
        <f ca="1">'预评函-3'!F4</f>
        <v>10946</v>
      </c>
    </row>
    <row r="52" spans="1:2" s="1589" customFormat="1">
      <c r="A52" s="1587" t="s">
        <v>1250</v>
      </c>
      <c r="B52" s="1588">
        <f ca="1">'预评函-3'!G4</f>
        <v>3204</v>
      </c>
    </row>
    <row r="53" spans="1:2" s="1589" customFormat="1">
      <c r="A53" s="1587" t="s">
        <v>1278</v>
      </c>
      <c r="B53" s="1588" t="str">
        <f ca="1">'预评函-3'!F5</f>
        <v>壹亿零玖佰肆拾陆万元整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崔锴</v>
      </c>
    </row>
    <row r="73" spans="1:2" s="1583" customFormat="1" ht="15" thickBot="1">
      <c r="A73" s="1590" t="s">
        <v>1263</v>
      </c>
      <c r="B73" s="1591">
        <f ca="1">'预评函-4'!B5</f>
        <v>1120100036</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3788</v>
      </c>
      <c r="C17" s="2010"/>
    </row>
    <row r="18" spans="1:3">
      <c r="A18" s="2009" t="s">
        <v>1767</v>
      </c>
      <c r="B18" s="2009" t="s">
        <v>3819</v>
      </c>
      <c r="C18" s="2010"/>
    </row>
    <row r="19" spans="1:3">
      <c r="A19" s="2009" t="s">
        <v>1768</v>
      </c>
      <c r="B19" s="2009" t="s">
        <v>3821</v>
      </c>
      <c r="C19" s="2010"/>
    </row>
    <row r="20" spans="1:3">
      <c r="A20" s="2009" t="s">
        <v>1769</v>
      </c>
      <c r="B20" s="2009" t="s">
        <v>3907</v>
      </c>
      <c r="C20" s="2010"/>
    </row>
    <row r="21" spans="1:3">
      <c r="A21" s="2009" t="s">
        <v>1770</v>
      </c>
      <c r="B21" s="2009"/>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72"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72"/>
      <c r="B54" s="2017" t="s">
        <v>864</v>
      </c>
      <c r="C54" s="2014" t="s">
        <v>1281</v>
      </c>
    </row>
    <row r="55" spans="1:4">
      <c r="A55" s="3072"/>
      <c r="B55" s="2017" t="s">
        <v>865</v>
      </c>
      <c r="C55" s="2014" t="s">
        <v>1282</v>
      </c>
    </row>
    <row r="56" spans="1:4">
      <c r="A56" s="3072"/>
      <c r="B56" s="2017" t="s">
        <v>866</v>
      </c>
      <c r="C56" s="2014" t="s">
        <v>1286</v>
      </c>
    </row>
    <row r="57" spans="1:4">
      <c r="A57" s="3072"/>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27" customWidth="1"/>
    <col min="2" max="2" width="12.625" style="2027" customWidth="1"/>
    <col min="3" max="3" width="11.5" style="2027" customWidth="1"/>
    <col min="4" max="4" width="13.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73" t="str">
        <f>IF(B10="北京市","北京市",C10)&amp;F10&amp;IF(结果表!G1="在建","出让国有建设用地使用权及在建建筑物",IF(结果表!G1="土地","出让国有建设用地使用权",))&amp;B9&amp;"预评估"</f>
        <v>北京市丰台区汽车博物馆西路8号院1、2、3号楼、4幢房地产抵押价值预评估</v>
      </c>
      <c r="C1" s="3074"/>
      <c r="D1" s="3074"/>
      <c r="E1" s="3074"/>
      <c r="F1" s="3074"/>
      <c r="G1" s="3074"/>
      <c r="H1" s="3074"/>
      <c r="I1" s="307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北京市丰台区汽车博物馆西路8号院1、2、3号楼、4幢房地产抵押价值</v>
      </c>
    </row>
    <row r="2" spans="1:19" ht="18" customHeight="1">
      <c r="A2" s="2021" t="s">
        <v>1777</v>
      </c>
      <c r="B2" s="1037" t="s">
        <v>3038</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北京市丰台区汽车博物馆西路8号院1、2、3号楼、4幢房地产</v>
      </c>
    </row>
    <row r="3" spans="1:19" ht="18" customHeight="1">
      <c r="A3" s="2030" t="s">
        <v>1778</v>
      </c>
      <c r="B3" s="2031">
        <v>43342</v>
      </c>
      <c r="C3" s="2032" t="s">
        <v>1779</v>
      </c>
      <c r="D3" s="2031">
        <v>43342</v>
      </c>
      <c r="E3" s="2021"/>
      <c r="F3" s="2021"/>
      <c r="G3" s="2021"/>
      <c r="H3" s="2021"/>
      <c r="I3" s="2021"/>
      <c r="J3" s="2021"/>
      <c r="K3" s="2022"/>
      <c r="L3" s="2023"/>
      <c r="M3" s="2023"/>
      <c r="N3" s="2024"/>
      <c r="O3" s="2025"/>
      <c r="P3" s="2024"/>
      <c r="Q3" s="2024"/>
      <c r="R3" s="2024"/>
      <c r="S3" s="2026"/>
    </row>
    <row r="4" spans="1:19" ht="18" customHeight="1" thickBot="1">
      <c r="A4" s="2033" t="s">
        <v>1780</v>
      </c>
      <c r="B4" s="2034" t="s">
        <v>3039</v>
      </c>
      <c r="C4" s="1035">
        <f ca="1">SUMIF(注册房地产估价师,B4,估价师及机构信息!B3:B24)</f>
        <v>1120050019</v>
      </c>
      <c r="D4" s="2034" t="s">
        <v>3040</v>
      </c>
      <c r="E4" s="1036">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王鹏（注册号：1120050019)、崔锴（注册号：1120100036)</v>
      </c>
      <c r="L4" s="2023"/>
      <c r="M4" s="2023"/>
      <c r="N4" s="2024"/>
      <c r="O4" s="2025"/>
      <c r="P4" s="2024"/>
      <c r="Q4" s="2024"/>
      <c r="R4" s="2024"/>
      <c r="S4" s="2026"/>
    </row>
    <row r="5" spans="1:19" ht="18" customHeight="1" thickTop="1">
      <c r="A5" s="2039" t="s">
        <v>1781</v>
      </c>
      <c r="B5" s="2964" t="str">
        <f>B6</f>
        <v>大业信托有限责任公司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65" t="s">
        <v>3864</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64" t="s">
        <v>3710</v>
      </c>
      <c r="C7" s="2043"/>
      <c r="D7" s="2044"/>
      <c r="E7" s="2029"/>
      <c r="F7" s="2037"/>
      <c r="G7" s="2037"/>
      <c r="H7" s="2037"/>
      <c r="I7" s="2037"/>
      <c r="J7" s="2037"/>
      <c r="K7" s="2046"/>
      <c r="L7" s="2023"/>
      <c r="M7" s="2023"/>
      <c r="N7" s="2024"/>
      <c r="O7" s="2025"/>
      <c r="P7" s="2024"/>
      <c r="Q7" s="2024"/>
      <c r="R7" s="2024"/>
    </row>
    <row r="8" spans="1:19" ht="18" customHeight="1">
      <c r="A8" s="2042" t="s">
        <v>1784</v>
      </c>
      <c r="B8" s="2047" t="s">
        <v>3041</v>
      </c>
      <c r="C8" s="2048"/>
      <c r="D8" s="3076" t="s">
        <v>1785</v>
      </c>
      <c r="E8" s="2049" t="s">
        <v>3042</v>
      </c>
      <c r="F8" s="2050"/>
      <c r="G8" s="2021"/>
      <c r="H8" s="2021"/>
      <c r="I8" s="2021"/>
      <c r="J8" s="2037"/>
      <c r="K8" s="2038"/>
      <c r="L8" s="2023"/>
      <c r="M8" s="2023"/>
      <c r="N8" s="2024"/>
      <c r="O8" s="2025"/>
      <c r="P8" s="2024"/>
      <c r="Q8" s="2024"/>
      <c r="R8" s="2024"/>
    </row>
    <row r="9" spans="1:19" ht="18" customHeight="1" thickBot="1">
      <c r="A9" s="2035" t="s">
        <v>1786</v>
      </c>
      <c r="B9" s="2051" t="s">
        <v>3042</v>
      </c>
      <c r="C9" s="2052"/>
      <c r="D9" s="3077"/>
      <c r="E9" s="2051" t="s">
        <v>70</v>
      </c>
      <c r="F9" s="2053"/>
      <c r="G9" s="2054"/>
      <c r="H9" s="2054"/>
      <c r="I9" s="2054"/>
      <c r="J9" s="2037"/>
      <c r="K9" s="2046"/>
      <c r="L9" s="2023"/>
      <c r="M9" s="2023"/>
      <c r="N9" s="2024"/>
      <c r="O9" s="2025"/>
      <c r="P9" s="2024"/>
      <c r="Q9" s="2024"/>
      <c r="R9" s="2024"/>
    </row>
    <row r="10" spans="1:19" ht="18" customHeight="1" thickTop="1">
      <c r="A10" s="2055" t="s">
        <v>1787</v>
      </c>
      <c r="B10" s="2056" t="s">
        <v>3043</v>
      </c>
      <c r="C10" s="2057"/>
      <c r="D10" s="2041"/>
      <c r="E10" s="2058" t="s">
        <v>1788</v>
      </c>
      <c r="F10" s="2059" t="s">
        <v>3865</v>
      </c>
      <c r="G10" s="2060"/>
      <c r="H10" s="2061"/>
      <c r="I10" s="2041"/>
      <c r="J10" s="2037"/>
      <c r="K10" s="2046"/>
      <c r="L10" s="2023"/>
      <c r="M10" s="2023"/>
      <c r="N10" s="2024"/>
      <c r="O10" s="2025"/>
      <c r="P10" s="2024"/>
      <c r="Q10" s="2024"/>
      <c r="R10" s="2024"/>
    </row>
    <row r="11" spans="1:19" ht="18" customHeight="1">
      <c r="A11" s="2062" t="s">
        <v>1789</v>
      </c>
      <c r="B11" s="2063" t="s">
        <v>3044</v>
      </c>
      <c r="C11" s="2064"/>
      <c r="D11" s="2065"/>
      <c r="E11" s="2037"/>
      <c r="F11" s="2037"/>
      <c r="G11" s="2037"/>
      <c r="H11" s="2037"/>
      <c r="I11" s="2037"/>
      <c r="J11" s="2037"/>
      <c r="K11" s="2046"/>
      <c r="L11" s="2023"/>
      <c r="M11" s="2023"/>
      <c r="N11" s="2024"/>
      <c r="O11" s="2025"/>
      <c r="P11" s="2024"/>
      <c r="Q11" s="2024"/>
      <c r="R11" s="2024"/>
    </row>
    <row r="12" spans="1:19" ht="18" customHeight="1">
      <c r="A12" s="2066" t="s">
        <v>1790</v>
      </c>
      <c r="B12" s="2063" t="s">
        <v>3045</v>
      </c>
      <c r="C12" s="2067" t="s">
        <v>1791</v>
      </c>
      <c r="D12" s="2068" t="s">
        <v>1792</v>
      </c>
      <c r="E12" s="2068" t="s">
        <v>1793</v>
      </c>
      <c r="F12" s="2068" t="s">
        <v>1794</v>
      </c>
      <c r="G12" s="2068" t="s">
        <v>1795</v>
      </c>
      <c r="H12" s="2068" t="s">
        <v>1796</v>
      </c>
      <c r="I12" s="2068" t="s">
        <v>1797</v>
      </c>
      <c r="J12" s="2037"/>
      <c r="K12" s="2046"/>
      <c r="L12" s="2023"/>
      <c r="M12" s="2023"/>
      <c r="N12" s="2024"/>
      <c r="O12" s="2025"/>
      <c r="P12" s="2024"/>
      <c r="Q12" s="2024"/>
      <c r="R12" s="2024"/>
    </row>
    <row r="13" spans="1:19" ht="18" customHeight="1">
      <c r="A13" s="2069"/>
      <c r="B13" s="2070"/>
      <c r="C13" s="2071" t="s">
        <v>1798</v>
      </c>
      <c r="D13" s="2072"/>
      <c r="E13" s="2072">
        <v>55369</v>
      </c>
      <c r="F13" s="2072">
        <v>59022</v>
      </c>
      <c r="G13" s="2072">
        <f>F13</f>
        <v>59022</v>
      </c>
      <c r="H13" s="2072">
        <f>F13</f>
        <v>59022</v>
      </c>
      <c r="I13" s="1045"/>
      <c r="J13" s="2037"/>
      <c r="K13" s="2046"/>
      <c r="L13" s="2023"/>
      <c r="M13" s="2023"/>
      <c r="N13" s="2024"/>
      <c r="O13" s="2025"/>
      <c r="P13" s="2024"/>
      <c r="Q13" s="2024"/>
      <c r="R13" s="2024"/>
    </row>
    <row r="14" spans="1:19" ht="18" customHeight="1">
      <c r="A14" s="2069"/>
      <c r="B14" s="2070"/>
      <c r="C14" s="2071" t="s">
        <v>1799</v>
      </c>
      <c r="D14" s="1048"/>
      <c r="E14" s="1048">
        <v>40</v>
      </c>
      <c r="F14" s="1048">
        <v>50</v>
      </c>
      <c r="G14" s="1048">
        <v>50</v>
      </c>
      <c r="H14" s="1048">
        <v>50</v>
      </c>
      <c r="I14" s="1048"/>
      <c r="J14" s="2037"/>
      <c r="K14" s="2073"/>
      <c r="L14" s="2023"/>
      <c r="M14" s="2023"/>
      <c r="N14" s="2024"/>
      <c r="O14" s="2025"/>
      <c r="P14" s="2024"/>
      <c r="Q14" s="2024"/>
      <c r="R14" s="2024"/>
    </row>
    <row r="15" spans="1:19" ht="18" customHeight="1">
      <c r="A15" s="2055"/>
      <c r="B15" s="2074"/>
      <c r="C15" s="2071" t="s">
        <v>1800</v>
      </c>
      <c r="D15" s="1047" t="str">
        <f>IF(B12="出让",IF(D13="","",ROUNDDOWN(MIN((D13-$D$3)/365,D14),2)),D14)</f>
        <v/>
      </c>
      <c r="E15" s="1047">
        <f>IF(B12="出让",IF(E13="","",ROUNDDOWN(MIN((E13-$D$3)/365,E14),2)),E14)</f>
        <v>32.950000000000003</v>
      </c>
      <c r="F15" s="1047">
        <f>IF(B12="出让",IF(F13="","",ROUNDDOWN(MIN((F13-$D$3)/365,F14),2)),F14)</f>
        <v>42.95</v>
      </c>
      <c r="G15" s="1047">
        <f>IF(B12="出让",IF(G13="","",ROUNDDOWN(MIN((G13-$D$3)/365,G14),2)),G14)</f>
        <v>42.95</v>
      </c>
      <c r="H15" s="1047">
        <f>IF(B12="出让",IF(H13="","",ROUNDDOWN(MIN((H13-$D$3)/365,H14),2)),H14)</f>
        <v>42.95</v>
      </c>
      <c r="I15" s="1047" t="str">
        <f>IF(B12="出让",IF(I13="","",ROUNDDOWN(MIN((I13-$D$3)/365,I14),2)),I14)</f>
        <v/>
      </c>
      <c r="J15" s="2037"/>
      <c r="K15" s="2075"/>
      <c r="L15" s="2076"/>
      <c r="M15" s="2076"/>
      <c r="N15" s="2077"/>
      <c r="O15" s="2076"/>
      <c r="P15" s="2077"/>
      <c r="Q15" s="2024"/>
      <c r="R15" s="2024"/>
    </row>
    <row r="16" spans="1:19" ht="30.75" customHeight="1">
      <c r="A16" s="2058" t="s">
        <v>1801</v>
      </c>
      <c r="B16" s="3083" t="s">
        <v>3046</v>
      </c>
      <c r="C16" s="3084"/>
      <c r="D16" s="3085"/>
      <c r="E16" s="2078" t="s">
        <v>1802</v>
      </c>
      <c r="F16" s="3086" t="s">
        <v>3881</v>
      </c>
      <c r="G16" s="3087"/>
      <c r="H16" s="3087"/>
      <c r="I16" s="3088"/>
      <c r="J16" s="2024"/>
      <c r="K16" s="2075"/>
      <c r="L16" s="2076"/>
      <c r="M16" s="2076"/>
      <c r="N16" s="2077"/>
      <c r="O16" s="2076"/>
      <c r="P16" s="2077"/>
      <c r="Q16" s="2024"/>
      <c r="R16" s="2024"/>
    </row>
    <row r="17" spans="1:22" ht="18" customHeight="1">
      <c r="A17" s="2079" t="s">
        <v>1803</v>
      </c>
      <c r="B17" s="2030" t="s">
        <v>1804</v>
      </c>
      <c r="C17" s="1052">
        <f>'数据-汇总表'!E3</f>
        <v>34166.230000000018</v>
      </c>
      <c r="D17" s="2080" t="s">
        <v>1805</v>
      </c>
      <c r="E17" s="3089" t="s">
        <v>3047</v>
      </c>
      <c r="F17" s="3090"/>
      <c r="G17" s="3090"/>
      <c r="H17" s="3090"/>
      <c r="I17" s="3091"/>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6030.62</v>
      </c>
      <c r="D18" s="2083" t="s">
        <v>1805</v>
      </c>
      <c r="E18" s="3092" t="s">
        <v>3048</v>
      </c>
      <c r="F18" s="3093"/>
      <c r="G18" s="3093"/>
      <c r="H18" s="3093"/>
      <c r="I18" s="3094"/>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3049</v>
      </c>
      <c r="D19" s="2085" t="s">
        <v>1810</v>
      </c>
      <c r="E19" s="2086"/>
      <c r="F19" s="2087" t="str">
        <f>IF(AND(C19="是",E19="否"),"是否提供他项权证或相关说明","")</f>
        <v/>
      </c>
      <c r="G19" s="2088"/>
      <c r="H19" s="2037"/>
      <c r="I19" s="2037"/>
      <c r="J19" s="2037"/>
      <c r="K19" s="2046"/>
      <c r="L19" s="2023"/>
      <c r="M19" s="2023"/>
      <c r="N19" s="2077"/>
      <c r="O19" s="2076"/>
      <c r="P19" s="2077"/>
      <c r="Q19" s="2024"/>
      <c r="R19" s="2024"/>
      <c r="S19" s="2024"/>
      <c r="T19" s="2024"/>
      <c r="U19" s="2024"/>
      <c r="V19" s="2024"/>
    </row>
    <row r="20" spans="1:22" ht="18" customHeight="1">
      <c r="A20" s="2089" t="s">
        <v>1811</v>
      </c>
      <c r="B20" s="3079" t="s">
        <v>1812</v>
      </c>
      <c r="C20" s="3080"/>
      <c r="D20" s="3081" t="s">
        <v>1813</v>
      </c>
      <c r="E20" s="3082"/>
      <c r="F20" s="2090" t="s">
        <v>1814</v>
      </c>
      <c r="G20" s="2037"/>
      <c r="H20" s="2037"/>
      <c r="I20" s="2037"/>
      <c r="J20" s="2037"/>
      <c r="K20" s="3078" t="s">
        <v>1815</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3"/>
      <c r="N20" s="2077"/>
      <c r="O20" s="2076"/>
      <c r="P20" s="2077"/>
      <c r="Q20" s="2024"/>
      <c r="R20" s="2024"/>
      <c r="S20" s="2024"/>
      <c r="T20" s="2024"/>
      <c r="U20" s="2024"/>
      <c r="V20" s="2024"/>
    </row>
    <row r="21" spans="1:22" ht="24.75" customHeight="1">
      <c r="A21" s="2089"/>
      <c r="B21" s="2091" t="s">
        <v>1816</v>
      </c>
      <c r="C21" s="2092" t="s">
        <v>1817</v>
      </c>
      <c r="D21" s="2093" t="s">
        <v>1818</v>
      </c>
      <c r="E21" s="2094" t="s">
        <v>70</v>
      </c>
      <c r="F21" s="2095"/>
      <c r="G21" s="2037"/>
      <c r="H21" s="2037"/>
      <c r="I21" s="2037"/>
      <c r="J21" s="2037"/>
      <c r="K21" s="307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1819</v>
      </c>
      <c r="C22" s="2092" t="s">
        <v>70</v>
      </c>
      <c r="D22" s="2021"/>
      <c r="E22" s="2021"/>
      <c r="F22" s="2097"/>
      <c r="G22" s="2037"/>
      <c r="H22" s="2037"/>
      <c r="I22" s="2037"/>
      <c r="J22" s="2037"/>
      <c r="K22" s="307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6"/>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4"/>
      <c r="H26" s="2054"/>
      <c r="I26" s="2054"/>
      <c r="J26" s="2037"/>
      <c r="K26" s="2046"/>
      <c r="L26" s="2023"/>
      <c r="M26" s="2023"/>
      <c r="N26" s="2077"/>
      <c r="O26" s="2076"/>
      <c r="P26" s="2077"/>
      <c r="Q26" s="2024"/>
      <c r="R26" s="2024"/>
      <c r="S26" s="2024"/>
      <c r="T26" s="2024"/>
      <c r="U26" s="2024"/>
      <c r="V26" s="2024"/>
    </row>
    <row r="27" spans="1:22" ht="18" customHeight="1" thickTop="1">
      <c r="A27" s="3096" t="s">
        <v>1826</v>
      </c>
      <c r="B27" s="2055" t="s">
        <v>1827</v>
      </c>
      <c r="C27" s="2112" t="s">
        <v>3050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96"/>
      <c r="B28" s="2030" t="s">
        <v>1828</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96"/>
      <c r="B29" s="2030" t="s">
        <v>1829</v>
      </c>
      <c r="C29" s="2117" t="s">
        <v>3049</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97"/>
      <c r="B30" s="2030" t="s">
        <v>1830</v>
      </c>
      <c r="C30" s="3098"/>
      <c r="D30" s="3099"/>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100" t="s">
        <v>1831</v>
      </c>
      <c r="B31" s="2119" t="s">
        <v>3051</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101"/>
      <c r="B32" s="2119"/>
      <c r="C32" s="2120" t="str">
        <f>IF(B32="现房","成新及维护状况是否正常",IF(B32="在建","工程状态是否正常",IF(B32="土地","是否闲置","-")))</f>
        <v>-</v>
      </c>
      <c r="D32" s="2121"/>
      <c r="E32" s="2122"/>
      <c r="F32" s="2037"/>
      <c r="G32" s="2037"/>
      <c r="H32" s="2037"/>
      <c r="I32" s="2037"/>
      <c r="J32" s="2037"/>
      <c r="K32" s="2046"/>
      <c r="L32" s="2023"/>
      <c r="M32" s="2023"/>
      <c r="N32" s="2024"/>
      <c r="O32" s="2025"/>
      <c r="P32" s="2024"/>
      <c r="Q32" s="2024"/>
      <c r="R32" s="2024"/>
      <c r="S32" s="2024"/>
      <c r="T32" s="2024"/>
      <c r="U32" s="2024"/>
      <c r="V32" s="2024"/>
    </row>
    <row r="33" spans="1:22" ht="18" customHeight="1">
      <c r="A33" s="3101"/>
      <c r="B33" s="2123"/>
      <c r="C33" s="2062" t="str">
        <f>IF(B33="现房","成新及维护状况是否正常",IF(B33="在建","工程状态是否正常",IF(B33="土地","是否闲置","-")))</f>
        <v>-</v>
      </c>
      <c r="D33" s="2124"/>
      <c r="E33" s="2125"/>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1832</v>
      </c>
      <c r="B34" s="2126" t="s">
        <v>3052</v>
      </c>
      <c r="C34" s="2126" t="s">
        <v>3053</v>
      </c>
      <c r="D34" s="2126" t="s">
        <v>3053</v>
      </c>
      <c r="E34" s="2126" t="s">
        <v>3054</v>
      </c>
      <c r="F34" s="2126" t="s">
        <v>3055</v>
      </c>
      <c r="G34" s="2126" t="s">
        <v>3056</v>
      </c>
      <c r="H34" s="2126" t="s">
        <v>70</v>
      </c>
      <c r="I34" s="2037"/>
      <c r="J34" s="2037"/>
      <c r="K34" s="1790">
        <f>COUNTIF(B34:H34,"——")</f>
        <v>1</v>
      </c>
      <c r="L34" s="2067" t="s">
        <v>1833</v>
      </c>
      <c r="M34" s="2067" t="s">
        <v>1834</v>
      </c>
      <c r="N34" s="2067" t="s">
        <v>1835</v>
      </c>
      <c r="O34" s="2067" t="s">
        <v>1836</v>
      </c>
      <c r="P34" s="2067" t="s">
        <v>1837</v>
      </c>
      <c r="Q34" s="2067" t="s">
        <v>1838</v>
      </c>
      <c r="R34" s="2067" t="s">
        <v>1839</v>
      </c>
      <c r="S34" s="3095" t="s">
        <v>1840</v>
      </c>
      <c r="T34" s="2127" t="str">
        <f>NUMBERSTRING(7-K34,1)&amp;"通"</f>
        <v>六通</v>
      </c>
      <c r="U34" s="2024"/>
      <c r="V34" s="2024"/>
    </row>
    <row r="35" spans="1:22" ht="18" customHeight="1">
      <c r="A35" s="2128"/>
      <c r="B35" s="3102" t="s">
        <v>1841</v>
      </c>
      <c r="C35" s="3102"/>
      <c r="D35" s="3102"/>
      <c r="E35" s="3102"/>
      <c r="F35" s="2129">
        <f>C10</f>
        <v>0</v>
      </c>
      <c r="G35" s="2037"/>
      <c r="H35" s="2037"/>
      <c r="I35" s="2037"/>
      <c r="J35" s="2037"/>
      <c r="K35" s="2067"/>
      <c r="L35" s="2067"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通路、通电、通电、通上水、通下水、燃气</v>
      </c>
      <c r="R35" s="48" t="str">
        <f>B34&amp;"、"&amp;C34&amp;"、"&amp;D34&amp;"、"&amp;E34&amp;"、"&amp;F34&amp;"、"&amp;G34&amp;"、"&amp;H34</f>
        <v>通路、通电、通电、通上水、通下水、燃气、——</v>
      </c>
      <c r="S35" s="3095"/>
      <c r="T35" s="48" t="str">
        <f>IF(T34="一通",L35,IF(T34="二通",M35,IF(T34="三通",N35,IF(T34="四通",O35,IF(T34="五通",P35,IF(T34="六通",Q35,R35))))))</f>
        <v>通路、通电、通电、通上水、通下水、燃气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6"/>
      <c r="L36" s="2023"/>
      <c r="M36" s="2023"/>
      <c r="N36" s="2024"/>
      <c r="O36" s="2025"/>
      <c r="P36" s="2024"/>
      <c r="Q36" s="2024"/>
      <c r="R36" s="2024"/>
      <c r="S36" s="2024"/>
      <c r="T36" s="2024"/>
      <c r="U36" s="2024"/>
      <c r="V36" s="2024"/>
    </row>
    <row r="37" spans="1:22" ht="18" customHeight="1">
      <c r="A37" s="2132" t="s">
        <v>1846</v>
      </c>
      <c r="B37" s="2133" t="s">
        <v>523</v>
      </c>
      <c r="C37" s="2133" t="s">
        <v>523</v>
      </c>
      <c r="D37" s="2133"/>
      <c r="E37" s="2133"/>
      <c r="F37" s="2131"/>
      <c r="G37" s="2037"/>
      <c r="H37" s="2037"/>
      <c r="I37" s="2037"/>
      <c r="J37" s="2037"/>
      <c r="K37" s="2046"/>
      <c r="L37" s="2023"/>
      <c r="M37" s="2023"/>
      <c r="N37" s="2024"/>
      <c r="O37" s="2025"/>
      <c r="P37" s="2024"/>
      <c r="Q37" s="2024"/>
      <c r="R37" s="2024"/>
      <c r="S37" s="2024"/>
      <c r="T37" s="2024"/>
      <c r="U37" s="2024"/>
      <c r="V37" s="2024"/>
    </row>
    <row r="38" spans="1:22" ht="18" customHeight="1" thickBot="1">
      <c r="A38" s="2134" t="s">
        <v>1847</v>
      </c>
      <c r="B38" s="2135" t="s">
        <v>346</v>
      </c>
      <c r="C38" s="2135" t="s">
        <v>346</v>
      </c>
      <c r="D38" s="2135"/>
      <c r="E38" s="2135"/>
      <c r="F38" s="2136"/>
      <c r="G38" s="2054"/>
      <c r="H38" s="2054"/>
      <c r="I38" s="2054"/>
      <c r="J38" s="2037"/>
      <c r="K38" s="2046"/>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1873</v>
      </c>
      <c r="AZ2" s="1266"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面积表!N11</f>
        <v>6030.62</v>
      </c>
      <c r="B3" s="14">
        <f>IF(C3="否",G5-AT5,G5)</f>
        <v>34166.230000000018</v>
      </c>
      <c r="C3" s="2161" t="s">
        <v>3049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1876</v>
      </c>
      <c r="B5" s="1798"/>
      <c r="C5" s="1798"/>
      <c r="D5" s="1801"/>
      <c r="E5" s="16" t="s">
        <v>1</v>
      </c>
      <c r="F5" s="16">
        <f>SUM(F13:F587)</f>
        <v>0</v>
      </c>
      <c r="G5" s="16">
        <f>SUM(G13:G587)</f>
        <v>34166.230000000018</v>
      </c>
      <c r="H5" s="16">
        <f t="shared" ref="H5:AT5" si="0">SUM(H13:H656)</f>
        <v>34166.230000000018</v>
      </c>
      <c r="I5" s="16">
        <f t="shared" si="0"/>
        <v>10514.43</v>
      </c>
      <c r="J5" s="16">
        <f t="shared" si="0"/>
        <v>0</v>
      </c>
      <c r="K5" s="16">
        <f t="shared" si="0"/>
        <v>6351.14</v>
      </c>
      <c r="L5" s="16">
        <f t="shared" si="0"/>
        <v>0</v>
      </c>
      <c r="M5" s="16">
        <f t="shared" si="0"/>
        <v>15254.020000000017</v>
      </c>
      <c r="N5" s="16">
        <f t="shared" si="0"/>
        <v>0</v>
      </c>
      <c r="O5" s="16">
        <f t="shared" si="0"/>
        <v>2046.64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1876</v>
      </c>
      <c r="AW5" s="1798"/>
      <c r="AX5" s="1798"/>
      <c r="AY5" s="17" t="s">
        <v>3</v>
      </c>
      <c r="AZ5" s="18">
        <f t="shared" ref="AZ5:BT5" si="1">SUM(AZ13:AZ656)</f>
        <v>34166.230000000018</v>
      </c>
      <c r="BA5" s="18">
        <f t="shared" si="1"/>
        <v>34166.230000000018</v>
      </c>
      <c r="BB5" s="18">
        <f t="shared" si="1"/>
        <v>10514.43</v>
      </c>
      <c r="BC5" s="18">
        <f t="shared" si="1"/>
        <v>6351.14</v>
      </c>
      <c r="BD5" s="18">
        <f t="shared" si="1"/>
        <v>15254.020000000017</v>
      </c>
      <c r="BE5" s="18">
        <f t="shared" si="1"/>
        <v>2046.64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1877</v>
      </c>
      <c r="B6" s="2167"/>
      <c r="C6" s="2167"/>
      <c r="D6" s="2168"/>
      <c r="E6" s="16">
        <f>H6+AC6+AT6</f>
        <v>6030.62</v>
      </c>
      <c r="F6" s="16" t="s">
        <v>1</v>
      </c>
      <c r="G6" s="16" t="s">
        <v>2</v>
      </c>
      <c r="H6" s="20">
        <f>SUMIF(I$12:AB$12,"总值",I6:AB6)</f>
        <v>6030.62</v>
      </c>
      <c r="I6" s="16">
        <f t="shared" ref="I6:AB6" si="2">ROUND($A$3*I5/$B$3,2)</f>
        <v>1855.88</v>
      </c>
      <c r="J6" s="16">
        <f t="shared" si="2"/>
        <v>0</v>
      </c>
      <c r="K6" s="16">
        <f t="shared" si="2"/>
        <v>1121.03</v>
      </c>
      <c r="L6" s="16">
        <f t="shared" si="2"/>
        <v>0</v>
      </c>
      <c r="M6" s="16">
        <f t="shared" si="2"/>
        <v>2692.46</v>
      </c>
      <c r="N6" s="16">
        <f t="shared" si="2"/>
        <v>0</v>
      </c>
      <c r="O6" s="16">
        <f t="shared" si="2"/>
        <v>361.25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1877</v>
      </c>
      <c r="AW6" s="2167"/>
      <c r="AX6" s="2167"/>
      <c r="AY6" s="21">
        <f>IF(AY3&gt;0,AY3,ROUND($A$3*AZ5/$B$3,2))</f>
        <v>6030.62</v>
      </c>
      <c r="AZ6" s="16" t="s">
        <v>3</v>
      </c>
      <c r="BA6" s="16">
        <f>ROUND($AY$6*BA5/$AZ$5,2)</f>
        <v>6030.62</v>
      </c>
      <c r="BB6" s="16">
        <f>ROUND($AY$6*BB5/$AZ$5,2)</f>
        <v>1855.88</v>
      </c>
      <c r="BC6" s="16">
        <f t="shared" ref="BC6:BH6" si="4">ROUND($AY$6*BC5/$AZ$5,2)</f>
        <v>1121.03</v>
      </c>
      <c r="BD6" s="16">
        <f t="shared" si="4"/>
        <v>2692.46</v>
      </c>
      <c r="BE6" s="16">
        <f t="shared" si="4"/>
        <v>361.25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1878</v>
      </c>
      <c r="B7" s="2102" t="s">
        <v>1879</v>
      </c>
      <c r="C7" s="2102" t="s">
        <v>1880</v>
      </c>
      <c r="D7" s="2102" t="s">
        <v>1881</v>
      </c>
      <c r="E7" s="2102" t="s">
        <v>1882</v>
      </c>
      <c r="F7" s="2102" t="s">
        <v>1883</v>
      </c>
      <c r="G7" s="2171" t="s">
        <v>1884</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1885</v>
      </c>
      <c r="AV7" s="23" t="s">
        <v>1886</v>
      </c>
      <c r="AW7" s="2159" t="s">
        <v>1887</v>
      </c>
      <c r="AX7" s="23" t="s">
        <v>1880</v>
      </c>
      <c r="AY7" s="1798" t="s">
        <v>1888</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1889</v>
      </c>
      <c r="H8" s="2177" t="s">
        <v>1890</v>
      </c>
      <c r="I8" s="2178"/>
      <c r="J8" s="1813"/>
      <c r="K8" s="1813"/>
      <c r="L8" s="1813"/>
      <c r="M8" s="1813"/>
      <c r="N8" s="1813"/>
      <c r="O8" s="1813"/>
      <c r="P8" s="1813"/>
      <c r="Q8" s="1813"/>
      <c r="R8" s="1813"/>
      <c r="S8" s="1813"/>
      <c r="T8" s="1813"/>
      <c r="U8" s="1813"/>
      <c r="V8" s="2179"/>
      <c r="W8" s="1813"/>
      <c r="X8" s="1813"/>
      <c r="Y8" s="1813"/>
      <c r="Z8" s="1813"/>
      <c r="AA8" s="2179"/>
      <c r="AB8" s="2180"/>
      <c r="AC8" s="979" t="s">
        <v>1891</v>
      </c>
      <c r="AD8" s="2181"/>
      <c r="AE8" s="2173"/>
      <c r="AF8" s="1813"/>
      <c r="AG8" s="1813"/>
      <c r="AH8" s="1813"/>
      <c r="AI8" s="1813"/>
      <c r="AJ8" s="1813"/>
      <c r="AK8" s="1813"/>
      <c r="AL8" s="1813"/>
      <c r="AM8" s="1813"/>
      <c r="AN8" s="1813"/>
      <c r="AO8" s="1813"/>
      <c r="AP8" s="1813"/>
      <c r="AQ8" s="1813"/>
      <c r="AR8" s="1813"/>
      <c r="AS8" s="1813"/>
      <c r="AT8" s="1288" t="s">
        <v>1892</v>
      </c>
      <c r="AU8" s="2175" t="s">
        <v>1893</v>
      </c>
      <c r="AV8" s="1288"/>
      <c r="AW8" s="2158"/>
      <c r="AX8" s="1288"/>
      <c r="AY8" s="2159" t="s">
        <v>1894</v>
      </c>
      <c r="AZ8" s="1812" t="s">
        <v>1895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1896</v>
      </c>
      <c r="I9" s="2184" t="s">
        <v>3708</v>
      </c>
      <c r="J9" s="979"/>
      <c r="K9" s="2184" t="s">
        <v>3711</v>
      </c>
      <c r="L9" s="979"/>
      <c r="M9" s="2184" t="s">
        <v>3711</v>
      </c>
      <c r="N9" s="979"/>
      <c r="O9" s="2184" t="s">
        <v>3711</v>
      </c>
      <c r="P9" s="979"/>
      <c r="Q9" s="2184"/>
      <c r="R9" s="979"/>
      <c r="S9" s="2184"/>
      <c r="T9" s="979"/>
      <c r="U9" s="2184"/>
      <c r="V9" s="979"/>
      <c r="W9" s="2184"/>
      <c r="X9" s="2185"/>
      <c r="Y9" s="2184"/>
      <c r="Z9" s="979"/>
      <c r="AA9" s="2184"/>
      <c r="AB9" s="979"/>
      <c r="AC9" s="2176" t="s">
        <v>1896</v>
      </c>
      <c r="AD9" s="15" t="s">
        <v>1897</v>
      </c>
      <c r="AE9" s="1294"/>
      <c r="AF9" s="15" t="s">
        <v>1898</v>
      </c>
      <c r="AG9" s="1294"/>
      <c r="AH9" s="15" t="s">
        <v>1897</v>
      </c>
      <c r="AI9" s="1294"/>
      <c r="AJ9" s="15" t="s">
        <v>1898</v>
      </c>
      <c r="AK9" s="1294"/>
      <c r="AL9" s="15" t="s">
        <v>1897</v>
      </c>
      <c r="AM9" s="1294"/>
      <c r="AN9" s="15" t="s">
        <v>1898</v>
      </c>
      <c r="AO9" s="1294"/>
      <c r="AP9" s="15" t="s">
        <v>1897</v>
      </c>
      <c r="AQ9" s="1294"/>
      <c r="AR9" s="15" t="s">
        <v>1898</v>
      </c>
      <c r="AS9" s="2186"/>
      <c r="AT9" s="2175"/>
      <c r="AU9" s="2175" t="s">
        <v>1899</v>
      </c>
      <c r="AV9" s="1288"/>
      <c r="AW9" s="2158"/>
      <c r="AX9" s="1288"/>
      <c r="AY9" s="28"/>
      <c r="AZ9" s="28" t="s">
        <v>1889</v>
      </c>
      <c r="BA9" s="2187" t="s">
        <v>1900</v>
      </c>
      <c r="BB9" s="2188"/>
      <c r="BC9" s="1334"/>
      <c r="BD9" s="1334"/>
      <c r="BE9" s="1334"/>
      <c r="BF9" s="1334"/>
      <c r="BG9" s="1334"/>
      <c r="BH9" s="1334"/>
      <c r="BI9" s="1334"/>
      <c r="BJ9" s="1334"/>
      <c r="BK9" s="2189"/>
      <c r="BL9" s="15" t="s">
        <v>1901</v>
      </c>
      <c r="BM9" s="1813"/>
      <c r="BN9" s="2178"/>
      <c r="BO9" s="1813"/>
      <c r="BP9" s="1813"/>
      <c r="BQ9" s="1813"/>
      <c r="BR9" s="1813"/>
      <c r="BS9" s="1813"/>
      <c r="BT9" s="26"/>
    </row>
    <row r="10" spans="1:72" s="2182" customFormat="1" ht="12.75">
      <c r="A10" s="2175"/>
      <c r="B10" s="2175"/>
      <c r="C10" s="2175"/>
      <c r="D10" s="2175"/>
      <c r="E10" s="2175"/>
      <c r="F10" s="2175"/>
      <c r="G10" s="1288"/>
      <c r="H10" s="28"/>
      <c r="I10" s="2184" t="s">
        <v>1377</v>
      </c>
      <c r="J10" s="979"/>
      <c r="K10" s="2190" t="s">
        <v>1377</v>
      </c>
      <c r="L10" s="979"/>
      <c r="M10" s="2190" t="s">
        <v>3712</v>
      </c>
      <c r="N10" s="979"/>
      <c r="O10" s="2190" t="s">
        <v>3713</v>
      </c>
      <c r="P10" s="979"/>
      <c r="Q10" s="2190"/>
      <c r="R10" s="979"/>
      <c r="S10" s="2190"/>
      <c r="T10" s="979"/>
      <c r="U10" s="2190"/>
      <c r="V10" s="979"/>
      <c r="W10" s="2190"/>
      <c r="X10" s="979"/>
      <c r="Y10" s="2190"/>
      <c r="Z10" s="979"/>
      <c r="AA10" s="2190"/>
      <c r="AB10" s="979"/>
      <c r="AC10" s="1288"/>
      <c r="AD10" s="15" t="s">
        <v>1902</v>
      </c>
      <c r="AE10" s="2191"/>
      <c r="AF10" s="15" t="s">
        <v>1902</v>
      </c>
      <c r="AG10" s="2191"/>
      <c r="AH10" s="15" t="s">
        <v>1903</v>
      </c>
      <c r="AI10" s="2191"/>
      <c r="AJ10" s="15" t="s">
        <v>1903</v>
      </c>
      <c r="AK10" s="2191"/>
      <c r="AL10" s="15" t="s">
        <v>1904</v>
      </c>
      <c r="AM10" s="1294"/>
      <c r="AN10" s="15" t="s">
        <v>1904</v>
      </c>
      <c r="AO10" s="1294"/>
      <c r="AP10" s="15" t="s">
        <v>1905</v>
      </c>
      <c r="AQ10" s="1294"/>
      <c r="AR10" s="15" t="s">
        <v>1905</v>
      </c>
      <c r="AS10" s="1294"/>
      <c r="AT10" s="2175"/>
      <c r="AU10" s="2175"/>
      <c r="AV10" s="1288"/>
      <c r="AW10" s="2158"/>
      <c r="AX10" s="1288"/>
      <c r="AY10" s="28"/>
      <c r="AZ10" s="28"/>
      <c r="BA10" s="2192" t="s">
        <v>1896</v>
      </c>
      <c r="BB10" s="2193" t="str">
        <f>I9</f>
        <v>地上</v>
      </c>
      <c r="BC10" s="29" t="str">
        <f>K9</f>
        <v>地下</v>
      </c>
      <c r="BD10" s="29" t="str">
        <f>M9</f>
        <v>地下</v>
      </c>
      <c r="BE10" s="29" t="str">
        <f>O9</f>
        <v>地下</v>
      </c>
      <c r="BF10" s="29">
        <f>Q9</f>
        <v>0</v>
      </c>
      <c r="BG10" s="29">
        <f>S9</f>
        <v>0</v>
      </c>
      <c r="BH10" s="29">
        <f>U9</f>
        <v>0</v>
      </c>
      <c r="BI10" s="29">
        <f>W9</f>
        <v>0</v>
      </c>
      <c r="BJ10" s="29">
        <f>Y9</f>
        <v>0</v>
      </c>
      <c r="BK10" s="29">
        <f>AA9</f>
        <v>0</v>
      </c>
      <c r="BL10" s="25" t="s">
        <v>1896</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3709</v>
      </c>
      <c r="J11" s="2196"/>
      <c r="K11" s="2195" t="s">
        <v>3709</v>
      </c>
      <c r="L11" s="2196"/>
      <c r="M11" s="2195" t="s">
        <v>3712</v>
      </c>
      <c r="N11" s="2196"/>
      <c r="O11" s="2195" t="s">
        <v>70</v>
      </c>
      <c r="P11" s="2196"/>
      <c r="Q11" s="2195"/>
      <c r="R11" s="2196"/>
      <c r="S11" s="2195"/>
      <c r="T11" s="2196"/>
      <c r="U11" s="2195"/>
      <c r="V11" s="2196"/>
      <c r="W11" s="2195"/>
      <c r="X11" s="2196"/>
      <c r="Y11" s="2195"/>
      <c r="Z11" s="2196"/>
      <c r="AA11" s="2195"/>
      <c r="AB11" s="2196"/>
      <c r="AC11" s="1288"/>
      <c r="AD11" s="2197" t="s">
        <v>1906</v>
      </c>
      <c r="AE11" s="1814"/>
      <c r="AF11" s="2197" t="s">
        <v>1906</v>
      </c>
      <c r="AG11" s="1814"/>
      <c r="AH11" s="2197" t="s">
        <v>1907</v>
      </c>
      <c r="AI11" s="2198"/>
      <c r="AJ11" s="2197" t="s">
        <v>1907</v>
      </c>
      <c r="AK11" s="1814"/>
      <c r="AL11" s="1812"/>
      <c r="AM11" s="1814"/>
      <c r="AN11" s="1812"/>
      <c r="AO11" s="1814"/>
      <c r="AP11" s="1812"/>
      <c r="AQ11" s="1814"/>
      <c r="AR11" s="1812"/>
      <c r="AS11" s="1814"/>
      <c r="AT11" s="2158"/>
      <c r="AU11" s="2175"/>
      <c r="AV11" s="1288"/>
      <c r="AW11" s="2158"/>
      <c r="AX11" s="1288"/>
      <c r="AY11" s="28"/>
      <c r="AZ11" s="28"/>
      <c r="BA11" s="28"/>
      <c r="BB11" s="2180" t="str">
        <f>I10</f>
        <v>商业</v>
      </c>
      <c r="BC11" s="2180" t="str">
        <f>K10</f>
        <v>商业</v>
      </c>
      <c r="BD11" s="2180" t="str">
        <f>M10</f>
        <v>车库</v>
      </c>
      <c r="BE11" s="2180" t="str">
        <f>O10</f>
        <v>仓储</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7" t="s">
        <v>1909</v>
      </c>
      <c r="W12" s="11" t="s">
        <v>1908</v>
      </c>
      <c r="X12" s="11" t="s">
        <v>1909</v>
      </c>
      <c r="Y12" s="11" t="s">
        <v>1908</v>
      </c>
      <c r="Z12" s="11" t="s">
        <v>1909</v>
      </c>
      <c r="AA12" s="11" t="s">
        <v>1908</v>
      </c>
      <c r="AB12" s="11" t="s">
        <v>1909</v>
      </c>
      <c r="AC12" s="2202"/>
      <c r="AD12" s="180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0" t="s">
        <v>1909</v>
      </c>
      <c r="AT12" s="2203"/>
      <c r="AU12" s="2200"/>
      <c r="AV12" s="31"/>
      <c r="AW12" s="2159"/>
      <c r="AX12" s="31"/>
      <c r="AY12" s="2204"/>
      <c r="AZ12" s="28"/>
      <c r="BA12" s="2192"/>
      <c r="BB12" s="24" t="str">
        <f>I11</f>
        <v>底商</v>
      </c>
      <c r="BC12" s="2205" t="str">
        <f>K11</f>
        <v>底商</v>
      </c>
      <c r="BD12" s="2205" t="str">
        <f>M11</f>
        <v>车库</v>
      </c>
      <c r="BE12" s="2180" t="str">
        <f>O11</f>
        <v>——</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1268" t="s">
        <v>3057</v>
      </c>
      <c r="D13" s="2206" t="s">
        <v>3707</v>
      </c>
      <c r="E13" s="16">
        <f>IF($C$3="是",ROUND($A$3*G13/$B$3,2),ROUND($A$3*(G13-AT13)/$B$3,2))</f>
        <v>876.9</v>
      </c>
      <c r="F13" s="32"/>
      <c r="G13" s="33">
        <f>H13+AC13+AT13</f>
        <v>4968.0199999999995</v>
      </c>
      <c r="H13" s="20">
        <f>SUMIF(I$12:AB$12,"总值",I13:AB13)</f>
        <v>4968.0199999999995</v>
      </c>
      <c r="I13" s="2207">
        <f>面积表!I2+面积表!I3</f>
        <v>4968.0199999999995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1号楼</v>
      </c>
      <c r="AY13" s="1801">
        <f>ROUND($AY$6*AZ13/$AZ$5,2)</f>
        <v>876.9</v>
      </c>
      <c r="AZ13" s="16">
        <f>BA13+BL13</f>
        <v>4968.0199999999995</v>
      </c>
      <c r="BA13" s="16">
        <f>SUM(BB13:BK13)</f>
        <v>4968.0199999999995</v>
      </c>
      <c r="BB13" s="16">
        <f>IF($D13="是",I13-J13,0)</f>
        <v>4968.0199999999995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8"/>
      <c r="B14" s="1268"/>
      <c r="C14" s="2146" t="s">
        <v>3058</v>
      </c>
      <c r="D14" s="2206" t="s">
        <v>3707</v>
      </c>
      <c r="E14" s="16">
        <f>IF($C$3="是",ROUND($A$3*G14/$B$3,2),ROUND($A$3*(G14-AT14)/$B$3,2))</f>
        <v>362.71</v>
      </c>
      <c r="F14" s="32"/>
      <c r="G14" s="33">
        <f>H14+AC14+AT14</f>
        <v>2054.94</v>
      </c>
      <c r="H14" s="20">
        <f>SUMIF(I$12:AB$12,"总值",I14:AB14)</f>
        <v>2054.94</v>
      </c>
      <c r="I14" s="2207">
        <f>面积表!J3</f>
        <v>2054.94</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2号楼</v>
      </c>
      <c r="AY14" s="1801">
        <f>ROUND($AY$6*AZ14/$AZ$5,2)</f>
        <v>362.71</v>
      </c>
      <c r="AZ14" s="16">
        <f>BA14+BL14</f>
        <v>2054.94</v>
      </c>
      <c r="BA14" s="16">
        <f>SUM(BB14:BK14)</f>
        <v>2054.94</v>
      </c>
      <c r="BB14" s="16">
        <f>IF($D14="是",I14-J14,0)</f>
        <v>2054.94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146" t="s">
        <v>3059</v>
      </c>
      <c r="D15" s="2206" t="s">
        <v>3707</v>
      </c>
      <c r="E15" s="16">
        <f>IF($C$3="是",ROUND($A$3*G15/$B$3,2),ROUND($A$3*(G15-AT15)/$B$3,2))</f>
        <v>616.27</v>
      </c>
      <c r="F15" s="32"/>
      <c r="G15" s="33">
        <f>H15+AC15+AT15</f>
        <v>3491.4700000000003</v>
      </c>
      <c r="H15" s="20">
        <f>SUMIF(I$12:AB$12,"总值",I15:AB15)</f>
        <v>3491.4700000000003</v>
      </c>
      <c r="I15" s="2207">
        <f>面积表!K2+面积表!K3</f>
        <v>3491.4700000000003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v>
      </c>
      <c r="AY15" s="1801">
        <f>ROUND($AY$6*AZ15/$AZ$5,2)</f>
        <v>616.27</v>
      </c>
      <c r="AZ15" s="16">
        <f>BA15+BL15</f>
        <v>3491.4700000000003</v>
      </c>
      <c r="BA15" s="16">
        <f>SUM(BB15:BK15)</f>
        <v>3491.4700000000003</v>
      </c>
      <c r="BB15" s="16">
        <f>IF($D15="是",I15-J15,0)</f>
        <v>3491.4700000000003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146" t="s">
        <v>3060</v>
      </c>
      <c r="D16" s="2206" t="s">
        <v>3707</v>
      </c>
      <c r="E16" s="16">
        <f>IF($C$3="是",ROUND($A$3*G16/$B$3,2),ROUND($A$3*(G16-AT16)/$B$3,2))</f>
        <v>4174.74</v>
      </c>
      <c r="F16" s="32"/>
      <c r="G16" s="33">
        <f>H16+AC16+AT16</f>
        <v>23651.800000000017</v>
      </c>
      <c r="H16" s="20">
        <f>SUMIF(I$12:AB$12,"总值",I16:AB16)</f>
        <v>23651.800000000017</v>
      </c>
      <c r="I16" s="2207"/>
      <c r="J16" s="2207"/>
      <c r="K16" s="2207">
        <f>面积表!L4+面积表!L5</f>
        <v>6351.14</v>
      </c>
      <c r="L16" s="2207"/>
      <c r="M16" s="2207">
        <f>面积表!L7</f>
        <v>15254.020000000017</v>
      </c>
      <c r="N16" s="2207"/>
      <c r="O16" s="2207">
        <f>面积表!L8</f>
        <v>2046.64</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4号楼</v>
      </c>
      <c r="AY16" s="1801">
        <f>ROUND($AY$6*AZ16/$AZ$5,2)</f>
        <v>4174.74</v>
      </c>
      <c r="AZ16" s="16">
        <f>BA16+BL16</f>
        <v>23651.800000000017</v>
      </c>
      <c r="BA16" s="16">
        <f>SUM(BB16:BK16)</f>
        <v>23651.800000000017</v>
      </c>
      <c r="BB16" s="16">
        <f>IF($D16="是",I16-J16,0)</f>
        <v>0</v>
      </c>
      <c r="BC16" s="16">
        <f>IF($D16="是",K16-L16,0)</f>
        <v>6351.14</v>
      </c>
      <c r="BD16" s="16">
        <f>IF($D16="是",M16-N16,0)</f>
        <v>15254.020000000017</v>
      </c>
      <c r="BE16" s="16">
        <f>IF($D16="是",O16-P16,0)</f>
        <v>2046.64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1935</v>
      </c>
      <c r="B1" s="1388"/>
      <c r="C1" s="1388"/>
      <c r="D1" s="1388"/>
      <c r="E1" s="1388"/>
      <c r="F1" s="1388"/>
      <c r="G1" s="1388"/>
      <c r="H1" s="1388"/>
      <c r="I1" s="1388"/>
      <c r="J1" s="1388"/>
      <c r="K1" s="1388"/>
      <c r="L1" s="1388"/>
      <c r="M1" s="1388"/>
      <c r="N1" s="1388"/>
      <c r="O1" s="1388"/>
      <c r="P1" s="1388"/>
    </row>
    <row r="2" spans="1:16" ht="15">
      <c r="A2" s="3114" t="s">
        <v>1936</v>
      </c>
      <c r="B2" s="3114"/>
      <c r="C2" s="3114"/>
      <c r="D2" s="965" t="s">
        <v>1912</v>
      </c>
      <c r="E2" s="2220" t="s">
        <v>1913</v>
      </c>
      <c r="F2" s="1388"/>
      <c r="G2" s="2221"/>
      <c r="H2" s="2222"/>
      <c r="I2" s="2223" t="s">
        <v>1937</v>
      </c>
      <c r="J2" s="1388"/>
      <c r="K2" s="1388"/>
      <c r="L2" s="1388"/>
      <c r="M2" s="1388"/>
      <c r="N2" s="1423"/>
      <c r="O2" s="1388"/>
      <c r="P2" s="1388"/>
    </row>
    <row r="3" spans="1:16" ht="15.75" thickBot="1">
      <c r="A3" s="3115" t="s">
        <v>1910</v>
      </c>
      <c r="B3" s="3115"/>
      <c r="C3" s="3115"/>
      <c r="D3" s="46">
        <f>'数据-基础表'!AY6</f>
        <v>6030.62</v>
      </c>
      <c r="E3" s="46">
        <f>'数据-基础表'!AZ5</f>
        <v>34166.230000000018</v>
      </c>
      <c r="F3" s="1388"/>
      <c r="G3" s="1395"/>
      <c r="H3" s="1243" t="s">
        <v>1911</v>
      </c>
      <c r="I3" s="55">
        <f>ROUND('数据-基础表'!B3/'数据-基础表'!A3,2)</f>
        <v>5.67</v>
      </c>
      <c r="J3" s="1388"/>
      <c r="K3" s="1388"/>
      <c r="L3" s="1388"/>
      <c r="M3" s="1388"/>
      <c r="N3" s="1423"/>
      <c r="O3" s="1388"/>
      <c r="P3" s="1388"/>
    </row>
    <row r="4" spans="1:16" ht="15">
      <c r="A4" s="3116"/>
      <c r="B4" s="3117"/>
      <c r="C4" s="3118"/>
      <c r="D4" s="2224" t="s">
        <v>1912</v>
      </c>
      <c r="E4" s="2225" t="s">
        <v>1913</v>
      </c>
      <c r="F4" s="1388"/>
      <c r="G4" s="2226" t="s">
        <v>1938</v>
      </c>
      <c r="H4" s="1243" t="s">
        <v>1918</v>
      </c>
      <c r="I4" s="55">
        <f>ROUND(SUMIF('数据-基础表'!I9:AS9,"地上",'数据-基础表'!I5:AS5)/'数据-基础表'!A3,2)</f>
        <v>1.74</v>
      </c>
      <c r="J4" s="1388"/>
      <c r="K4" s="1388"/>
      <c r="L4" s="1388"/>
      <c r="M4" s="1388"/>
      <c r="N4" s="1423"/>
      <c r="O4" s="1388"/>
      <c r="P4" s="1388"/>
    </row>
    <row r="5" spans="1:16">
      <c r="A5" s="47" t="s">
        <v>1914</v>
      </c>
      <c r="B5" s="3119" t="s">
        <v>1915</v>
      </c>
      <c r="C5" s="3119"/>
      <c r="D5" s="48">
        <f>ROUND($D$3*E5/$E$3,2)</f>
        <v>0</v>
      </c>
      <c r="E5" s="49">
        <f>SUMIF('数据-基础表'!$11:$11,"住宅",'数据-基础表'!$5:$5)</f>
        <v>0</v>
      </c>
      <c r="F5" s="1388"/>
      <c r="G5" s="1395"/>
      <c r="H5" s="1243" t="s">
        <v>1911</v>
      </c>
      <c r="I5" s="55">
        <f>ROUND(E31/D31,2)</f>
        <v>5.67</v>
      </c>
      <c r="J5" s="1388"/>
      <c r="K5" s="1388"/>
      <c r="L5" s="1388"/>
      <c r="M5" s="1388"/>
      <c r="N5" s="1388"/>
      <c r="O5" s="1388"/>
      <c r="P5" s="1388"/>
    </row>
    <row r="6" spans="1:16" ht="15" thickBot="1">
      <c r="A6" s="2227"/>
      <c r="B6" s="3119" t="s">
        <v>1916</v>
      </c>
      <c r="C6" s="3119"/>
      <c r="D6" s="48">
        <f>ROUND($D$3*E6/$E$3,2)</f>
        <v>6030.62</v>
      </c>
      <c r="E6" s="49">
        <f>E3-E5</f>
        <v>34166.230000000018</v>
      </c>
      <c r="F6" s="1388"/>
      <c r="G6" s="2228" t="s">
        <v>1917</v>
      </c>
      <c r="H6" s="1395" t="s">
        <v>1918</v>
      </c>
      <c r="I6" s="937">
        <f>ROUND(F31/D31,2)</f>
        <v>1.74</v>
      </c>
      <c r="J6" s="1388"/>
      <c r="K6" s="1388"/>
      <c r="L6" s="1388"/>
      <c r="M6" s="1388"/>
      <c r="N6" s="1388"/>
      <c r="O6" s="1388"/>
      <c r="P6" s="1388"/>
    </row>
    <row r="7" spans="1:16" ht="15">
      <c r="A7" s="3111"/>
      <c r="B7" s="3112"/>
      <c r="C7" s="3113"/>
      <c r="D7" s="2224" t="s">
        <v>1912</v>
      </c>
      <c r="E7" s="2229" t="s">
        <v>1919</v>
      </c>
      <c r="F7" s="1388"/>
      <c r="G7" s="2221" t="s">
        <v>1920</v>
      </c>
      <c r="H7" s="64"/>
      <c r="I7" s="420">
        <f>ROUND(面积表!M10/面积表!N9,2)</f>
        <v>4.1900000000000004</v>
      </c>
      <c r="J7" s="1388"/>
      <c r="K7" s="1388"/>
      <c r="L7" s="1388"/>
      <c r="M7" s="1388"/>
      <c r="N7" s="1388"/>
      <c r="O7" s="1388"/>
      <c r="P7" s="1388"/>
    </row>
    <row r="8" spans="1:16">
      <c r="A8" s="47" t="s">
        <v>1921</v>
      </c>
      <c r="B8" s="50" t="s">
        <v>1922</v>
      </c>
      <c r="C8" s="48" t="s">
        <v>1923</v>
      </c>
      <c r="D8" s="48">
        <f t="shared" ref="D8:D15" si="0">ROUND($D$3*E8/$E$3,2)</f>
        <v>1855.88</v>
      </c>
      <c r="E8" s="51">
        <f>SUMIF('数据-基础表'!BB10:BK10,"地上",'数据-基础表'!BB5:BK5)</f>
        <v>10514.43</v>
      </c>
      <c r="F8" s="1388"/>
      <c r="G8" s="2230"/>
      <c r="H8" s="2230"/>
      <c r="I8" s="1388"/>
      <c r="J8" s="1388"/>
      <c r="K8" s="1388"/>
      <c r="L8" s="1388"/>
      <c r="M8" s="1388"/>
      <c r="N8" s="1388"/>
      <c r="O8" s="1388"/>
      <c r="P8" s="1388"/>
    </row>
    <row r="9" spans="1:16">
      <c r="A9" s="2231"/>
      <c r="B9" s="2232"/>
      <c r="C9" s="48" t="s">
        <v>1924</v>
      </c>
      <c r="D9" s="48">
        <f t="shared" si="0"/>
        <v>0</v>
      </c>
      <c r="E9" s="52">
        <v>0</v>
      </c>
      <c r="F9" s="1388"/>
      <c r="G9" s="2230"/>
      <c r="H9" s="2230"/>
      <c r="I9" s="1388"/>
      <c r="J9" s="1388"/>
      <c r="K9" s="1388"/>
      <c r="L9" s="1388"/>
      <c r="M9" s="1388"/>
      <c r="N9" s="1388"/>
      <c r="O9" s="1388"/>
      <c r="P9" s="1388"/>
    </row>
    <row r="10" spans="1:16">
      <c r="A10" s="2231"/>
      <c r="B10" s="2232"/>
      <c r="C10" s="48" t="s">
        <v>1933</v>
      </c>
      <c r="D10" s="48">
        <f t="shared" si="0"/>
        <v>1121.03</v>
      </c>
      <c r="E10" s="51">
        <f>SUMPRODUCT(('数据-基础表'!BB10:BK10="地下")*('数据-基础表'!BB11:BK11="商业")*('数据-基础表'!BB5:BK5))</f>
        <v>6351.14</v>
      </c>
      <c r="F10" s="1388"/>
      <c r="G10" s="2230"/>
      <c r="H10" s="2230"/>
      <c r="I10" s="1388"/>
      <c r="J10" s="1388"/>
      <c r="K10" s="1388"/>
      <c r="L10" s="1388"/>
      <c r="M10" s="1388"/>
      <c r="N10" s="1388"/>
      <c r="O10" s="1388"/>
      <c r="P10" s="1388"/>
    </row>
    <row r="11" spans="1:16">
      <c r="A11" s="2231"/>
      <c r="B11" s="2232"/>
      <c r="C11" s="48" t="s">
        <v>1925</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1926</v>
      </c>
      <c r="D12" s="48">
        <f t="shared" si="0"/>
        <v>361.25</v>
      </c>
      <c r="E12" s="51">
        <f>SUMPRODUCT(('数据-基础表'!BB10:BK10="地下")*('数据-基础表'!BB11:BK11="仓储")*('数据-基础表'!BB5:BK5))</f>
        <v>2046.64</v>
      </c>
      <c r="F12" s="1388"/>
      <c r="G12" s="2230"/>
      <c r="H12" s="2230"/>
      <c r="I12" s="1388"/>
      <c r="J12" s="1388"/>
      <c r="K12" s="1388"/>
      <c r="L12" s="1388"/>
      <c r="M12" s="1388"/>
      <c r="N12" s="1388"/>
      <c r="O12" s="1388"/>
      <c r="P12" s="1388"/>
    </row>
    <row r="13" spans="1:16">
      <c r="A13" s="2231"/>
      <c r="B13" s="2232"/>
      <c r="C13" s="48" t="s">
        <v>1927</v>
      </c>
      <c r="D13" s="48">
        <f t="shared" si="0"/>
        <v>2692.46</v>
      </c>
      <c r="E13" s="51">
        <f>SUMPRODUCT(('数据-基础表'!BB10:BK10="地下")*('数据-基础表'!BB11:BK11="车库")*('数据-基础表'!BB5:BK5))</f>
        <v>15254.020000000017</v>
      </c>
      <c r="F13" s="1388"/>
      <c r="G13" s="2230"/>
      <c r="H13" s="2230"/>
      <c r="I13" s="1388"/>
      <c r="J13" s="1388"/>
      <c r="K13" s="1388"/>
      <c r="L13" s="1388"/>
      <c r="M13" s="1388"/>
      <c r="N13" s="1388"/>
      <c r="O13" s="1388"/>
      <c r="P13" s="1388"/>
    </row>
    <row r="14" spans="1:16">
      <c r="A14" s="2231"/>
      <c r="B14" s="2232"/>
      <c r="C14" s="48" t="s">
        <v>1939</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1934</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1928</v>
      </c>
      <c r="D16" s="50">
        <f>SUM(D8:D15)</f>
        <v>6030.62</v>
      </c>
      <c r="E16" s="53">
        <f>SUM(E8:E15)</f>
        <v>34166.230000000018</v>
      </c>
      <c r="F16" s="1388"/>
      <c r="G16" s="2230"/>
      <c r="H16" s="2233" t="s">
        <v>1940</v>
      </c>
      <c r="I16" s="2234"/>
      <c r="J16" s="1388"/>
      <c r="K16" s="3108" t="s">
        <v>1940</v>
      </c>
      <c r="L16" s="3109"/>
      <c r="M16" s="3109"/>
      <c r="N16" s="3109"/>
      <c r="O16" s="3109"/>
      <c r="P16" s="3110"/>
    </row>
    <row r="17" spans="1:19" ht="15">
      <c r="A17" s="2235" t="s">
        <v>1941</v>
      </c>
      <c r="B17" s="2236" t="s">
        <v>1942</v>
      </c>
      <c r="C17" s="2237" t="s">
        <v>1943</v>
      </c>
      <c r="D17" s="2238" t="s">
        <v>1931</v>
      </c>
      <c r="E17" s="2239" t="s">
        <v>1932</v>
      </c>
      <c r="F17" s="2240"/>
      <c r="G17" s="2241"/>
      <c r="H17" s="2242" t="s">
        <v>1944</v>
      </c>
      <c r="I17" s="2243" t="s">
        <v>1929</v>
      </c>
      <c r="J17" s="1388"/>
      <c r="K17" s="3105" t="s">
        <v>1945</v>
      </c>
      <c r="L17" s="3106"/>
      <c r="M17" s="3107"/>
      <c r="N17" s="3105" t="s">
        <v>1946</v>
      </c>
      <c r="O17" s="3106"/>
      <c r="P17" s="3107"/>
      <c r="R17" s="2221" t="s">
        <v>1947</v>
      </c>
      <c r="S17" s="64"/>
    </row>
    <row r="18" spans="1:19" ht="15">
      <c r="A18" s="2231"/>
      <c r="B18" s="2244"/>
      <c r="C18" s="2245"/>
      <c r="D18" s="2246"/>
      <c r="E18" s="2247" t="s">
        <v>1948</v>
      </c>
      <c r="F18" s="2248" t="s">
        <v>1949</v>
      </c>
      <c r="G18" s="2249" t="s">
        <v>1950</v>
      </c>
      <c r="H18" s="1258" t="s">
        <v>1951</v>
      </c>
      <c r="I18" s="2250" t="s">
        <v>1952</v>
      </c>
      <c r="J18" s="1388"/>
      <c r="K18" s="1258" t="s">
        <v>1953</v>
      </c>
      <c r="L18" s="2251" t="s">
        <v>1954</v>
      </c>
      <c r="M18" s="1044" t="s">
        <v>1955</v>
      </c>
      <c r="N18" s="1258" t="s">
        <v>1953</v>
      </c>
      <c r="O18" s="2251" t="s">
        <v>1954</v>
      </c>
      <c r="P18" s="1044" t="s">
        <v>1955</v>
      </c>
      <c r="R18" s="1243" t="s">
        <v>1956</v>
      </c>
      <c r="S18" s="1243" t="s">
        <v>1957</v>
      </c>
    </row>
    <row r="19" spans="1:19">
      <c r="A19" s="2252"/>
      <c r="B19" s="50" t="s">
        <v>1930</v>
      </c>
      <c r="C19" s="2968" t="s">
        <v>3715</v>
      </c>
      <c r="D19" s="48">
        <f>ROUND($D$3*E19/$E$3,2)</f>
        <v>774.5</v>
      </c>
      <c r="E19" s="56">
        <f t="shared" ref="E19:E26" si="1">SUM(F19:G19)</f>
        <v>4387.92</v>
      </c>
      <c r="F19" s="57">
        <f>面积表!M2</f>
        <v>4387.92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774.5</v>
      </c>
      <c r="S19" s="1244">
        <f t="shared" si="5"/>
        <v>4387.92</v>
      </c>
    </row>
    <row r="20" spans="1:19">
      <c r="A20" s="2256"/>
      <c r="B20" s="50" t="s">
        <v>1958</v>
      </c>
      <c r="C20" s="2253" t="s">
        <v>3716</v>
      </c>
      <c r="D20" s="48">
        <f t="shared" ref="D20:D26" si="6">ROUND($D$3*E20/$E$3,2)</f>
        <v>1081.3800000000001</v>
      </c>
      <c r="E20" s="56">
        <f t="shared" si="1"/>
        <v>6126.51</v>
      </c>
      <c r="F20" s="57">
        <f>面积表!M3</f>
        <v>6126.51</v>
      </c>
      <c r="G20" s="58"/>
      <c r="H20" s="723">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1081.3800000000001</v>
      </c>
      <c r="S20" s="1244">
        <f t="shared" si="5"/>
        <v>6126.51</v>
      </c>
    </row>
    <row r="21" spans="1:19">
      <c r="A21" s="2256"/>
      <c r="B21" s="50" t="s">
        <v>1958</v>
      </c>
      <c r="C21" s="2253" t="s">
        <v>3717</v>
      </c>
      <c r="D21" s="48">
        <f t="shared" si="6"/>
        <v>915.64</v>
      </c>
      <c r="E21" s="56">
        <f t="shared" si="1"/>
        <v>5187.51</v>
      </c>
      <c r="F21" s="57"/>
      <c r="G21" s="58">
        <f>面积表!M4</f>
        <v>5187.51</v>
      </c>
      <c r="H21" s="723">
        <f t="shared" si="7"/>
        <v>0</v>
      </c>
      <c r="I21" s="51">
        <f t="shared" si="2"/>
        <v>0</v>
      </c>
      <c r="J21" s="1388"/>
      <c r="K21" s="1387">
        <f t="shared" si="3"/>
        <v>0</v>
      </c>
      <c r="L21" s="1243">
        <f t="shared" si="4"/>
        <v>0</v>
      </c>
      <c r="M21" s="1399">
        <f t="shared" si="8"/>
        <v>0</v>
      </c>
      <c r="N21" s="2254"/>
      <c r="O21" s="2255"/>
      <c r="P21" s="1399">
        <f t="shared" si="9"/>
        <v>0</v>
      </c>
      <c r="R21" s="1243">
        <f t="shared" si="5"/>
        <v>915.64</v>
      </c>
      <c r="S21" s="1244">
        <f t="shared" si="5"/>
        <v>5187.51</v>
      </c>
    </row>
    <row r="22" spans="1:19">
      <c r="A22" s="2256"/>
      <c r="B22" s="50" t="s">
        <v>1958</v>
      </c>
      <c r="C22" s="60" t="s">
        <v>3718</v>
      </c>
      <c r="D22" s="48">
        <f t="shared" si="6"/>
        <v>205.39</v>
      </c>
      <c r="E22" s="56">
        <f t="shared" si="1"/>
        <v>1163.6300000000001</v>
      </c>
      <c r="F22" s="61"/>
      <c r="G22" s="62">
        <f>面积表!M5</f>
        <v>1163.6300000000001</v>
      </c>
      <c r="H22" s="723">
        <f t="shared" si="7"/>
        <v>0</v>
      </c>
      <c r="I22" s="51">
        <f t="shared" si="2"/>
        <v>0</v>
      </c>
      <c r="J22" s="1388"/>
      <c r="K22" s="1387">
        <f t="shared" si="3"/>
        <v>0</v>
      </c>
      <c r="L22" s="1243">
        <f t="shared" si="4"/>
        <v>0</v>
      </c>
      <c r="M22" s="1399">
        <f t="shared" si="8"/>
        <v>0</v>
      </c>
      <c r="N22" s="2254"/>
      <c r="O22" s="2255"/>
      <c r="P22" s="1399">
        <f t="shared" si="9"/>
        <v>0</v>
      </c>
      <c r="R22" s="1243">
        <f t="shared" si="5"/>
        <v>205.39</v>
      </c>
      <c r="S22" s="1244">
        <f t="shared" si="5"/>
        <v>1163.6300000000001</v>
      </c>
    </row>
    <row r="23" spans="1:19">
      <c r="A23" s="2256"/>
      <c r="B23" s="50" t="s">
        <v>1958</v>
      </c>
      <c r="C23" s="2969" t="s">
        <v>3719</v>
      </c>
      <c r="D23" s="48">
        <f>ROUND($D$3*E23/$E$3,2)</f>
        <v>2692.46</v>
      </c>
      <c r="E23" s="56">
        <f>SUM(F23:G23)</f>
        <v>15254.020000000017</v>
      </c>
      <c r="F23" s="61"/>
      <c r="G23" s="62">
        <f>面积表!M7</f>
        <v>15254.020000000017</v>
      </c>
      <c r="H23" s="723">
        <f>ROUND($D$3*I23/$E$3,2)</f>
        <v>0</v>
      </c>
      <c r="I23" s="51">
        <f t="shared" si="2"/>
        <v>0</v>
      </c>
      <c r="J23" s="1388"/>
      <c r="K23" s="1387">
        <f t="shared" si="3"/>
        <v>0</v>
      </c>
      <c r="L23" s="1243">
        <f t="shared" si="4"/>
        <v>0</v>
      </c>
      <c r="M23" s="1399">
        <f t="shared" si="8"/>
        <v>0</v>
      </c>
      <c r="N23" s="2254"/>
      <c r="O23" s="2255"/>
      <c r="P23" s="1399">
        <f t="shared" si="9"/>
        <v>0</v>
      </c>
      <c r="R23" s="1243">
        <f t="shared" si="5"/>
        <v>2692.46</v>
      </c>
      <c r="S23" s="1244">
        <f t="shared" si="5"/>
        <v>15254.020000000017</v>
      </c>
    </row>
    <row r="24" spans="1:19">
      <c r="A24" s="2256"/>
      <c r="B24" s="50" t="s">
        <v>1958</v>
      </c>
      <c r="C24" s="2969" t="s">
        <v>3720</v>
      </c>
      <c r="D24" s="48">
        <f>ROUND($D$3*E24/$E$3,2)</f>
        <v>361.25</v>
      </c>
      <c r="E24" s="56">
        <f>SUM(F24:G24)</f>
        <v>2046.64</v>
      </c>
      <c r="F24" s="61"/>
      <c r="G24" s="62">
        <f>面积表!M8</f>
        <v>2046.64</v>
      </c>
      <c r="H24" s="723">
        <f>ROUND($D$3*I24/$E$3,2)</f>
        <v>0</v>
      </c>
      <c r="I24" s="51">
        <f t="shared" si="2"/>
        <v>0</v>
      </c>
      <c r="J24" s="1388"/>
      <c r="K24" s="1387">
        <f t="shared" si="3"/>
        <v>0</v>
      </c>
      <c r="L24" s="1243">
        <f t="shared" si="4"/>
        <v>0</v>
      </c>
      <c r="M24" s="1399">
        <f t="shared" si="8"/>
        <v>0</v>
      </c>
      <c r="N24" s="2254"/>
      <c r="O24" s="2255"/>
      <c r="P24" s="1399">
        <f t="shared" si="9"/>
        <v>0</v>
      </c>
      <c r="R24" s="1243">
        <f t="shared" si="5"/>
        <v>361.25</v>
      </c>
      <c r="S24" s="1244">
        <f t="shared" si="5"/>
        <v>2046.64</v>
      </c>
    </row>
    <row r="25" spans="1:19">
      <c r="A25" s="2256"/>
      <c r="B25" s="50" t="s">
        <v>1958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1959</v>
      </c>
      <c r="D27" s="1389">
        <f>SUM(D19:D26)</f>
        <v>6030.62</v>
      </c>
      <c r="E27" s="1390">
        <f>IF(SUM(E19:E26)='数据-基础表'!BA5,SUM(E19:E26),IF(F27="地上面积有误","面积有误","地下面积有误"))</f>
        <v>34166.230000000018</v>
      </c>
      <c r="F27" s="1389">
        <f>IF(SUM(F19:F26)=E8,SUM(F19:F26),"地上面积有误")</f>
        <v>10514.43</v>
      </c>
      <c r="G27" s="1391">
        <f>SUM(G19:G26)</f>
        <v>23651.800000000017</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6030.62</v>
      </c>
      <c r="S27" s="1243">
        <f>IF(SUM(S19:S26)=$E$3,SUM(S19:S26),SUM(S19:S26)&amp;"误差"&amp;ROUND(SUM(S19:S26)-E3,2))</f>
        <v>34166.230000000018</v>
      </c>
    </row>
    <row r="28" spans="1:19">
      <c r="A28" s="2256"/>
      <c r="B28" s="50" t="s">
        <v>1960</v>
      </c>
      <c r="C28" s="1255" t="s">
        <v>1961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1960</v>
      </c>
      <c r="C29" s="2260" t="s">
        <v>1962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5" t="s">
        <v>1963</v>
      </c>
      <c r="D31" s="729">
        <f>D27+D30</f>
        <v>6030.62</v>
      </c>
      <c r="E31" s="729">
        <f>E27+E30</f>
        <v>34166.230000000018</v>
      </c>
      <c r="F31" s="730">
        <f>F27+F30</f>
        <v>10514.43</v>
      </c>
      <c r="G31" s="731">
        <f>G27+G30</f>
        <v>23651.800000000017</v>
      </c>
      <c r="H31" s="1388"/>
      <c r="I31" s="1388"/>
      <c r="J31" s="1388"/>
      <c r="K31" s="1388"/>
      <c r="L31" s="1388"/>
      <c r="M31" s="1388"/>
      <c r="N31" s="1388"/>
      <c r="O31" s="1388"/>
      <c r="P31" s="1388"/>
    </row>
    <row r="32" spans="1:19">
      <c r="A32" s="2226"/>
      <c r="B32" s="2226" t="s">
        <v>1964</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1965</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69" t="s">
        <v>1966</v>
      </c>
      <c r="B2" s="1262">
        <f>项目基本情况!D3</f>
        <v>43342</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1967</v>
      </c>
      <c r="B4" s="2274"/>
      <c r="C4" s="2275"/>
      <c r="D4" s="2276"/>
      <c r="E4" s="2275" t="s">
        <v>1968</v>
      </c>
      <c r="F4" s="2275"/>
      <c r="G4" s="2275"/>
      <c r="H4" s="2275"/>
      <c r="I4" s="2275"/>
      <c r="J4" s="2277"/>
      <c r="K4" s="2278"/>
      <c r="L4" s="2279"/>
      <c r="M4" s="2275"/>
      <c r="N4" s="2275" t="s">
        <v>1969</v>
      </c>
      <c r="O4" s="2275"/>
      <c r="P4" s="2275"/>
      <c r="Q4" s="2275"/>
      <c r="R4" s="2275"/>
      <c r="S4" s="2277"/>
      <c r="T4" s="2280" t="str">
        <f>'数据-汇总表'!I17</f>
        <v>按面积比例</v>
      </c>
      <c r="U4" s="2274" t="s">
        <v>1970</v>
      </c>
      <c r="V4" s="2275"/>
      <c r="W4" s="2275"/>
      <c r="X4" s="2275"/>
      <c r="Y4" s="2277"/>
      <c r="Z4" s="2237" t="s">
        <v>1971</v>
      </c>
      <c r="AA4" s="2237"/>
      <c r="AB4" s="2237"/>
      <c r="AC4" s="2237"/>
      <c r="AD4" s="2237"/>
      <c r="AE4" s="2235" t="s">
        <v>1972</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1973</v>
      </c>
      <c r="B5" s="2283" t="s">
        <v>1974</v>
      </c>
      <c r="C5" s="2284" t="s">
        <v>1975</v>
      </c>
      <c r="D5" s="2285" t="s">
        <v>1976</v>
      </c>
      <c r="E5" s="1264" t="s">
        <v>1977</v>
      </c>
      <c r="F5" s="2286" t="s">
        <v>1978</v>
      </c>
      <c r="G5" s="1264" t="s">
        <v>1979</v>
      </c>
      <c r="H5" s="1264" t="s">
        <v>1980</v>
      </c>
      <c r="I5" s="1264" t="s">
        <v>1981</v>
      </c>
      <c r="J5" s="2287" t="s">
        <v>1982</v>
      </c>
      <c r="K5" s="2288" t="s">
        <v>1983</v>
      </c>
      <c r="L5" s="2289" t="s">
        <v>1984</v>
      </c>
      <c r="M5" s="2290" t="s">
        <v>1985</v>
      </c>
      <c r="N5" s="2291" t="s">
        <v>3721</v>
      </c>
      <c r="O5" s="2289" t="s">
        <v>1986</v>
      </c>
      <c r="P5" s="2292" t="s">
        <v>1987</v>
      </c>
      <c r="Q5" s="69" t="s">
        <v>1988</v>
      </c>
      <c r="R5" s="2293" t="s">
        <v>1989</v>
      </c>
      <c r="S5" s="2294" t="s">
        <v>1990</v>
      </c>
      <c r="T5" s="2295" t="s">
        <v>1991</v>
      </c>
      <c r="U5" s="1263" t="s">
        <v>1992</v>
      </c>
      <c r="V5" s="1264" t="s">
        <v>1993</v>
      </c>
      <c r="W5" s="1264" t="s">
        <v>1994</v>
      </c>
      <c r="X5" s="71"/>
      <c r="Y5" s="70" t="s">
        <v>1995</v>
      </c>
      <c r="Z5" s="2296" t="s">
        <v>1992</v>
      </c>
      <c r="AA5" s="1264" t="s">
        <v>1993</v>
      </c>
      <c r="AB5" s="1264" t="s">
        <v>1994</v>
      </c>
      <c r="AC5" s="71"/>
      <c r="AD5" s="71" t="s">
        <v>1995</v>
      </c>
      <c r="AE5" s="1263" t="s">
        <v>1996</v>
      </c>
      <c r="AF5" s="1264" t="s">
        <v>1997</v>
      </c>
      <c r="AG5" s="70" t="s">
        <v>1998</v>
      </c>
      <c r="AH5" s="1263" t="s">
        <v>1999</v>
      </c>
      <c r="AI5" s="2296" t="s">
        <v>2000</v>
      </c>
      <c r="AJ5" s="2296" t="s">
        <v>2001</v>
      </c>
      <c r="AK5" s="1264" t="s">
        <v>2002</v>
      </c>
      <c r="AL5" s="1264" t="s">
        <v>2003</v>
      </c>
      <c r="AM5" s="70" t="s">
        <v>2004</v>
      </c>
      <c r="AN5" s="2297" t="s">
        <v>2005</v>
      </c>
      <c r="AO5" s="2067" t="s">
        <v>2006</v>
      </c>
      <c r="AP5" s="1245" t="s">
        <v>2007</v>
      </c>
      <c r="AQ5" s="2298" t="s">
        <v>2008</v>
      </c>
      <c r="AR5" s="2298"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商业1层</v>
      </c>
      <c r="B6" s="2300" t="str">
        <f>IF(A6=0,"","经营性")</f>
        <v>经营性</v>
      </c>
      <c r="C6" s="2301" t="s">
        <v>1377</v>
      </c>
      <c r="D6" s="1049">
        <f>SUMIF(项目基本情况!D$12:I$12,C6,项目基本情况!D$14:I$14)</f>
        <v>40</v>
      </c>
      <c r="E6" s="1046">
        <f>IF(B6="","",SUMIF(项目基本情况!D$12:I$12,C6,项目基本情况!D$13:I$13))</f>
        <v>55369</v>
      </c>
      <c r="F6" s="72">
        <f>SUMIF(项目基本情况!D$12:I$12,C6,项目基本情况!D$15:I$15)</f>
        <v>32.950000000000003</v>
      </c>
      <c r="G6" s="73">
        <f>IF(ISERROR(ROUND(POWER(1+H6,D6-F6)*(POWER(1+H6,F6)-1)/(POWER(1+H6,D6)-1),3)),0,ROUND(POWER(1+H6,D6-F6)*(POWER(1+H6,F6)-1)/(POWER(1+H6,D6)-1),3))</f>
        <v>0.93200000000000005</v>
      </c>
      <c r="H6" s="802">
        <v>0.05</v>
      </c>
      <c r="I6" s="802">
        <v>0.06</v>
      </c>
      <c r="J6" s="74">
        <v>8.5000000000000006E-2</v>
      </c>
      <c r="K6" s="1247">
        <f>SUMIF('数据-汇总表'!C$19:C$33,A6,'数据-汇总表'!E$19:E$33)</f>
        <v>4387.92</v>
      </c>
      <c r="L6" s="803">
        <v>3200</v>
      </c>
      <c r="M6" s="75">
        <f t="shared" ref="M6:M14" si="0">ROUND(K6*L6/10000,0)</f>
        <v>1404</v>
      </c>
      <c r="N6" s="801">
        <f>ROUND(1-(2018-2016)/60,2)</f>
        <v>0.97</v>
      </c>
      <c r="O6" s="75" t="str">
        <f>IF($N$5="成新度","——",ROUND(M6*N6,0))</f>
        <v>——</v>
      </c>
      <c r="P6" s="76" t="str">
        <f>IF($N$5="成新度","——",M6-O6)</f>
        <v>——</v>
      </c>
      <c r="Q6" s="804">
        <v>0.2</v>
      </c>
      <c r="R6" s="77">
        <f ca="1">SUMIF('数据-汇总表'!C$19:C$33,A6,'数据-汇总表'!R$19:R$27)</f>
        <v>774.5</v>
      </c>
      <c r="S6" s="54">
        <f>IF('数据-汇总表'!$I$17="按面积比例",SUMIF('数据-汇总表'!C$19:C$33,A6,'数据-汇总表'!K$19:K$33),SUMIF('数据-汇总表'!C$19:C$33,A6,'数据-汇总表'!N$19:N$33))</f>
        <v>0</v>
      </c>
      <c r="T6" s="1439">
        <f>ROUND($L$14*S6/10000,0)</f>
        <v>0</v>
      </c>
      <c r="U6" s="78">
        <f>'比较法-商业 (一层租金)'!B3</f>
        <v>8.5</v>
      </c>
      <c r="V6" s="79">
        <v>0.03</v>
      </c>
      <c r="W6" s="79">
        <v>0.1</v>
      </c>
      <c r="X6" s="1257"/>
      <c r="Y6" s="80">
        <f>N6</f>
        <v>0.97</v>
      </c>
      <c r="Z6" s="81"/>
      <c r="AA6" s="74"/>
      <c r="AB6" s="74"/>
      <c r="AC6" s="1257"/>
      <c r="AD6" s="82"/>
      <c r="AE6" s="1258">
        <f ca="1">IF(AN6="",0,SUMIF(INDIRECT("'"&amp;AN6&amp;"'"&amp;"!E:E"),$AE$5,INDIRECT("'"&amp;AN6&amp;"'"&amp;"!F:F")))</f>
        <v>32.950000000000003</v>
      </c>
      <c r="AF6" s="1799"/>
      <c r="AG6" s="147">
        <f>IF(AF6="",0,AE6-AF6)</f>
        <v>0</v>
      </c>
      <c r="AH6" s="83"/>
      <c r="AI6" s="85">
        <v>365</v>
      </c>
      <c r="AJ6" s="86"/>
      <c r="AK6" s="87">
        <v>1.4999999999999999E-2</v>
      </c>
      <c r="AL6" s="88">
        <v>1.5E-3</v>
      </c>
      <c r="AM6" s="89">
        <v>1.4999999999999999E-2</v>
      </c>
      <c r="AN6" s="2302" t="s">
        <v>3786</v>
      </c>
      <c r="AO6" s="55">
        <f ca="1">SUMIF(INDIRECT("'"&amp;AN6&amp;"'"&amp;"!A:A"),"总价",INDIRECT("'"&amp;AN6&amp;"'"&amp;"!B:B"))</f>
        <v>19627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商业2层</v>
      </c>
      <c r="B7" s="2300" t="str">
        <f t="shared" ref="B7:B13" si="1">IF(A7=0,"","经营性")</f>
        <v>经营性</v>
      </c>
      <c r="C7" s="2301" t="s">
        <v>1377</v>
      </c>
      <c r="D7" s="1049">
        <f>SUMIF(项目基本情况!D$12:I$12,C7,项目基本情况!D$14:I$14)</f>
        <v>40</v>
      </c>
      <c r="E7" s="1046">
        <f>IF(B7="","",SUMIF(项目基本情况!D$12:I$12,C7,项目基本情况!D$13:I$13))</f>
        <v>55369</v>
      </c>
      <c r="F7" s="72">
        <f>SUMIF(项目基本情况!D$12:I$12,C7,项目基本情况!D$15:I$15)</f>
        <v>32.950000000000003</v>
      </c>
      <c r="G7" s="73">
        <f t="shared" ref="G7:G11" si="2">IF(ISERROR(ROUND(POWER(1+H7,D7-F7)*(POWER(1+H7,F7)-1)/(POWER(1+H7,D7)-1),3)),0,ROUND(POWER(1+H7,D7-F7)*(POWER(1+H7,F7)-1)/(POWER(1+H7,D7)-1),3))</f>
        <v>0.93200000000000005</v>
      </c>
      <c r="H7" s="802">
        <v>0.05</v>
      </c>
      <c r="I7" s="802">
        <v>0.06</v>
      </c>
      <c r="J7" s="74">
        <v>8.5000000000000006E-2</v>
      </c>
      <c r="K7" s="1247">
        <f>SUMIF('数据-汇总表'!C$19:C$33,A7,'数据-汇总表'!E$19:E$33)</f>
        <v>6126.51</v>
      </c>
      <c r="L7" s="803">
        <v>3200</v>
      </c>
      <c r="M7" s="75">
        <f t="shared" si="0"/>
        <v>1960</v>
      </c>
      <c r="N7" s="801">
        <f t="shared" ref="N7:N11" si="3">ROUND(1-(2018-2016)/60,2)</f>
        <v>0.97</v>
      </c>
      <c r="O7" s="75" t="str">
        <f t="shared" ref="O7:O14" si="4">IF($N$5="成新度","——",ROUND(M7*N7,0))</f>
        <v>——</v>
      </c>
      <c r="P7" s="76" t="str">
        <f t="shared" ref="P7:P14" si="5">IF($N$5="成新度","——",M7-O7)</f>
        <v>——</v>
      </c>
      <c r="Q7" s="804">
        <v>0.2</v>
      </c>
      <c r="R7" s="77">
        <f ca="1">SUMIF('数据-汇总表'!C$19:C$33,A7,'数据-汇总表'!R$19:R$27)</f>
        <v>1081.3800000000001</v>
      </c>
      <c r="S7" s="54">
        <f>IF('数据-汇总表'!$I$17="按面积比例",SUMIF('数据-汇总表'!C$19:C$33,A7,'数据-汇总表'!K$19:K$33),SUMIF('数据-汇总表'!C$19:C$33,A7,'数据-汇总表'!N$19:N$33))</f>
        <v>0</v>
      </c>
      <c r="T7" s="1439">
        <f t="shared" ref="T7:T13" si="6">ROUND($L$14*S7/10000,0)</f>
        <v>0</v>
      </c>
      <c r="U7" s="78"/>
      <c r="V7" s="79">
        <v>0.03</v>
      </c>
      <c r="W7" s="79">
        <v>0.1</v>
      </c>
      <c r="X7" s="1257"/>
      <c r="Y7" s="80">
        <f t="shared" ref="Y7:Y11" si="7">N7</f>
        <v>0.97</v>
      </c>
      <c r="Z7" s="81"/>
      <c r="AA7" s="74"/>
      <c r="AB7" s="74"/>
      <c r="AC7" s="1257"/>
      <c r="AD7" s="82"/>
      <c r="AE7" s="1258">
        <f t="shared" ref="AE7:AE13" ca="1" si="8">IF(AN7="",0,SUMIF(INDIRECT("'"&amp;AN7&amp;"'"&amp;"!E:E"),$AE$5,INDIRECT("'"&amp;AN7&amp;"'"&amp;"!F:F")))</f>
        <v>0</v>
      </c>
      <c r="AF7" s="1799"/>
      <c r="AG7" s="147">
        <f t="shared" ref="AG7:AG13" si="9">IF(AF7="",0,AE7-AF7)</f>
        <v>0</v>
      </c>
      <c r="AH7" s="83"/>
      <c r="AI7" s="85">
        <v>365</v>
      </c>
      <c r="AJ7" s="86"/>
      <c r="AK7" s="87">
        <v>1.4999999999999999E-2</v>
      </c>
      <c r="AL7" s="88">
        <v>1.5E-3</v>
      </c>
      <c r="AM7" s="89">
        <v>1.4999999999999999E-2</v>
      </c>
      <c r="AN7" s="2302"/>
      <c r="AO7" s="55" t="e">
        <f t="shared" ref="AO7:AO13" ca="1" si="10">SUMIF(INDIRECT("'"&amp;AN7&amp;"'"&amp;"!A:A"),"总价",INDIRECT("'"&amp;AN7&amp;"'"&amp;"!B:B"))</f>
        <v>#REF!</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商业地下1层</v>
      </c>
      <c r="B8" s="2300" t="str">
        <f t="shared" si="1"/>
        <v>经营性</v>
      </c>
      <c r="C8" s="2301" t="s">
        <v>1377</v>
      </c>
      <c r="D8" s="1049">
        <f>SUMIF(项目基本情况!D$12:I$12,C8,项目基本情况!D$14:I$14)</f>
        <v>40</v>
      </c>
      <c r="E8" s="1046">
        <f>IF(B8="","",SUMIF(项目基本情况!D$12:I$12,C8,项目基本情况!D$13:I$13))</f>
        <v>55369</v>
      </c>
      <c r="F8" s="72">
        <f>SUMIF(项目基本情况!D$12:I$12,C8,项目基本情况!D$15:I$15)</f>
        <v>32.950000000000003</v>
      </c>
      <c r="G8" s="73">
        <f t="shared" si="2"/>
        <v>0.93200000000000005</v>
      </c>
      <c r="H8" s="802">
        <v>0.05</v>
      </c>
      <c r="I8" s="802">
        <v>5.5E-2</v>
      </c>
      <c r="J8" s="74">
        <v>8.5000000000000006E-2</v>
      </c>
      <c r="K8" s="1247">
        <f>SUMIF('数据-汇总表'!C$19:C$33,A8,'数据-汇总表'!E$19:E$33)</f>
        <v>5187.51</v>
      </c>
      <c r="L8" s="803">
        <v>3200</v>
      </c>
      <c r="M8" s="75">
        <f>ROUND(K8*L8/10000,0)</f>
        <v>1660</v>
      </c>
      <c r="N8" s="801">
        <f t="shared" si="3"/>
        <v>0.97</v>
      </c>
      <c r="O8" s="75" t="str">
        <f t="shared" si="4"/>
        <v>——</v>
      </c>
      <c r="P8" s="76" t="str">
        <f t="shared" si="5"/>
        <v>——</v>
      </c>
      <c r="Q8" s="804">
        <v>0.15</v>
      </c>
      <c r="R8" s="77">
        <f ca="1">SUMIF('数据-汇总表'!C$19:C$33,A8,'数据-汇总表'!R$19:R$27)</f>
        <v>915.64</v>
      </c>
      <c r="S8" s="54">
        <f>IF('数据-汇总表'!$I$17="按面积比例",SUMIF('数据-汇总表'!C$19:C$33,A8,'数据-汇总表'!K$19:K$33),SUMIF('数据-汇总表'!C$19:C$33,A8,'数据-汇总表'!N$19:N$33))</f>
        <v>0</v>
      </c>
      <c r="T8" s="1439">
        <f t="shared" si="6"/>
        <v>0</v>
      </c>
      <c r="U8" s="805"/>
      <c r="V8" s="806">
        <v>0.03</v>
      </c>
      <c r="W8" s="806">
        <v>0.1</v>
      </c>
      <c r="X8" s="1257"/>
      <c r="Y8" s="80">
        <f t="shared" si="7"/>
        <v>0.97</v>
      </c>
      <c r="Z8" s="81"/>
      <c r="AA8" s="74"/>
      <c r="AB8" s="74"/>
      <c r="AC8" s="1257"/>
      <c r="AD8" s="82"/>
      <c r="AE8" s="1258">
        <f t="shared" ca="1" si="8"/>
        <v>0</v>
      </c>
      <c r="AF8" s="1799"/>
      <c r="AG8" s="147">
        <f t="shared" si="9"/>
        <v>0</v>
      </c>
      <c r="AH8" s="807"/>
      <c r="AI8" s="85">
        <v>365</v>
      </c>
      <c r="AJ8" s="86"/>
      <c r="AK8" s="87">
        <v>1.4999999999999999E-2</v>
      </c>
      <c r="AL8" s="88">
        <v>1.5E-3</v>
      </c>
      <c r="AM8" s="89">
        <v>1.4999999999999999E-2</v>
      </c>
      <c r="AN8" s="2302"/>
      <c r="AO8" s="55" t="e">
        <f t="shared" ca="1" si="10"/>
        <v>#REF!</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商业地下2层</v>
      </c>
      <c r="B9" s="2300" t="str">
        <f t="shared" si="1"/>
        <v>经营性</v>
      </c>
      <c r="C9" s="2301" t="s">
        <v>1377</v>
      </c>
      <c r="D9" s="1049">
        <f>SUMIF(项目基本情况!D$12:I$12,C9,项目基本情况!D$14:I$14)</f>
        <v>40</v>
      </c>
      <c r="E9" s="1046">
        <f>IF(B9="","",SUMIF(项目基本情况!D$12:I$12,C9,项目基本情况!D$13:I$13))</f>
        <v>55369</v>
      </c>
      <c r="F9" s="72">
        <f>SUMIF(项目基本情况!D$12:I$12,C9,项目基本情况!D$15:I$15)</f>
        <v>32.950000000000003</v>
      </c>
      <c r="G9" s="73">
        <f t="shared" si="2"/>
        <v>0.93200000000000005</v>
      </c>
      <c r="H9" s="802">
        <v>0.05</v>
      </c>
      <c r="I9" s="74">
        <v>5.5E-2</v>
      </c>
      <c r="J9" s="74">
        <v>8.5000000000000006E-2</v>
      </c>
      <c r="K9" s="1247">
        <f>SUMIF('数据-汇总表'!C$19:C$33,A9,'数据-汇总表'!E$19:E$33)</f>
        <v>1163.6300000000001</v>
      </c>
      <c r="L9" s="803">
        <v>3200</v>
      </c>
      <c r="M9" s="75">
        <f t="shared" si="0"/>
        <v>372</v>
      </c>
      <c r="N9" s="801">
        <f t="shared" si="3"/>
        <v>0.97</v>
      </c>
      <c r="O9" s="75" t="str">
        <f t="shared" si="4"/>
        <v>——</v>
      </c>
      <c r="P9" s="76" t="str">
        <f t="shared" si="5"/>
        <v>——</v>
      </c>
      <c r="Q9" s="90">
        <v>0.15</v>
      </c>
      <c r="R9" s="77">
        <f ca="1">SUMIF('数据-汇总表'!C$19:C$33,A9,'数据-汇总表'!R$19:R$27)</f>
        <v>205.39</v>
      </c>
      <c r="S9" s="54">
        <f>IF('数据-汇总表'!$I$17="按面积比例",SUMIF('数据-汇总表'!C$19:C$33,A9,'数据-汇总表'!K$19:K$33),SUMIF('数据-汇总表'!C$19:C$33,A9,'数据-汇总表'!N$19:N$33))</f>
        <v>0</v>
      </c>
      <c r="T9" s="1439">
        <f t="shared" si="6"/>
        <v>0</v>
      </c>
      <c r="U9" s="78"/>
      <c r="V9" s="79">
        <v>0.03</v>
      </c>
      <c r="W9" s="79">
        <v>0.1</v>
      </c>
      <c r="X9" s="1257"/>
      <c r="Y9" s="80">
        <f t="shared" si="7"/>
        <v>0.97</v>
      </c>
      <c r="Z9" s="81"/>
      <c r="AA9" s="74"/>
      <c r="AB9" s="74"/>
      <c r="AC9" s="1257"/>
      <c r="AD9" s="82"/>
      <c r="AE9" s="1258">
        <f t="shared" ca="1" si="8"/>
        <v>0</v>
      </c>
      <c r="AF9" s="1799"/>
      <c r="AG9" s="147">
        <f t="shared" si="9"/>
        <v>0</v>
      </c>
      <c r="AH9" s="83"/>
      <c r="AI9" s="85">
        <v>365</v>
      </c>
      <c r="AJ9" s="86"/>
      <c r="AK9" s="87">
        <v>1.4999999999999999E-2</v>
      </c>
      <c r="AL9" s="88">
        <v>1.5E-3</v>
      </c>
      <c r="AM9" s="89">
        <v>1.4999999999999999E-2</v>
      </c>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c r="A10" s="2299" t="str">
        <f>'数据-汇总表'!C23</f>
        <v>地下车库</v>
      </c>
      <c r="B10" s="2300" t="str">
        <f t="shared" si="1"/>
        <v>经营性</v>
      </c>
      <c r="C10" s="2301" t="s">
        <v>3712</v>
      </c>
      <c r="D10" s="1049">
        <f>SUMIF(项目基本情况!D$12:I$12,C10,项目基本情况!D$14:I$14)</f>
        <v>50</v>
      </c>
      <c r="E10" s="1046">
        <f>IF(B10="","",SUMIF(项目基本情况!D$12:I$12,C10,项目基本情况!D$13:I$13))</f>
        <v>59022</v>
      </c>
      <c r="F10" s="72">
        <f>SUMIF(项目基本情况!D$12:I$12,C10,项目基本情况!D$15:I$15)</f>
        <v>42.95</v>
      </c>
      <c r="G10" s="73">
        <f t="shared" si="2"/>
        <v>0.95499999999999996</v>
      </c>
      <c r="H10" s="802">
        <v>4.4999999999999998E-2</v>
      </c>
      <c r="I10" s="74">
        <v>0.05</v>
      </c>
      <c r="J10" s="74">
        <v>8.5000000000000006E-2</v>
      </c>
      <c r="K10" s="1247">
        <f>SUMIF('数据-汇总表'!C$19:C$33,A10,'数据-汇总表'!E$19:E$33)</f>
        <v>15254.020000000017</v>
      </c>
      <c r="L10" s="3026">
        <v>2800</v>
      </c>
      <c r="M10" s="75">
        <f t="shared" si="0"/>
        <v>4271</v>
      </c>
      <c r="N10" s="801">
        <f t="shared" si="3"/>
        <v>0.97</v>
      </c>
      <c r="O10" s="75" t="str">
        <f t="shared" si="4"/>
        <v>——</v>
      </c>
      <c r="P10" s="76" t="str">
        <f t="shared" si="5"/>
        <v>——</v>
      </c>
      <c r="Q10" s="90">
        <v>0.05</v>
      </c>
      <c r="R10" s="77">
        <f ca="1">SUMIF('数据-汇总表'!C$19:C$33,A10,'数据-汇总表'!R$19:R$27)</f>
        <v>2692.46</v>
      </c>
      <c r="S10" s="54">
        <f>IF('数据-汇总表'!$I$17="按面积比例",SUMIF('数据-汇总表'!C$19:C$33,A10,'数据-汇总表'!K$19:K$33),SUMIF('数据-汇总表'!C$19:C$33,A10,'数据-汇总表'!N$19:N$33))</f>
        <v>0</v>
      </c>
      <c r="T10" s="1439">
        <f t="shared" si="6"/>
        <v>0</v>
      </c>
      <c r="U10" s="78">
        <v>1200</v>
      </c>
      <c r="V10" s="79">
        <v>0.03</v>
      </c>
      <c r="W10" s="79">
        <v>0.1</v>
      </c>
      <c r="X10" s="1257"/>
      <c r="Y10" s="80">
        <f t="shared" si="7"/>
        <v>0.97</v>
      </c>
      <c r="Z10" s="81"/>
      <c r="AA10" s="74"/>
      <c r="AB10" s="74"/>
      <c r="AC10" s="1257"/>
      <c r="AD10" s="82"/>
      <c r="AE10" s="1258">
        <f t="shared" ca="1" si="8"/>
        <v>42.95</v>
      </c>
      <c r="AF10" s="1799"/>
      <c r="AG10" s="147">
        <f t="shared" si="9"/>
        <v>0</v>
      </c>
      <c r="AH10" s="83">
        <v>209</v>
      </c>
      <c r="AI10" s="85">
        <v>12</v>
      </c>
      <c r="AJ10" s="86"/>
      <c r="AK10" s="87">
        <v>1.4999999999999999E-2</v>
      </c>
      <c r="AL10" s="88">
        <v>1.5E-3</v>
      </c>
      <c r="AM10" s="89">
        <v>0.01</v>
      </c>
      <c r="AN10" s="2302" t="s">
        <v>3820</v>
      </c>
      <c r="AO10" s="55">
        <f t="shared" ca="1" si="10"/>
        <v>3571</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c r="A11" s="2299" t="str">
        <f>'数据-汇总表'!C24</f>
        <v>库房</v>
      </c>
      <c r="B11" s="2300" t="str">
        <f t="shared" si="1"/>
        <v>经营性</v>
      </c>
      <c r="C11" s="2301" t="s">
        <v>27</v>
      </c>
      <c r="D11" s="1049">
        <f>SUMIF(项目基本情况!D$12:I$12,C11,项目基本情况!D$14:I$14)</f>
        <v>50</v>
      </c>
      <c r="E11" s="1046">
        <f>IF(B11="","",SUMIF(项目基本情况!D$12:I$12,C11,项目基本情况!D$13:I$13))</f>
        <v>59022</v>
      </c>
      <c r="F11" s="72">
        <f>SUMIF(项目基本情况!D$12:I$12,C11,项目基本情况!D$15:I$15)</f>
        <v>42.95</v>
      </c>
      <c r="G11" s="73">
        <f t="shared" si="2"/>
        <v>0.95499999999999996</v>
      </c>
      <c r="H11" s="802">
        <v>4.4999999999999998E-2</v>
      </c>
      <c r="I11" s="74">
        <v>0.05</v>
      </c>
      <c r="J11" s="74">
        <v>8.5000000000000006E-2</v>
      </c>
      <c r="K11" s="1247">
        <f>SUMIF('数据-汇总表'!C$19:C$33,A11,'数据-汇总表'!E$19:E$33)</f>
        <v>2046.64</v>
      </c>
      <c r="L11" s="3027">
        <v>2800</v>
      </c>
      <c r="M11" s="75">
        <f t="shared" si="0"/>
        <v>573</v>
      </c>
      <c r="N11" s="801">
        <f t="shared" si="3"/>
        <v>0.97</v>
      </c>
      <c r="O11" s="75" t="str">
        <f t="shared" si="4"/>
        <v>——</v>
      </c>
      <c r="P11" s="76" t="str">
        <f t="shared" si="5"/>
        <v>——</v>
      </c>
      <c r="Q11" s="90">
        <v>0.05</v>
      </c>
      <c r="R11" s="77">
        <f ca="1">SUMIF('数据-汇总表'!C$19:C$33,A11,'数据-汇总表'!R$19:R$27)</f>
        <v>361.25</v>
      </c>
      <c r="S11" s="54">
        <f>IF('数据-汇总表'!$I$17="按面积比例",SUMIF('数据-汇总表'!C$19:C$33,A11,'数据-汇总表'!K$19:K$33),SUMIF('数据-汇总表'!C$19:C$33,A11,'数据-汇总表'!N$19:N$33))</f>
        <v>0</v>
      </c>
      <c r="T11" s="1439">
        <f t="shared" si="6"/>
        <v>0</v>
      </c>
      <c r="U11" s="83">
        <v>1.5</v>
      </c>
      <c r="V11" s="74">
        <v>0.02</v>
      </c>
      <c r="W11" s="74">
        <v>0.15</v>
      </c>
      <c r="X11" s="1257"/>
      <c r="Y11" s="80">
        <f t="shared" si="7"/>
        <v>0.97</v>
      </c>
      <c r="Z11" s="93"/>
      <c r="AA11" s="74"/>
      <c r="AB11" s="74"/>
      <c r="AC11" s="1257"/>
      <c r="AD11" s="82"/>
      <c r="AE11" s="1258">
        <f t="shared" ca="1" si="8"/>
        <v>42.95</v>
      </c>
      <c r="AF11" s="1799"/>
      <c r="AG11" s="147">
        <f t="shared" si="9"/>
        <v>0</v>
      </c>
      <c r="AH11" s="83"/>
      <c r="AI11" s="85">
        <v>365</v>
      </c>
      <c r="AJ11" s="86"/>
      <c r="AK11" s="87">
        <v>1.4999999999999999E-2</v>
      </c>
      <c r="AL11" s="88">
        <v>1.5E-3</v>
      </c>
      <c r="AM11" s="89">
        <v>0.01</v>
      </c>
      <c r="AN11" s="2302" t="s">
        <v>3818</v>
      </c>
      <c r="AO11" s="55">
        <f t="shared" ca="1" si="10"/>
        <v>1551</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2010</v>
      </c>
      <c r="B14" s="2300" t="s">
        <v>2011</v>
      </c>
      <c r="C14" s="2305" t="s">
        <v>2010</v>
      </c>
      <c r="D14" s="1049"/>
      <c r="E14" s="1046"/>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2012</v>
      </c>
      <c r="B15" s="2300" t="s">
        <v>2011</v>
      </c>
      <c r="C15" s="2305" t="s">
        <v>2013</v>
      </c>
      <c r="D15" s="1049"/>
      <c r="E15" s="1046"/>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2014</v>
      </c>
      <c r="B16" s="97"/>
      <c r="C16" s="1003"/>
      <c r="D16" s="2307"/>
      <c r="E16" s="97"/>
      <c r="F16" s="97"/>
      <c r="G16" s="98">
        <f>ROUND(SUMPRODUCT(G6:G13,K6:K13)/SUMPRODUCT((G6:G13&gt;0)*(K6:K13)),3)</f>
        <v>0.94399999999999995</v>
      </c>
      <c r="H16" s="99">
        <f>ROUND(SUMPRODUCT(H6:H13,K6:K13)/SUMPRODUCT((H6:H13&gt;0)*(K6:K13)),3)</f>
        <v>4.7E-2</v>
      </c>
      <c r="I16" s="100"/>
      <c r="J16" s="100"/>
      <c r="K16" s="101">
        <f>SUM(K6:K15)</f>
        <v>34166.230000000018</v>
      </c>
      <c r="L16" s="102">
        <f>ROUND(M16*10000/SUM(K6:K14),0)</f>
        <v>2997</v>
      </c>
      <c r="M16" s="102">
        <f>SUM(M6:M14)</f>
        <v>10240</v>
      </c>
      <c r="N16" s="103">
        <f>ROUND(SUMPRODUCT(M6:M14,N6:N14)/M16,3)</f>
        <v>0.97</v>
      </c>
      <c r="O16" s="102">
        <f>SUM(O6:O14)</f>
        <v>0</v>
      </c>
      <c r="P16" s="102">
        <f>SUM(P6:P14)</f>
        <v>0</v>
      </c>
      <c r="Q16" s="104">
        <f>ROUND(SUMPRODUCT(Q6:Q13,K6:K13)/SUMPRODUCT((Q6:Q13&gt;0)*(K6:K13)),2)</f>
        <v>0.11</v>
      </c>
      <c r="R16" s="1251">
        <f ca="1">SUM(R6:R13)</f>
        <v>6030.62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2016</v>
      </c>
      <c r="B19" s="112">
        <v>0</v>
      </c>
      <c r="C19" s="2270" t="s">
        <v>2017</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2018</v>
      </c>
      <c r="B20" s="113">
        <v>2</v>
      </c>
      <c r="C20" s="2270" t="s">
        <v>2019</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2020</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2021</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2022</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2023</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2024</v>
      </c>
      <c r="B26" s="2313" t="s">
        <v>2025</v>
      </c>
      <c r="C26" s="2314" t="s">
        <v>2026</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2027</v>
      </c>
      <c r="B27" s="116"/>
      <c r="C27" s="1760" t="s">
        <v>2028</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2029</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2030</v>
      </c>
      <c r="B29" s="121"/>
      <c r="C29" s="1760" t="s">
        <v>2031</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2032</v>
      </c>
      <c r="B30" s="724">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2033</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2034</v>
      </c>
      <c r="B32" s="725">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2035</v>
      </c>
      <c r="B33" s="726">
        <v>0.03</v>
      </c>
      <c r="C33" s="1759" t="s">
        <v>2036</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2037</v>
      </c>
      <c r="B34" s="122">
        <v>0</v>
      </c>
      <c r="C34" s="1759" t="s">
        <v>2038</v>
      </c>
      <c r="D34" s="2271" t="s">
        <v>2039</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2040</v>
      </c>
      <c r="B35" s="119">
        <v>200</v>
      </c>
      <c r="C35" s="1759" t="s">
        <v>2041</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2042</v>
      </c>
      <c r="B36" s="123">
        <v>1.4999999999999999E-2</v>
      </c>
      <c r="C36" s="1759" t="s">
        <v>2043</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2044</v>
      </c>
      <c r="B37" s="124">
        <v>0.02</v>
      </c>
      <c r="C37" s="1759" t="s">
        <v>2045</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2046</v>
      </c>
      <c r="B38" s="122">
        <v>0.02</v>
      </c>
      <c r="C38" s="1759" t="s">
        <v>2045</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2047</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2048</v>
      </c>
      <c r="B40" s="1296">
        <f ca="1">存贷款利率!G1</f>
        <v>4.7500000000000001E-2</v>
      </c>
      <c r="C40" s="1759" t="s">
        <v>2049</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2050</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2051</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2052</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2053</v>
      </c>
      <c r="B44" s="128">
        <v>7.0000000000000007E-2</v>
      </c>
      <c r="C44" s="1759" t="s">
        <v>2054</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2055</v>
      </c>
      <c r="B45" s="126">
        <v>0.03</v>
      </c>
      <c r="C45" s="1760" t="s">
        <v>2056</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2057</v>
      </c>
      <c r="B46" s="126">
        <v>0.02</v>
      </c>
      <c r="C46" s="1760" t="s">
        <v>2058</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2059</v>
      </c>
      <c r="B47" s="129"/>
      <c r="C47" s="1760" t="s">
        <v>2060</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2061</v>
      </c>
      <c r="B48" s="130">
        <v>0.03</v>
      </c>
      <c r="C48" s="1766" t="s">
        <v>2062</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2063</v>
      </c>
      <c r="B49" s="126">
        <v>5.0000000000000001E-4</v>
      </c>
      <c r="C49" s="1766" t="s">
        <v>2064</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2065</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2066</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2067</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2068</v>
      </c>
      <c r="B53" s="2329" t="s">
        <v>523</v>
      </c>
      <c r="C53" s="1423" t="s">
        <v>2069</v>
      </c>
      <c r="D53" s="2330" t="s">
        <v>2070</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2071</v>
      </c>
      <c r="B54" s="84">
        <f>C54</f>
        <v>30</v>
      </c>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2072</v>
      </c>
      <c r="B55" s="84">
        <f t="shared" ref="B55:B59" si="14">C55</f>
        <v>24</v>
      </c>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2073</v>
      </c>
      <c r="B56" s="84">
        <f t="shared" si="1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2074</v>
      </c>
      <c r="B57" s="84">
        <f t="shared" si="14"/>
        <v>12</v>
      </c>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2075</v>
      </c>
      <c r="B58" s="84">
        <f t="shared" si="1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2076</v>
      </c>
      <c r="B59" s="84">
        <f t="shared" si="14"/>
        <v>1.5</v>
      </c>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2077</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2078</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2079</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2080</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2" customFormat="1">
      <c r="A64" s="2334"/>
      <c r="D64" s="2335"/>
      <c r="K64" s="798"/>
      <c r="L64" s="798"/>
    </row>
    <row r="65" spans="1:12" s="962" customFormat="1">
      <c r="A65" s="2334"/>
      <c r="D65" s="2335"/>
      <c r="K65" s="798"/>
      <c r="L65" s="798"/>
    </row>
    <row r="66" spans="1:12" s="962" customFormat="1">
      <c r="A66" s="2334"/>
      <c r="D66" s="2335"/>
      <c r="K66" s="798"/>
      <c r="L66" s="798"/>
    </row>
    <row r="67" spans="1:12" s="962" customFormat="1">
      <c r="A67" s="2334"/>
      <c r="D67" s="2335"/>
      <c r="K67" s="798"/>
      <c r="L67" s="798"/>
    </row>
    <row r="68" spans="1:12" s="962" customFormat="1">
      <c r="A68" s="2334"/>
      <c r="D68" s="2335"/>
      <c r="K68" s="798"/>
      <c r="L68" s="798"/>
    </row>
    <row r="69" spans="1:12" s="962" customFormat="1">
      <c r="A69" s="2334"/>
      <c r="D69" s="2335"/>
      <c r="K69" s="798"/>
      <c r="L69" s="798"/>
    </row>
    <row r="70" spans="1:12" s="962" customFormat="1">
      <c r="A70" s="2334"/>
      <c r="D70" s="2335"/>
      <c r="K70" s="798"/>
      <c r="L70" s="798"/>
    </row>
    <row r="71" spans="1:12" s="962" customFormat="1">
      <c r="A71" s="2334"/>
      <c r="D71" s="2335"/>
      <c r="K71" s="798"/>
      <c r="L71" s="798"/>
    </row>
    <row r="72" spans="1:12" s="962" customFormat="1">
      <c r="A72" s="2334"/>
      <c r="D72" s="2335"/>
      <c r="K72" s="798"/>
      <c r="L72" s="798"/>
    </row>
    <row r="73" spans="1:12" s="962" customFormat="1">
      <c r="A73" s="2334"/>
      <c r="D73" s="2335"/>
      <c r="K73" s="798"/>
      <c r="L73" s="798"/>
    </row>
    <row r="74" spans="1:12" s="962" customFormat="1">
      <c r="A74" s="2334"/>
      <c r="D74" s="2335"/>
      <c r="K74" s="798"/>
      <c r="L74" s="798"/>
    </row>
    <row r="75" spans="1:12" s="962" customFormat="1">
      <c r="A75" s="2334"/>
      <c r="D75" s="2335"/>
      <c r="K75" s="798"/>
      <c r="L75" s="798"/>
    </row>
    <row r="76" spans="1:12" s="962" customFormat="1">
      <c r="A76" s="2334"/>
      <c r="D76" s="2335"/>
      <c r="K76" s="798"/>
      <c r="L76" s="798"/>
    </row>
    <row r="77" spans="1:12" s="962" customFormat="1">
      <c r="A77" s="2334"/>
      <c r="D77" s="2335"/>
      <c r="K77" s="798"/>
      <c r="L77" s="798"/>
    </row>
    <row r="78" spans="1:12" s="962" customFormat="1">
      <c r="A78" s="2334"/>
      <c r="D78" s="2335"/>
      <c r="K78" s="798"/>
      <c r="L78" s="798"/>
    </row>
    <row r="79" spans="1:12" s="962" customFormat="1">
      <c r="A79" s="2334"/>
      <c r="D79" s="2335"/>
      <c r="K79" s="798"/>
      <c r="L79" s="798"/>
    </row>
    <row r="80" spans="1:12" s="962" customFormat="1">
      <c r="A80" s="2334"/>
      <c r="D80" s="2335"/>
      <c r="K80" s="798"/>
      <c r="L80" s="798"/>
    </row>
    <row r="81" spans="1:12" s="962" customFormat="1">
      <c r="A81" s="2334"/>
      <c r="D81" s="2335"/>
      <c r="K81" s="798"/>
      <c r="L81" s="798"/>
    </row>
    <row r="82" spans="1:12" s="962" customFormat="1">
      <c r="A82" s="2334"/>
      <c r="D82" s="2335"/>
      <c r="K82" s="798"/>
      <c r="L82" s="798"/>
    </row>
    <row r="83" spans="1:12" s="962" customFormat="1">
      <c r="A83" s="2334"/>
      <c r="D83" s="2335"/>
      <c r="K83" s="798"/>
      <c r="L83" s="798"/>
    </row>
    <row r="84" spans="1:12" s="962" customFormat="1">
      <c r="A84" s="2334"/>
      <c r="D84" s="2335"/>
      <c r="K84" s="798"/>
      <c r="L84" s="798"/>
    </row>
    <row r="85" spans="1:12" s="962" customFormat="1">
      <c r="A85" s="2334"/>
      <c r="D85" s="2335"/>
      <c r="K85" s="798"/>
      <c r="L85" s="798"/>
    </row>
    <row r="86" spans="1:12" s="962" customFormat="1">
      <c r="A86" s="2334"/>
      <c r="D86" s="2335"/>
      <c r="K86" s="798"/>
      <c r="L86" s="798"/>
    </row>
    <row r="87" spans="1:12" s="962" customFormat="1">
      <c r="A87" s="2334"/>
      <c r="D87" s="2335"/>
      <c r="K87" s="798"/>
      <c r="L87" s="798"/>
    </row>
    <row r="88" spans="1:12" s="962" customFormat="1">
      <c r="A88" s="2334"/>
      <c r="D88" s="2335"/>
      <c r="K88" s="798"/>
      <c r="L88" s="798"/>
    </row>
    <row r="89" spans="1:12" s="962" customFormat="1">
      <c r="A89" s="2334"/>
      <c r="D89" s="2335"/>
      <c r="K89" s="798"/>
      <c r="L89" s="798"/>
    </row>
    <row r="90" spans="1:12" s="962" customFormat="1">
      <c r="A90" s="2334"/>
      <c r="D90" s="2335"/>
      <c r="K90" s="798"/>
      <c r="L90" s="798"/>
    </row>
    <row r="91" spans="1:12" s="962" customFormat="1">
      <c r="A91" s="2334"/>
      <c r="D91" s="2335"/>
      <c r="K91" s="798"/>
      <c r="L91" s="798"/>
    </row>
    <row r="92" spans="1:12" s="962" customFormat="1">
      <c r="A92" s="2334"/>
      <c r="D92" s="2335"/>
      <c r="K92" s="798"/>
      <c r="L92" s="798"/>
    </row>
    <row r="93" spans="1:12" s="962" customFormat="1">
      <c r="A93" s="2334"/>
      <c r="D93" s="2335"/>
      <c r="K93" s="798"/>
      <c r="L93" s="798"/>
    </row>
    <row r="94" spans="1:12" s="962" customFormat="1">
      <c r="A94" s="2334"/>
      <c r="D94" s="2335"/>
      <c r="K94" s="798"/>
      <c r="L94" s="798"/>
    </row>
    <row r="95" spans="1:12" s="962" customFormat="1">
      <c r="A95" s="2334"/>
      <c r="D95" s="2335"/>
      <c r="K95" s="798"/>
      <c r="L95" s="798"/>
    </row>
    <row r="96" spans="1:12" s="962" customFormat="1">
      <c r="A96" s="2334"/>
      <c r="D96" s="2335"/>
      <c r="K96" s="798"/>
      <c r="L96" s="798"/>
    </row>
    <row r="97" spans="1:12" s="962" customFormat="1">
      <c r="A97" s="2334"/>
      <c r="D97" s="2335"/>
      <c r="K97" s="798"/>
      <c r="L97" s="798"/>
    </row>
    <row r="98" spans="1:12" s="962" customFormat="1">
      <c r="A98" s="2334"/>
      <c r="D98" s="2335"/>
      <c r="K98" s="798"/>
      <c r="L98" s="798"/>
    </row>
    <row r="99" spans="1:12" s="962" customFormat="1">
      <c r="A99" s="2334"/>
      <c r="D99" s="2335"/>
      <c r="K99" s="798"/>
      <c r="L99" s="798"/>
    </row>
    <row r="100" spans="1:12" s="962" customFormat="1">
      <c r="A100" s="2334"/>
      <c r="D100" s="2335"/>
      <c r="K100" s="798"/>
      <c r="L100" s="798"/>
    </row>
    <row r="101" spans="1:12" s="962" customFormat="1">
      <c r="A101" s="2334"/>
      <c r="D101" s="2335"/>
      <c r="K101" s="798"/>
      <c r="L101" s="798"/>
    </row>
    <row r="102" spans="1:12" s="962" customFormat="1">
      <c r="A102" s="2334"/>
      <c r="D102" s="2335"/>
      <c r="K102" s="798"/>
      <c r="L102" s="798"/>
    </row>
    <row r="103" spans="1:12" s="962" customFormat="1">
      <c r="A103" s="2334"/>
      <c r="D103" s="2335"/>
      <c r="K103" s="798"/>
      <c r="L103" s="798"/>
    </row>
    <row r="104" spans="1:12" s="962" customFormat="1">
      <c r="A104" s="2334"/>
      <c r="D104" s="2335"/>
      <c r="K104" s="798"/>
      <c r="L104" s="798"/>
    </row>
    <row r="105" spans="1:12" s="962" customFormat="1">
      <c r="A105" s="2334"/>
      <c r="D105" s="2335"/>
      <c r="K105" s="798"/>
      <c r="L105" s="798"/>
    </row>
    <row r="106" spans="1:12" s="962" customFormat="1">
      <c r="A106" s="2334"/>
      <c r="D106" s="2335"/>
      <c r="K106" s="798"/>
      <c r="L106" s="798"/>
    </row>
    <row r="107" spans="1:12" s="962" customFormat="1">
      <c r="A107" s="2334"/>
      <c r="D107" s="2335"/>
      <c r="K107" s="798"/>
      <c r="L107" s="798"/>
    </row>
    <row r="108" spans="1:12" s="962" customFormat="1">
      <c r="A108" s="2334"/>
      <c r="D108" s="2335"/>
      <c r="K108" s="798"/>
      <c r="L108" s="798"/>
    </row>
    <row r="109" spans="1:12" s="962" customFormat="1">
      <c r="A109" s="2334"/>
      <c r="D109" s="2335"/>
      <c r="K109" s="798"/>
      <c r="L109" s="798"/>
    </row>
    <row r="110" spans="1:12" s="962" customFormat="1">
      <c r="A110" s="2334"/>
      <c r="D110" s="2335"/>
      <c r="K110" s="798"/>
      <c r="L110" s="798"/>
    </row>
    <row r="111" spans="1:12" s="962" customFormat="1">
      <c r="A111" s="2334"/>
      <c r="D111" s="2335"/>
      <c r="K111" s="798"/>
      <c r="L111" s="798"/>
    </row>
    <row r="112" spans="1:12" s="962" customFormat="1">
      <c r="A112" s="2334"/>
      <c r="D112" s="2335"/>
      <c r="K112" s="798"/>
      <c r="L112" s="798"/>
    </row>
    <row r="113" spans="1:12" s="962" customFormat="1">
      <c r="A113" s="2334"/>
      <c r="D113" s="2335"/>
      <c r="K113" s="798"/>
      <c r="L113" s="798"/>
    </row>
    <row r="114" spans="1:12" s="962" customFormat="1">
      <c r="A114" s="2334"/>
      <c r="D114" s="2335"/>
      <c r="K114" s="798"/>
      <c r="L114" s="798"/>
    </row>
    <row r="115" spans="1:12" s="962" customFormat="1">
      <c r="A115" s="2334"/>
      <c r="D115" s="2335"/>
      <c r="K115" s="798"/>
      <c r="L115" s="798"/>
    </row>
    <row r="116" spans="1:12" s="962" customFormat="1">
      <c r="A116" s="2334"/>
      <c r="D116" s="2335"/>
      <c r="K116" s="798"/>
      <c r="L116" s="798"/>
    </row>
    <row r="117" spans="1:12" s="962" customFormat="1">
      <c r="A117" s="2334"/>
      <c r="D117" s="2335"/>
      <c r="K117" s="798"/>
      <c r="L117" s="798"/>
    </row>
    <row r="118" spans="1:12" s="962" customFormat="1">
      <c r="A118" s="2334"/>
      <c r="D118" s="2335"/>
      <c r="K118" s="798"/>
      <c r="L118" s="798"/>
    </row>
    <row r="119" spans="1:12" s="962" customFormat="1">
      <c r="A119" s="2334"/>
      <c r="D119" s="2335"/>
      <c r="K119" s="798"/>
      <c r="L119" s="798"/>
    </row>
    <row r="120" spans="1:12" s="962" customFormat="1">
      <c r="A120" s="2334"/>
      <c r="D120" s="2335"/>
      <c r="K120" s="798"/>
      <c r="L120" s="798"/>
    </row>
    <row r="121" spans="1:12" s="962" customFormat="1">
      <c r="A121" s="2334"/>
      <c r="D121" s="2335"/>
      <c r="K121" s="798"/>
      <c r="L121" s="798"/>
    </row>
    <row r="122" spans="1:12" s="962" customFormat="1">
      <c r="A122" s="2334"/>
      <c r="D122" s="2335"/>
      <c r="K122" s="798"/>
      <c r="L122" s="798"/>
    </row>
    <row r="123" spans="1:12" s="962" customFormat="1">
      <c r="A123" s="2334"/>
      <c r="D123" s="2335"/>
      <c r="K123" s="798"/>
      <c r="L123" s="798"/>
    </row>
    <row r="124" spans="1:12" s="962" customFormat="1">
      <c r="A124" s="2334"/>
      <c r="D124" s="2335"/>
      <c r="K124" s="798"/>
      <c r="L124" s="798"/>
    </row>
    <row r="125" spans="1:12" s="962" customFormat="1">
      <c r="A125" s="2334"/>
      <c r="D125" s="2335"/>
      <c r="K125" s="798"/>
      <c r="L125" s="798"/>
    </row>
    <row r="126" spans="1:12" s="962" customFormat="1">
      <c r="A126" s="2334"/>
      <c r="D126" s="2335"/>
      <c r="K126" s="798"/>
      <c r="L126" s="798"/>
    </row>
    <row r="127" spans="1:12" s="962" customFormat="1">
      <c r="A127" s="2334"/>
      <c r="D127" s="2335"/>
      <c r="K127" s="798"/>
      <c r="L127" s="798"/>
    </row>
    <row r="128" spans="1:12" s="962" customFormat="1">
      <c r="A128" s="2334"/>
      <c r="D128" s="2335"/>
      <c r="K128" s="798"/>
      <c r="L128" s="798"/>
    </row>
    <row r="129" spans="1:12" s="962" customFormat="1">
      <c r="A129" s="2334"/>
      <c r="D129" s="2335"/>
      <c r="K129" s="798"/>
      <c r="L129" s="798"/>
    </row>
    <row r="130" spans="1:12" s="962" customFormat="1">
      <c r="A130" s="2334"/>
      <c r="D130" s="2335"/>
      <c r="K130" s="798"/>
      <c r="L130" s="798"/>
    </row>
    <row r="131" spans="1:12" s="962" customFormat="1">
      <c r="A131" s="2334"/>
      <c r="D131" s="2335"/>
      <c r="K131" s="798"/>
      <c r="L131" s="798"/>
    </row>
    <row r="132" spans="1:12" s="962" customFormat="1">
      <c r="A132" s="2334"/>
      <c r="D132" s="2335"/>
      <c r="K132" s="798"/>
      <c r="L132" s="798"/>
    </row>
    <row r="133" spans="1:12" s="962"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120" t="s">
        <v>2081</v>
      </c>
      <c r="B1" s="3121"/>
      <c r="C1" s="3121"/>
      <c r="D1" s="3121"/>
      <c r="E1" s="3121"/>
      <c r="F1" s="3121"/>
      <c r="G1" s="312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2082</v>
      </c>
      <c r="D2" s="2359"/>
      <c r="E2" s="2360"/>
      <c r="F2" s="2279"/>
      <c r="G2" s="2358" t="s">
        <v>2083</v>
      </c>
      <c r="H2" s="2361"/>
      <c r="I2" s="2361"/>
      <c r="J2" s="2361"/>
      <c r="K2" s="2361"/>
      <c r="L2" s="2361"/>
      <c r="M2" s="2361"/>
      <c r="N2" s="2361"/>
      <c r="O2" s="2361"/>
      <c r="P2" s="2361"/>
      <c r="Q2" s="2361"/>
      <c r="R2" s="2361"/>
    </row>
    <row r="3" spans="1:29" ht="54">
      <c r="A3" s="415" t="s">
        <v>2084</v>
      </c>
      <c r="B3" s="1264" t="s">
        <v>2085</v>
      </c>
      <c r="C3" s="2363" t="s">
        <v>2086</v>
      </c>
      <c r="D3" s="2364"/>
      <c r="E3" s="431" t="s">
        <v>2084</v>
      </c>
      <c r="F3" s="2365" t="s">
        <v>2087</v>
      </c>
      <c r="G3" s="2366" t="s">
        <v>2088</v>
      </c>
      <c r="H3" s="2361"/>
      <c r="I3" s="2361"/>
      <c r="J3" s="2361"/>
      <c r="K3" s="2361"/>
      <c r="L3" s="2361"/>
      <c r="M3" s="2361"/>
      <c r="N3" s="2361"/>
      <c r="O3" s="2361"/>
      <c r="P3" s="2361"/>
      <c r="Q3" s="2361"/>
      <c r="R3" s="2361"/>
    </row>
    <row r="4" spans="1:29" ht="48.75" customHeight="1">
      <c r="A4" s="431"/>
      <c r="B4" s="1790" t="s">
        <v>2089</v>
      </c>
      <c r="C4" s="2971" t="s">
        <v>3726</v>
      </c>
      <c r="D4" s="2364"/>
      <c r="E4" s="2368"/>
      <c r="F4" s="42" t="s">
        <v>2090</v>
      </c>
      <c r="G4" s="2369" t="s">
        <v>2091</v>
      </c>
      <c r="H4" s="2361"/>
      <c r="I4" s="2361"/>
      <c r="J4" s="2361"/>
      <c r="K4" s="2361"/>
      <c r="L4" s="2361"/>
      <c r="M4" s="2361"/>
      <c r="N4" s="2361"/>
      <c r="O4" s="2361"/>
      <c r="P4" s="2361"/>
      <c r="Q4" s="2361"/>
      <c r="R4" s="2361"/>
    </row>
    <row r="5" spans="1:29" ht="41.25">
      <c r="A5" s="431"/>
      <c r="B5" s="1790" t="s">
        <v>2092</v>
      </c>
      <c r="C5" s="2367" t="s">
        <v>2093</v>
      </c>
      <c r="D5" s="2364"/>
      <c r="E5" s="2368"/>
      <c r="F5" s="1790" t="s">
        <v>2094</v>
      </c>
      <c r="G5" s="2369" t="s">
        <v>2095</v>
      </c>
      <c r="H5" s="2361"/>
      <c r="I5" s="2361"/>
      <c r="J5" s="2361"/>
      <c r="K5" s="2361"/>
      <c r="L5" s="2361"/>
      <c r="M5" s="2361"/>
      <c r="N5" s="2361"/>
      <c r="O5" s="2361"/>
      <c r="P5" s="2361"/>
      <c r="Q5" s="2361"/>
      <c r="R5" s="2361"/>
    </row>
    <row r="6" spans="1:29" ht="54">
      <c r="A6" s="431"/>
      <c r="B6" s="1790" t="s">
        <v>2096</v>
      </c>
      <c r="C6" s="2972" t="s">
        <v>3729</v>
      </c>
      <c r="D6" s="2364"/>
      <c r="E6" s="2368"/>
      <c r="F6" s="1790" t="s">
        <v>2097</v>
      </c>
      <c r="G6" s="2369" t="s">
        <v>2098</v>
      </c>
      <c r="H6" s="2361"/>
      <c r="I6" s="2361"/>
      <c r="J6" s="2361"/>
      <c r="K6" s="2361"/>
      <c r="L6" s="2361"/>
      <c r="M6" s="2361"/>
      <c r="N6" s="2361"/>
      <c r="O6" s="2361"/>
      <c r="P6" s="2361"/>
      <c r="Q6" s="2361"/>
      <c r="R6" s="2361"/>
    </row>
    <row r="7" spans="1:29" ht="41.25" thickBot="1">
      <c r="A7" s="431"/>
      <c r="B7" s="1790" t="s">
        <v>2094</v>
      </c>
      <c r="C7" s="2972" t="s">
        <v>3730</v>
      </c>
      <c r="D7" s="2370"/>
      <c r="E7" s="2371"/>
      <c r="F7" s="2372" t="s">
        <v>2099</v>
      </c>
      <c r="G7" s="2373" t="s">
        <v>2100</v>
      </c>
      <c r="H7" s="2361"/>
      <c r="I7" s="2361"/>
      <c r="J7" s="2361"/>
      <c r="K7" s="2361"/>
      <c r="L7" s="2361"/>
      <c r="M7" s="2361"/>
      <c r="N7" s="2361"/>
      <c r="O7" s="2361"/>
      <c r="P7" s="2361"/>
      <c r="Q7" s="2361"/>
      <c r="R7" s="2361"/>
    </row>
    <row r="8" spans="1:29" ht="27">
      <c r="A8" s="431"/>
      <c r="B8" s="1790" t="s">
        <v>2097</v>
      </c>
      <c r="C8" s="2369" t="s">
        <v>2098</v>
      </c>
      <c r="D8" s="2370"/>
      <c r="E8" s="2370"/>
      <c r="F8" s="1129"/>
      <c r="G8" s="1129"/>
      <c r="H8" s="2361"/>
      <c r="I8" s="2361"/>
      <c r="J8" s="2361"/>
      <c r="K8" s="2361"/>
      <c r="L8" s="2361"/>
      <c r="M8" s="2361"/>
      <c r="N8" s="2361"/>
      <c r="O8" s="2361"/>
      <c r="P8" s="2361"/>
      <c r="Q8" s="2361"/>
      <c r="R8" s="2361"/>
    </row>
    <row r="9" spans="1:29" ht="27">
      <c r="A9" s="431"/>
      <c r="B9" s="1790" t="s">
        <v>2101</v>
      </c>
      <c r="C9" s="2367" t="s">
        <v>2102</v>
      </c>
      <c r="D9" s="2364"/>
      <c r="E9" s="2370"/>
      <c r="F9" s="1129"/>
      <c r="G9" s="1129"/>
      <c r="H9" s="2361"/>
      <c r="I9" s="2361"/>
      <c r="J9" s="2361"/>
      <c r="K9" s="2361"/>
      <c r="L9" s="2361"/>
      <c r="M9" s="2361"/>
      <c r="N9" s="2361"/>
      <c r="O9" s="2361"/>
      <c r="P9" s="2361"/>
      <c r="Q9" s="2361"/>
      <c r="R9" s="2361"/>
    </row>
    <row r="10" spans="1:29" s="117" customFormat="1" ht="15.75" thickBot="1">
      <c r="A10" s="2374"/>
      <c r="B10" s="2375" t="s">
        <v>2103</v>
      </c>
      <c r="C10" s="2985" t="s">
        <v>3811</v>
      </c>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2104</v>
      </c>
      <c r="B13" s="2380"/>
      <c r="C13" s="2380"/>
      <c r="D13" s="2387"/>
      <c r="E13" s="2380"/>
      <c r="F13" s="2380"/>
      <c r="G13" s="2380"/>
    </row>
    <row r="14" spans="1:29" ht="15.75" thickBot="1">
      <c r="A14" s="2391"/>
      <c r="B14" s="2392"/>
      <c r="C14" s="2393" t="s">
        <v>2105</v>
      </c>
      <c r="D14" s="2364"/>
      <c r="E14" s="2394"/>
      <c r="F14" s="2394"/>
      <c r="G14" s="2358" t="s">
        <v>2106</v>
      </c>
    </row>
    <row r="15" spans="1:29" ht="57">
      <c r="A15" s="68" t="s">
        <v>2107</v>
      </c>
      <c r="B15" s="1263" t="s">
        <v>2085</v>
      </c>
      <c r="C15" s="2395" t="str">
        <f>C3</f>
        <v>估价对象周边居住用地比例、居住小区规模和社区发展完善程度，综合评价居住社区成熟度一般</v>
      </c>
      <c r="D15" s="2364"/>
      <c r="E15" s="2396" t="s">
        <v>2108</v>
      </c>
      <c r="F15" s="1263" t="s">
        <v>2109</v>
      </c>
      <c r="G15" s="135" t="str">
        <f>G3</f>
        <v>估价对象位于XX开发区，园区建设成熟度XX，产业集聚程度XX</v>
      </c>
    </row>
    <row r="16" spans="1:29" ht="42.75">
      <c r="A16" s="645"/>
      <c r="B16" s="2397" t="s">
        <v>2089</v>
      </c>
      <c r="C16" s="2398" t="str">
        <f>C4</f>
        <v>估价对象位于丰台科技园，周边商业氛围一般，人流量一般，商业繁华度一般</v>
      </c>
      <c r="D16" s="2364"/>
      <c r="E16" s="2399"/>
      <c r="F16" s="2400" t="s">
        <v>2090</v>
      </c>
      <c r="G16" s="136" t="str">
        <f>G4</f>
        <v>估价对象周边道路状况、公共交通通达情况、停车便捷程度，综合评价交通便捷度较好</v>
      </c>
    </row>
    <row r="17" spans="1:18" ht="42.75">
      <c r="A17" s="645"/>
      <c r="B17" s="2397" t="s">
        <v>2092</v>
      </c>
      <c r="C17" s="2398" t="str">
        <f>C5</f>
        <v>估价对象位于XX商圈，周边办公楼项目较多，入驻率高，办公集聚程度较好</v>
      </c>
      <c r="D17" s="2370"/>
      <c r="E17" s="2399"/>
      <c r="F17" s="2400" t="s">
        <v>2110</v>
      </c>
      <c r="G17" s="1565"/>
    </row>
    <row r="18" spans="1:18" ht="57">
      <c r="A18" s="645"/>
      <c r="B18" s="2400" t="s">
        <v>2096</v>
      </c>
      <c r="C18" s="136" t="str">
        <f>C6</f>
        <v>估价对象周边道路状况较好、公共交通通达情况较好、停车便捷程度较好，综合评价交通便捷度较好</v>
      </c>
      <c r="D18" s="2370"/>
      <c r="E18" s="2399"/>
      <c r="F18" s="2400" t="s">
        <v>2099</v>
      </c>
      <c r="G18" s="136" t="str">
        <f>G7</f>
        <v>该园区内是否有污染型企业，绿化情况，卫生条件，整体环境状况判断</v>
      </c>
    </row>
    <row r="19" spans="1:18" ht="28.5">
      <c r="A19" s="645"/>
      <c r="B19" s="2400" t="s">
        <v>2111</v>
      </c>
      <c r="C19" s="2984" t="s">
        <v>3810</v>
      </c>
      <c r="D19" s="2364"/>
      <c r="E19" s="2399"/>
      <c r="F19" s="1790" t="s">
        <v>2094</v>
      </c>
      <c r="G19" s="136" t="str">
        <f>G5</f>
        <v>估价对象所在区域公共配套设施齐备情况</v>
      </c>
    </row>
    <row r="20" spans="1:18" ht="28.5">
      <c r="A20" s="645"/>
      <c r="B20" s="2400" t="s">
        <v>2112</v>
      </c>
      <c r="C20" s="2398" t="str">
        <f>C9</f>
        <v>区域自然环境：；人文环境；综合评价环境状况一般</v>
      </c>
      <c r="D20" s="2370"/>
      <c r="E20" s="2399"/>
      <c r="F20" s="1790" t="s">
        <v>2113</v>
      </c>
      <c r="G20" s="136" t="str">
        <f>G6</f>
        <v>估价对象所在区域基础设施水平</v>
      </c>
    </row>
    <row r="21" spans="1:18" ht="28.5">
      <c r="A21" s="645"/>
      <c r="B21" s="1790" t="s">
        <v>2094</v>
      </c>
      <c r="C21" s="136" t="str">
        <f>C7</f>
        <v>估价对象所在区域公共配套设施齐备情况一般</v>
      </c>
      <c r="D21" s="2364"/>
      <c r="E21" s="2399"/>
      <c r="F21" s="2400" t="s">
        <v>2114</v>
      </c>
      <c r="G21" s="2401"/>
    </row>
    <row r="22" spans="1:18" ht="13.5" customHeight="1">
      <c r="A22" s="645"/>
      <c r="B22" s="1790" t="s">
        <v>2097</v>
      </c>
      <c r="C22" s="136" t="str">
        <f>C8</f>
        <v>估价对象所在区域基础设施水平</v>
      </c>
      <c r="D22" s="2364"/>
      <c r="E22" s="2399"/>
      <c r="F22" s="2400" t="s">
        <v>2103</v>
      </c>
      <c r="G22" s="1565"/>
    </row>
    <row r="23" spans="1:18" s="2361" customFormat="1" ht="15.75" thickBot="1">
      <c r="A23" s="645"/>
      <c r="B23" s="2400" t="s">
        <v>2114</v>
      </c>
      <c r="C23" s="2401"/>
      <c r="D23" s="2388"/>
      <c r="E23" s="2402"/>
      <c r="F23" s="2403" t="s">
        <v>2115</v>
      </c>
      <c r="G23" s="2404"/>
      <c r="H23" s="2388"/>
      <c r="I23" s="2389"/>
      <c r="J23" s="2388"/>
      <c r="K23" s="2388"/>
      <c r="L23" s="2389"/>
      <c r="M23" s="2388"/>
      <c r="N23" s="2388"/>
      <c r="O23" s="2389"/>
      <c r="P23" s="2388"/>
      <c r="Q23" s="2388"/>
      <c r="R23" s="2390"/>
    </row>
    <row r="24" spans="1:18" s="2361" customFormat="1" ht="15.75" thickBot="1">
      <c r="A24" s="2405"/>
      <c r="B24" s="2403" t="s">
        <v>2116</v>
      </c>
      <c r="C24" s="137" t="str">
        <f>C10</f>
        <v>次干道</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ColWidth="9" defaultRowHeight="13.5"/>
  <cols>
    <col min="1" max="1" width="23.375" style="1734" customWidth="1"/>
    <col min="2" max="9" width="15.75" style="1734" customWidth="1"/>
    <col min="10" max="16384" width="9" style="1734"/>
  </cols>
  <sheetData>
    <row r="1" spans="1:10" ht="16.5">
      <c r="A1" s="1739" t="s">
        <v>1365</v>
      </c>
      <c r="B1" s="1739">
        <f>SUM(B14:B23)</f>
        <v>51466.890000000036</v>
      </c>
      <c r="C1" s="1738"/>
      <c r="D1" s="1738"/>
      <c r="E1" s="1738"/>
      <c r="F1" s="1738"/>
      <c r="G1" s="1736"/>
    </row>
    <row r="2" spans="1:10" ht="16.5">
      <c r="A2" s="1739" t="s">
        <v>1353</v>
      </c>
      <c r="B2" s="1739">
        <f>SUM(C14:C23)</f>
        <v>9084.33</v>
      </c>
      <c r="C2" s="1738"/>
      <c r="D2" s="1738"/>
      <c r="E2" s="1738"/>
      <c r="F2" s="1738"/>
      <c r="G2" s="1736"/>
    </row>
    <row r="3" spans="1:10" ht="16.5">
      <c r="A3" s="1739" t="s">
        <v>1362</v>
      </c>
      <c r="B3" s="1740">
        <f>项目基本情况!D3</f>
        <v>43342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67059</v>
      </c>
      <c r="C5" s="1739">
        <f ca="1">ROUND(B5*10000/$B$1,0)</f>
        <v>13030</v>
      </c>
      <c r="D5" s="1739">
        <f ca="1">ROUND(B5*10000/$B$2,0)</f>
        <v>73818</v>
      </c>
      <c r="E5" s="1738"/>
      <c r="F5" s="1736"/>
      <c r="G5" s="1736"/>
    </row>
    <row r="6" spans="1:10" ht="16.5">
      <c r="A6" s="1739" t="s">
        <v>1356</v>
      </c>
      <c r="B6" s="1739">
        <f ca="1">SUM(G14:G23)</f>
        <v>67059</v>
      </c>
      <c r="C6" s="1739">
        <f ca="1">ROUND(B6*10000/$B$1,0)</f>
        <v>13030</v>
      </c>
      <c r="D6" s="1739">
        <f ca="1">ROUND(B6*10000/$B$2,0)</f>
        <v>73818</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34166.230000000018</v>
      </c>
      <c r="C14" s="1737">
        <f>结果表!C118</f>
        <v>6030.62</v>
      </c>
      <c r="D14" s="1737">
        <f ca="1">结果表!H118</f>
        <v>59487</v>
      </c>
      <c r="E14" s="1737">
        <f ca="1">ROUND(D14*10000/B14,0)</f>
        <v>17411</v>
      </c>
      <c r="F14" s="1737">
        <f ca="1">ROUND(D14*10000/C14,0)</f>
        <v>98642</v>
      </c>
      <c r="G14" s="1737">
        <f ca="1">结果表!D122</f>
        <v>59487</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f>'数据-汇总表'!G23</f>
        <v>15254.020000000017</v>
      </c>
      <c r="C16" s="1742">
        <f>面积表!N7</f>
        <v>2692.46</v>
      </c>
      <c r="D16" s="1742">
        <f ca="1">'结果表 (地下车库)'!G19</f>
        <v>5902</v>
      </c>
      <c r="E16" s="1737">
        <f t="shared" ca="1" si="0"/>
        <v>3869</v>
      </c>
      <c r="F16" s="1737">
        <f t="shared" ca="1" si="1"/>
        <v>21920</v>
      </c>
      <c r="G16" s="1743">
        <f ca="1">'结果表 (地下车库)'!D122</f>
        <v>5902</v>
      </c>
      <c r="H16" s="1743"/>
      <c r="I16" s="1742"/>
    </row>
    <row r="17" spans="1:9" ht="16.5">
      <c r="A17" s="1735" t="s">
        <v>1347</v>
      </c>
      <c r="B17" s="1742">
        <f>'数据-汇总表'!G24</f>
        <v>2046.64</v>
      </c>
      <c r="C17" s="1742">
        <f>面积表!N8</f>
        <v>361.25</v>
      </c>
      <c r="D17" s="1742">
        <f ca="1">'结果表 (库房)'!G19</f>
        <v>1670</v>
      </c>
      <c r="E17" s="1737">
        <f t="shared" ca="1" si="0"/>
        <v>8160</v>
      </c>
      <c r="F17" s="1737">
        <f t="shared" ca="1" si="1"/>
        <v>46228</v>
      </c>
      <c r="G17" s="1743">
        <f ca="1">'结果表 (库房)'!D122</f>
        <v>1670</v>
      </c>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c r="D1" s="2411"/>
      <c r="E1" s="2411"/>
      <c r="F1" s="2413" t="s">
        <v>2118</v>
      </c>
      <c r="G1" s="2063" t="s">
        <v>3051</v>
      </c>
      <c r="H1" s="2414" t="str">
        <f>IF(G1="现房","——","估价对象范围")</f>
        <v>——</v>
      </c>
      <c r="I1" s="2415" t="s">
        <v>3722</v>
      </c>
    </row>
    <row r="2" spans="1:12" ht="21.75" customHeight="1" thickBot="1">
      <c r="A2" s="3194" t="str">
        <f>项目基本情况!S2</f>
        <v>北京市丰台区汽车博物馆西路8号院1、2、3号楼、4幢房地产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18" t="s">
        <v>2120</v>
      </c>
      <c r="B4" s="2419" t="s">
        <v>2121</v>
      </c>
      <c r="C4" s="2420" t="s">
        <v>3906</v>
      </c>
      <c r="D4" s="2420" t="s">
        <v>3906</v>
      </c>
      <c r="E4" s="3178" t="s">
        <v>2122</v>
      </c>
      <c r="F4" s="3191"/>
      <c r="G4" s="3191"/>
      <c r="H4" s="3191"/>
      <c r="I4" s="3179"/>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9" t="s">
        <v>2123</v>
      </c>
      <c r="B5" s="3095">
        <v>25</v>
      </c>
      <c r="C5" s="3199"/>
      <c r="D5" s="3187"/>
      <c r="E5" s="140" t="s">
        <v>2124</v>
      </c>
      <c r="F5" s="2422"/>
      <c r="G5" s="2422"/>
      <c r="H5" s="2422"/>
      <c r="I5" s="1826"/>
    </row>
    <row r="6" spans="1:12" ht="12.75">
      <c r="A6" s="3169"/>
      <c r="B6" s="3095"/>
      <c r="C6" s="3201"/>
      <c r="D6" s="3187"/>
      <c r="E6" s="140" t="s">
        <v>2125</v>
      </c>
      <c r="F6" s="2422"/>
      <c r="G6" s="2422"/>
      <c r="H6" s="2422"/>
      <c r="I6" s="1826"/>
    </row>
    <row r="7" spans="1:12" ht="12.75">
      <c r="A7" s="3169"/>
      <c r="B7" s="3095"/>
      <c r="C7" s="3200"/>
      <c r="D7" s="3187"/>
      <c r="E7" s="140" t="s">
        <v>2126</v>
      </c>
      <c r="F7" s="2422"/>
      <c r="G7" s="2422"/>
      <c r="H7" s="2422"/>
      <c r="I7" s="1826"/>
    </row>
    <row r="8" spans="1:12" ht="12.75">
      <c r="A8" s="3169" t="s">
        <v>2127</v>
      </c>
      <c r="B8" s="3095">
        <v>15</v>
      </c>
      <c r="C8" s="3199"/>
      <c r="D8" s="3187"/>
      <c r="E8" s="140" t="s">
        <v>2128</v>
      </c>
      <c r="F8" s="2422"/>
      <c r="G8" s="2422"/>
      <c r="H8" s="2422"/>
      <c r="I8" s="1826"/>
    </row>
    <row r="9" spans="1:12" ht="12.75">
      <c r="A9" s="3169"/>
      <c r="B9" s="3095"/>
      <c r="C9" s="3200"/>
      <c r="D9" s="3187"/>
      <c r="E9" s="140" t="s">
        <v>2129</v>
      </c>
      <c r="F9" s="2422"/>
      <c r="G9" s="2422"/>
      <c r="H9" s="2422"/>
      <c r="I9" s="1826"/>
    </row>
    <row r="10" spans="1:12" ht="12.75">
      <c r="A10" s="3169" t="s">
        <v>2130</v>
      </c>
      <c r="B10" s="3095">
        <v>15</v>
      </c>
      <c r="C10" s="3199"/>
      <c r="D10" s="3187"/>
      <c r="E10" s="140" t="s">
        <v>2131</v>
      </c>
      <c r="F10" s="2422"/>
      <c r="G10" s="2422"/>
      <c r="H10" s="2422"/>
      <c r="I10" s="1826"/>
    </row>
    <row r="11" spans="1:12" ht="12.75">
      <c r="A11" s="3169"/>
      <c r="B11" s="3095"/>
      <c r="C11" s="3200"/>
      <c r="D11" s="3187"/>
      <c r="E11" s="140" t="s">
        <v>2132</v>
      </c>
      <c r="F11" s="2422"/>
      <c r="G11" s="2422"/>
      <c r="H11" s="2422"/>
      <c r="I11" s="1826"/>
    </row>
    <row r="12" spans="1:12" ht="12.75">
      <c r="A12" s="3169" t="s">
        <v>2133</v>
      </c>
      <c r="B12" s="3095">
        <v>15</v>
      </c>
      <c r="C12" s="3199"/>
      <c r="D12" s="3187"/>
      <c r="E12" s="140" t="s">
        <v>2134</v>
      </c>
      <c r="F12" s="2422"/>
      <c r="G12" s="2422"/>
      <c r="H12" s="2422"/>
      <c r="I12" s="1826"/>
    </row>
    <row r="13" spans="1:12" ht="12.75">
      <c r="A13" s="3169"/>
      <c r="B13" s="3095"/>
      <c r="C13" s="3200"/>
      <c r="D13" s="3187"/>
      <c r="E13" s="140" t="s">
        <v>2135</v>
      </c>
      <c r="F13" s="2422"/>
      <c r="G13" s="2422"/>
      <c r="H13" s="2422"/>
      <c r="I13" s="1826"/>
    </row>
    <row r="14" spans="1:12" ht="12.75">
      <c r="A14" s="3169" t="s">
        <v>2136</v>
      </c>
      <c r="B14" s="3095">
        <v>30</v>
      </c>
      <c r="C14" s="3199">
        <v>1</v>
      </c>
      <c r="D14" s="3187">
        <v>0</v>
      </c>
      <c r="E14" s="140" t="s">
        <v>2137</v>
      </c>
      <c r="F14" s="2422"/>
      <c r="G14" s="2422"/>
      <c r="H14" s="2422"/>
      <c r="I14" s="1826"/>
    </row>
    <row r="15" spans="1:12" ht="12.75">
      <c r="A15" s="3169"/>
      <c r="B15" s="3095"/>
      <c r="C15" s="3201"/>
      <c r="D15" s="3187"/>
      <c r="E15" s="140" t="s">
        <v>2138</v>
      </c>
      <c r="F15" s="2422"/>
      <c r="G15" s="2422"/>
      <c r="H15" s="2422"/>
      <c r="I15" s="1826"/>
    </row>
    <row r="16" spans="1:12" ht="12.75">
      <c r="A16" s="3169"/>
      <c r="B16" s="3095"/>
      <c r="C16" s="3200"/>
      <c r="D16" s="3187"/>
      <c r="E16" s="140" t="s">
        <v>2139</v>
      </c>
      <c r="F16" s="2422"/>
      <c r="G16" s="2422"/>
      <c r="H16" s="2422"/>
      <c r="I16" s="1826"/>
    </row>
    <row r="17" spans="1:35" ht="15">
      <c r="A17" s="2423" t="s">
        <v>2140</v>
      </c>
      <c r="B17" s="64"/>
      <c r="C17" s="141">
        <f>SUM(C5:C16)</f>
        <v>1</v>
      </c>
      <c r="D17" s="141">
        <f>SUM(D5:D16)</f>
        <v>0</v>
      </c>
      <c r="E17" s="138"/>
      <c r="F17" s="138"/>
      <c r="G17" s="138"/>
      <c r="H17" s="138"/>
      <c r="I17" s="138"/>
      <c r="K17" s="2421"/>
      <c r="L17" s="2424" t="s">
        <v>2141</v>
      </c>
      <c r="M17" s="2424" t="s">
        <v>2142</v>
      </c>
    </row>
    <row r="18" spans="1:35" ht="15.75" thickBot="1">
      <c r="A18" s="2425" t="s">
        <v>2143</v>
      </c>
      <c r="B18" s="2426"/>
      <c r="C18" s="142">
        <f>ROUND(C17/SUM(C17:D17),2)</f>
        <v>1</v>
      </c>
      <c r="D18" s="142">
        <f>1-C18</f>
        <v>0</v>
      </c>
      <c r="E18" s="138"/>
      <c r="F18" s="138"/>
      <c r="G18" s="138"/>
      <c r="H18" s="138"/>
      <c r="I18" s="138"/>
      <c r="K18" s="2421" t="s">
        <v>2144</v>
      </c>
      <c r="L18" s="2421">
        <f>IF(C1="",'数据-汇总表'!E3,SUMIF(项目类型,C1,'数据-汇总表'!E17:E26)+SUMIF(项目类型,C1,'数据-汇总表'!I17:I26))</f>
        <v>34166.230000000018</v>
      </c>
      <c r="M18" s="2421">
        <f>IF(C1="",'数据-汇总表'!E3,SUMIF(项目类型,C1,'数据-汇总表'!E17:E26))</f>
        <v>34166.230000000018</v>
      </c>
    </row>
    <row r="19" spans="1:35" ht="15">
      <c r="A19" s="2427" t="s">
        <v>2145</v>
      </c>
      <c r="B19" s="2428" t="s">
        <v>2146</v>
      </c>
      <c r="C19" s="143">
        <f ca="1">SUMIF(INDIRECT("'"&amp;C4&amp;"'"&amp;"!A:A"),结果表!B19,INDIRECT("'"&amp;C4&amp;"'"&amp;"!B:B"))</f>
        <v>59487</v>
      </c>
      <c r="D19" s="144">
        <f ca="1">SUMIF(INDIRECT("'"&amp;D4&amp;"'"&amp;"!A:A"),结果表!B19,INDIRECT("'"&amp;D4&amp;"'"&amp;"!B:B"))</f>
        <v>59487</v>
      </c>
      <c r="E19" s="2427" t="s">
        <v>2147</v>
      </c>
      <c r="F19" s="2428" t="s">
        <v>2146</v>
      </c>
      <c r="G19" s="145">
        <f ca="1">ROUND(C19*$C$18+D19*$D$18,0)</f>
        <v>59487</v>
      </c>
      <c r="H19" s="2429" t="s">
        <v>2148</v>
      </c>
      <c r="I19" s="138"/>
      <c r="K19" s="2421" t="s">
        <v>2149</v>
      </c>
      <c r="L19" s="2421">
        <f>IF(C1="",'数据-汇总表'!D3,SUMIF(项目类型,C1,'数据-汇总表'!D17:D26)+SUMIF(项目类型,C1,'数据-汇总表'!H17:H27))</f>
        <v>6030.62</v>
      </c>
      <c r="M19" s="2421">
        <f>IF(C1="",'数据-汇总表'!D3,SUMIF(项目类型,C1,'数据-汇总表'!D17:D26))</f>
        <v>6030.62</v>
      </c>
    </row>
    <row r="20" spans="1:35" ht="15">
      <c r="A20" s="2430"/>
      <c r="B20" s="1243" t="s">
        <v>2150</v>
      </c>
      <c r="C20" s="146">
        <f ca="1">SUMIF(INDIRECT("'"&amp;C4&amp;"'"&amp;"!A:A"),结果表!B20,INDIRECT("'"&amp;C4&amp;"'"&amp;"!B:B"))</f>
        <v>35271</v>
      </c>
      <c r="D20" s="147">
        <f ca="1">SUMIF(INDIRECT("'"&amp;D4&amp;"'"&amp;"!A:A"),结果表!B20,INDIRECT("'"&amp;D4&amp;"'"&amp;"!B:B"))</f>
        <v>35271</v>
      </c>
      <c r="E20" s="2430"/>
      <c r="F20" s="1243" t="s">
        <v>2150</v>
      </c>
      <c r="G20" s="148">
        <f ca="1">ROUND(C20*$C$18+D20*$D$18,0)</f>
        <v>35271</v>
      </c>
      <c r="H20" s="978" t="s">
        <v>2151</v>
      </c>
      <c r="I20" s="138"/>
    </row>
    <row r="21" spans="1:35" ht="15" customHeight="1" thickBot="1">
      <c r="A21" s="998"/>
      <c r="B21" s="2431" t="s">
        <v>2152</v>
      </c>
      <c r="C21" s="789">
        <f ca="1">ROUND(C19*10000/L19,0)</f>
        <v>98642</v>
      </c>
      <c r="D21" s="790">
        <f ca="1">ROUND(D19*10000/L19,0)</f>
        <v>98642</v>
      </c>
      <c r="E21" s="998"/>
      <c r="F21" s="2431" t="s">
        <v>2152</v>
      </c>
      <c r="G21" s="149">
        <f ca="1">ROUND(G19*10000/L19,0)</f>
        <v>98642</v>
      </c>
      <c r="H21" s="2432" t="s">
        <v>2151</v>
      </c>
      <c r="I21" s="138"/>
    </row>
    <row r="22" spans="1:35" ht="15" thickBot="1">
      <c r="A22" s="2274" t="s">
        <v>2153</v>
      </c>
      <c r="B22" s="2433"/>
      <c r="C22" s="2434"/>
      <c r="D22" s="791">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208" t="s">
        <v>2154</v>
      </c>
      <c r="B24" s="2428" t="s">
        <v>2146</v>
      </c>
      <c r="C24" s="145">
        <f>IF(B30=0,0,D30)</f>
        <v>0</v>
      </c>
      <c r="D24" s="2435"/>
      <c r="E24" s="138"/>
      <c r="F24" s="138"/>
      <c r="G24" s="138"/>
      <c r="H24" s="138"/>
      <c r="I24" s="138"/>
    </row>
    <row r="25" spans="1:35" ht="14.25">
      <c r="A25" s="3209"/>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59487</v>
      </c>
      <c r="D32" s="2442" t="s">
        <v>2161</v>
      </c>
      <c r="E32" s="138"/>
      <c r="F32" s="138"/>
      <c r="G32" s="138"/>
      <c r="H32" s="138"/>
      <c r="I32" s="138"/>
    </row>
    <row r="33" spans="1:15" ht="15">
      <c r="A33" s="955" t="s">
        <v>2162</v>
      </c>
      <c r="B33" s="2443"/>
      <c r="C33" s="2444" t="s">
        <v>3892</v>
      </c>
      <c r="D33" s="2445" t="s">
        <v>3786</v>
      </c>
      <c r="E33" s="2446" t="s">
        <v>2163</v>
      </c>
      <c r="F33" s="2447" t="str">
        <f>IF(D32="楼面单价","取值（单价）","取值（总价）")</f>
        <v>取值（总价）</v>
      </c>
      <c r="G33" s="138"/>
      <c r="H33" s="138"/>
      <c r="I33" s="138"/>
    </row>
    <row r="34" spans="1:15" ht="15">
      <c r="A34" s="2448"/>
      <c r="B34" s="2449" t="s">
        <v>2164</v>
      </c>
      <c r="C34" s="157">
        <f ca="1">IF(C33="自定义",F34,C32-C35)</f>
        <v>48541</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10946</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88" t="s">
        <v>2168</v>
      </c>
      <c r="B36" s="2454" t="s">
        <v>2169</v>
      </c>
      <c r="C36" s="154"/>
      <c r="D36" s="2455"/>
      <c r="E36" s="2456"/>
      <c r="F36" s="2457"/>
      <c r="G36" s="138"/>
      <c r="H36" s="138"/>
      <c r="I36" s="138"/>
    </row>
    <row r="37" spans="1:15" ht="15.75" thickBot="1">
      <c r="A37" s="3189"/>
      <c r="B37" s="2260" t="s">
        <v>2170</v>
      </c>
      <c r="C37" s="156"/>
      <c r="D37" s="1388"/>
      <c r="E37" s="1388"/>
      <c r="F37" s="2457"/>
      <c r="G37" s="138"/>
      <c r="H37" s="138"/>
      <c r="I37" s="138"/>
    </row>
    <row r="38" spans="1:15" ht="15.75" thickBot="1">
      <c r="A38" s="3190"/>
      <c r="B38" s="2458" t="s">
        <v>2171</v>
      </c>
      <c r="C38" s="727"/>
      <c r="D38" s="2459" t="s">
        <v>2172</v>
      </c>
      <c r="E38" s="1388"/>
      <c r="F38" s="2457"/>
      <c r="G38" s="138"/>
      <c r="H38" s="138"/>
      <c r="I38" s="138"/>
    </row>
    <row r="39" spans="1:15" ht="15">
      <c r="A39" s="2430" t="s">
        <v>2173</v>
      </c>
      <c r="B39" s="2460" t="s">
        <v>2174</v>
      </c>
      <c r="C39" s="2461" t="s">
        <v>2175</v>
      </c>
      <c r="D39" s="2461" t="s">
        <v>2176</v>
      </c>
      <c r="E39" s="2462" t="s">
        <v>2177</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5" t="s">
        <v>2182</v>
      </c>
      <c r="B45" s="3206"/>
      <c r="C45" s="3207"/>
      <c r="D45" s="164">
        <f ca="1">ROUND(H101*F45,0)</f>
        <v>59487</v>
      </c>
      <c r="E45" s="165" t="s">
        <v>2183</v>
      </c>
      <c r="F45" s="166">
        <v>1</v>
      </c>
      <c r="G45" s="167" t="s">
        <v>2184</v>
      </c>
      <c r="H45" s="138"/>
      <c r="I45" s="138"/>
      <c r="J45" s="3124" t="s">
        <v>2185</v>
      </c>
      <c r="K45" s="3124"/>
      <c r="L45" s="3124"/>
      <c r="M45" s="3124"/>
      <c r="N45" s="3124"/>
      <c r="O45" s="3124"/>
    </row>
    <row r="46" spans="1:15" ht="14.25" customHeight="1">
      <c r="A46" s="3202" t="s">
        <v>2186</v>
      </c>
      <c r="B46" s="3203"/>
      <c r="C46" s="3203"/>
      <c r="D46" s="3203"/>
      <c r="E46" s="3203"/>
      <c r="F46" s="3203"/>
      <c r="G46" s="3204"/>
      <c r="H46" s="2473"/>
      <c r="I46" s="168"/>
      <c r="J46" s="1804">
        <v>1</v>
      </c>
      <c r="K46" s="3124" t="s">
        <v>2187</v>
      </c>
      <c r="L46" s="3124"/>
      <c r="M46" s="3125"/>
      <c r="N46" s="3125"/>
      <c r="O46" s="3125"/>
    </row>
    <row r="47" spans="1:15" ht="12" customHeight="1">
      <c r="A47" s="169" t="s">
        <v>2188</v>
      </c>
      <c r="B47" s="170"/>
      <c r="C47" s="171"/>
      <c r="D47" s="172" t="s">
        <v>2189</v>
      </c>
      <c r="E47" s="24" t="s">
        <v>2190</v>
      </c>
      <c r="F47" s="173" t="s">
        <v>2191</v>
      </c>
      <c r="G47" s="174" t="s">
        <v>2192</v>
      </c>
      <c r="H47" s="2473"/>
      <c r="I47" s="168"/>
      <c r="J47" s="1804">
        <v>2</v>
      </c>
      <c r="K47" s="3124" t="s">
        <v>2193</v>
      </c>
      <c r="L47" s="3124"/>
      <c r="M47" s="3126">
        <f>'数据-取费表'!B2</f>
        <v>43342</v>
      </c>
      <c r="N47" s="3126"/>
      <c r="O47" s="3126"/>
    </row>
    <row r="48" spans="1:15" ht="25.5">
      <c r="A48" s="3192" t="s">
        <v>2194</v>
      </c>
      <c r="B48" s="3193"/>
      <c r="C48" s="3193"/>
      <c r="D48" s="140">
        <f>IF(H48="情况1",0,IF(H48="情况2",D52,IF(H48="情况3",D53,IF(H48="情况4",D54))))</f>
        <v>0</v>
      </c>
      <c r="E48" s="1793" t="str">
        <f>IF(H48="情况4","(销售额-原购置价)×税（费）率","销售额×税（费）率")</f>
        <v>销售额×税（费）率</v>
      </c>
      <c r="F48" s="175" t="str">
        <f>IF(H48="情况1","免征",'数据-取费表'!B41)</f>
        <v>免征</v>
      </c>
      <c r="G48" s="2474" t="s">
        <v>2195</v>
      </c>
      <c r="H48" s="2475" t="s">
        <v>2196</v>
      </c>
      <c r="I48" s="2473"/>
      <c r="J48" s="1804">
        <v>3</v>
      </c>
      <c r="K48" s="3124" t="s">
        <v>2197</v>
      </c>
      <c r="L48" s="3124"/>
      <c r="M48" s="3127">
        <f ca="1">H101</f>
        <v>59487</v>
      </c>
      <c r="N48" s="3127"/>
      <c r="O48" s="3127"/>
    </row>
    <row r="49" spans="1:35" ht="25.5" customHeight="1">
      <c r="A49" s="176" t="s">
        <v>2198</v>
      </c>
      <c r="B49" s="3172" t="s">
        <v>2199</v>
      </c>
      <c r="C49" s="3172"/>
      <c r="D49" s="177">
        <v>0</v>
      </c>
      <c r="E49" s="23" t="s">
        <v>2200</v>
      </c>
      <c r="F49" s="28" t="s">
        <v>34</v>
      </c>
      <c r="G49" s="3153"/>
      <c r="H49" s="138"/>
      <c r="I49" s="2476"/>
      <c r="J49" s="1804">
        <v>4</v>
      </c>
      <c r="K49" s="3124" t="str">
        <f>IF(项目基本情况!E8="房地产抵押价值","房地产抵押价值","抵押担保权已注销时的房地产抵押价值")</f>
        <v>房地产抵押价值</v>
      </c>
      <c r="L49" s="3124"/>
      <c r="M49" s="3127">
        <f ca="1">IF(项目基本情况!E8="房地产抵押价值",H107,H109)</f>
        <v>59487</v>
      </c>
      <c r="N49" s="3127"/>
      <c r="O49" s="3127"/>
    </row>
    <row r="50" spans="1:35" ht="25.5" customHeight="1">
      <c r="A50" s="178"/>
      <c r="B50" s="3172" t="s">
        <v>2201</v>
      </c>
      <c r="C50" s="3172"/>
      <c r="D50" s="179"/>
      <c r="E50" s="31"/>
      <c r="F50" s="180"/>
      <c r="G50" s="3154"/>
      <c r="H50" s="138"/>
      <c r="I50" s="2476"/>
      <c r="J50" s="3124" t="s">
        <v>2202</v>
      </c>
      <c r="K50" s="3124"/>
      <c r="L50" s="3124"/>
      <c r="M50" s="3124"/>
      <c r="N50" s="3124"/>
      <c r="O50" s="3124"/>
    </row>
    <row r="51" spans="1:35" ht="12" customHeight="1">
      <c r="A51" s="181"/>
      <c r="B51" s="3172" t="s">
        <v>2203</v>
      </c>
      <c r="C51" s="3172"/>
      <c r="D51" s="182"/>
      <c r="E51" s="30"/>
      <c r="F51" s="180"/>
      <c r="G51" s="3155"/>
      <c r="H51" s="138"/>
      <c r="I51" s="2476"/>
      <c r="J51" s="2477" t="s">
        <v>2204</v>
      </c>
      <c r="K51" s="3124" t="s">
        <v>2205</v>
      </c>
      <c r="L51" s="3124"/>
      <c r="M51" s="2477" t="s">
        <v>2206</v>
      </c>
      <c r="N51" s="2477" t="s">
        <v>2207</v>
      </c>
      <c r="O51" s="2477" t="s">
        <v>2208</v>
      </c>
    </row>
    <row r="52" spans="1:35" ht="24" customHeight="1">
      <c r="A52" s="183" t="s">
        <v>2209</v>
      </c>
      <c r="B52" s="3172" t="s">
        <v>2210</v>
      </c>
      <c r="C52" s="3172"/>
      <c r="D52" s="182">
        <f ca="1">ROUND(D45*'数据-取费表'!B41/(1+'数据-取费表'!C42),0)</f>
        <v>3173</v>
      </c>
      <c r="E52" s="11" t="s">
        <v>2211</v>
      </c>
      <c r="F52" s="184">
        <f>'数据-取费表'!B41</f>
        <v>5.6000000000000001E-2</v>
      </c>
      <c r="G52" s="2478"/>
      <c r="H52" s="138"/>
      <c r="I52" s="2476"/>
      <c r="J52" s="1804">
        <v>1</v>
      </c>
      <c r="K52" s="3147" t="s">
        <v>2212</v>
      </c>
      <c r="L52" s="3147"/>
      <c r="M52" s="1747">
        <f>D48</f>
        <v>0</v>
      </c>
      <c r="N52" s="1804" t="str">
        <f>E48</f>
        <v>销售额×税（费）率</v>
      </c>
      <c r="O52" s="1748" t="str">
        <f>F48</f>
        <v>免征</v>
      </c>
    </row>
    <row r="53" spans="1:35" ht="12" customHeight="1">
      <c r="A53" s="183" t="s">
        <v>2213</v>
      </c>
      <c r="B53" s="3173" t="s">
        <v>2214</v>
      </c>
      <c r="C53" s="3174"/>
      <c r="D53" s="182">
        <f ca="1">ROUND(D45*'数据-取费表'!B41/(1+'数据-取费表'!C42),0)</f>
        <v>3173</v>
      </c>
      <c r="E53" s="11" t="s">
        <v>2211</v>
      </c>
      <c r="F53" s="184">
        <f>'数据-取费表'!B41</f>
        <v>5.6000000000000001E-2</v>
      </c>
      <c r="G53" s="2478"/>
      <c r="H53" s="138"/>
      <c r="I53" s="2476"/>
      <c r="J53" s="1804">
        <v>2</v>
      </c>
      <c r="K53" s="3147" t="s">
        <v>2215</v>
      </c>
      <c r="L53" s="3147"/>
      <c r="M53" s="1747">
        <f t="shared" ref="M53:O54" ca="1" si="0">D55</f>
        <v>30</v>
      </c>
      <c r="N53" s="1804" t="str">
        <f t="shared" si="0"/>
        <v>销售额×税（费）率</v>
      </c>
      <c r="O53" s="1748">
        <f t="shared" si="0"/>
        <v>5.0000000000000001E-4</v>
      </c>
    </row>
    <row r="54" spans="1:35" ht="12" customHeight="1">
      <c r="A54" s="183" t="s">
        <v>2216</v>
      </c>
      <c r="B54" s="3173" t="s">
        <v>2217</v>
      </c>
      <c r="C54" s="3174"/>
      <c r="D54" s="182">
        <f ca="1">C68</f>
        <v>3173</v>
      </c>
      <c r="E54" s="30" t="s">
        <v>2218</v>
      </c>
      <c r="F54" s="184">
        <f>'数据-取费表'!B41</f>
        <v>5.6000000000000001E-2</v>
      </c>
      <c r="G54" s="2478"/>
      <c r="H54" s="2479"/>
      <c r="I54" s="2476"/>
      <c r="J54" s="1804">
        <v>3</v>
      </c>
      <c r="K54" s="3147" t="s">
        <v>2219</v>
      </c>
      <c r="L54" s="3147"/>
      <c r="M54" s="1747">
        <f t="shared" ca="1" si="0"/>
        <v>33669</v>
      </c>
      <c r="N54" s="1804" t="str">
        <f t="shared" si="0"/>
        <v>增值额×税（费）率</v>
      </c>
      <c r="O54" s="1749" t="str">
        <f t="shared" si="0"/>
        <v>——</v>
      </c>
    </row>
    <row r="55" spans="1:35" ht="24" customHeight="1">
      <c r="A55" s="3211" t="s">
        <v>2220</v>
      </c>
      <c r="B55" s="3193"/>
      <c r="C55" s="3193"/>
      <c r="D55" s="185">
        <f ca="1">IF(H55="个人住宅",0,ROUND(D45*I55,0))</f>
        <v>30</v>
      </c>
      <c r="E55" s="11" t="s">
        <v>2221</v>
      </c>
      <c r="F55" s="184">
        <f>IF(H55="正常",I55,"免征")</f>
        <v>5.0000000000000001E-4</v>
      </c>
      <c r="G55" s="2478"/>
      <c r="H55" s="2475" t="s">
        <v>2222</v>
      </c>
      <c r="I55" s="186">
        <f>'数据-取费表'!B49</f>
        <v>5.0000000000000001E-4</v>
      </c>
      <c r="J55" s="1804" t="str">
        <f>IF(H59="非个人房产","",4)</f>
        <v/>
      </c>
      <c r="K55" s="3147" t="str">
        <f>IF(H59="非个人房产","——","个人所得税")</f>
        <v>——</v>
      </c>
      <c r="L55" s="3147"/>
      <c r="M55" s="1750" t="str">
        <f>D59</f>
        <v>——</v>
      </c>
      <c r="N55" s="1802" t="str">
        <f>E59</f>
        <v>——</v>
      </c>
      <c r="O55" s="1751" t="str">
        <f>F59</f>
        <v>——</v>
      </c>
    </row>
    <row r="56" spans="1:35" ht="24.75">
      <c r="A56" s="3211" t="s">
        <v>2223</v>
      </c>
      <c r="B56" s="3193"/>
      <c r="C56" s="3193"/>
      <c r="D56" s="185">
        <f ca="1">IF(H56="个人住宅",D57,D58)</f>
        <v>33669</v>
      </c>
      <c r="E56" s="11" t="s">
        <v>2224</v>
      </c>
      <c r="F56" s="184" t="str">
        <f>IF(H56="正常",F58,"免征")</f>
        <v>——</v>
      </c>
      <c r="G56" s="2480" t="s">
        <v>2225</v>
      </c>
      <c r="H56" s="2481" t="s">
        <v>2222</v>
      </c>
      <c r="I56" s="2482"/>
      <c r="J56" s="1804" t="str">
        <f>IF(项目基本情况!K6="上海银行",IF(J55="",4,J55+1),"")</f>
        <v/>
      </c>
      <c r="K56" s="3130" t="str">
        <f>IF(项目基本情况!K6="上海银行","其他处置费用","")</f>
        <v/>
      </c>
      <c r="L56" s="3131"/>
      <c r="M56" s="1747" t="str">
        <f>IF(项目基本情况!K6="上海银行",M69,"")</f>
        <v/>
      </c>
      <c r="N56" s="3133" t="str">
        <f>IF(项目基本情况!K6="上海银行","包含处置中涉及的律师、诉讼、拍卖、评估等费用","")</f>
        <v/>
      </c>
      <c r="O56" s="3134"/>
    </row>
    <row r="57" spans="1:35" ht="12.75">
      <c r="A57" s="183" t="s">
        <v>2198</v>
      </c>
      <c r="B57" s="3178" t="s">
        <v>2226</v>
      </c>
      <c r="C57" s="3179"/>
      <c r="D57" s="187">
        <v>0</v>
      </c>
      <c r="E57" s="23" t="s">
        <v>2200</v>
      </c>
      <c r="F57" s="155"/>
      <c r="G57" s="2478"/>
      <c r="H57" s="2482"/>
      <c r="I57" s="2482"/>
      <c r="J57" s="3147">
        <f>IF(AND(J55="",J56=""),4,IF(项目基本情况!K6="上海银行",结果表!J56+1,结果表!J55+1))</f>
        <v>4</v>
      </c>
      <c r="K57" s="3147" t="s">
        <v>2227</v>
      </c>
      <c r="L57" s="2483" t="s">
        <v>2228</v>
      </c>
      <c r="M57" s="1752"/>
      <c r="N57" s="1753">
        <f ca="1">SUMIF(M52:M56,"&lt;9e307")</f>
        <v>33699</v>
      </c>
      <c r="O57" s="2484"/>
      <c r="P57" s="1746">
        <f ca="1">N57/M49</f>
        <v>0.56649351959251604</v>
      </c>
    </row>
    <row r="58" spans="1:35" ht="24.75">
      <c r="A58" s="183" t="s">
        <v>2209</v>
      </c>
      <c r="B58" s="3178" t="s">
        <v>2229</v>
      </c>
      <c r="C58" s="3191"/>
      <c r="D58" s="185">
        <f ca="1">IF(H58="转让取得",C81,C97)</f>
        <v>33669</v>
      </c>
      <c r="E58" s="11" t="s">
        <v>2224</v>
      </c>
      <c r="F58" s="24" t="s">
        <v>34</v>
      </c>
      <c r="G58" s="2478"/>
      <c r="H58" s="2481" t="s">
        <v>2230</v>
      </c>
      <c r="I58" s="2482"/>
      <c r="J58" s="3147"/>
      <c r="K58" s="3147"/>
      <c r="L58" s="2483" t="s">
        <v>2231</v>
      </c>
      <c r="M58" s="1754"/>
      <c r="N58" s="2485" t="str">
        <f ca="1">NUMBERSTRING(INT(N57*10000),2)&amp;"元整"</f>
        <v>叁亿叁仟陆佰玖拾玖万元整</v>
      </c>
      <c r="O58" s="2486"/>
    </row>
    <row r="59" spans="1:35" ht="24.75" thickBot="1">
      <c r="A59" s="3151" t="s">
        <v>2232</v>
      </c>
      <c r="B59" s="3152"/>
      <c r="C59" s="315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9">
        <f>J57+1</f>
        <v>5</v>
      </c>
      <c r="K59" s="3147" t="s">
        <v>2234</v>
      </c>
      <c r="L59" s="1804" t="s">
        <v>2228</v>
      </c>
      <c r="M59" s="1755"/>
      <c r="N59" s="1756">
        <f ca="1">M49-N57</f>
        <v>25788</v>
      </c>
      <c r="O59" s="2488"/>
    </row>
    <row r="60" spans="1:35" ht="12" customHeight="1">
      <c r="A60" s="2489"/>
      <c r="B60" s="2411"/>
      <c r="C60" s="2411"/>
      <c r="D60" s="2411"/>
      <c r="E60" s="2159"/>
      <c r="F60" s="2482"/>
      <c r="G60" s="2482"/>
      <c r="H60" s="2490"/>
      <c r="I60" s="138"/>
      <c r="J60" s="3150"/>
      <c r="K60" s="3147"/>
      <c r="L60" s="2483" t="s">
        <v>2231</v>
      </c>
      <c r="M60" s="1754"/>
      <c r="N60" s="2485" t="str">
        <f ca="1">NUMBERSTRING(INT(N59*10000),2)&amp;"元整"</f>
        <v>贰亿伍仟柒佰捌拾捌万元整</v>
      </c>
      <c r="O60" s="2486"/>
    </row>
    <row r="61" spans="1:35" ht="13.5" thickBot="1">
      <c r="A61" s="3210" t="s">
        <v>2235</v>
      </c>
      <c r="B61" s="3210"/>
      <c r="C61" s="3210"/>
      <c r="D61" s="3210"/>
      <c r="E61" s="3210"/>
      <c r="F61" s="2482"/>
      <c r="G61" s="2482"/>
      <c r="H61" s="2490"/>
      <c r="I61" s="138"/>
      <c r="J61" s="1804">
        <f>J59+1</f>
        <v>6</v>
      </c>
      <c r="K61" s="3147" t="s">
        <v>2236</v>
      </c>
      <c r="L61" s="3147"/>
      <c r="M61" s="1757"/>
      <c r="N61" s="1758">
        <f ca="1">ROUND(N59*10000/'数据-汇总表'!E3,0)</f>
        <v>7548</v>
      </c>
      <c r="O61" s="2491"/>
    </row>
    <row r="62" spans="1:35" ht="12.75">
      <c r="A62" s="3167" t="s">
        <v>2237</v>
      </c>
      <c r="B62" s="3168"/>
      <c r="C62" s="1796"/>
      <c r="D62" s="1796" t="s">
        <v>2238</v>
      </c>
      <c r="E62" s="192" t="s">
        <v>2239</v>
      </c>
      <c r="F62" s="2482"/>
      <c r="G62" s="2482"/>
      <c r="H62" s="2490"/>
      <c r="I62" s="138"/>
    </row>
    <row r="63" spans="1:35" ht="12.75">
      <c r="A63" s="203" t="s">
        <v>775</v>
      </c>
      <c r="B63" s="193" t="s">
        <v>2240</v>
      </c>
      <c r="C63" s="194">
        <f ca="1">ROUND((C64+C65)/(1+'数据-取费表'!C42),0)</f>
        <v>56654</v>
      </c>
      <c r="D63" s="195"/>
      <c r="E63" s="196"/>
      <c r="F63" s="2482"/>
      <c r="G63" s="2482"/>
      <c r="H63" s="2490"/>
      <c r="I63" s="138"/>
      <c r="J63" s="3132" t="s">
        <v>2241</v>
      </c>
      <c r="K63" s="2492" t="s">
        <v>2242</v>
      </c>
      <c r="L63" s="1745">
        <f ca="1">IF(M49&gt;10000,M49*0.5%,IF(AND(M49&gt;1000,M49&lt;=10000),M49*1%,IF(AND(M49&gt;100,M49&lt;=1000),M49*3%,IF(AND(M49&gt;10,M49&lt;=100),M49*5%,M49*8%))))</f>
        <v>297.435</v>
      </c>
      <c r="M63" s="24">
        <f ca="1">ROUND(L63,1)</f>
        <v>297.39999999999998</v>
      </c>
      <c r="Z63" s="2416"/>
      <c r="AI63" s="2417"/>
    </row>
    <row r="64" spans="1:35" ht="14.25" customHeight="1">
      <c r="A64" s="197" t="s">
        <v>770</v>
      </c>
      <c r="B64" s="198" t="s">
        <v>2243</v>
      </c>
      <c r="C64" s="199">
        <f ca="1">D45</f>
        <v>59487</v>
      </c>
      <c r="D64" s="200" t="s">
        <v>32</v>
      </c>
      <c r="E64" s="201"/>
      <c r="F64" s="2482"/>
      <c r="G64" s="2482"/>
      <c r="H64" s="2490"/>
      <c r="I64" s="138"/>
      <c r="J64" s="3132"/>
      <c r="K64" s="2492" t="s">
        <v>2244</v>
      </c>
      <c r="L64" s="1745">
        <f ca="1">IF(M49&gt;2000,M49*0.5%,IF(AND(M49&gt;1000,M49&lt;=2000),M49*0.6%,IF(AND(M49&gt;500,M49&lt;=1000),M49*0.7%,IF(AND(M49&gt;200,M49&lt;=500),M49*0.8%,IF(AND(M49&gt;100,M49&lt;=200),M49*0.9%,IF(AND(M49&gt;50,M49&lt;=100),M49*1%,IF(AND(M49&gt;20,M49&lt;=50),M49*1.5%,IF(AND(M49&gt;10,M49&lt;=20),M49*2%,IF(AND(M49&gt;1,M49&lt;=10),M49*2.5%)))))))))</f>
        <v>297.435</v>
      </c>
      <c r="M64" s="24">
        <f t="shared" ref="M64:M65" ca="1" si="1">ROUND(L64,1)</f>
        <v>297.39999999999998</v>
      </c>
      <c r="N64" s="138" t="s">
        <v>2245</v>
      </c>
      <c r="Z64" s="2416"/>
      <c r="AI64" s="2417"/>
    </row>
    <row r="65" spans="1:35" ht="14.25" customHeight="1">
      <c r="A65" s="197" t="s">
        <v>771</v>
      </c>
      <c r="B65" s="198" t="s">
        <v>2246</v>
      </c>
      <c r="C65" s="202"/>
      <c r="D65" s="200"/>
      <c r="E65" s="201"/>
      <c r="F65" s="2482"/>
      <c r="G65" s="2482"/>
      <c r="H65" s="2490"/>
      <c r="I65" s="138"/>
      <c r="J65" s="3132"/>
      <c r="K65" s="2492" t="s">
        <v>2247</v>
      </c>
      <c r="L65" s="1745">
        <f ca="1">IF(M49&gt;1000,M49*0.1%,IF(AND(M49&gt;500,M49&lt;=1000),M49*0.5%,IF(AND(M49&gt;50,M49&lt;=500),M49*1%,IF(AND(M49&gt;1,M49&lt;=50),M49*1.5%))))</f>
        <v>59.487000000000002</v>
      </c>
      <c r="M65" s="24">
        <f t="shared" ca="1" si="1"/>
        <v>59.5</v>
      </c>
      <c r="N65" s="138" t="s">
        <v>2245</v>
      </c>
      <c r="Z65" s="2416"/>
      <c r="AI65" s="2417"/>
    </row>
    <row r="66" spans="1:35" ht="14.25" customHeight="1">
      <c r="A66" s="203" t="s">
        <v>772</v>
      </c>
      <c r="B66" s="204" t="s">
        <v>2248</v>
      </c>
      <c r="C66" s="205"/>
      <c r="D66" s="206" t="s">
        <v>32</v>
      </c>
      <c r="E66" s="1768" t="s">
        <v>1371</v>
      </c>
      <c r="F66" s="2482"/>
      <c r="G66" s="2482"/>
      <c r="H66" s="2490"/>
      <c r="I66" s="138"/>
      <c r="J66" s="3132"/>
      <c r="K66" s="2492" t="s">
        <v>2249</v>
      </c>
      <c r="L66" s="1745">
        <f ca="1">M49*0.5%</f>
        <v>297.435</v>
      </c>
      <c r="M66" s="24">
        <f ca="1">IF(L66&gt;0.5,0.5,ROUND(L66,0))</f>
        <v>0.5</v>
      </c>
      <c r="N66" s="138" t="s">
        <v>2250</v>
      </c>
      <c r="Z66" s="2416"/>
      <c r="AI66" s="2417"/>
    </row>
    <row r="67" spans="1:35" ht="14.25" customHeight="1">
      <c r="A67" s="203" t="s">
        <v>773</v>
      </c>
      <c r="B67" s="204" t="s">
        <v>2251</v>
      </c>
      <c r="C67" s="207">
        <f ca="1">C63-C66</f>
        <v>56654</v>
      </c>
      <c r="D67" s="200" t="s">
        <v>32</v>
      </c>
      <c r="E67" s="201"/>
      <c r="F67" s="2482"/>
      <c r="G67" s="2482"/>
      <c r="H67" s="2490"/>
      <c r="I67" s="138"/>
      <c r="J67" s="3132"/>
      <c r="K67" s="2492" t="s">
        <v>2252</v>
      </c>
      <c r="L67" s="1745">
        <f ca="1">IF(M49&gt;=10000,(8.25+(M49-10000)*0.01%),IF(AND(M49&gt;=8000,M49&lt;10000),(7.85+(M49-8000)*0.02%),IF(AND(M49&gt;=5000,M49&lt;8000),(6.65+(M49-5000)*0.04%),IF(AND(M49&gt;=2000,M49&lt;5000),(4.25+(PM49-2000)*0.08%),IF(AND(M49&gt;=1000,M49&lt;2000),(2.75+(M49-1000)*0.15%),IF(AND(M49&gt;=100,M49&lt;1000),(0.5+(M49-100)*0.25%),IF(AND(M49&gt;0,M49&lt;100),M49*0.5%)))))))</f>
        <v>13.198700000000001</v>
      </c>
      <c r="M67" s="24">
        <f ca="1">ROUND(L67*0.9,1)</f>
        <v>11.9</v>
      </c>
      <c r="Z67" s="2416"/>
      <c r="AI67" s="2417"/>
    </row>
    <row r="68" spans="1:35" ht="14.25" customHeight="1" thickBot="1">
      <c r="A68" s="208" t="s">
        <v>774</v>
      </c>
      <c r="B68" s="209" t="s">
        <v>2253</v>
      </c>
      <c r="C68" s="210">
        <f ca="1">IF(C67&lt;=0,0,ROUND(C67*D68,0))</f>
        <v>3173</v>
      </c>
      <c r="D68" s="211">
        <f>'数据-取费表'!B41</f>
        <v>5.6000000000000001E-2</v>
      </c>
      <c r="E68" s="212"/>
      <c r="F68" s="2482"/>
      <c r="G68" s="2482"/>
      <c r="H68" s="2490"/>
      <c r="I68" s="138"/>
      <c r="J68" s="3132"/>
      <c r="K68" s="2492" t="s">
        <v>2254</v>
      </c>
      <c r="L68" s="1745">
        <f ca="1">IF(M49&gt;10000,M49*0.5%,IF(AND(M49&gt;5000,M49&lt;=10000),M49*1%,IF(AND(M49&gt;1000,M49&lt;=5000),M49*2%,IF(AND(M49&gt;200,M49&lt;=1000),M49*3%,M49*5%))))</f>
        <v>297.435</v>
      </c>
      <c r="M68" s="24">
        <f ca="1">ROUND(L68,1)</f>
        <v>297.39999999999998</v>
      </c>
      <c r="Z68" s="2416"/>
      <c r="AI68" s="2417"/>
    </row>
    <row r="69" spans="1:35" s="2439" customFormat="1" ht="16.5" customHeight="1">
      <c r="A69" s="2493"/>
      <c r="B69" s="2494"/>
      <c r="C69" s="2495"/>
      <c r="D69" s="2496"/>
      <c r="E69" s="2497"/>
      <c r="F69" s="2159"/>
      <c r="G69" s="2159"/>
      <c r="H69" s="2158"/>
      <c r="I69" s="2411"/>
      <c r="J69" s="3132"/>
      <c r="K69" s="2492" t="s">
        <v>2255</v>
      </c>
      <c r="L69" s="2498"/>
      <c r="M69" s="24">
        <f ca="1">ROUND(SUM(M63:M68),0)</f>
        <v>964</v>
      </c>
      <c r="N69" s="1746">
        <f ca="1">M69/M49</f>
        <v>1.6205221308857397E-2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6" t="s">
        <v>2256</v>
      </c>
      <c r="B70" s="3177"/>
      <c r="C70" s="3177"/>
      <c r="D70" s="3177"/>
      <c r="E70" s="3177"/>
      <c r="F70" s="3177"/>
      <c r="G70" s="3177"/>
      <c r="H70" s="317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7" t="s">
        <v>2237</v>
      </c>
      <c r="B71" s="3168"/>
      <c r="C71" s="1796"/>
      <c r="D71" s="1796"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56654</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340</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3" t="s">
        <v>2265</v>
      </c>
      <c r="F76" s="3172"/>
      <c r="G76" s="3172"/>
      <c r="H76" s="317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6" t="s">
        <v>2268</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340</v>
      </c>
      <c r="D78" s="226">
        <f>'数据-取费表'!B43</f>
        <v>6.000000000000001E-3</v>
      </c>
      <c r="E78" s="3164" t="s">
        <v>2270</v>
      </c>
      <c r="F78" s="3165"/>
      <c r="G78" s="3165"/>
      <c r="H78" s="316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2271</v>
      </c>
      <c r="C79" s="207">
        <f ca="1">C72-C73</f>
        <v>56314</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165.62941176470588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33669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6" t="s">
        <v>2274</v>
      </c>
      <c r="B83" s="3177"/>
      <c r="C83" s="3177"/>
      <c r="D83" s="3177"/>
      <c r="E83" s="3177"/>
      <c r="F83" s="3177"/>
      <c r="G83" s="3177"/>
      <c r="H83" s="317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7" t="s">
        <v>2237</v>
      </c>
      <c r="B84" s="3168"/>
      <c r="C84" s="1796"/>
      <c r="D84" s="1796"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56654</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340</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1792"/>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4" t="s">
        <v>2283</v>
      </c>
      <c r="F91" s="3165"/>
      <c r="G91" s="3165"/>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4" t="s">
        <v>2287</v>
      </c>
      <c r="F92" s="3165"/>
      <c r="G92" s="3165"/>
      <c r="H92" s="316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340</v>
      </c>
      <c r="D93" s="226">
        <f>'数据-取费表'!B43</f>
        <v>6.000000000000001E-3</v>
      </c>
      <c r="E93" s="3164" t="s">
        <v>2270</v>
      </c>
      <c r="F93" s="3165"/>
      <c r="G93" s="3165"/>
      <c r="H93" s="316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2" t="s">
        <v>2291</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2271</v>
      </c>
      <c r="C95" s="207">
        <f ca="1">ROUND(C85-C86,0)</f>
        <v>56314</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165.62941176470588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33669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6" t="s">
        <v>2293</v>
      </c>
      <c r="B100" s="3117"/>
      <c r="C100" s="3117"/>
      <c r="D100" s="3148"/>
      <c r="E100" s="3117" t="s">
        <v>2294</v>
      </c>
      <c r="F100" s="3117"/>
      <c r="G100" s="3117"/>
      <c r="H100" s="3148"/>
      <c r="I100" s="138"/>
    </row>
    <row r="101" spans="1:35" ht="18.75" customHeight="1">
      <c r="A101" s="3156" t="s">
        <v>2295</v>
      </c>
      <c r="B101" s="3157"/>
      <c r="C101" s="736" t="str">
        <f>C4</f>
        <v>典型户型修正</v>
      </c>
      <c r="D101" s="737" t="str">
        <f>D4</f>
        <v>典型户型修正</v>
      </c>
      <c r="E101" s="3128" t="s">
        <v>2296</v>
      </c>
      <c r="F101" s="3129"/>
      <c r="G101" s="2513" t="s">
        <v>2297</v>
      </c>
      <c r="H101" s="1043">
        <f ca="1">H118</f>
        <v>59487</v>
      </c>
      <c r="I101" s="138"/>
    </row>
    <row r="102" spans="1:35" ht="18.75" customHeight="1">
      <c r="A102" s="3158" t="s">
        <v>2298</v>
      </c>
      <c r="B102" s="2513" t="s">
        <v>2297</v>
      </c>
      <c r="C102" s="736">
        <f ca="1">C19</f>
        <v>59487</v>
      </c>
      <c r="D102" s="737">
        <f ca="1">D19</f>
        <v>59487</v>
      </c>
      <c r="E102" s="3128"/>
      <c r="F102" s="3129"/>
      <c r="G102" s="2513" t="s">
        <v>2299</v>
      </c>
      <c r="H102" s="371">
        <f ca="1">I118</f>
        <v>17411</v>
      </c>
      <c r="I102" s="138"/>
    </row>
    <row r="103" spans="1:35" ht="42.75" customHeight="1">
      <c r="A103" s="3158"/>
      <c r="B103" s="2513" t="s">
        <v>2299</v>
      </c>
      <c r="C103" s="738">
        <f ca="1">C20</f>
        <v>35271</v>
      </c>
      <c r="D103" s="739">
        <f ca="1">D20</f>
        <v>35271</v>
      </c>
      <c r="E103" s="3122" t="s">
        <v>2300</v>
      </c>
      <c r="F103" s="3123"/>
      <c r="G103" s="2514" t="s">
        <v>2301</v>
      </c>
      <c r="H103" s="1043">
        <f>IF(D36="正常操作",H104+H105+H106,H105+H106)</f>
        <v>0</v>
      </c>
      <c r="I103" s="138"/>
    </row>
    <row r="104" spans="1:35" ht="18.75" customHeight="1">
      <c r="A104" s="3158" t="s">
        <v>2302</v>
      </c>
      <c r="B104" s="2515" t="s">
        <v>2297</v>
      </c>
      <c r="C104" s="740">
        <f ca="1">H118</f>
        <v>59487</v>
      </c>
      <c r="D104" s="741"/>
      <c r="E104" s="2260" t="s">
        <v>2303</v>
      </c>
      <c r="F104" s="2251"/>
      <c r="G104" s="2514" t="s">
        <v>2301</v>
      </c>
      <c r="H104" s="1044">
        <f>IF(D36="同一抵押权人同一抵押物续贷",C36&amp;"（未扣减，详见特别提示）",C36)</f>
        <v>0</v>
      </c>
      <c r="I104" s="138"/>
    </row>
    <row r="105" spans="1:35" ht="18.75" customHeight="1" thickBot="1">
      <c r="A105" s="3170"/>
      <c r="B105" s="2516" t="s">
        <v>2299</v>
      </c>
      <c r="C105" s="742">
        <f ca="1">I118</f>
        <v>17411</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9" t="str">
        <f>IF(项目基本情况!E8="已注销","——","3.房地产抵押价值")</f>
        <v>3.房地产抵押价值</v>
      </c>
      <c r="F107" s="3129"/>
      <c r="G107" s="2513" t="s">
        <v>2297</v>
      </c>
      <c r="H107" s="1043">
        <f ca="1">IF(E107="——","——",H101-H103)</f>
        <v>59487</v>
      </c>
      <c r="I107" s="138"/>
    </row>
    <row r="108" spans="1:35" ht="18.75" customHeight="1">
      <c r="A108" s="138"/>
      <c r="B108" s="138"/>
      <c r="C108" s="138"/>
      <c r="D108" s="138"/>
      <c r="E108" s="3159"/>
      <c r="F108" s="3129"/>
      <c r="G108" s="2513" t="s">
        <v>2299</v>
      </c>
      <c r="H108" s="371">
        <f ca="1">ROUND(H107*10000/'数据-汇总表'!E3,0)</f>
        <v>17411</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3" t="s">
        <v>2297</v>
      </c>
      <c r="H109" s="348" t="str">
        <f>IF(E109="——","——",H101-H105-H106)</f>
        <v>——</v>
      </c>
      <c r="I109" s="138"/>
    </row>
    <row r="110" spans="1:35" ht="18.75" customHeight="1">
      <c r="A110" s="138"/>
      <c r="B110" s="138"/>
      <c r="C110" s="138"/>
      <c r="D110" s="138"/>
      <c r="E110" s="3159"/>
      <c r="F110" s="3129"/>
      <c r="G110" s="2513" t="s">
        <v>2299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3" t="s">
        <v>2297</v>
      </c>
      <c r="H111" s="1043" t="str">
        <f>IF(E111="——","——",N59)</f>
        <v>——</v>
      </c>
      <c r="I111" s="138"/>
    </row>
    <row r="112" spans="1:35" ht="18.75" customHeight="1" thickBot="1">
      <c r="A112" s="138"/>
      <c r="B112" s="138"/>
      <c r="C112" s="138"/>
      <c r="D112" s="138"/>
      <c r="E112" s="3162"/>
      <c r="F112" s="3163"/>
      <c r="G112" s="2518" t="s">
        <v>2299</v>
      </c>
      <c r="H112" s="790" t="str">
        <f>IF(E111="——","——",N61)</f>
        <v>——</v>
      </c>
      <c r="I112" s="138"/>
    </row>
    <row r="113" spans="1:11" ht="18.75" customHeight="1">
      <c r="A113" s="138"/>
      <c r="B113" s="138"/>
      <c r="C113" s="138"/>
      <c r="D113" s="138"/>
      <c r="E113" s="3171" t="s">
        <v>2305</v>
      </c>
      <c r="F113" s="3171"/>
      <c r="G113" s="3171"/>
      <c r="H113" s="3171"/>
      <c r="I113" s="138"/>
    </row>
    <row r="114" spans="1:11" ht="3.75" customHeight="1">
      <c r="A114" s="2411"/>
      <c r="B114" s="2411"/>
      <c r="C114" s="2411"/>
      <c r="D114" s="2411"/>
      <c r="E114" s="2489"/>
      <c r="F114" s="2489"/>
      <c r="G114" s="2489"/>
      <c r="H114" s="2489"/>
      <c r="I114" s="2411"/>
    </row>
    <row r="115" spans="1:11" ht="18.75" customHeight="1">
      <c r="A115" s="3184" t="s">
        <v>2307</v>
      </c>
      <c r="B115" s="3185"/>
      <c r="C115" s="3185"/>
      <c r="D115" s="3185"/>
      <c r="E115" s="3185"/>
      <c r="F115" s="3185"/>
      <c r="G115" s="3185"/>
      <c r="H115" s="3185"/>
      <c r="I115" s="3186"/>
    </row>
    <row r="116" spans="1:11" ht="27" customHeight="1">
      <c r="A116" s="3095" t="s">
        <v>2308</v>
      </c>
      <c r="B116" s="3138" t="s">
        <v>3884</v>
      </c>
      <c r="C116" s="3138" t="s">
        <v>3883</v>
      </c>
      <c r="D116" s="3144" t="s">
        <v>2311</v>
      </c>
      <c r="E116" s="3145"/>
      <c r="F116" s="3180" t="s">
        <v>3882</v>
      </c>
      <c r="G116" s="3180"/>
      <c r="H116" s="3095" t="s">
        <v>2313</v>
      </c>
      <c r="I116" s="3095"/>
    </row>
    <row r="117" spans="1:11" ht="18.75" customHeight="1">
      <c r="A117" s="3095"/>
      <c r="B117" s="3139"/>
      <c r="C117" s="3139"/>
      <c r="D117" s="1790" t="s">
        <v>2314</v>
      </c>
      <c r="E117" s="1790" t="s">
        <v>2315</v>
      </c>
      <c r="F117" s="1790" t="s">
        <v>2314</v>
      </c>
      <c r="G117" s="1790" t="s">
        <v>2316</v>
      </c>
      <c r="H117" s="1790" t="s">
        <v>2314</v>
      </c>
      <c r="I117" s="1790" t="s">
        <v>2316</v>
      </c>
    </row>
    <row r="118" spans="1:11" ht="24.75" customHeight="1">
      <c r="A118" s="2519" t="str">
        <f>项目基本情况!S2</f>
        <v>北京市丰台区汽车博物馆西路8号院1、2、3号楼、4幢房地产</v>
      </c>
      <c r="B118" s="1790">
        <f>M18</f>
        <v>34166.230000000018</v>
      </c>
      <c r="C118" s="1790">
        <f>M19</f>
        <v>6030.62</v>
      </c>
      <c r="D118" s="1790">
        <f ca="1">ROUND(IF(D32="总价",C34,E118*B118/10000),0)</f>
        <v>48541</v>
      </c>
      <c r="E118" s="1790">
        <f ca="1">ROUND(IF(C33="自定义",IF(D32="楼面单价",C34,D118*10000/B118),I118-G118),0)</f>
        <v>14207</v>
      </c>
      <c r="F118" s="1790">
        <f ca="1">ROUND(IF(D32="总价",C35,G118*B118/10000),0)</f>
        <v>10946</v>
      </c>
      <c r="G118" s="1790">
        <f ca="1">ROUND(IF(D32="楼面单价",C35,F118*10000/B118),0)</f>
        <v>3204</v>
      </c>
      <c r="H118" s="1790">
        <f ca="1">ROUND(IF(D32="总价",C32,I118*B118/10000),0)</f>
        <v>59487</v>
      </c>
      <c r="I118" s="1790">
        <f ca="1">ROUND(IF(D32="楼面单价",C32,H118*10000/B118),0)</f>
        <v>17411</v>
      </c>
    </row>
    <row r="119" spans="1:11" ht="18.75" customHeight="1">
      <c r="A119" s="3095" t="s">
        <v>2317</v>
      </c>
      <c r="B119" s="3095"/>
      <c r="C119" s="3095"/>
      <c r="D119" s="3140" t="str">
        <f ca="1">NUMBERSTRING(INT(D118*10000),2)&amp;"元整"</f>
        <v>肆亿捌仟伍佰肆拾壹万元整</v>
      </c>
      <c r="E119" s="3141"/>
      <c r="F119" s="3140" t="str">
        <f ca="1">NUMBERSTRING(INT(F118*10000),2)&amp;"元整"</f>
        <v>壹亿零玖佰肆拾陆万元整</v>
      </c>
      <c r="G119" s="3141"/>
      <c r="H119" s="3140" t="str">
        <f ca="1">NUMBERSTRING(INT(H118*10000),2)&amp;"元整"</f>
        <v>伍亿玖仟肆佰捌拾柒万元整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6"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59487</v>
      </c>
      <c r="E122" s="3136"/>
      <c r="F122" s="3136"/>
      <c r="G122" s="3136"/>
      <c r="H122" s="3136"/>
      <c r="I122" s="3137"/>
    </row>
    <row r="123" spans="1:11" ht="18.75" customHeight="1">
      <c r="A123" s="3095" t="s">
        <v>2317</v>
      </c>
      <c r="B123" s="3095"/>
      <c r="C123" s="3095"/>
      <c r="D123" s="3140" t="str">
        <f ca="1">NUMBERSTRING(INT(D122*10000),2)&amp;"元整"</f>
        <v>伍亿玖仟肆佰捌拾柒万元整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3714</v>
      </c>
      <c r="D1" s="2411"/>
      <c r="E1" s="2411"/>
      <c r="F1" s="2413" t="s">
        <v>2118</v>
      </c>
      <c r="G1" s="2063" t="s">
        <v>3051</v>
      </c>
      <c r="H1" s="2414" t="str">
        <f>IF(G1="现房","——","估价对象范围")</f>
        <v>——</v>
      </c>
      <c r="I1" s="2415" t="s">
        <v>3722</v>
      </c>
    </row>
    <row r="2" spans="1:12" ht="21.75" customHeight="1" thickBot="1">
      <c r="A2" s="3194" t="str">
        <f>项目基本情况!S2</f>
        <v>北京市丰台区汽车博物馆西路8号院1、2、3号楼、4幢房地产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18" t="s">
        <v>2120</v>
      </c>
      <c r="B4" s="2419" t="s">
        <v>2121</v>
      </c>
      <c r="C4" s="2420" t="s">
        <v>3787</v>
      </c>
      <c r="D4" s="2420" t="s">
        <v>3786</v>
      </c>
      <c r="E4" s="3178" t="s">
        <v>2122</v>
      </c>
      <c r="F4" s="3191"/>
      <c r="G4" s="3191"/>
      <c r="H4" s="3191"/>
      <c r="I4" s="3179"/>
      <c r="K4" s="2421" t="str">
        <f>IF(ISNUMBER(FIND("比较法",'结果表 (1层商业)'!C4)),"比较法",IF(ISNUMBER(FIND("成本法",'结果表 (1层商业)'!C4)),"成本法",IF(ISNUMBER(FIND("假设开发法",'结果表 (1层商业)'!C4)),"假设开发法",IF(ISNUMBER(FIND("收益法",'结果表 (1层商业)'!C4)),"收益法","基准地价系数修正法"))))</f>
        <v>比较法</v>
      </c>
      <c r="L4" s="2421" t="str">
        <f>IF(ISNUMBER(FIND("比较法",'结果表 (1层商业)'!D4)),"比较法",IF(ISNUMBER(FIND("成本法",'结果表 (1层商业)'!D4)),"成本法",IF(ISNUMBER(FIND("假设开发法",'结果表 (1层商业)'!D4)),"假设开发法",IF(ISNUMBER(FIND("收益法",'结果表 (1层商业)'!D4)),"收益法","基准地价系数修正法"))))</f>
        <v>收益法</v>
      </c>
    </row>
    <row r="5" spans="1:12" ht="12.75">
      <c r="A5" s="3169" t="s">
        <v>2123</v>
      </c>
      <c r="B5" s="3095">
        <v>25</v>
      </c>
      <c r="C5" s="3199"/>
      <c r="D5" s="3187"/>
      <c r="E5" s="140" t="s">
        <v>2124</v>
      </c>
      <c r="F5" s="2422"/>
      <c r="G5" s="2422"/>
      <c r="H5" s="2422"/>
      <c r="I5" s="1826"/>
    </row>
    <row r="6" spans="1:12" ht="12.75">
      <c r="A6" s="3169"/>
      <c r="B6" s="3095"/>
      <c r="C6" s="3201"/>
      <c r="D6" s="3187"/>
      <c r="E6" s="140" t="s">
        <v>2125</v>
      </c>
      <c r="F6" s="2422"/>
      <c r="G6" s="2422"/>
      <c r="H6" s="2422"/>
      <c r="I6" s="1826"/>
    </row>
    <row r="7" spans="1:12" ht="12.75">
      <c r="A7" s="3169"/>
      <c r="B7" s="3095"/>
      <c r="C7" s="3200"/>
      <c r="D7" s="3187"/>
      <c r="E7" s="140" t="s">
        <v>2126</v>
      </c>
      <c r="F7" s="2422"/>
      <c r="G7" s="2422"/>
      <c r="H7" s="2422"/>
      <c r="I7" s="1826"/>
    </row>
    <row r="8" spans="1:12" ht="12.75">
      <c r="A8" s="3169" t="s">
        <v>2127</v>
      </c>
      <c r="B8" s="3095">
        <v>15</v>
      </c>
      <c r="C8" s="3199"/>
      <c r="D8" s="3187"/>
      <c r="E8" s="140" t="s">
        <v>2128</v>
      </c>
      <c r="F8" s="2422"/>
      <c r="G8" s="2422"/>
      <c r="H8" s="2422"/>
      <c r="I8" s="1826"/>
    </row>
    <row r="9" spans="1:12" ht="12.75">
      <c r="A9" s="3169"/>
      <c r="B9" s="3095"/>
      <c r="C9" s="3200"/>
      <c r="D9" s="3187"/>
      <c r="E9" s="140" t="s">
        <v>2129</v>
      </c>
      <c r="F9" s="2422"/>
      <c r="G9" s="2422"/>
      <c r="H9" s="2422"/>
      <c r="I9" s="1826"/>
    </row>
    <row r="10" spans="1:12" ht="12.75">
      <c r="A10" s="3169" t="s">
        <v>2130</v>
      </c>
      <c r="B10" s="3095">
        <v>15</v>
      </c>
      <c r="C10" s="3199"/>
      <c r="D10" s="3187"/>
      <c r="E10" s="140" t="s">
        <v>2131</v>
      </c>
      <c r="F10" s="2422"/>
      <c r="G10" s="2422"/>
      <c r="H10" s="2422"/>
      <c r="I10" s="1826"/>
    </row>
    <row r="11" spans="1:12" ht="12.75">
      <c r="A11" s="3169"/>
      <c r="B11" s="3095"/>
      <c r="C11" s="3200"/>
      <c r="D11" s="3187"/>
      <c r="E11" s="140" t="s">
        <v>2132</v>
      </c>
      <c r="F11" s="2422"/>
      <c r="G11" s="2422"/>
      <c r="H11" s="2422"/>
      <c r="I11" s="1826"/>
    </row>
    <row r="12" spans="1:12" ht="12.75">
      <c r="A12" s="3169" t="s">
        <v>2133</v>
      </c>
      <c r="B12" s="3095">
        <v>15</v>
      </c>
      <c r="C12" s="3199"/>
      <c r="D12" s="3187"/>
      <c r="E12" s="140" t="s">
        <v>2134</v>
      </c>
      <c r="F12" s="2422"/>
      <c r="G12" s="2422"/>
      <c r="H12" s="2422"/>
      <c r="I12" s="1826"/>
    </row>
    <row r="13" spans="1:12" ht="12.75">
      <c r="A13" s="3169"/>
      <c r="B13" s="3095"/>
      <c r="C13" s="3200"/>
      <c r="D13" s="3187"/>
      <c r="E13" s="140" t="s">
        <v>2135</v>
      </c>
      <c r="F13" s="2422"/>
      <c r="G13" s="2422"/>
      <c r="H13" s="2422"/>
      <c r="I13" s="1826"/>
    </row>
    <row r="14" spans="1:12" ht="12.75">
      <c r="A14" s="3169" t="s">
        <v>2136</v>
      </c>
      <c r="B14" s="3095">
        <v>30</v>
      </c>
      <c r="C14" s="3199">
        <v>5</v>
      </c>
      <c r="D14" s="3187">
        <v>5</v>
      </c>
      <c r="E14" s="140" t="s">
        <v>2137</v>
      </c>
      <c r="F14" s="2422"/>
      <c r="G14" s="2422"/>
      <c r="H14" s="2422"/>
      <c r="I14" s="1826"/>
    </row>
    <row r="15" spans="1:12" ht="12.75">
      <c r="A15" s="3169"/>
      <c r="B15" s="3095"/>
      <c r="C15" s="3201"/>
      <c r="D15" s="3187"/>
      <c r="E15" s="140" t="s">
        <v>2138</v>
      </c>
      <c r="F15" s="2422"/>
      <c r="G15" s="2422"/>
      <c r="H15" s="2422"/>
      <c r="I15" s="1826"/>
    </row>
    <row r="16" spans="1:12" ht="12.75">
      <c r="A16" s="3169"/>
      <c r="B16" s="3095"/>
      <c r="C16" s="3200"/>
      <c r="D16" s="3187"/>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4387.92</v>
      </c>
      <c r="M18" s="2421">
        <f>IF(C1="",'数据-汇总表'!E3,SUMIF(项目类型,C1,'数据-汇总表'!E17:E26))</f>
        <v>4387.92</v>
      </c>
    </row>
    <row r="19" spans="1:35" ht="15">
      <c r="A19" s="2427" t="s">
        <v>2145</v>
      </c>
      <c r="B19" s="2428" t="s">
        <v>2146</v>
      </c>
      <c r="C19" s="143">
        <f ca="1">SUMIF(INDIRECT("'"&amp;C4&amp;"'"&amp;"!A:A"),'结果表 (1层商业)'!B19,INDIRECT("'"&amp;C4&amp;"'"&amp;"!B:B"))</f>
        <v>23289</v>
      </c>
      <c r="D19" s="144">
        <f ca="1">SUMIF(INDIRECT("'"&amp;D4&amp;"'"&amp;"!A:A"),'结果表 (1层商业)'!B19,INDIRECT("'"&amp;D4&amp;"'"&amp;"!B:B"))</f>
        <v>19627</v>
      </c>
      <c r="E19" s="2427" t="s">
        <v>2147</v>
      </c>
      <c r="F19" s="2428" t="s">
        <v>2146</v>
      </c>
      <c r="G19" s="145">
        <f ca="1">ROUND(C19*$C$18+D19*$D$18,0)</f>
        <v>21458</v>
      </c>
      <c r="H19" s="2429" t="s">
        <v>2148</v>
      </c>
      <c r="I19" s="138"/>
      <c r="K19" s="2421" t="s">
        <v>2149</v>
      </c>
      <c r="L19" s="2421">
        <f>IF(C1="",'数据-汇总表'!D3,SUMIF(项目类型,C1,'数据-汇总表'!D17:D26)+SUMIF(项目类型,C1,'数据-汇总表'!H17:H27))</f>
        <v>774.5</v>
      </c>
      <c r="M19" s="2421">
        <f>IF(C1="",'数据-汇总表'!D3,SUMIF(项目类型,C1,'数据-汇总表'!D17:D26))</f>
        <v>774.5</v>
      </c>
    </row>
    <row r="20" spans="1:35" ht="15">
      <c r="A20" s="2430"/>
      <c r="B20" s="1243" t="s">
        <v>2150</v>
      </c>
      <c r="C20" s="146">
        <f ca="1">SUMIF(INDIRECT("'"&amp;C4&amp;"'"&amp;"!A:A"),'结果表 (1层商业)'!B20,INDIRECT("'"&amp;C4&amp;"'"&amp;"!B:B"))</f>
        <v>53075</v>
      </c>
      <c r="D20" s="147">
        <f ca="1">SUMIF(INDIRECT("'"&amp;D4&amp;"'"&amp;"!A:A"),'结果表 (1层商业)'!B20,INDIRECT("'"&amp;D4&amp;"'"&amp;"!B:B"))</f>
        <v>44730</v>
      </c>
      <c r="E20" s="2430"/>
      <c r="F20" s="1243" t="s">
        <v>2150</v>
      </c>
      <c r="G20" s="148">
        <f ca="1">ROUND(C20*$C$18+D20*$D$18,0)</f>
        <v>48903</v>
      </c>
      <c r="H20" s="978" t="s">
        <v>2151</v>
      </c>
      <c r="I20" s="138"/>
    </row>
    <row r="21" spans="1:35" ht="15" customHeight="1" thickBot="1">
      <c r="A21" s="998"/>
      <c r="B21" s="2431" t="s">
        <v>2152</v>
      </c>
      <c r="C21" s="789">
        <f ca="1">ROUND(C19*10000/L19,0)</f>
        <v>300697</v>
      </c>
      <c r="D21" s="790">
        <f ca="1">ROUND(D19*10000/L19,0)</f>
        <v>253415</v>
      </c>
      <c r="E21" s="998"/>
      <c r="F21" s="2431" t="s">
        <v>2152</v>
      </c>
      <c r="G21" s="149">
        <f ca="1">ROUND(G19*10000/L19,0)</f>
        <v>277056</v>
      </c>
      <c r="H21" s="2432" t="s">
        <v>2151</v>
      </c>
      <c r="I21" s="138"/>
    </row>
    <row r="22" spans="1:35" ht="15" thickBot="1">
      <c r="A22" s="2274" t="s">
        <v>2153</v>
      </c>
      <c r="B22" s="2433"/>
      <c r="C22" s="2434"/>
      <c r="D22" s="791">
        <f ca="1">IF(C19&lt;D19,D19/C19-1,C19/D19-1)</f>
        <v>0.18657971162174558</v>
      </c>
      <c r="E22" s="138"/>
      <c r="F22" s="138"/>
      <c r="G22" s="138"/>
      <c r="H22" s="138"/>
      <c r="I22" s="138"/>
    </row>
    <row r="23" spans="1:35" ht="13.5" thickBot="1">
      <c r="A23" s="2411"/>
      <c r="B23" s="2411"/>
      <c r="C23" s="2411"/>
      <c r="D23" s="2411"/>
      <c r="E23" s="138"/>
      <c r="F23" s="138"/>
      <c r="G23" s="138"/>
      <c r="H23" s="138"/>
      <c r="I23" s="138"/>
    </row>
    <row r="24" spans="1:35" ht="14.25">
      <c r="A24" s="3208" t="s">
        <v>2154</v>
      </c>
      <c r="B24" s="2428" t="s">
        <v>2146</v>
      </c>
      <c r="C24" s="145">
        <f>IF(B30=0,0,D30)</f>
        <v>0</v>
      </c>
      <c r="D24" s="2435"/>
      <c r="E24" s="138"/>
      <c r="F24" s="138"/>
      <c r="G24" s="138"/>
      <c r="H24" s="138"/>
      <c r="I24" s="138"/>
    </row>
    <row r="25" spans="1:35" ht="14.25">
      <c r="A25" s="3209"/>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48903</v>
      </c>
      <c r="D32" s="2442" t="s">
        <v>3905</v>
      </c>
      <c r="E32" s="138"/>
      <c r="F32" s="138"/>
      <c r="G32" s="138"/>
      <c r="H32" s="138"/>
      <c r="I32" s="138"/>
    </row>
    <row r="33" spans="1:15" ht="15">
      <c r="A33" s="955" t="s">
        <v>2162</v>
      </c>
      <c r="B33" s="2443"/>
      <c r="C33" s="2444" t="s">
        <v>3892</v>
      </c>
      <c r="D33" s="2445" t="s">
        <v>3786</v>
      </c>
      <c r="E33" s="2446" t="s">
        <v>2163</v>
      </c>
      <c r="F33" s="3012" t="str">
        <f>IF(D32="楼面单价","取值（单价）","取值（总价）")</f>
        <v>取值（单价）</v>
      </c>
      <c r="G33" s="138"/>
      <c r="H33" s="138"/>
      <c r="I33" s="138"/>
    </row>
    <row r="34" spans="1:15" ht="15">
      <c r="A34" s="2448"/>
      <c r="B34" s="2449" t="s">
        <v>2164</v>
      </c>
      <c r="C34" s="157">
        <f ca="1">IF(C33="自定义",F34,C32-C35)</f>
        <v>39905</v>
      </c>
      <c r="D34" s="1053">
        <f ca="1">IF(C33="自定义",ROUND(C34/C32,3),IF(C33="收益比率",SUMIF(INDIRECT("'"&amp;D33&amp;"'"&amp;"!b:b"),"土地收益比率",INDIRECT("'"&amp;D33&amp;"'"&amp;"!c:c")),SUMIF(INDIRECT("'"&amp;D33&amp;"'"&amp;"!b:b"),"土地成本比率",INDIRECT("'"&amp;D33&amp;"'"&amp;"!c:c"))))</f>
        <v>0.81600000000000006</v>
      </c>
      <c r="E34" s="2450" t="s">
        <v>2165</v>
      </c>
      <c r="F34" s="1732"/>
      <c r="G34" s="138"/>
      <c r="H34" s="138"/>
      <c r="I34" s="138"/>
    </row>
    <row r="35" spans="1:15" ht="15.75" thickBot="1">
      <c r="A35" s="2451"/>
      <c r="B35" s="2452" t="s">
        <v>2166</v>
      </c>
      <c r="C35" s="1437">
        <f ca="1">IF(C33="自定义",F35,ROUND(C32*D35,0))</f>
        <v>8998</v>
      </c>
      <c r="D35" s="1438">
        <f ca="1">IF(C33="自定义",ROUND(C35/C32,3),IF(C33="收益比率",SUMIF(INDIRECT("'"&amp;D33&amp;"'"&amp;"!b:b"),"建筑物收益比率",INDIRECT("'"&amp;D33&amp;"'"&amp;"!c:c")),SUMIF(INDIRECT("'"&amp;D33&amp;"'"&amp;"!b:b"),"建筑物成本比率",INDIRECT("'"&amp;D33&amp;"'"&amp;"!c:c"))))</f>
        <v>0.184</v>
      </c>
      <c r="E35" s="2453" t="s">
        <v>2167</v>
      </c>
      <c r="F35" s="163"/>
      <c r="G35" s="138"/>
      <c r="H35" s="138"/>
      <c r="I35" s="138"/>
    </row>
    <row r="36" spans="1:15" ht="15.75" thickBot="1">
      <c r="A36" s="3188" t="s">
        <v>2168</v>
      </c>
      <c r="B36" s="2454" t="s">
        <v>2169</v>
      </c>
      <c r="C36" s="154"/>
      <c r="D36" s="2455"/>
      <c r="E36" s="2456"/>
      <c r="F36" s="2457"/>
      <c r="G36" s="138"/>
      <c r="H36" s="138"/>
      <c r="I36" s="138"/>
    </row>
    <row r="37" spans="1:15" ht="15.75" thickBot="1">
      <c r="A37" s="3189"/>
      <c r="B37" s="2260" t="s">
        <v>2170</v>
      </c>
      <c r="C37" s="156"/>
      <c r="D37" s="1388"/>
      <c r="E37" s="1388"/>
      <c r="F37" s="2457"/>
      <c r="G37" s="138"/>
      <c r="H37" s="138"/>
      <c r="I37" s="138"/>
    </row>
    <row r="38" spans="1:15" ht="15.75" thickBot="1">
      <c r="A38" s="3190"/>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5" t="s">
        <v>2182</v>
      </c>
      <c r="B45" s="3206"/>
      <c r="C45" s="3207"/>
      <c r="D45" s="164">
        <f ca="1">ROUND(H101*F45,0)</f>
        <v>21458</v>
      </c>
      <c r="E45" s="165" t="s">
        <v>2183</v>
      </c>
      <c r="F45" s="166">
        <v>1</v>
      </c>
      <c r="G45" s="167" t="s">
        <v>2184</v>
      </c>
      <c r="H45" s="138"/>
      <c r="I45" s="138"/>
      <c r="J45" s="3124" t="s">
        <v>2185</v>
      </c>
      <c r="K45" s="3124"/>
      <c r="L45" s="3124"/>
      <c r="M45" s="3124"/>
      <c r="N45" s="3124"/>
      <c r="O45" s="3124"/>
    </row>
    <row r="46" spans="1:15" ht="14.25" customHeight="1">
      <c r="A46" s="3202" t="s">
        <v>2186</v>
      </c>
      <c r="B46" s="3203"/>
      <c r="C46" s="3203"/>
      <c r="D46" s="3203"/>
      <c r="E46" s="3203"/>
      <c r="F46" s="3203"/>
      <c r="G46" s="3204"/>
      <c r="H46" s="2473"/>
      <c r="I46" s="168"/>
      <c r="J46" s="3022">
        <v>1</v>
      </c>
      <c r="K46" s="3124" t="s">
        <v>2187</v>
      </c>
      <c r="L46" s="3124"/>
      <c r="M46" s="3125"/>
      <c r="N46" s="3125"/>
      <c r="O46" s="3125"/>
    </row>
    <row r="47" spans="1:15" ht="12" customHeight="1">
      <c r="A47" s="169" t="s">
        <v>2188</v>
      </c>
      <c r="B47" s="170"/>
      <c r="C47" s="171"/>
      <c r="D47" s="172" t="s">
        <v>2189</v>
      </c>
      <c r="E47" s="24" t="s">
        <v>2190</v>
      </c>
      <c r="F47" s="173" t="s">
        <v>2191</v>
      </c>
      <c r="G47" s="174" t="s">
        <v>2192</v>
      </c>
      <c r="H47" s="2473"/>
      <c r="I47" s="168"/>
      <c r="J47" s="3022">
        <v>2</v>
      </c>
      <c r="K47" s="3124" t="s">
        <v>2193</v>
      </c>
      <c r="L47" s="3124"/>
      <c r="M47" s="3126">
        <f>'数据-取费表'!B2</f>
        <v>43342</v>
      </c>
      <c r="N47" s="3126"/>
      <c r="O47" s="3126"/>
    </row>
    <row r="48" spans="1:15" ht="25.5">
      <c r="A48" s="3192" t="s">
        <v>2194</v>
      </c>
      <c r="B48" s="3193"/>
      <c r="C48" s="3193"/>
      <c r="D48" s="140">
        <f>IF(H48="情况1",0,IF(H48="情况2",D52,IF(H48="情况3",D53,IF(H48="情况4",D54))))</f>
        <v>0</v>
      </c>
      <c r="E48" s="3016" t="str">
        <f>IF(H48="情况4","(销售额-原购置价)×税（费）率","销售额×税（费）率")</f>
        <v>销售额×税（费）率</v>
      </c>
      <c r="F48" s="175" t="str">
        <f>IF(H48="情况1","免征",'数据-取费表'!B41)</f>
        <v>免征</v>
      </c>
      <c r="G48" s="2474" t="s">
        <v>2195</v>
      </c>
      <c r="H48" s="2475" t="s">
        <v>2196</v>
      </c>
      <c r="I48" s="2473"/>
      <c r="J48" s="3022">
        <v>3</v>
      </c>
      <c r="K48" s="3124" t="s">
        <v>2197</v>
      </c>
      <c r="L48" s="3124"/>
      <c r="M48" s="3127">
        <f ca="1">H101</f>
        <v>21458</v>
      </c>
      <c r="N48" s="3127"/>
      <c r="O48" s="3127"/>
    </row>
    <row r="49" spans="1:35" ht="25.5" customHeight="1">
      <c r="A49" s="176" t="s">
        <v>2198</v>
      </c>
      <c r="B49" s="3172" t="s">
        <v>2199</v>
      </c>
      <c r="C49" s="3172"/>
      <c r="D49" s="177">
        <v>0</v>
      </c>
      <c r="E49" s="23" t="s">
        <v>2200</v>
      </c>
      <c r="F49" s="28" t="s">
        <v>34</v>
      </c>
      <c r="G49" s="3153"/>
      <c r="H49" s="138"/>
      <c r="I49" s="2476"/>
      <c r="J49" s="3022">
        <v>4</v>
      </c>
      <c r="K49" s="3124" t="str">
        <f>IF(项目基本情况!E8="房地产抵押价值","房地产抵押价值","抵押担保权已注销时的房地产抵押价值")</f>
        <v>房地产抵押价值</v>
      </c>
      <c r="L49" s="3124"/>
      <c r="M49" s="3127">
        <f ca="1">IF(项目基本情况!E8="房地产抵押价值",H107,H109)</f>
        <v>21458</v>
      </c>
      <c r="N49" s="3127"/>
      <c r="O49" s="3127"/>
    </row>
    <row r="50" spans="1:35" ht="25.5" customHeight="1">
      <c r="A50" s="178"/>
      <c r="B50" s="3172" t="s">
        <v>2201</v>
      </c>
      <c r="C50" s="3172"/>
      <c r="D50" s="179"/>
      <c r="E50" s="31"/>
      <c r="F50" s="180"/>
      <c r="G50" s="3154"/>
      <c r="H50" s="138"/>
      <c r="I50" s="2476"/>
      <c r="J50" s="3124" t="s">
        <v>2202</v>
      </c>
      <c r="K50" s="3124"/>
      <c r="L50" s="3124"/>
      <c r="M50" s="3124"/>
      <c r="N50" s="3124"/>
      <c r="O50" s="3124"/>
    </row>
    <row r="51" spans="1:35" ht="12" customHeight="1">
      <c r="A51" s="181"/>
      <c r="B51" s="3172" t="s">
        <v>2203</v>
      </c>
      <c r="C51" s="3172"/>
      <c r="D51" s="182"/>
      <c r="E51" s="30"/>
      <c r="F51" s="180"/>
      <c r="G51" s="3155"/>
      <c r="H51" s="138"/>
      <c r="I51" s="2476"/>
      <c r="J51" s="3021" t="s">
        <v>2204</v>
      </c>
      <c r="K51" s="3124" t="s">
        <v>2205</v>
      </c>
      <c r="L51" s="3124"/>
      <c r="M51" s="3021" t="s">
        <v>2206</v>
      </c>
      <c r="N51" s="3021" t="s">
        <v>2207</v>
      </c>
      <c r="O51" s="3021" t="s">
        <v>2208</v>
      </c>
    </row>
    <row r="52" spans="1:35" ht="24" customHeight="1">
      <c r="A52" s="183" t="s">
        <v>2209</v>
      </c>
      <c r="B52" s="3172" t="s">
        <v>2210</v>
      </c>
      <c r="C52" s="3172"/>
      <c r="D52" s="182">
        <f ca="1">ROUND(D45*'数据-取费表'!B41/(1+'数据-取费表'!C42),0)</f>
        <v>1144</v>
      </c>
      <c r="E52" s="11" t="s">
        <v>2211</v>
      </c>
      <c r="F52" s="184">
        <f>'数据-取费表'!B41</f>
        <v>5.6000000000000001E-2</v>
      </c>
      <c r="G52" s="2478"/>
      <c r="H52" s="138"/>
      <c r="I52" s="2476"/>
      <c r="J52" s="3022">
        <v>1</v>
      </c>
      <c r="K52" s="3147" t="s">
        <v>2212</v>
      </c>
      <c r="L52" s="3147"/>
      <c r="M52" s="1747">
        <f>D48</f>
        <v>0</v>
      </c>
      <c r="N52" s="3022" t="str">
        <f>E48</f>
        <v>销售额×税（费）率</v>
      </c>
      <c r="O52" s="1748" t="str">
        <f>F48</f>
        <v>免征</v>
      </c>
    </row>
    <row r="53" spans="1:35" ht="12" customHeight="1">
      <c r="A53" s="183" t="s">
        <v>2213</v>
      </c>
      <c r="B53" s="3173" t="s">
        <v>2214</v>
      </c>
      <c r="C53" s="3174"/>
      <c r="D53" s="182">
        <f ca="1">ROUND(D45*'数据-取费表'!B41/(1+'数据-取费表'!C42),0)</f>
        <v>1144</v>
      </c>
      <c r="E53" s="11" t="s">
        <v>2211</v>
      </c>
      <c r="F53" s="184">
        <f>'数据-取费表'!B41</f>
        <v>5.6000000000000001E-2</v>
      </c>
      <c r="G53" s="2478"/>
      <c r="H53" s="138"/>
      <c r="I53" s="2476"/>
      <c r="J53" s="3022">
        <v>2</v>
      </c>
      <c r="K53" s="3147" t="s">
        <v>2215</v>
      </c>
      <c r="L53" s="3147"/>
      <c r="M53" s="1747">
        <f t="shared" ref="M53:O54" ca="1" si="0">D55</f>
        <v>11</v>
      </c>
      <c r="N53" s="3022" t="str">
        <f t="shared" si="0"/>
        <v>销售额×税（费）率</v>
      </c>
      <c r="O53" s="1748">
        <f t="shared" si="0"/>
        <v>5.0000000000000001E-4</v>
      </c>
    </row>
    <row r="54" spans="1:35" ht="12" customHeight="1">
      <c r="A54" s="183" t="s">
        <v>2216</v>
      </c>
      <c r="B54" s="3173" t="s">
        <v>2217</v>
      </c>
      <c r="C54" s="3174"/>
      <c r="D54" s="182">
        <f ca="1">C68</f>
        <v>1144</v>
      </c>
      <c r="E54" s="30" t="s">
        <v>2218</v>
      </c>
      <c r="F54" s="184">
        <f>'数据-取费表'!B41</f>
        <v>5.6000000000000001E-2</v>
      </c>
      <c r="G54" s="2478"/>
      <c r="H54" s="2479"/>
      <c r="I54" s="2476"/>
      <c r="J54" s="3022">
        <v>3</v>
      </c>
      <c r="K54" s="3147" t="s">
        <v>2219</v>
      </c>
      <c r="L54" s="3147"/>
      <c r="M54" s="1747">
        <f t="shared" ca="1" si="0"/>
        <v>12145</v>
      </c>
      <c r="N54" s="3022" t="str">
        <f t="shared" si="0"/>
        <v>增值额×税（费）率</v>
      </c>
      <c r="O54" s="1749" t="str">
        <f t="shared" si="0"/>
        <v>——</v>
      </c>
    </row>
    <row r="55" spans="1:35" ht="24" customHeight="1">
      <c r="A55" s="3211" t="s">
        <v>2220</v>
      </c>
      <c r="B55" s="3193"/>
      <c r="C55" s="3193"/>
      <c r="D55" s="185">
        <f ca="1">IF(H55="个人住宅",0,ROUND(D45*I55,0))</f>
        <v>11</v>
      </c>
      <c r="E55" s="11" t="s">
        <v>2221</v>
      </c>
      <c r="F55" s="184">
        <f>IF(H55="正常",I55,"免征")</f>
        <v>5.0000000000000001E-4</v>
      </c>
      <c r="G55" s="2478"/>
      <c r="H55" s="2475" t="s">
        <v>2222</v>
      </c>
      <c r="I55" s="186">
        <f>'数据-取费表'!B49</f>
        <v>5.0000000000000001E-4</v>
      </c>
      <c r="J55" s="3022" t="str">
        <f>IF(H59="非个人房产","",4)</f>
        <v/>
      </c>
      <c r="K55" s="3147" t="str">
        <f>IF(H59="非个人房产","——","个人所得税")</f>
        <v>——</v>
      </c>
      <c r="L55" s="3147"/>
      <c r="M55" s="1750" t="str">
        <f>D59</f>
        <v>——</v>
      </c>
      <c r="N55" s="3023" t="str">
        <f>E59</f>
        <v>——</v>
      </c>
      <c r="O55" s="1751" t="str">
        <f>F59</f>
        <v>——</v>
      </c>
    </row>
    <row r="56" spans="1:35" ht="24.75">
      <c r="A56" s="3211" t="s">
        <v>2223</v>
      </c>
      <c r="B56" s="3193"/>
      <c r="C56" s="3193"/>
      <c r="D56" s="185">
        <f ca="1">IF(H56="个人住宅",D57,D58)</f>
        <v>12145</v>
      </c>
      <c r="E56" s="11" t="s">
        <v>2224</v>
      </c>
      <c r="F56" s="184" t="str">
        <f>IF(H56="正常",F58,"免征")</f>
        <v>——</v>
      </c>
      <c r="G56" s="2480" t="s">
        <v>2225</v>
      </c>
      <c r="H56" s="2481" t="s">
        <v>2222</v>
      </c>
      <c r="I56" s="2482"/>
      <c r="J56" s="3022" t="str">
        <f>IF(项目基本情况!K6="上海银行",IF(J55="",4,J55+1),"")</f>
        <v/>
      </c>
      <c r="K56" s="3130" t="str">
        <f>IF(项目基本情况!K6="上海银行","其他处置费用","")</f>
        <v/>
      </c>
      <c r="L56" s="3131"/>
      <c r="M56" s="1747" t="str">
        <f>IF(项目基本情况!K6="上海银行",M69,"")</f>
        <v/>
      </c>
      <c r="N56" s="3133" t="str">
        <f>IF(项目基本情况!K6="上海银行","包含处置中涉及的律师、诉讼、拍卖、评估等费用","")</f>
        <v/>
      </c>
      <c r="O56" s="3134"/>
    </row>
    <row r="57" spans="1:35" ht="12.75">
      <c r="A57" s="183" t="s">
        <v>2198</v>
      </c>
      <c r="B57" s="3178" t="s">
        <v>2226</v>
      </c>
      <c r="C57" s="3179"/>
      <c r="D57" s="187">
        <v>0</v>
      </c>
      <c r="E57" s="23" t="s">
        <v>2200</v>
      </c>
      <c r="F57" s="155"/>
      <c r="G57" s="2478"/>
      <c r="H57" s="2482"/>
      <c r="I57" s="2482"/>
      <c r="J57" s="3147">
        <f>IF(AND(J55="",J56=""),4,IF(项目基本情况!K6="上海银行",'结果表 (1层商业)'!J56+1,'结果表 (1层商业)'!J55+1))</f>
        <v>4</v>
      </c>
      <c r="K57" s="3147" t="s">
        <v>2227</v>
      </c>
      <c r="L57" s="2483" t="s">
        <v>2228</v>
      </c>
      <c r="M57" s="1752"/>
      <c r="N57" s="1753">
        <f ca="1">SUMIF(M52:M56,"&lt;9e307")</f>
        <v>12156</v>
      </c>
      <c r="O57" s="2484"/>
      <c r="P57" s="1746">
        <f ca="1">N57/M49</f>
        <v>0.56650200391462391</v>
      </c>
    </row>
    <row r="58" spans="1:35" ht="24.75">
      <c r="A58" s="183" t="s">
        <v>2209</v>
      </c>
      <c r="B58" s="3178" t="s">
        <v>2229</v>
      </c>
      <c r="C58" s="3191"/>
      <c r="D58" s="185">
        <f ca="1">IF(H58="转让取得",C81,C97)</f>
        <v>12145</v>
      </c>
      <c r="E58" s="11" t="s">
        <v>2224</v>
      </c>
      <c r="F58" s="24" t="s">
        <v>34</v>
      </c>
      <c r="G58" s="2478"/>
      <c r="H58" s="2481" t="s">
        <v>2230</v>
      </c>
      <c r="I58" s="2482"/>
      <c r="J58" s="3147"/>
      <c r="K58" s="3147"/>
      <c r="L58" s="2483" t="s">
        <v>2231</v>
      </c>
      <c r="M58" s="1754"/>
      <c r="N58" s="2485" t="str">
        <f ca="1">NUMBERSTRING(INT(N57*10000),2)&amp;"元整"</f>
        <v>壹亿贰仟壹佰伍拾陆万元整</v>
      </c>
      <c r="O58" s="2486"/>
    </row>
    <row r="59" spans="1:35" ht="24.75" thickBot="1">
      <c r="A59" s="3151" t="s">
        <v>2232</v>
      </c>
      <c r="B59" s="3152"/>
      <c r="C59" s="315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9">
        <f>J57+1</f>
        <v>5</v>
      </c>
      <c r="K59" s="3147" t="s">
        <v>2234</v>
      </c>
      <c r="L59" s="3022" t="s">
        <v>2228</v>
      </c>
      <c r="M59" s="1755"/>
      <c r="N59" s="1756">
        <f ca="1">M49-N57</f>
        <v>9302</v>
      </c>
      <c r="O59" s="2488"/>
    </row>
    <row r="60" spans="1:35" ht="12" customHeight="1">
      <c r="A60" s="2489"/>
      <c r="B60" s="2411"/>
      <c r="C60" s="2411"/>
      <c r="D60" s="2411"/>
      <c r="E60" s="2159"/>
      <c r="F60" s="2482"/>
      <c r="G60" s="2482"/>
      <c r="H60" s="2490"/>
      <c r="I60" s="138"/>
      <c r="J60" s="3150"/>
      <c r="K60" s="3147"/>
      <c r="L60" s="2483" t="s">
        <v>2231</v>
      </c>
      <c r="M60" s="1754"/>
      <c r="N60" s="2485" t="str">
        <f ca="1">NUMBERSTRING(INT(N59*10000),2)&amp;"元整"</f>
        <v>玖仟叁佰零贰万元整</v>
      </c>
      <c r="O60" s="2486"/>
    </row>
    <row r="61" spans="1:35" ht="13.5" thickBot="1">
      <c r="A61" s="3210" t="s">
        <v>2235</v>
      </c>
      <c r="B61" s="3210"/>
      <c r="C61" s="3210"/>
      <c r="D61" s="3210"/>
      <c r="E61" s="3210"/>
      <c r="F61" s="2482"/>
      <c r="G61" s="2482"/>
      <c r="H61" s="2490"/>
      <c r="I61" s="138"/>
      <c r="J61" s="3022">
        <f>J59+1</f>
        <v>6</v>
      </c>
      <c r="K61" s="3147" t="s">
        <v>2236</v>
      </c>
      <c r="L61" s="3147"/>
      <c r="M61" s="1757"/>
      <c r="N61" s="1758">
        <f ca="1">ROUND(N59*10000/'数据-汇总表'!E3,0)</f>
        <v>2723</v>
      </c>
      <c r="O61" s="2491"/>
    </row>
    <row r="62" spans="1:35" ht="12.75">
      <c r="A62" s="3167" t="s">
        <v>2237</v>
      </c>
      <c r="B62" s="3168"/>
      <c r="C62" s="3019"/>
      <c r="D62" s="3019" t="s">
        <v>2238</v>
      </c>
      <c r="E62" s="192" t="s">
        <v>2239</v>
      </c>
      <c r="F62" s="2482"/>
      <c r="G62" s="2482"/>
      <c r="H62" s="2490"/>
      <c r="I62" s="138"/>
    </row>
    <row r="63" spans="1:35" ht="12.75">
      <c r="A63" s="203" t="s">
        <v>775</v>
      </c>
      <c r="B63" s="193" t="s">
        <v>2240</v>
      </c>
      <c r="C63" s="194">
        <f ca="1">ROUND((C64+C65)/(1+'数据-取费表'!C42),0)</f>
        <v>20436</v>
      </c>
      <c r="D63" s="195"/>
      <c r="E63" s="196"/>
      <c r="F63" s="2482"/>
      <c r="G63" s="2482"/>
      <c r="H63" s="2490"/>
      <c r="I63" s="138"/>
      <c r="J63" s="3132" t="s">
        <v>2241</v>
      </c>
      <c r="K63" s="3024" t="s">
        <v>2242</v>
      </c>
      <c r="L63" s="1745">
        <f ca="1">IF(M49&gt;10000,M49*0.5%,IF(AND(M49&gt;1000,M49&lt;=10000),M49*1%,IF(AND(M49&gt;100,M49&lt;=1000),M49*3%,IF(AND(M49&gt;10,M49&lt;=100),M49*5%,M49*8%))))</f>
        <v>107.29</v>
      </c>
      <c r="M63" s="24">
        <f ca="1">ROUND(L63,1)</f>
        <v>107.3</v>
      </c>
      <c r="Z63" s="2416"/>
      <c r="AI63" s="2417"/>
    </row>
    <row r="64" spans="1:35" ht="14.25" customHeight="1">
      <c r="A64" s="197" t="s">
        <v>770</v>
      </c>
      <c r="B64" s="198" t="s">
        <v>2243</v>
      </c>
      <c r="C64" s="199">
        <f ca="1">D45</f>
        <v>21458</v>
      </c>
      <c r="D64" s="200" t="s">
        <v>32</v>
      </c>
      <c r="E64" s="201"/>
      <c r="F64" s="2482"/>
      <c r="G64" s="2482"/>
      <c r="H64" s="2490"/>
      <c r="I64" s="138"/>
      <c r="J64" s="3132"/>
      <c r="K64" s="3024" t="s">
        <v>2244</v>
      </c>
      <c r="L64" s="1745">
        <f ca="1">IF(M49&gt;2000,M49*0.5%,IF(AND(M49&gt;1000,M49&lt;=2000),M49*0.6%,IF(AND(M49&gt;500,M49&lt;=1000),M49*0.7%,IF(AND(M49&gt;200,M49&lt;=500),M49*0.8%,IF(AND(M49&gt;100,M49&lt;=200),M49*0.9%,IF(AND(M49&gt;50,M49&lt;=100),M49*1%,IF(AND(M49&gt;20,M49&lt;=50),M49*1.5%,IF(AND(M49&gt;10,M49&lt;=20),M49*2%,IF(AND(M49&gt;1,M49&lt;=10),M49*2.5%)))))))))</f>
        <v>107.29</v>
      </c>
      <c r="M64" s="24">
        <f t="shared" ref="M64:M65" ca="1" si="1">ROUND(L64,1)</f>
        <v>107.3</v>
      </c>
      <c r="N64" s="138" t="s">
        <v>2245</v>
      </c>
      <c r="Z64" s="2416"/>
      <c r="AI64" s="2417"/>
    </row>
    <row r="65" spans="1:35" ht="14.25" customHeight="1">
      <c r="A65" s="197" t="s">
        <v>771</v>
      </c>
      <c r="B65" s="198" t="s">
        <v>2246</v>
      </c>
      <c r="C65" s="202"/>
      <c r="D65" s="200"/>
      <c r="E65" s="201"/>
      <c r="F65" s="2482"/>
      <c r="G65" s="2482"/>
      <c r="H65" s="2490"/>
      <c r="I65" s="138"/>
      <c r="J65" s="3132"/>
      <c r="K65" s="3024" t="s">
        <v>2247</v>
      </c>
      <c r="L65" s="1745">
        <f ca="1">IF(M49&gt;1000,M49*0.1%,IF(AND(M49&gt;500,M49&lt;=1000),M49*0.5%,IF(AND(M49&gt;50,M49&lt;=500),M49*1%,IF(AND(M49&gt;1,M49&lt;=50),M49*1.5%))))</f>
        <v>21.458000000000002</v>
      </c>
      <c r="M65" s="24">
        <f t="shared" ca="1" si="1"/>
        <v>21.5</v>
      </c>
      <c r="N65" s="138" t="s">
        <v>2245</v>
      </c>
      <c r="Z65" s="2416"/>
      <c r="AI65" s="2417"/>
    </row>
    <row r="66" spans="1:35" ht="14.25" customHeight="1">
      <c r="A66" s="203" t="s">
        <v>772</v>
      </c>
      <c r="B66" s="204" t="s">
        <v>2248</v>
      </c>
      <c r="C66" s="205"/>
      <c r="D66" s="206" t="s">
        <v>32</v>
      </c>
      <c r="E66" s="1768" t="s">
        <v>1371</v>
      </c>
      <c r="F66" s="2482"/>
      <c r="G66" s="2482"/>
      <c r="H66" s="2490"/>
      <c r="I66" s="138"/>
      <c r="J66" s="3132"/>
      <c r="K66" s="3024" t="s">
        <v>2249</v>
      </c>
      <c r="L66" s="1745">
        <f ca="1">M49*0.5%</f>
        <v>107.29</v>
      </c>
      <c r="M66" s="24">
        <f ca="1">IF(L66&gt;0.5,0.5,ROUND(L66,0))</f>
        <v>0.5</v>
      </c>
      <c r="N66" s="138" t="s">
        <v>2250</v>
      </c>
      <c r="Z66" s="2416"/>
      <c r="AI66" s="2417"/>
    </row>
    <row r="67" spans="1:35" ht="14.25" customHeight="1">
      <c r="A67" s="203" t="s">
        <v>773</v>
      </c>
      <c r="B67" s="204" t="s">
        <v>2251</v>
      </c>
      <c r="C67" s="207">
        <f ca="1">C63-C66</f>
        <v>20436</v>
      </c>
      <c r="D67" s="200" t="s">
        <v>32</v>
      </c>
      <c r="E67" s="201"/>
      <c r="F67" s="2482"/>
      <c r="G67" s="2482"/>
      <c r="H67" s="2490"/>
      <c r="I67" s="138"/>
      <c r="J67" s="3132"/>
      <c r="K67" s="3024" t="s">
        <v>2252</v>
      </c>
      <c r="L67" s="1745">
        <f ca="1">IF(M49&gt;=10000,(8.25+(M49-10000)*0.01%),IF(AND(M49&gt;=8000,M49&lt;10000),(7.85+(M49-8000)*0.02%),IF(AND(M49&gt;=5000,M49&lt;8000),(6.65+(M49-5000)*0.04%),IF(AND(M49&gt;=2000,M49&lt;5000),(4.25+(PM49-2000)*0.08%),IF(AND(M49&gt;=1000,M49&lt;2000),(2.75+(M49-1000)*0.15%),IF(AND(M49&gt;=100,M49&lt;1000),(0.5+(M49-100)*0.25%),IF(AND(M49&gt;0,M49&lt;100),M49*0.5%)))))))</f>
        <v>9.3957999999999995</v>
      </c>
      <c r="M67" s="24">
        <f ca="1">ROUND(L67*0.9,1)</f>
        <v>8.5</v>
      </c>
      <c r="Z67" s="2416"/>
      <c r="AI67" s="2417"/>
    </row>
    <row r="68" spans="1:35" ht="14.25" customHeight="1" thickBot="1">
      <c r="A68" s="208" t="s">
        <v>774</v>
      </c>
      <c r="B68" s="209" t="s">
        <v>2253</v>
      </c>
      <c r="C68" s="210">
        <f ca="1">IF(C67&lt;=0,0,ROUND(C67*D68,0))</f>
        <v>1144</v>
      </c>
      <c r="D68" s="211">
        <f>'数据-取费表'!B41</f>
        <v>5.6000000000000001E-2</v>
      </c>
      <c r="E68" s="212"/>
      <c r="F68" s="2482"/>
      <c r="G68" s="2482"/>
      <c r="H68" s="2490"/>
      <c r="I68" s="138"/>
      <c r="J68" s="3132"/>
      <c r="K68" s="3024" t="s">
        <v>2254</v>
      </c>
      <c r="L68" s="1745">
        <f ca="1">IF(M49&gt;10000,M49*0.5%,IF(AND(M49&gt;5000,M49&lt;=10000),M49*1%,IF(AND(M49&gt;1000,M49&lt;=5000),M49*2%,IF(AND(M49&gt;200,M49&lt;=1000),M49*3%,M49*5%))))</f>
        <v>107.29</v>
      </c>
      <c r="M68" s="24">
        <f ca="1">ROUND(L68,1)</f>
        <v>107.3</v>
      </c>
      <c r="Z68" s="2416"/>
      <c r="AI68" s="2417"/>
    </row>
    <row r="69" spans="1:35" s="2439" customFormat="1" ht="16.5" customHeight="1">
      <c r="A69" s="2493"/>
      <c r="B69" s="2494"/>
      <c r="C69" s="2495"/>
      <c r="D69" s="2496"/>
      <c r="E69" s="2497"/>
      <c r="F69" s="2159"/>
      <c r="G69" s="2159"/>
      <c r="H69" s="2158"/>
      <c r="I69" s="2411"/>
      <c r="J69" s="3132"/>
      <c r="K69" s="3024" t="s">
        <v>2255</v>
      </c>
      <c r="L69" s="2498"/>
      <c r="M69" s="24">
        <f ca="1">ROUND(SUM(M63:M68),0)</f>
        <v>352</v>
      </c>
      <c r="N69" s="1746">
        <f ca="1">M69/M49</f>
        <v>1.6404138316711715E-2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6" t="s">
        <v>2256</v>
      </c>
      <c r="B70" s="3177"/>
      <c r="C70" s="3177"/>
      <c r="D70" s="3177"/>
      <c r="E70" s="3177"/>
      <c r="F70" s="3177"/>
      <c r="G70" s="3177"/>
      <c r="H70" s="317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7" t="s">
        <v>2237</v>
      </c>
      <c r="B71" s="3168"/>
      <c r="C71" s="3019"/>
      <c r="D71" s="3019"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20436</v>
      </c>
      <c r="D72" s="200" t="s">
        <v>32</v>
      </c>
      <c r="E72" s="3018"/>
      <c r="F72" s="3013"/>
      <c r="G72" s="301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123</v>
      </c>
      <c r="D73" s="200" t="s">
        <v>32</v>
      </c>
      <c r="E73" s="3018"/>
      <c r="F73" s="3013"/>
      <c r="G73" s="301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3018"/>
      <c r="F74" s="3013"/>
      <c r="G74" s="301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3" t="s">
        <v>2265</v>
      </c>
      <c r="F76" s="3172"/>
      <c r="G76" s="3172"/>
      <c r="H76" s="317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3025" t="s">
        <v>2267</v>
      </c>
      <c r="F77" s="224"/>
      <c r="G77" s="2506" t="s">
        <v>2268</v>
      </c>
      <c r="H77" s="302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123</v>
      </c>
      <c r="D78" s="226">
        <f>'数据-取费表'!B43</f>
        <v>6.000000000000001E-3</v>
      </c>
      <c r="E78" s="3164" t="s">
        <v>2270</v>
      </c>
      <c r="F78" s="3165"/>
      <c r="G78" s="3165"/>
      <c r="H78" s="316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20313</v>
      </c>
      <c r="D79" s="200" t="s">
        <v>32</v>
      </c>
      <c r="E79" s="3018"/>
      <c r="F79" s="3013"/>
      <c r="G79" s="301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165.14634146341464</v>
      </c>
      <c r="D80" s="200" t="s">
        <v>32</v>
      </c>
      <c r="E80" s="3025" t="str">
        <f ca="1">IF(C80&gt;=200%,"增值额超过扣除项目金额200%",IF(C80&gt;=100%,"增值额超过扣除项目金额100%，未超过200%",IF(C80&gt;=50%,"增值额超过扣除项目金额50%，未超过100%",IF(C80&lt;50%,"增值额未超过扣除项目金额50%"))))</f>
        <v>增值额超过扣除项目金额200%</v>
      </c>
      <c r="F80" s="3013"/>
      <c r="G80" s="301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12145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6" t="s">
        <v>2274</v>
      </c>
      <c r="B83" s="3177"/>
      <c r="C83" s="3177"/>
      <c r="D83" s="3177"/>
      <c r="E83" s="3177"/>
      <c r="F83" s="3177"/>
      <c r="G83" s="3177"/>
      <c r="H83" s="317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7" t="s">
        <v>2237</v>
      </c>
      <c r="B84" s="3168"/>
      <c r="C84" s="3019"/>
      <c r="D84" s="3019"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20436</v>
      </c>
      <c r="D85" s="200" t="s">
        <v>32</v>
      </c>
      <c r="E85" s="3018"/>
      <c r="F85" s="3013"/>
      <c r="G85" s="301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123</v>
      </c>
      <c r="D86" s="235"/>
      <c r="E86" s="3018"/>
      <c r="F86" s="3013"/>
      <c r="G86" s="301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3014"/>
      <c r="F87" s="3015"/>
      <c r="G87" s="3015"/>
      <c r="H87" s="301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3015"/>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3015"/>
      <c r="G89" s="3015"/>
      <c r="H89" s="301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3015"/>
      <c r="G90" s="3015"/>
      <c r="H90" s="301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4" t="s">
        <v>2283</v>
      </c>
      <c r="F91" s="3165"/>
      <c r="G91" s="3165"/>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4" t="s">
        <v>2287</v>
      </c>
      <c r="F92" s="3165"/>
      <c r="G92" s="3165"/>
      <c r="H92" s="316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123</v>
      </c>
      <c r="D93" s="226">
        <f>'数据-取费表'!B43</f>
        <v>6.000000000000001E-3</v>
      </c>
      <c r="E93" s="3164" t="s">
        <v>2270</v>
      </c>
      <c r="F93" s="3165"/>
      <c r="G93" s="3165"/>
      <c r="H93" s="316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2" t="s">
        <v>2291</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20313</v>
      </c>
      <c r="D95" s="200" t="s">
        <v>32</v>
      </c>
      <c r="E95" s="3018"/>
      <c r="F95" s="3013"/>
      <c r="G95" s="301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165.14634146341464</v>
      </c>
      <c r="D96" s="200" t="s">
        <v>32</v>
      </c>
      <c r="E96" s="3025" t="str">
        <f ca="1">IF(C96&gt;=200%,"增值额超过扣除项目金额200%",IF(C96&gt;=100%,"增值额超过扣除项目金额100%，未超过200%",IF(C96&gt;=50%,"增值额超过扣除项目金额50%，未超过100%",IF(C96&lt;50%,"增值额未超过扣除项目金额50%"))))</f>
        <v>增值额超过扣除项目金额200%</v>
      </c>
      <c r="F96" s="3013"/>
      <c r="G96" s="301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12145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6" t="s">
        <v>2293</v>
      </c>
      <c r="B100" s="3117"/>
      <c r="C100" s="3117"/>
      <c r="D100" s="3148"/>
      <c r="E100" s="3117" t="s">
        <v>2294</v>
      </c>
      <c r="F100" s="3117"/>
      <c r="G100" s="3117"/>
      <c r="H100" s="3148"/>
      <c r="I100" s="138"/>
    </row>
    <row r="101" spans="1:35" ht="18.75" customHeight="1">
      <c r="A101" s="3156" t="s">
        <v>2295</v>
      </c>
      <c r="B101" s="3157"/>
      <c r="C101" s="736" t="str">
        <f>C4</f>
        <v>比较法-商业1层</v>
      </c>
      <c r="D101" s="737" t="str">
        <f>D4</f>
        <v>收益法</v>
      </c>
      <c r="E101" s="3128" t="s">
        <v>2296</v>
      </c>
      <c r="F101" s="3129"/>
      <c r="G101" s="2513" t="s">
        <v>2297</v>
      </c>
      <c r="H101" s="1043">
        <f ca="1">H118</f>
        <v>21458</v>
      </c>
      <c r="I101" s="138"/>
    </row>
    <row r="102" spans="1:35" ht="18.75" customHeight="1">
      <c r="A102" s="3158" t="s">
        <v>2298</v>
      </c>
      <c r="B102" s="2513" t="s">
        <v>2297</v>
      </c>
      <c r="C102" s="736">
        <f ca="1">C19</f>
        <v>23289</v>
      </c>
      <c r="D102" s="737">
        <f ca="1">D19</f>
        <v>19627</v>
      </c>
      <c r="E102" s="3128"/>
      <c r="F102" s="3129"/>
      <c r="G102" s="2513" t="s">
        <v>2299</v>
      </c>
      <c r="H102" s="371">
        <f ca="1">I118</f>
        <v>48903</v>
      </c>
      <c r="I102" s="138"/>
    </row>
    <row r="103" spans="1:35" ht="42.75" customHeight="1">
      <c r="A103" s="3158"/>
      <c r="B103" s="2513" t="s">
        <v>2299</v>
      </c>
      <c r="C103" s="738">
        <f ca="1">C20</f>
        <v>53075</v>
      </c>
      <c r="D103" s="739">
        <f ca="1">D20</f>
        <v>44730</v>
      </c>
      <c r="E103" s="3122" t="s">
        <v>2300</v>
      </c>
      <c r="F103" s="3123"/>
      <c r="G103" s="2514" t="s">
        <v>2301</v>
      </c>
      <c r="H103" s="1043">
        <f>IF(D36="正常操作",H104+H105+H106,H105+H106)</f>
        <v>0</v>
      </c>
      <c r="I103" s="138"/>
    </row>
    <row r="104" spans="1:35" ht="18.75" customHeight="1">
      <c r="A104" s="3158" t="s">
        <v>2302</v>
      </c>
      <c r="B104" s="2515" t="s">
        <v>2297</v>
      </c>
      <c r="C104" s="740">
        <f ca="1">H118</f>
        <v>21458</v>
      </c>
      <c r="D104" s="741"/>
      <c r="E104" s="2260" t="s">
        <v>2303</v>
      </c>
      <c r="F104" s="2251"/>
      <c r="G104" s="2514" t="s">
        <v>2301</v>
      </c>
      <c r="H104" s="1044">
        <f>IF(D36="同一抵押权人同一抵押物续贷",C36&amp;"（未扣减，详见特别提示）",C36)</f>
        <v>0</v>
      </c>
      <c r="I104" s="138"/>
    </row>
    <row r="105" spans="1:35" ht="18.75" customHeight="1" thickBot="1">
      <c r="A105" s="3170"/>
      <c r="B105" s="2516" t="s">
        <v>2299</v>
      </c>
      <c r="C105" s="742">
        <f ca="1">I118</f>
        <v>48903</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9" t="str">
        <f>IF(项目基本情况!E8="已注销","——","3.房地产抵押价值")</f>
        <v>3.房地产抵押价值</v>
      </c>
      <c r="F107" s="3129"/>
      <c r="G107" s="2513" t="s">
        <v>2297</v>
      </c>
      <c r="H107" s="1043">
        <f ca="1">IF(E107="——","——",H101-H103)</f>
        <v>21458</v>
      </c>
      <c r="I107" s="138"/>
    </row>
    <row r="108" spans="1:35" ht="18.75" customHeight="1">
      <c r="A108" s="138"/>
      <c r="B108" s="138"/>
      <c r="C108" s="138"/>
      <c r="D108" s="138"/>
      <c r="E108" s="3159"/>
      <c r="F108" s="3129"/>
      <c r="G108" s="2513" t="s">
        <v>2299</v>
      </c>
      <c r="H108" s="371">
        <f ca="1">ROUND(H107*10000/'数据-汇总表'!E3,0)</f>
        <v>6280</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3" t="s">
        <v>2297</v>
      </c>
      <c r="H109" s="348" t="str">
        <f>IF(E109="——","——",H101-H105-H106)</f>
        <v>——</v>
      </c>
      <c r="I109" s="138"/>
    </row>
    <row r="110" spans="1:35" ht="18.75" customHeight="1">
      <c r="A110" s="138"/>
      <c r="B110" s="138"/>
      <c r="C110" s="138"/>
      <c r="D110" s="138"/>
      <c r="E110" s="3159"/>
      <c r="F110" s="3129"/>
      <c r="G110" s="2513" t="s">
        <v>2299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3" t="s">
        <v>2297</v>
      </c>
      <c r="H111" s="1043" t="str">
        <f>IF(E111="——","——",N59)</f>
        <v>——</v>
      </c>
      <c r="I111" s="138"/>
    </row>
    <row r="112" spans="1:35" ht="18.75" customHeight="1" thickBot="1">
      <c r="A112" s="138"/>
      <c r="B112" s="138"/>
      <c r="C112" s="138"/>
      <c r="D112" s="138"/>
      <c r="E112" s="3162"/>
      <c r="F112" s="3163"/>
      <c r="G112" s="2518" t="s">
        <v>2299</v>
      </c>
      <c r="H112" s="790" t="str">
        <f>IF(E111="——","——",N61)</f>
        <v>——</v>
      </c>
      <c r="I112" s="138"/>
    </row>
    <row r="113" spans="1:11" ht="18.75" customHeight="1">
      <c r="A113" s="138"/>
      <c r="B113" s="138"/>
      <c r="C113" s="138"/>
      <c r="D113" s="138"/>
      <c r="E113" s="3171" t="s">
        <v>2305</v>
      </c>
      <c r="F113" s="3171"/>
      <c r="G113" s="3171"/>
      <c r="H113" s="3171"/>
      <c r="I113" s="138"/>
    </row>
    <row r="114" spans="1:11" ht="3.75" customHeight="1">
      <c r="A114" s="2411"/>
      <c r="B114" s="2411"/>
      <c r="C114" s="2411"/>
      <c r="D114" s="2411"/>
      <c r="E114" s="2489"/>
      <c r="F114" s="2489"/>
      <c r="G114" s="2489"/>
      <c r="H114" s="2489"/>
      <c r="I114" s="2411"/>
    </row>
    <row r="115" spans="1:11" ht="18.75" customHeight="1">
      <c r="A115" s="3184" t="s">
        <v>2307</v>
      </c>
      <c r="B115" s="3185"/>
      <c r="C115" s="3185"/>
      <c r="D115" s="3185"/>
      <c r="E115" s="3185"/>
      <c r="F115" s="3185"/>
      <c r="G115" s="3185"/>
      <c r="H115" s="3185"/>
      <c r="I115" s="3186"/>
    </row>
    <row r="116" spans="1:11" ht="27" customHeight="1">
      <c r="A116" s="3095" t="s">
        <v>2308</v>
      </c>
      <c r="B116" s="3138" t="s">
        <v>3884</v>
      </c>
      <c r="C116" s="3138" t="s">
        <v>3883</v>
      </c>
      <c r="D116" s="3144" t="s">
        <v>2311</v>
      </c>
      <c r="E116" s="3145"/>
      <c r="F116" s="3180" t="s">
        <v>3882</v>
      </c>
      <c r="G116" s="3180"/>
      <c r="H116" s="3095" t="s">
        <v>2313</v>
      </c>
      <c r="I116" s="3095"/>
    </row>
    <row r="117" spans="1:11" ht="18.75" customHeight="1">
      <c r="A117" s="3095"/>
      <c r="B117" s="3139"/>
      <c r="C117" s="3139"/>
      <c r="D117" s="3011" t="s">
        <v>2314</v>
      </c>
      <c r="E117" s="3011" t="s">
        <v>2315</v>
      </c>
      <c r="F117" s="3011" t="s">
        <v>2314</v>
      </c>
      <c r="G117" s="3011" t="s">
        <v>2316</v>
      </c>
      <c r="H117" s="3011" t="s">
        <v>2314</v>
      </c>
      <c r="I117" s="3011" t="s">
        <v>2316</v>
      </c>
    </row>
    <row r="118" spans="1:11" ht="24.75" customHeight="1">
      <c r="A118" s="2519" t="str">
        <f>项目基本情况!S2</f>
        <v>北京市丰台区汽车博物馆西路8号院1、2、3号楼、4幢房地产</v>
      </c>
      <c r="B118" s="3011">
        <f>M18</f>
        <v>4387.92</v>
      </c>
      <c r="C118" s="3011">
        <f>M19</f>
        <v>774.5</v>
      </c>
      <c r="D118" s="3011">
        <f ca="1">ROUND(IF(D32="总价",C34,E118*B118/10000),0)</f>
        <v>17510</v>
      </c>
      <c r="E118" s="3011">
        <f ca="1">ROUND(IF(C33="自定义",IF(D32="楼面单价",C34,D118*10000/B118),I118-G118),0)</f>
        <v>39905</v>
      </c>
      <c r="F118" s="3011">
        <f ca="1">ROUND(IF(D32="总价",C35,G118*B118/10000),0)</f>
        <v>3948</v>
      </c>
      <c r="G118" s="3011">
        <f ca="1">ROUND(IF(D32="楼面单价",C35,F118*10000/B118),0)</f>
        <v>8998</v>
      </c>
      <c r="H118" s="3011">
        <f ca="1">ROUND(IF(D32="总价",C32,I118*B118/10000),0)</f>
        <v>21458</v>
      </c>
      <c r="I118" s="3011">
        <f ca="1">ROUND(IF(D32="楼面单价",C32,H118*10000/B118),0)</f>
        <v>48903</v>
      </c>
    </row>
    <row r="119" spans="1:11" ht="18.75" customHeight="1">
      <c r="A119" s="3095" t="s">
        <v>2317</v>
      </c>
      <c r="B119" s="3095"/>
      <c r="C119" s="3095"/>
      <c r="D119" s="3140" t="str">
        <f ca="1">NUMBERSTRING(INT(D118*10000),2)&amp;"元整"</f>
        <v>壹亿柒仟伍佰壹拾万元整</v>
      </c>
      <c r="E119" s="3141"/>
      <c r="F119" s="3140" t="str">
        <f ca="1">NUMBERSTRING(INT(F118*10000),2)&amp;"元整"</f>
        <v>叁仟玖佰肆拾捌万元整</v>
      </c>
      <c r="G119" s="3141"/>
      <c r="H119" s="3140" t="str">
        <f ca="1">NUMBERSTRING(INT(H118*10000),2)&amp;"元整"</f>
        <v>贰亿壹仟肆佰伍拾捌万元整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6"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21458</v>
      </c>
      <c r="E122" s="3136"/>
      <c r="F122" s="3136"/>
      <c r="G122" s="3136"/>
      <c r="H122" s="3136"/>
      <c r="I122" s="3137"/>
    </row>
    <row r="123" spans="1:11" ht="18.75" customHeight="1">
      <c r="A123" s="3095" t="s">
        <v>2317</v>
      </c>
      <c r="B123" s="3095"/>
      <c r="C123" s="3095"/>
      <c r="D123" s="3140" t="str">
        <f ca="1">NUMBERSTRING(INT(D122*10000),2)&amp;"元整"</f>
        <v>贰亿壹仟肆佰伍拾捌万元整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9" t="str">
        <f>项目基本情况!B1</f>
        <v>北京市丰台区汽车博物馆西路8号院1、2、3号楼、4幢房地产抵押价值预评估</v>
      </c>
      <c r="C37" s="3029"/>
      <c r="D37" s="3029"/>
      <c r="E37" s="3029"/>
      <c r="F37" s="3029"/>
      <c r="G37" s="3029"/>
      <c r="H37" s="3029"/>
      <c r="I37" s="3029"/>
    </row>
    <row r="38" spans="1:9">
      <c r="A38" s="1014"/>
      <c r="B38" s="1014"/>
    </row>
    <row r="39" spans="1:9">
      <c r="A39" s="1012" t="s">
        <v>818</v>
      </c>
      <c r="B39" s="1012" t="s">
        <v>820</v>
      </c>
    </row>
    <row r="40" spans="1:9">
      <c r="A40" s="1012"/>
      <c r="B40" s="1937" t="str">
        <f>项目基本情况!B5</f>
        <v>大业信托有限责任公司</v>
      </c>
    </row>
    <row r="41" spans="1:9">
      <c r="A41" s="1012"/>
      <c r="B41" s="1012"/>
    </row>
    <row r="42" spans="1:9">
      <c r="A42" s="1012" t="s">
        <v>818</v>
      </c>
      <c r="B42" s="1012" t="s">
        <v>821</v>
      </c>
    </row>
    <row r="43" spans="1:9">
      <c r="A43" s="1012"/>
      <c r="B43" s="1937" t="s">
        <v>822</v>
      </c>
    </row>
    <row r="44" spans="1:9">
      <c r="A44" s="1012"/>
      <c r="B44" s="1012"/>
    </row>
    <row r="45" spans="1:9">
      <c r="A45" s="1012" t="s">
        <v>818</v>
      </c>
      <c r="B45" s="1012" t="s">
        <v>823</v>
      </c>
    </row>
    <row r="46" spans="1:9" s="1012" customFormat="1" ht="12.75">
      <c r="B46" s="1937" t="str">
        <f ca="1">项目基本情况!K4</f>
        <v>王鹏（注册号：1120050019)、崔锴（注册号：1120100036)</v>
      </c>
    </row>
    <row r="47" spans="1:9">
      <c r="A47" s="1012"/>
      <c r="B47" s="1012" t="str">
        <f>项目基本情况!K5</f>
        <v/>
      </c>
    </row>
    <row r="48" spans="1:9">
      <c r="A48" s="1012" t="s">
        <v>818</v>
      </c>
      <c r="B48" s="1012" t="s">
        <v>824</v>
      </c>
    </row>
    <row r="49" spans="2:2">
      <c r="B49" s="1937" t="str">
        <f>"康正预评字"&amp;项目基本情况!B2&amp;"号"</f>
        <v>康正预评字2018-1-0623-P02DYGJ1号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1" sqref="C21"/>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3437</v>
      </c>
      <c r="D1" s="2411"/>
      <c r="E1" s="2411"/>
      <c r="F1" s="2413" t="s">
        <v>2118</v>
      </c>
      <c r="G1" s="2063" t="s">
        <v>3051</v>
      </c>
      <c r="H1" s="2414" t="str">
        <f>IF(G1="现房","——","估价对象范围")</f>
        <v>——</v>
      </c>
      <c r="I1" s="2415" t="s">
        <v>3722</v>
      </c>
    </row>
    <row r="2" spans="1:12" ht="21.75" customHeight="1" thickBot="1">
      <c r="A2" s="3194" t="str">
        <f>项目基本情况!S2</f>
        <v>北京市丰台区汽车博物馆西路8号院1、2、3号楼、4幢房地产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18" t="s">
        <v>2120</v>
      </c>
      <c r="B4" s="2419" t="s">
        <v>2121</v>
      </c>
      <c r="C4" s="2420" t="s">
        <v>3816</v>
      </c>
      <c r="D4" s="2420" t="s">
        <v>3818</v>
      </c>
      <c r="E4" s="3178" t="s">
        <v>2122</v>
      </c>
      <c r="F4" s="3191"/>
      <c r="G4" s="3191"/>
      <c r="H4" s="3191"/>
      <c r="I4" s="3179"/>
      <c r="K4" s="2421" t="str">
        <f>IF(ISNUMBER(FIND("比较法",'结果表 (库房)'!C4)),"比较法",IF(ISNUMBER(FIND("成本法",'结果表 (库房)'!C4)),"成本法",IF(ISNUMBER(FIND("假设开发法",'结果表 (库房)'!C4)),"假设开发法",IF(ISNUMBER(FIND("收益法",'结果表 (库房)'!C4)),"收益法","基准地价系数修正法"))))</f>
        <v>成本法</v>
      </c>
      <c r="L4" s="2421" t="str">
        <f>IF(ISNUMBER(FIND("比较法",'结果表 (库房)'!D4)),"比较法",IF(ISNUMBER(FIND("成本法",'结果表 (库房)'!D4)),"成本法",IF(ISNUMBER(FIND("假设开发法",'结果表 (库房)'!D4)),"假设开发法",IF(ISNUMBER(FIND("收益法",'结果表 (库房)'!D4)),"收益法","基准地价系数修正法"))))</f>
        <v>收益法</v>
      </c>
    </row>
    <row r="5" spans="1:12" ht="12.75">
      <c r="A5" s="3169" t="s">
        <v>2123</v>
      </c>
      <c r="B5" s="3095">
        <v>25</v>
      </c>
      <c r="C5" s="3199"/>
      <c r="D5" s="3187"/>
      <c r="E5" s="140" t="s">
        <v>2124</v>
      </c>
      <c r="F5" s="2422"/>
      <c r="G5" s="2422"/>
      <c r="H5" s="2422"/>
      <c r="I5" s="1826"/>
    </row>
    <row r="6" spans="1:12" ht="12.75">
      <c r="A6" s="3169"/>
      <c r="B6" s="3095"/>
      <c r="C6" s="3201"/>
      <c r="D6" s="3187"/>
      <c r="E6" s="140" t="s">
        <v>2125</v>
      </c>
      <c r="F6" s="2422"/>
      <c r="G6" s="2422"/>
      <c r="H6" s="2422"/>
      <c r="I6" s="1826"/>
    </row>
    <row r="7" spans="1:12" ht="12.75">
      <c r="A7" s="3169"/>
      <c r="B7" s="3095"/>
      <c r="C7" s="3200"/>
      <c r="D7" s="3187"/>
      <c r="E7" s="140" t="s">
        <v>2126</v>
      </c>
      <c r="F7" s="2422"/>
      <c r="G7" s="2422"/>
      <c r="H7" s="2422"/>
      <c r="I7" s="1826"/>
    </row>
    <row r="8" spans="1:12" ht="12.75">
      <c r="A8" s="3169" t="s">
        <v>2127</v>
      </c>
      <c r="B8" s="3095">
        <v>15</v>
      </c>
      <c r="C8" s="3199"/>
      <c r="D8" s="3187"/>
      <c r="E8" s="140" t="s">
        <v>2128</v>
      </c>
      <c r="F8" s="2422"/>
      <c r="G8" s="2422"/>
      <c r="H8" s="2422"/>
      <c r="I8" s="1826"/>
    </row>
    <row r="9" spans="1:12" ht="12.75">
      <c r="A9" s="3169"/>
      <c r="B9" s="3095"/>
      <c r="C9" s="3200"/>
      <c r="D9" s="3187"/>
      <c r="E9" s="140" t="s">
        <v>2129</v>
      </c>
      <c r="F9" s="2422"/>
      <c r="G9" s="2422"/>
      <c r="H9" s="2422"/>
      <c r="I9" s="1826"/>
    </row>
    <row r="10" spans="1:12" ht="12.75">
      <c r="A10" s="3169" t="s">
        <v>2130</v>
      </c>
      <c r="B10" s="3095">
        <v>15</v>
      </c>
      <c r="C10" s="3199"/>
      <c r="D10" s="3187"/>
      <c r="E10" s="140" t="s">
        <v>2131</v>
      </c>
      <c r="F10" s="2422"/>
      <c r="G10" s="2422"/>
      <c r="H10" s="2422"/>
      <c r="I10" s="1826"/>
    </row>
    <row r="11" spans="1:12" ht="12.75">
      <c r="A11" s="3169"/>
      <c r="B11" s="3095"/>
      <c r="C11" s="3200"/>
      <c r="D11" s="3187"/>
      <c r="E11" s="140" t="s">
        <v>2132</v>
      </c>
      <c r="F11" s="2422"/>
      <c r="G11" s="2422"/>
      <c r="H11" s="2422"/>
      <c r="I11" s="1826"/>
    </row>
    <row r="12" spans="1:12" ht="12.75">
      <c r="A12" s="3169" t="s">
        <v>2133</v>
      </c>
      <c r="B12" s="3095">
        <v>15</v>
      </c>
      <c r="C12" s="3199"/>
      <c r="D12" s="3187"/>
      <c r="E12" s="140" t="s">
        <v>2134</v>
      </c>
      <c r="F12" s="2422"/>
      <c r="G12" s="2422"/>
      <c r="H12" s="2422"/>
      <c r="I12" s="1826"/>
    </row>
    <row r="13" spans="1:12" ht="12.75">
      <c r="A13" s="3169"/>
      <c r="B13" s="3095"/>
      <c r="C13" s="3200"/>
      <c r="D13" s="3187"/>
      <c r="E13" s="140" t="s">
        <v>2135</v>
      </c>
      <c r="F13" s="2422"/>
      <c r="G13" s="2422"/>
      <c r="H13" s="2422"/>
      <c r="I13" s="1826"/>
    </row>
    <row r="14" spans="1:12" ht="12.75">
      <c r="A14" s="3169" t="s">
        <v>2136</v>
      </c>
      <c r="B14" s="3095">
        <v>30</v>
      </c>
      <c r="C14" s="3199">
        <v>5</v>
      </c>
      <c r="D14" s="3187">
        <v>5</v>
      </c>
      <c r="E14" s="140" t="s">
        <v>2137</v>
      </c>
      <c r="F14" s="2422"/>
      <c r="G14" s="2422"/>
      <c r="H14" s="2422"/>
      <c r="I14" s="1826"/>
    </row>
    <row r="15" spans="1:12" ht="12.75">
      <c r="A15" s="3169"/>
      <c r="B15" s="3095"/>
      <c r="C15" s="3201"/>
      <c r="D15" s="3187"/>
      <c r="E15" s="140" t="s">
        <v>2138</v>
      </c>
      <c r="F15" s="2422"/>
      <c r="G15" s="2422"/>
      <c r="H15" s="2422"/>
      <c r="I15" s="1826"/>
    </row>
    <row r="16" spans="1:12" ht="12.75">
      <c r="A16" s="3169"/>
      <c r="B16" s="3095"/>
      <c r="C16" s="3200"/>
      <c r="D16" s="3187"/>
      <c r="E16" s="140" t="s">
        <v>2139</v>
      </c>
      <c r="F16" s="2422"/>
      <c r="G16" s="2422"/>
      <c r="H16" s="2422"/>
      <c r="I16" s="1826"/>
    </row>
    <row r="17" spans="1:35" ht="15">
      <c r="A17" s="2423" t="s">
        <v>2140</v>
      </c>
      <c r="B17" s="64"/>
      <c r="C17" s="141">
        <f>SUM(C5:C16)</f>
        <v>5</v>
      </c>
      <c r="D17" s="141">
        <f>SUM(D5:D16)</f>
        <v>5</v>
      </c>
      <c r="E17" s="138"/>
      <c r="F17" s="138"/>
      <c r="G17" s="138"/>
      <c r="H17" s="138"/>
      <c r="I17" s="138"/>
      <c r="K17" s="2421"/>
      <c r="L17" s="2424" t="s">
        <v>2141</v>
      </c>
      <c r="M17" s="2424" t="s">
        <v>2142</v>
      </c>
    </row>
    <row r="18" spans="1:35" ht="15.75" thickBot="1">
      <c r="A18" s="2425" t="s">
        <v>2143</v>
      </c>
      <c r="B18" s="2426"/>
      <c r="C18" s="142">
        <f>ROUND(C17/SUM(C17:D17),2)</f>
        <v>0.5</v>
      </c>
      <c r="D18" s="142">
        <f>1-C18</f>
        <v>0.5</v>
      </c>
      <c r="E18" s="138"/>
      <c r="F18" s="138"/>
      <c r="G18" s="138"/>
      <c r="H18" s="138"/>
      <c r="I18" s="138"/>
      <c r="K18" s="2421" t="s">
        <v>2144</v>
      </c>
      <c r="L18" s="2421">
        <f>IF(C1="",'数据-汇总表'!E3,SUMIF(项目类型,C1,'数据-汇总表'!E17:E26)+SUMIF(项目类型,C1,'数据-汇总表'!I17:I26))</f>
        <v>2046.64</v>
      </c>
      <c r="M18" s="2421">
        <f>IF(C1="",'数据-汇总表'!E3,SUMIF(项目类型,C1,'数据-汇总表'!E17:E26))</f>
        <v>2046.64</v>
      </c>
    </row>
    <row r="19" spans="1:35" ht="15">
      <c r="A19" s="2427" t="s">
        <v>2145</v>
      </c>
      <c r="B19" s="2428" t="s">
        <v>2146</v>
      </c>
      <c r="C19" s="143">
        <f ca="1">SUMIF(INDIRECT("'"&amp;C4&amp;"'"&amp;"!A:A"),'结果表 (库房)'!B19,INDIRECT("'"&amp;C4&amp;"'"&amp;"!B:B"))</f>
        <v>1788</v>
      </c>
      <c r="D19" s="144">
        <f ca="1">SUMIF(INDIRECT("'"&amp;D4&amp;"'"&amp;"!A:A"),'结果表 (库房)'!B19,INDIRECT("'"&amp;D4&amp;"'"&amp;"!B:B"))</f>
        <v>1551</v>
      </c>
      <c r="E19" s="2427" t="s">
        <v>2147</v>
      </c>
      <c r="F19" s="2428" t="s">
        <v>2146</v>
      </c>
      <c r="G19" s="145">
        <f ca="1">ROUND(C19*$C$18+D19*$D$18,0)</f>
        <v>1670</v>
      </c>
      <c r="H19" s="2429" t="s">
        <v>2148</v>
      </c>
      <c r="I19" s="138"/>
      <c r="K19" s="2421" t="s">
        <v>2149</v>
      </c>
      <c r="L19" s="2421">
        <f>IF(C1="",'数据-汇总表'!D3,SUMIF(项目类型,C1,'数据-汇总表'!D17:D26)+SUMIF(项目类型,C1,'数据-汇总表'!H17:H27))</f>
        <v>361.25</v>
      </c>
      <c r="M19" s="2421">
        <f>IF(C1="",'数据-汇总表'!D3,SUMIF(项目类型,C1,'数据-汇总表'!D17:D26))</f>
        <v>361.25</v>
      </c>
    </row>
    <row r="20" spans="1:35" ht="15">
      <c r="A20" s="2430"/>
      <c r="B20" s="1243" t="s">
        <v>2150</v>
      </c>
      <c r="C20" s="146">
        <f ca="1">SUMIF(INDIRECT("'"&amp;C4&amp;"'"&amp;"!A:A"),'结果表 (库房)'!B20,INDIRECT("'"&amp;C4&amp;"'"&amp;"!B:B"))</f>
        <v>8736</v>
      </c>
      <c r="D20" s="147">
        <f ca="1">SUMIF(INDIRECT("'"&amp;D4&amp;"'"&amp;"!A:A"),'结果表 (库房)'!B20,INDIRECT("'"&amp;D4&amp;"'"&amp;"!B:B"))</f>
        <v>7578</v>
      </c>
      <c r="E20" s="2430"/>
      <c r="F20" s="1243" t="s">
        <v>2150</v>
      </c>
      <c r="G20" s="148">
        <f ca="1">ROUND(C20*$C$18+D20*$D$18,0)</f>
        <v>8157</v>
      </c>
      <c r="H20" s="978" t="s">
        <v>2151</v>
      </c>
      <c r="I20" s="138"/>
    </row>
    <row r="21" spans="1:35" ht="15" customHeight="1" thickBot="1">
      <c r="A21" s="998"/>
      <c r="B21" s="2431" t="s">
        <v>2152</v>
      </c>
      <c r="C21" s="789">
        <f ca="1">ROUND(C19*10000/L19,0)</f>
        <v>49495</v>
      </c>
      <c r="D21" s="790">
        <f ca="1">ROUND(D19*10000/L19,0)</f>
        <v>42934</v>
      </c>
      <c r="E21" s="998"/>
      <c r="F21" s="2431" t="s">
        <v>2152</v>
      </c>
      <c r="G21" s="149">
        <f ca="1">ROUND(G19*10000/L19,0)</f>
        <v>46228</v>
      </c>
      <c r="H21" s="2432" t="s">
        <v>2151</v>
      </c>
      <c r="I21" s="138"/>
    </row>
    <row r="22" spans="1:35" ht="15" thickBot="1">
      <c r="A22" s="2274" t="s">
        <v>2153</v>
      </c>
      <c r="B22" s="2433"/>
      <c r="C22" s="2434"/>
      <c r="D22" s="791">
        <f ca="1">IF(C19&lt;D19,D19/C19-1,C19/D19-1)</f>
        <v>0.15280464216634426</v>
      </c>
      <c r="E22" s="138"/>
      <c r="F22" s="138"/>
      <c r="G22" s="138"/>
      <c r="H22" s="138"/>
      <c r="I22" s="138"/>
    </row>
    <row r="23" spans="1:35" ht="13.5" thickBot="1">
      <c r="A23" s="2411"/>
      <c r="B23" s="2411"/>
      <c r="C23" s="2411"/>
      <c r="D23" s="2411"/>
      <c r="E23" s="138"/>
      <c r="F23" s="138"/>
      <c r="G23" s="138"/>
      <c r="H23" s="138"/>
      <c r="I23" s="138"/>
    </row>
    <row r="24" spans="1:35" ht="14.25">
      <c r="A24" s="3208" t="s">
        <v>2154</v>
      </c>
      <c r="B24" s="2428" t="s">
        <v>2146</v>
      </c>
      <c r="C24" s="145">
        <f>IF(B30=0,0,D30)</f>
        <v>0</v>
      </c>
      <c r="D24" s="2435"/>
      <c r="E24" s="138"/>
      <c r="F24" s="138"/>
      <c r="G24" s="138"/>
      <c r="H24" s="138"/>
      <c r="I24" s="138"/>
    </row>
    <row r="25" spans="1:35" ht="14.25">
      <c r="A25" s="3209"/>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1670</v>
      </c>
      <c r="D32" s="2442" t="s">
        <v>2161</v>
      </c>
      <c r="E32" s="138"/>
      <c r="F32" s="138"/>
      <c r="G32" s="138"/>
      <c r="H32" s="138"/>
      <c r="I32" s="138"/>
    </row>
    <row r="33" spans="1:15" ht="15">
      <c r="A33" s="955" t="s">
        <v>2162</v>
      </c>
      <c r="B33" s="2443"/>
      <c r="C33" s="2444" t="s">
        <v>3893</v>
      </c>
      <c r="D33" s="2445" t="s">
        <v>3816</v>
      </c>
      <c r="E33" s="2446" t="s">
        <v>2163</v>
      </c>
      <c r="F33" s="2937" t="str">
        <f>IF(D32="楼面单价","取值（单价）","取值（总价）")</f>
        <v>取值（总价）</v>
      </c>
      <c r="G33" s="138"/>
      <c r="H33" s="138"/>
      <c r="I33" s="138"/>
    </row>
    <row r="34" spans="1:15" ht="15">
      <c r="A34" s="2448"/>
      <c r="B34" s="2449" t="s">
        <v>2164</v>
      </c>
      <c r="C34" s="157">
        <f ca="1">IF(C33="自定义",F34,C32-C35)</f>
        <v>967</v>
      </c>
      <c r="D34" s="1053">
        <f ca="1">IF(C33="自定义",ROUND(C34/C32,3),IF(C33="收益比率",SUMIF(INDIRECT("'"&amp;D33&amp;"'"&amp;"!b:b"),"土地收益比率",INDIRECT("'"&amp;D33&amp;"'"&amp;"!c:c")),SUMIF(INDIRECT("'"&amp;D33&amp;"'"&amp;"!b:b"),"土地成本比率",INDIRECT("'"&amp;D33&amp;"'"&amp;"!c:c"))))</f>
        <v>0.57899999999999996</v>
      </c>
      <c r="E34" s="2450" t="s">
        <v>2165</v>
      </c>
      <c r="F34" s="1732"/>
      <c r="G34" s="138"/>
      <c r="H34" s="138"/>
      <c r="I34" s="138"/>
    </row>
    <row r="35" spans="1:15" ht="15.75" thickBot="1">
      <c r="A35" s="2451"/>
      <c r="B35" s="2452" t="s">
        <v>2166</v>
      </c>
      <c r="C35" s="1437">
        <f ca="1">IF(C33="自定义",F35,ROUND(C32*D35,0))</f>
        <v>703</v>
      </c>
      <c r="D35" s="1438">
        <f ca="1">IF(C33="自定义",ROUND(C35/C32,3),IF(C33="收益比率",SUMIF(INDIRECT("'"&amp;D33&amp;"'"&amp;"!b:b"),"建筑物收益比率",INDIRECT("'"&amp;D33&amp;"'"&amp;"!c:c")),SUMIF(INDIRECT("'"&amp;D33&amp;"'"&amp;"!b:b"),"建筑物成本比率",INDIRECT("'"&amp;D33&amp;"'"&amp;"!c:c"))))</f>
        <v>0.42099999999999999</v>
      </c>
      <c r="E35" s="2453" t="s">
        <v>2167</v>
      </c>
      <c r="F35" s="163"/>
      <c r="G35" s="138"/>
      <c r="H35" s="138"/>
      <c r="I35" s="138"/>
    </row>
    <row r="36" spans="1:15" ht="15.75" thickBot="1">
      <c r="A36" s="3188" t="s">
        <v>2168</v>
      </c>
      <c r="B36" s="2454" t="s">
        <v>2169</v>
      </c>
      <c r="C36" s="154"/>
      <c r="D36" s="2455"/>
      <c r="E36" s="2456"/>
      <c r="F36" s="2457"/>
      <c r="G36" s="138"/>
      <c r="H36" s="138"/>
      <c r="I36" s="138"/>
    </row>
    <row r="37" spans="1:15" ht="15.75" thickBot="1">
      <c r="A37" s="3189"/>
      <c r="B37" s="2260" t="s">
        <v>2170</v>
      </c>
      <c r="C37" s="156"/>
      <c r="D37" s="1388"/>
      <c r="E37" s="1388"/>
      <c r="F37" s="2457"/>
      <c r="G37" s="138"/>
      <c r="H37" s="138"/>
      <c r="I37" s="138"/>
    </row>
    <row r="38" spans="1:15" ht="15.75" thickBot="1">
      <c r="A38" s="3190"/>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5" t="s">
        <v>2182</v>
      </c>
      <c r="B45" s="3206"/>
      <c r="C45" s="3207"/>
      <c r="D45" s="164">
        <f ca="1">ROUND(H101*F45,0)</f>
        <v>1670</v>
      </c>
      <c r="E45" s="165" t="s">
        <v>2183</v>
      </c>
      <c r="F45" s="166">
        <v>1</v>
      </c>
      <c r="G45" s="167" t="s">
        <v>2184</v>
      </c>
      <c r="H45" s="138"/>
      <c r="I45" s="138"/>
      <c r="J45" s="3124" t="s">
        <v>2185</v>
      </c>
      <c r="K45" s="3124"/>
      <c r="L45" s="3124"/>
      <c r="M45" s="3124"/>
      <c r="N45" s="3124"/>
      <c r="O45" s="3124"/>
    </row>
    <row r="46" spans="1:15" ht="14.25" customHeight="1">
      <c r="A46" s="3202" t="s">
        <v>2186</v>
      </c>
      <c r="B46" s="3203"/>
      <c r="C46" s="3203"/>
      <c r="D46" s="3203"/>
      <c r="E46" s="3203"/>
      <c r="F46" s="3203"/>
      <c r="G46" s="3204"/>
      <c r="H46" s="2473"/>
      <c r="I46" s="168"/>
      <c r="J46" s="2947">
        <v>1</v>
      </c>
      <c r="K46" s="3124" t="s">
        <v>2187</v>
      </c>
      <c r="L46" s="3124"/>
      <c r="M46" s="3125"/>
      <c r="N46" s="3125"/>
      <c r="O46" s="3125"/>
    </row>
    <row r="47" spans="1:15" ht="12" customHeight="1">
      <c r="A47" s="169" t="s">
        <v>2188</v>
      </c>
      <c r="B47" s="170"/>
      <c r="C47" s="171"/>
      <c r="D47" s="172" t="s">
        <v>2189</v>
      </c>
      <c r="E47" s="24" t="s">
        <v>2190</v>
      </c>
      <c r="F47" s="173" t="s">
        <v>2191</v>
      </c>
      <c r="G47" s="174" t="s">
        <v>2192</v>
      </c>
      <c r="H47" s="2473"/>
      <c r="I47" s="168"/>
      <c r="J47" s="2947">
        <v>2</v>
      </c>
      <c r="K47" s="3124" t="s">
        <v>2193</v>
      </c>
      <c r="L47" s="3124"/>
      <c r="M47" s="3126">
        <f>'数据-取费表'!B2</f>
        <v>43342</v>
      </c>
      <c r="N47" s="3126"/>
      <c r="O47" s="3126"/>
    </row>
    <row r="48" spans="1:15" ht="25.5">
      <c r="A48" s="3192" t="s">
        <v>2194</v>
      </c>
      <c r="B48" s="3193"/>
      <c r="C48" s="3193"/>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24" t="s">
        <v>2197</v>
      </c>
      <c r="L48" s="3124"/>
      <c r="M48" s="3127">
        <f ca="1">H101</f>
        <v>1670</v>
      </c>
      <c r="N48" s="3127"/>
      <c r="O48" s="3127"/>
    </row>
    <row r="49" spans="1:35" ht="25.5" customHeight="1">
      <c r="A49" s="176" t="s">
        <v>2198</v>
      </c>
      <c r="B49" s="3172" t="s">
        <v>2199</v>
      </c>
      <c r="C49" s="3172"/>
      <c r="D49" s="177">
        <v>0</v>
      </c>
      <c r="E49" s="23" t="s">
        <v>2200</v>
      </c>
      <c r="F49" s="28" t="s">
        <v>34</v>
      </c>
      <c r="G49" s="3153"/>
      <c r="H49" s="138"/>
      <c r="I49" s="2476"/>
      <c r="J49" s="2947">
        <v>4</v>
      </c>
      <c r="K49" s="3124" t="str">
        <f>IF(项目基本情况!E8="房地产抵押价值","房地产抵押价值","抵押担保权已注销时的房地产抵押价值")</f>
        <v>房地产抵押价值</v>
      </c>
      <c r="L49" s="3124"/>
      <c r="M49" s="3127">
        <f ca="1">IF(项目基本情况!E8="房地产抵押价值",H107,H109)</f>
        <v>1670</v>
      </c>
      <c r="N49" s="3127"/>
      <c r="O49" s="3127"/>
    </row>
    <row r="50" spans="1:35" ht="25.5" customHeight="1">
      <c r="A50" s="178"/>
      <c r="B50" s="3172" t="s">
        <v>2201</v>
      </c>
      <c r="C50" s="3172"/>
      <c r="D50" s="179"/>
      <c r="E50" s="31"/>
      <c r="F50" s="180"/>
      <c r="G50" s="3154"/>
      <c r="H50" s="138"/>
      <c r="I50" s="2476"/>
      <c r="J50" s="3124" t="s">
        <v>2202</v>
      </c>
      <c r="K50" s="3124"/>
      <c r="L50" s="3124"/>
      <c r="M50" s="3124"/>
      <c r="N50" s="3124"/>
      <c r="O50" s="3124"/>
    </row>
    <row r="51" spans="1:35" ht="12" customHeight="1">
      <c r="A51" s="181"/>
      <c r="B51" s="3172" t="s">
        <v>2203</v>
      </c>
      <c r="C51" s="3172"/>
      <c r="D51" s="182"/>
      <c r="E51" s="30"/>
      <c r="F51" s="180"/>
      <c r="G51" s="3155"/>
      <c r="H51" s="138"/>
      <c r="I51" s="2476"/>
      <c r="J51" s="2940" t="s">
        <v>2204</v>
      </c>
      <c r="K51" s="3124" t="s">
        <v>2205</v>
      </c>
      <c r="L51" s="3124"/>
      <c r="M51" s="2940" t="s">
        <v>2206</v>
      </c>
      <c r="N51" s="2940" t="s">
        <v>2207</v>
      </c>
      <c r="O51" s="2940" t="s">
        <v>2208</v>
      </c>
    </row>
    <row r="52" spans="1:35" ht="24" customHeight="1">
      <c r="A52" s="183" t="s">
        <v>2209</v>
      </c>
      <c r="B52" s="3172" t="s">
        <v>2210</v>
      </c>
      <c r="C52" s="3172"/>
      <c r="D52" s="182">
        <f ca="1">ROUND(D45*'数据-取费表'!B41/(1+'数据-取费表'!C42),0)</f>
        <v>89</v>
      </c>
      <c r="E52" s="11" t="s">
        <v>2211</v>
      </c>
      <c r="F52" s="184">
        <f>'数据-取费表'!B41</f>
        <v>5.6000000000000001E-2</v>
      </c>
      <c r="G52" s="2478"/>
      <c r="H52" s="138"/>
      <c r="I52" s="2476"/>
      <c r="J52" s="2947">
        <v>1</v>
      </c>
      <c r="K52" s="3147" t="s">
        <v>2212</v>
      </c>
      <c r="L52" s="3147"/>
      <c r="M52" s="1747">
        <f>D48</f>
        <v>0</v>
      </c>
      <c r="N52" s="2947" t="str">
        <f>E48</f>
        <v>销售额×税（费）率</v>
      </c>
      <c r="O52" s="1748" t="str">
        <f>F48</f>
        <v>免征</v>
      </c>
    </row>
    <row r="53" spans="1:35" ht="12" customHeight="1">
      <c r="A53" s="183" t="s">
        <v>2213</v>
      </c>
      <c r="B53" s="3173" t="s">
        <v>2214</v>
      </c>
      <c r="C53" s="3174"/>
      <c r="D53" s="182">
        <f ca="1">ROUND(D45*'数据-取费表'!B41/(1+'数据-取费表'!C42),0)</f>
        <v>89</v>
      </c>
      <c r="E53" s="11" t="s">
        <v>2211</v>
      </c>
      <c r="F53" s="184">
        <f>'数据-取费表'!B41</f>
        <v>5.6000000000000001E-2</v>
      </c>
      <c r="G53" s="2478"/>
      <c r="H53" s="138"/>
      <c r="I53" s="2476"/>
      <c r="J53" s="2947">
        <v>2</v>
      </c>
      <c r="K53" s="3147" t="s">
        <v>2215</v>
      </c>
      <c r="L53" s="3147"/>
      <c r="M53" s="1747">
        <f t="shared" ref="M53:O54" ca="1" si="0">D55</f>
        <v>1</v>
      </c>
      <c r="N53" s="2947" t="str">
        <f t="shared" si="0"/>
        <v>销售额×税（费）率</v>
      </c>
      <c r="O53" s="1748">
        <f t="shared" si="0"/>
        <v>5.0000000000000001E-4</v>
      </c>
    </row>
    <row r="54" spans="1:35" ht="12" customHeight="1">
      <c r="A54" s="183" t="s">
        <v>2216</v>
      </c>
      <c r="B54" s="3173" t="s">
        <v>2217</v>
      </c>
      <c r="C54" s="3174"/>
      <c r="D54" s="182">
        <f ca="1">C68</f>
        <v>89</v>
      </c>
      <c r="E54" s="30" t="s">
        <v>2218</v>
      </c>
      <c r="F54" s="184">
        <f>'数据-取费表'!B41</f>
        <v>5.6000000000000001E-2</v>
      </c>
      <c r="G54" s="2478"/>
      <c r="H54" s="2479"/>
      <c r="I54" s="2476"/>
      <c r="J54" s="2947">
        <v>3</v>
      </c>
      <c r="K54" s="3147" t="s">
        <v>2219</v>
      </c>
      <c r="L54" s="3147"/>
      <c r="M54" s="1747">
        <f t="shared" ca="1" si="0"/>
        <v>945</v>
      </c>
      <c r="N54" s="2947" t="str">
        <f t="shared" si="0"/>
        <v>增值额×税（费）率</v>
      </c>
      <c r="O54" s="1749" t="str">
        <f t="shared" si="0"/>
        <v>——</v>
      </c>
    </row>
    <row r="55" spans="1:35" ht="24" customHeight="1">
      <c r="A55" s="3211" t="s">
        <v>2220</v>
      </c>
      <c r="B55" s="3193"/>
      <c r="C55" s="3193"/>
      <c r="D55" s="185">
        <f ca="1">IF(H55="个人住宅",0,ROUND(D45*I55,0))</f>
        <v>1</v>
      </c>
      <c r="E55" s="11" t="s">
        <v>2221</v>
      </c>
      <c r="F55" s="184">
        <f>IF(H55="正常",I55,"免征")</f>
        <v>5.0000000000000001E-4</v>
      </c>
      <c r="G55" s="2478"/>
      <c r="H55" s="2475" t="s">
        <v>2222</v>
      </c>
      <c r="I55" s="186">
        <f>'数据-取费表'!B49</f>
        <v>5.0000000000000001E-4</v>
      </c>
      <c r="J55" s="2947" t="str">
        <f>IF(H59="非个人房产","",4)</f>
        <v/>
      </c>
      <c r="K55" s="3147" t="str">
        <f>IF(H59="非个人房产","——","个人所得税")</f>
        <v>——</v>
      </c>
      <c r="L55" s="3147"/>
      <c r="M55" s="1750" t="str">
        <f>D59</f>
        <v>——</v>
      </c>
      <c r="N55" s="2948" t="str">
        <f>E59</f>
        <v>——</v>
      </c>
      <c r="O55" s="1751" t="str">
        <f>F59</f>
        <v>——</v>
      </c>
    </row>
    <row r="56" spans="1:35" ht="24.75">
      <c r="A56" s="3211" t="s">
        <v>2223</v>
      </c>
      <c r="B56" s="3193"/>
      <c r="C56" s="3193"/>
      <c r="D56" s="185">
        <f ca="1">IF(H56="个人住宅",D57,D58)</f>
        <v>945</v>
      </c>
      <c r="E56" s="11" t="s">
        <v>2224</v>
      </c>
      <c r="F56" s="184" t="str">
        <f>IF(H56="正常",F58,"免征")</f>
        <v>——</v>
      </c>
      <c r="G56" s="2480" t="s">
        <v>2225</v>
      </c>
      <c r="H56" s="2481" t="s">
        <v>2222</v>
      </c>
      <c r="I56" s="2482"/>
      <c r="J56" s="2947" t="str">
        <f>IF(项目基本情况!K6="上海银行",IF(J55="",4,J55+1),"")</f>
        <v/>
      </c>
      <c r="K56" s="3130" t="str">
        <f>IF(项目基本情况!K6="上海银行","其他处置费用","")</f>
        <v/>
      </c>
      <c r="L56" s="3131"/>
      <c r="M56" s="1747" t="str">
        <f>IF(项目基本情况!K6="上海银行",M69,"")</f>
        <v/>
      </c>
      <c r="N56" s="3133" t="str">
        <f>IF(项目基本情况!K6="上海银行","包含处置中涉及的律师、诉讼、拍卖、评估等费用","")</f>
        <v/>
      </c>
      <c r="O56" s="3134"/>
    </row>
    <row r="57" spans="1:35" ht="12.75">
      <c r="A57" s="183" t="s">
        <v>2198</v>
      </c>
      <c r="B57" s="3178" t="s">
        <v>2226</v>
      </c>
      <c r="C57" s="3179"/>
      <c r="D57" s="187">
        <v>0</v>
      </c>
      <c r="E57" s="23" t="s">
        <v>2200</v>
      </c>
      <c r="F57" s="155"/>
      <c r="G57" s="2478"/>
      <c r="H57" s="2482"/>
      <c r="I57" s="2482"/>
      <c r="J57" s="3147">
        <f>IF(AND(J55="",J56=""),4,IF(项目基本情况!K6="上海银行",'结果表 (库房)'!J56+1,'结果表 (库房)'!J55+1))</f>
        <v>4</v>
      </c>
      <c r="K57" s="3147" t="s">
        <v>2227</v>
      </c>
      <c r="L57" s="2483" t="s">
        <v>2228</v>
      </c>
      <c r="M57" s="1752"/>
      <c r="N57" s="1753">
        <f ca="1">SUMIF(M52:M56,"&lt;9e307")</f>
        <v>946</v>
      </c>
      <c r="O57" s="2484"/>
      <c r="P57" s="1746">
        <f ca="1">N57/M49</f>
        <v>0.56646706586826345</v>
      </c>
    </row>
    <row r="58" spans="1:35" ht="24.75">
      <c r="A58" s="183" t="s">
        <v>2209</v>
      </c>
      <c r="B58" s="3178" t="s">
        <v>2229</v>
      </c>
      <c r="C58" s="3191"/>
      <c r="D58" s="185">
        <f ca="1">IF(H58="转让取得",C81,C97)</f>
        <v>945</v>
      </c>
      <c r="E58" s="11" t="s">
        <v>2224</v>
      </c>
      <c r="F58" s="24" t="s">
        <v>34</v>
      </c>
      <c r="G58" s="2478"/>
      <c r="H58" s="2481" t="s">
        <v>2230</v>
      </c>
      <c r="I58" s="2482"/>
      <c r="J58" s="3147"/>
      <c r="K58" s="3147"/>
      <c r="L58" s="2483" t="s">
        <v>2231</v>
      </c>
      <c r="M58" s="1754"/>
      <c r="N58" s="2485" t="str">
        <f ca="1">NUMBERSTRING(INT(N57*10000),2)&amp;"元整"</f>
        <v>玖佰肆拾陆万元整</v>
      </c>
      <c r="O58" s="2486"/>
    </row>
    <row r="59" spans="1:35" ht="24.75" thickBot="1">
      <c r="A59" s="3151" t="s">
        <v>2232</v>
      </c>
      <c r="B59" s="3152"/>
      <c r="C59" s="315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9">
        <f>J57+1</f>
        <v>5</v>
      </c>
      <c r="K59" s="3147" t="s">
        <v>2234</v>
      </c>
      <c r="L59" s="2947" t="s">
        <v>2228</v>
      </c>
      <c r="M59" s="1755"/>
      <c r="N59" s="1756">
        <f ca="1">M49-N57</f>
        <v>724</v>
      </c>
      <c r="O59" s="2488"/>
    </row>
    <row r="60" spans="1:35" ht="12" customHeight="1">
      <c r="A60" s="2489"/>
      <c r="B60" s="2411"/>
      <c r="C60" s="2411"/>
      <c r="D60" s="2411"/>
      <c r="E60" s="2159"/>
      <c r="F60" s="2482"/>
      <c r="G60" s="2482"/>
      <c r="H60" s="2490"/>
      <c r="I60" s="138"/>
      <c r="J60" s="3150"/>
      <c r="K60" s="3147"/>
      <c r="L60" s="2483" t="s">
        <v>2231</v>
      </c>
      <c r="M60" s="1754"/>
      <c r="N60" s="2485" t="str">
        <f ca="1">NUMBERSTRING(INT(N59*10000),2)&amp;"元整"</f>
        <v>柒佰贰拾肆万元整</v>
      </c>
      <c r="O60" s="2486"/>
    </row>
    <row r="61" spans="1:35" ht="13.5" thickBot="1">
      <c r="A61" s="3210" t="s">
        <v>2235</v>
      </c>
      <c r="B61" s="3210"/>
      <c r="C61" s="3210"/>
      <c r="D61" s="3210"/>
      <c r="E61" s="3210"/>
      <c r="F61" s="2482"/>
      <c r="G61" s="2482"/>
      <c r="H61" s="2490"/>
      <c r="I61" s="138"/>
      <c r="J61" s="2947">
        <f>J59+1</f>
        <v>6</v>
      </c>
      <c r="K61" s="3147" t="s">
        <v>2236</v>
      </c>
      <c r="L61" s="3147"/>
      <c r="M61" s="1757"/>
      <c r="N61" s="1758">
        <f ca="1">ROUND(N59*10000/'数据-汇总表'!E3,0)</f>
        <v>212</v>
      </c>
      <c r="O61" s="2491"/>
    </row>
    <row r="62" spans="1:35" ht="12.75">
      <c r="A62" s="3167" t="s">
        <v>2237</v>
      </c>
      <c r="B62" s="3168"/>
      <c r="C62" s="2952"/>
      <c r="D62" s="2952" t="s">
        <v>2238</v>
      </c>
      <c r="E62" s="192" t="s">
        <v>2239</v>
      </c>
      <c r="F62" s="2482"/>
      <c r="G62" s="2482"/>
      <c r="H62" s="2490"/>
      <c r="I62" s="138"/>
    </row>
    <row r="63" spans="1:35" ht="12.75">
      <c r="A63" s="203" t="s">
        <v>775</v>
      </c>
      <c r="B63" s="193" t="s">
        <v>2240</v>
      </c>
      <c r="C63" s="194">
        <f ca="1">ROUND((C64+C65)/(1+'数据-取费表'!C42),0)</f>
        <v>1590</v>
      </c>
      <c r="D63" s="195"/>
      <c r="E63" s="196"/>
      <c r="F63" s="2482"/>
      <c r="G63" s="2482"/>
      <c r="H63" s="2490"/>
      <c r="I63" s="138"/>
      <c r="J63" s="3132" t="s">
        <v>2241</v>
      </c>
      <c r="K63" s="2943" t="s">
        <v>2242</v>
      </c>
      <c r="L63" s="1745">
        <f ca="1">IF(M49&gt;10000,M49*0.5%,IF(AND(M49&gt;1000,M49&lt;=10000),M49*1%,IF(AND(M49&gt;100,M49&lt;=1000),M49*3%,IF(AND(M49&gt;10,M49&lt;=100),M49*5%,M49*8%))))</f>
        <v>16.7</v>
      </c>
      <c r="M63" s="24">
        <f ca="1">ROUND(L63,1)</f>
        <v>16.7</v>
      </c>
      <c r="Z63" s="2416"/>
      <c r="AI63" s="2417"/>
    </row>
    <row r="64" spans="1:35" ht="14.25" customHeight="1">
      <c r="A64" s="197" t="s">
        <v>770</v>
      </c>
      <c r="B64" s="198" t="s">
        <v>2243</v>
      </c>
      <c r="C64" s="199">
        <f ca="1">D45</f>
        <v>1670</v>
      </c>
      <c r="D64" s="200" t="s">
        <v>32</v>
      </c>
      <c r="E64" s="201"/>
      <c r="F64" s="2482"/>
      <c r="G64" s="2482"/>
      <c r="H64" s="2490"/>
      <c r="I64" s="138"/>
      <c r="J64" s="3132"/>
      <c r="K64" s="2943" t="s">
        <v>2244</v>
      </c>
      <c r="L64" s="1745">
        <f ca="1">IF(M49&gt;2000,M49*0.5%,IF(AND(M49&gt;1000,M49&lt;=2000),M49*0.6%,IF(AND(M49&gt;500,M49&lt;=1000),M49*0.7%,IF(AND(M49&gt;200,M49&lt;=500),M49*0.8%,IF(AND(M49&gt;100,M49&lt;=200),M49*0.9%,IF(AND(M49&gt;50,M49&lt;=100),M49*1%,IF(AND(M49&gt;20,M49&lt;=50),M49*1.5%,IF(AND(M49&gt;10,M49&lt;=20),M49*2%,IF(AND(M49&gt;1,M49&lt;=10),M49*2.5%)))))))))</f>
        <v>10.02</v>
      </c>
      <c r="M64" s="24">
        <f t="shared" ref="M64:M65" ca="1" si="1">ROUND(L64,1)</f>
        <v>10</v>
      </c>
      <c r="N64" s="138" t="s">
        <v>2245</v>
      </c>
      <c r="Z64" s="2416"/>
      <c r="AI64" s="2417"/>
    </row>
    <row r="65" spans="1:35" ht="14.25" customHeight="1">
      <c r="A65" s="197" t="s">
        <v>771</v>
      </c>
      <c r="B65" s="198" t="s">
        <v>2246</v>
      </c>
      <c r="C65" s="202"/>
      <c r="D65" s="200"/>
      <c r="E65" s="201"/>
      <c r="F65" s="2482"/>
      <c r="G65" s="2482"/>
      <c r="H65" s="2490"/>
      <c r="I65" s="138"/>
      <c r="J65" s="3132"/>
      <c r="K65" s="2943" t="s">
        <v>2247</v>
      </c>
      <c r="L65" s="1745">
        <f ca="1">IF(M49&gt;1000,M49*0.1%,IF(AND(M49&gt;500,M49&lt;=1000),M49*0.5%,IF(AND(M49&gt;50,M49&lt;=500),M49*1%,IF(AND(M49&gt;1,M49&lt;=50),M49*1.5%))))</f>
        <v>1.67</v>
      </c>
      <c r="M65" s="24">
        <f t="shared" ca="1" si="1"/>
        <v>1.7</v>
      </c>
      <c r="N65" s="138" t="s">
        <v>2245</v>
      </c>
      <c r="Z65" s="2416"/>
      <c r="AI65" s="2417"/>
    </row>
    <row r="66" spans="1:35" ht="14.25" customHeight="1">
      <c r="A66" s="203" t="s">
        <v>772</v>
      </c>
      <c r="B66" s="204" t="s">
        <v>2248</v>
      </c>
      <c r="C66" s="205"/>
      <c r="D66" s="206" t="s">
        <v>32</v>
      </c>
      <c r="E66" s="1768" t="s">
        <v>1371</v>
      </c>
      <c r="F66" s="2482"/>
      <c r="G66" s="2482"/>
      <c r="H66" s="2490"/>
      <c r="I66" s="138"/>
      <c r="J66" s="3132"/>
      <c r="K66" s="2943" t="s">
        <v>2249</v>
      </c>
      <c r="L66" s="1745">
        <f ca="1">M49*0.5%</f>
        <v>8.35</v>
      </c>
      <c r="M66" s="24">
        <f ca="1">IF(L66&gt;0.5,0.5,ROUND(L66,0))</f>
        <v>0.5</v>
      </c>
      <c r="N66" s="138" t="s">
        <v>2250</v>
      </c>
      <c r="Z66" s="2416"/>
      <c r="AI66" s="2417"/>
    </row>
    <row r="67" spans="1:35" ht="14.25" customHeight="1">
      <c r="A67" s="203" t="s">
        <v>773</v>
      </c>
      <c r="B67" s="204" t="s">
        <v>2251</v>
      </c>
      <c r="C67" s="207">
        <f ca="1">C63-C66</f>
        <v>1590</v>
      </c>
      <c r="D67" s="200" t="s">
        <v>32</v>
      </c>
      <c r="E67" s="201"/>
      <c r="F67" s="2482"/>
      <c r="G67" s="2482"/>
      <c r="H67" s="2490"/>
      <c r="I67" s="138"/>
      <c r="J67" s="3132"/>
      <c r="K67" s="2943" t="s">
        <v>2252</v>
      </c>
      <c r="L67" s="1745">
        <f ca="1">IF(M49&gt;=10000,(8.25+(M49-10000)*0.01%),IF(AND(M49&gt;=8000,M49&lt;10000),(7.85+(M49-8000)*0.02%),IF(AND(M49&gt;=5000,M49&lt;8000),(6.65+(M49-5000)*0.04%),IF(AND(M49&gt;=2000,M49&lt;5000),(4.25+(PM49-2000)*0.08%),IF(AND(M49&gt;=1000,M49&lt;2000),(2.75+(M49-1000)*0.15%),IF(AND(M49&gt;=100,M49&lt;1000),(0.5+(M49-100)*0.25%),IF(AND(M49&gt;0,M49&lt;100),M49*0.5%)))))))</f>
        <v>3.7549999999999999</v>
      </c>
      <c r="M67" s="24">
        <f ca="1">ROUND(L67*0.9,1)</f>
        <v>3.4</v>
      </c>
      <c r="Z67" s="2416"/>
      <c r="AI67" s="2417"/>
    </row>
    <row r="68" spans="1:35" ht="14.25" customHeight="1" thickBot="1">
      <c r="A68" s="208" t="s">
        <v>774</v>
      </c>
      <c r="B68" s="209" t="s">
        <v>2253</v>
      </c>
      <c r="C68" s="210">
        <f ca="1">IF(C67&lt;=0,0,ROUND(C67*D68,0))</f>
        <v>89</v>
      </c>
      <c r="D68" s="211">
        <f>'数据-取费表'!B41</f>
        <v>5.6000000000000001E-2</v>
      </c>
      <c r="E68" s="212"/>
      <c r="F68" s="2482"/>
      <c r="G68" s="2482"/>
      <c r="H68" s="2490"/>
      <c r="I68" s="138"/>
      <c r="J68" s="3132"/>
      <c r="K68" s="2943" t="s">
        <v>2254</v>
      </c>
      <c r="L68" s="1745">
        <f ca="1">IF(M49&gt;10000,M49*0.5%,IF(AND(M49&gt;5000,M49&lt;=10000),M49*1%,IF(AND(M49&gt;1000,M49&lt;=5000),M49*2%,IF(AND(M49&gt;200,M49&lt;=1000),M49*3%,M49*5%))))</f>
        <v>33.4</v>
      </c>
      <c r="M68" s="24">
        <f ca="1">ROUND(L68,1)</f>
        <v>33.4</v>
      </c>
      <c r="Z68" s="2416"/>
      <c r="AI68" s="2417"/>
    </row>
    <row r="69" spans="1:35" s="2439" customFormat="1" ht="16.5" customHeight="1">
      <c r="A69" s="2493"/>
      <c r="B69" s="2494"/>
      <c r="C69" s="2495"/>
      <c r="D69" s="2496"/>
      <c r="E69" s="2497"/>
      <c r="F69" s="2159"/>
      <c r="G69" s="2159"/>
      <c r="H69" s="2158"/>
      <c r="I69" s="2411"/>
      <c r="J69" s="3132"/>
      <c r="K69" s="2943" t="s">
        <v>2255</v>
      </c>
      <c r="L69" s="2498"/>
      <c r="M69" s="24">
        <f ca="1">ROUND(SUM(M63:M68),0)</f>
        <v>66</v>
      </c>
      <c r="N69" s="1746">
        <f ca="1">M69/M49</f>
        <v>3.9520958083832339E-2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6" t="s">
        <v>2256</v>
      </c>
      <c r="B70" s="3177"/>
      <c r="C70" s="3177"/>
      <c r="D70" s="3177"/>
      <c r="E70" s="3177"/>
      <c r="F70" s="3177"/>
      <c r="G70" s="3177"/>
      <c r="H70" s="317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7" t="s">
        <v>2237</v>
      </c>
      <c r="B71" s="3168"/>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1590</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10</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3" t="s">
        <v>2265</v>
      </c>
      <c r="F76" s="3172"/>
      <c r="G76" s="3172"/>
      <c r="H76" s="317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10</v>
      </c>
      <c r="D78" s="226">
        <f>'数据-取费表'!B43</f>
        <v>6.000000000000001E-3</v>
      </c>
      <c r="E78" s="3164" t="s">
        <v>2270</v>
      </c>
      <c r="F78" s="3165"/>
      <c r="G78" s="3165"/>
      <c r="H78" s="316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1580</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158</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945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6" t="s">
        <v>2274</v>
      </c>
      <c r="B83" s="3177"/>
      <c r="C83" s="3177"/>
      <c r="D83" s="3177"/>
      <c r="E83" s="3177"/>
      <c r="F83" s="3177"/>
      <c r="G83" s="3177"/>
      <c r="H83" s="317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7" t="s">
        <v>2237</v>
      </c>
      <c r="B84" s="3168"/>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1590</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10</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4" t="s">
        <v>2283</v>
      </c>
      <c r="F91" s="3165"/>
      <c r="G91" s="3165"/>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4" t="s">
        <v>2287</v>
      </c>
      <c r="F92" s="3165"/>
      <c r="G92" s="3165"/>
      <c r="H92" s="316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10</v>
      </c>
      <c r="D93" s="226">
        <f>'数据-取费表'!B43</f>
        <v>6.000000000000001E-3</v>
      </c>
      <c r="E93" s="3164" t="s">
        <v>2270</v>
      </c>
      <c r="F93" s="3165"/>
      <c r="G93" s="3165"/>
      <c r="H93" s="316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2" t="s">
        <v>2291</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1580</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158</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945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6" t="s">
        <v>2293</v>
      </c>
      <c r="B100" s="3117"/>
      <c r="C100" s="3117"/>
      <c r="D100" s="3148"/>
      <c r="E100" s="3117" t="s">
        <v>2294</v>
      </c>
      <c r="F100" s="3117"/>
      <c r="G100" s="3117"/>
      <c r="H100" s="3148"/>
      <c r="I100" s="138"/>
    </row>
    <row r="101" spans="1:35" ht="18.75" customHeight="1">
      <c r="A101" s="3156" t="s">
        <v>2295</v>
      </c>
      <c r="B101" s="3157"/>
      <c r="C101" s="736" t="str">
        <f>C4</f>
        <v>成本法</v>
      </c>
      <c r="D101" s="737" t="str">
        <f>D4</f>
        <v>收益法 (库房)</v>
      </c>
      <c r="E101" s="3128" t="s">
        <v>2296</v>
      </c>
      <c r="F101" s="3129"/>
      <c r="G101" s="2513" t="s">
        <v>2297</v>
      </c>
      <c r="H101" s="1043">
        <f ca="1">H118</f>
        <v>1670</v>
      </c>
      <c r="I101" s="138"/>
    </row>
    <row r="102" spans="1:35" ht="18.75" customHeight="1">
      <c r="A102" s="3158" t="s">
        <v>2298</v>
      </c>
      <c r="B102" s="2513" t="s">
        <v>2297</v>
      </c>
      <c r="C102" s="736">
        <f ca="1">C19</f>
        <v>1788</v>
      </c>
      <c r="D102" s="737">
        <f ca="1">D19</f>
        <v>1551</v>
      </c>
      <c r="E102" s="3128"/>
      <c r="F102" s="3129"/>
      <c r="G102" s="2513" t="s">
        <v>2299</v>
      </c>
      <c r="H102" s="371">
        <f ca="1">I118</f>
        <v>8160</v>
      </c>
      <c r="I102" s="138"/>
    </row>
    <row r="103" spans="1:35" ht="42.75" customHeight="1">
      <c r="A103" s="3158"/>
      <c r="B103" s="2513" t="s">
        <v>2299</v>
      </c>
      <c r="C103" s="738">
        <f ca="1">C20</f>
        <v>8736</v>
      </c>
      <c r="D103" s="739">
        <f ca="1">D20</f>
        <v>7578</v>
      </c>
      <c r="E103" s="3122" t="s">
        <v>2300</v>
      </c>
      <c r="F103" s="3123"/>
      <c r="G103" s="2514" t="s">
        <v>2301</v>
      </c>
      <c r="H103" s="1043">
        <f>IF(D36="正常操作",H104+H105+H106,H105+H106)</f>
        <v>0</v>
      </c>
      <c r="I103" s="138"/>
    </row>
    <row r="104" spans="1:35" ht="18.75" customHeight="1">
      <c r="A104" s="3158" t="s">
        <v>2302</v>
      </c>
      <c r="B104" s="2515" t="s">
        <v>2297</v>
      </c>
      <c r="C104" s="740">
        <f ca="1">H118</f>
        <v>1670</v>
      </c>
      <c r="D104" s="741"/>
      <c r="E104" s="2260" t="s">
        <v>2303</v>
      </c>
      <c r="F104" s="2251"/>
      <c r="G104" s="2514" t="s">
        <v>2301</v>
      </c>
      <c r="H104" s="1044">
        <f>IF(D36="同一抵押权人同一抵押物续贷",C36&amp;"（未扣减，详见特别提示）",C36)</f>
        <v>0</v>
      </c>
      <c r="I104" s="138"/>
    </row>
    <row r="105" spans="1:35" ht="18.75" customHeight="1" thickBot="1">
      <c r="A105" s="3170"/>
      <c r="B105" s="2516" t="s">
        <v>2299</v>
      </c>
      <c r="C105" s="742">
        <f ca="1">I118</f>
        <v>8160</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9" t="str">
        <f>IF(项目基本情况!E8="已注销","——","3.房地产抵押价值")</f>
        <v>3.房地产抵押价值</v>
      </c>
      <c r="F107" s="3129"/>
      <c r="G107" s="2513" t="s">
        <v>2297</v>
      </c>
      <c r="H107" s="1043">
        <f ca="1">IF(E107="——","——",H101-H103)</f>
        <v>1670</v>
      </c>
      <c r="I107" s="138"/>
    </row>
    <row r="108" spans="1:35" ht="18.75" customHeight="1">
      <c r="A108" s="138"/>
      <c r="B108" s="138"/>
      <c r="C108" s="138"/>
      <c r="D108" s="138"/>
      <c r="E108" s="3159"/>
      <c r="F108" s="3129"/>
      <c r="G108" s="2513" t="s">
        <v>2299</v>
      </c>
      <c r="H108" s="371">
        <f ca="1">ROUND(H107*10000/'数据-汇总表'!E3,0)</f>
        <v>489</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3" t="s">
        <v>2297</v>
      </c>
      <c r="H109" s="348" t="str">
        <f>IF(E109="——","——",H101-H105-H106)</f>
        <v>——</v>
      </c>
      <c r="I109" s="138"/>
    </row>
    <row r="110" spans="1:35" ht="18.75" customHeight="1">
      <c r="A110" s="138"/>
      <c r="B110" s="138"/>
      <c r="C110" s="138"/>
      <c r="D110" s="138"/>
      <c r="E110" s="3159"/>
      <c r="F110" s="3129"/>
      <c r="G110" s="2513" t="s">
        <v>2299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3" t="s">
        <v>2297</v>
      </c>
      <c r="H111" s="1043" t="str">
        <f>IF(E111="——","——",N59)</f>
        <v>——</v>
      </c>
      <c r="I111" s="138"/>
    </row>
    <row r="112" spans="1:35" ht="18.75" customHeight="1" thickBot="1">
      <c r="A112" s="138"/>
      <c r="B112" s="138"/>
      <c r="C112" s="138"/>
      <c r="D112" s="138"/>
      <c r="E112" s="3162"/>
      <c r="F112" s="3163"/>
      <c r="G112" s="2518" t="s">
        <v>2299</v>
      </c>
      <c r="H112" s="790" t="str">
        <f>IF(E111="——","——",N61)</f>
        <v>——</v>
      </c>
      <c r="I112" s="138"/>
    </row>
    <row r="113" spans="1:11" ht="18.75" customHeight="1">
      <c r="A113" s="138"/>
      <c r="B113" s="138"/>
      <c r="C113" s="138"/>
      <c r="D113" s="138"/>
      <c r="E113" s="3171" t="s">
        <v>2305</v>
      </c>
      <c r="F113" s="3171"/>
      <c r="G113" s="3171"/>
      <c r="H113" s="3171"/>
      <c r="I113" s="138"/>
    </row>
    <row r="114" spans="1:11" ht="3.75" customHeight="1">
      <c r="A114" s="2411"/>
      <c r="B114" s="2411"/>
      <c r="C114" s="2411"/>
      <c r="D114" s="2411"/>
      <c r="E114" s="2489"/>
      <c r="F114" s="2489"/>
      <c r="G114" s="2489"/>
      <c r="H114" s="2489"/>
      <c r="I114" s="2411"/>
    </row>
    <row r="115" spans="1:11" ht="18.75" customHeight="1">
      <c r="A115" s="3184" t="s">
        <v>2307</v>
      </c>
      <c r="B115" s="3185"/>
      <c r="C115" s="3185"/>
      <c r="D115" s="3185"/>
      <c r="E115" s="3185"/>
      <c r="F115" s="3185"/>
      <c r="G115" s="3185"/>
      <c r="H115" s="3185"/>
      <c r="I115" s="3186"/>
    </row>
    <row r="116" spans="1:11" ht="27" customHeight="1">
      <c r="A116" s="3095" t="s">
        <v>2308</v>
      </c>
      <c r="B116" s="3138" t="s">
        <v>2309</v>
      </c>
      <c r="C116" s="3138" t="s">
        <v>2310</v>
      </c>
      <c r="D116" s="3144" t="s">
        <v>2311</v>
      </c>
      <c r="E116" s="3145"/>
      <c r="F116" s="3180" t="s">
        <v>2312</v>
      </c>
      <c r="G116" s="3180"/>
      <c r="H116" s="3095" t="s">
        <v>2313</v>
      </c>
      <c r="I116" s="3095"/>
    </row>
    <row r="117" spans="1:11" ht="18.75" customHeight="1">
      <c r="A117" s="3095"/>
      <c r="B117" s="3139"/>
      <c r="C117" s="3139"/>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2046.64</v>
      </c>
      <c r="C118" s="2938">
        <f>M19</f>
        <v>361.25</v>
      </c>
      <c r="D118" s="2938">
        <f ca="1">ROUND(IF(D32="总价",C34,E118*B118/10000),0)</f>
        <v>967</v>
      </c>
      <c r="E118" s="2938">
        <f ca="1">ROUND(IF(C33="自定义",IF(D32="楼面单价",C34,D118*10000/B118),I118-G118),0)</f>
        <v>4725</v>
      </c>
      <c r="F118" s="2938">
        <f ca="1">ROUND(IF(D32="总价",C35,G118*B118/10000),0)</f>
        <v>703</v>
      </c>
      <c r="G118" s="2938">
        <f ca="1">ROUND(IF(D32="楼面单价",C35,F118*10000/B118),0)</f>
        <v>3435</v>
      </c>
      <c r="H118" s="2938">
        <f ca="1">ROUND(IF(D32="总价",C32,I118*B118/10000),0)</f>
        <v>1670</v>
      </c>
      <c r="I118" s="2938">
        <f ca="1">ROUND(IF(D32="楼面单价",C32,H118*10000/B118),0)</f>
        <v>8160</v>
      </c>
    </row>
    <row r="119" spans="1:11" ht="18.75" customHeight="1">
      <c r="A119" s="3095" t="s">
        <v>2317</v>
      </c>
      <c r="B119" s="3095"/>
      <c r="C119" s="3095"/>
      <c r="D119" s="3140" t="str">
        <f ca="1">NUMBERSTRING(INT(D118*10000),2)&amp;"元整"</f>
        <v>玖佰陆拾柒万元整</v>
      </c>
      <c r="E119" s="3141"/>
      <c r="F119" s="3140" t="str">
        <f ca="1">NUMBERSTRING(INT(F118*10000),2)&amp;"元整"</f>
        <v>柒佰零叁万元整</v>
      </c>
      <c r="G119" s="3141"/>
      <c r="H119" s="3140" t="str">
        <f ca="1">NUMBERSTRING(INT(H118*10000),2)&amp;"元整"</f>
        <v>壹仟陆佰柒拾万元整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6"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1670</v>
      </c>
      <c r="E122" s="3136"/>
      <c r="F122" s="3136"/>
      <c r="G122" s="3136"/>
      <c r="H122" s="3136"/>
      <c r="I122" s="3137"/>
    </row>
    <row r="123" spans="1:11" ht="18.75" customHeight="1">
      <c r="A123" s="3095" t="s">
        <v>2317</v>
      </c>
      <c r="B123" s="3095"/>
      <c r="C123" s="3095"/>
      <c r="D123" s="3140" t="str">
        <f ca="1">NUMBERSTRING(INT(D122*10000),2)&amp;"元整"</f>
        <v>壹仟陆佰柒拾万元整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18" t="s">
        <v>2117</v>
      </c>
      <c r="B1" s="2411"/>
      <c r="C1" s="2412" t="s">
        <v>48</v>
      </c>
      <c r="D1" s="2411"/>
      <c r="E1" s="2411"/>
      <c r="F1" s="2413" t="s">
        <v>2118</v>
      </c>
      <c r="G1" s="2063" t="s">
        <v>3051</v>
      </c>
      <c r="H1" s="2414" t="str">
        <f>IF(G1="现房","——","估价对象范围")</f>
        <v>——</v>
      </c>
      <c r="I1" s="2415" t="s">
        <v>3722</v>
      </c>
    </row>
    <row r="2" spans="1:12" ht="21.75" customHeight="1" thickBot="1">
      <c r="A2" s="3194" t="str">
        <f>项目基本情况!S2</f>
        <v>北京市丰台区汽车博物馆西路8号院1、2、3号楼、4幢房地产</v>
      </c>
      <c r="B2" s="3195"/>
      <c r="C2" s="3195"/>
      <c r="D2" s="3195"/>
      <c r="E2" s="3195"/>
      <c r="F2" s="3195"/>
      <c r="G2" s="3195"/>
      <c r="H2" s="3195"/>
      <c r="I2" s="3196"/>
    </row>
    <row r="3" spans="1:12" ht="12.75">
      <c r="A3" s="3197" t="s">
        <v>2119</v>
      </c>
      <c r="B3" s="3198"/>
      <c r="C3" s="3198"/>
      <c r="D3" s="3198"/>
      <c r="E3" s="3198"/>
      <c r="F3" s="3198"/>
      <c r="G3" s="3198"/>
      <c r="H3" s="3198"/>
      <c r="I3" s="3198"/>
    </row>
    <row r="4" spans="1:12" ht="14.25">
      <c r="A4" s="2418" t="s">
        <v>2120</v>
      </c>
      <c r="B4" s="2419" t="s">
        <v>2121</v>
      </c>
      <c r="C4" s="2420" t="s">
        <v>3837</v>
      </c>
      <c r="D4" s="2420" t="s">
        <v>3820</v>
      </c>
      <c r="E4" s="3178" t="s">
        <v>2122</v>
      </c>
      <c r="F4" s="3191"/>
      <c r="G4" s="3191"/>
      <c r="H4" s="3191"/>
      <c r="I4" s="3179"/>
      <c r="K4" s="2421"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421"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2.75">
      <c r="A5" s="3169" t="s">
        <v>2123</v>
      </c>
      <c r="B5" s="3095">
        <v>25</v>
      </c>
      <c r="C5" s="3199"/>
      <c r="D5" s="3187"/>
      <c r="E5" s="140" t="s">
        <v>2124</v>
      </c>
      <c r="F5" s="2422"/>
      <c r="G5" s="2422"/>
      <c r="H5" s="2422"/>
      <c r="I5" s="1826"/>
    </row>
    <row r="6" spans="1:12" ht="12.75">
      <c r="A6" s="3169"/>
      <c r="B6" s="3095"/>
      <c r="C6" s="3201"/>
      <c r="D6" s="3187"/>
      <c r="E6" s="140" t="s">
        <v>2125</v>
      </c>
      <c r="F6" s="2422"/>
      <c r="G6" s="2422"/>
      <c r="H6" s="2422"/>
      <c r="I6" s="1826"/>
    </row>
    <row r="7" spans="1:12" ht="12.75">
      <c r="A7" s="3169"/>
      <c r="B7" s="3095"/>
      <c r="C7" s="3200"/>
      <c r="D7" s="3187"/>
      <c r="E7" s="140" t="s">
        <v>2126</v>
      </c>
      <c r="F7" s="2422"/>
      <c r="G7" s="2422"/>
      <c r="H7" s="2422"/>
      <c r="I7" s="1826"/>
    </row>
    <row r="8" spans="1:12" ht="12.75">
      <c r="A8" s="3169" t="s">
        <v>2127</v>
      </c>
      <c r="B8" s="3095">
        <v>15</v>
      </c>
      <c r="C8" s="3199"/>
      <c r="D8" s="3187"/>
      <c r="E8" s="140" t="s">
        <v>2128</v>
      </c>
      <c r="F8" s="2422"/>
      <c r="G8" s="2422"/>
      <c r="H8" s="2422"/>
      <c r="I8" s="1826"/>
    </row>
    <row r="9" spans="1:12" ht="12.75">
      <c r="A9" s="3169"/>
      <c r="B9" s="3095"/>
      <c r="C9" s="3200"/>
      <c r="D9" s="3187"/>
      <c r="E9" s="140" t="s">
        <v>2129</v>
      </c>
      <c r="F9" s="2422"/>
      <c r="G9" s="2422"/>
      <c r="H9" s="2422"/>
      <c r="I9" s="1826"/>
    </row>
    <row r="10" spans="1:12" ht="12.75">
      <c r="A10" s="3169" t="s">
        <v>2130</v>
      </c>
      <c r="B10" s="3095">
        <v>15</v>
      </c>
      <c r="C10" s="3199"/>
      <c r="D10" s="3187"/>
      <c r="E10" s="140" t="s">
        <v>2131</v>
      </c>
      <c r="F10" s="2422"/>
      <c r="G10" s="2422"/>
      <c r="H10" s="2422"/>
      <c r="I10" s="1826"/>
    </row>
    <row r="11" spans="1:12" ht="12.75">
      <c r="A11" s="3169"/>
      <c r="B11" s="3095"/>
      <c r="C11" s="3200"/>
      <c r="D11" s="3187"/>
      <c r="E11" s="140" t="s">
        <v>2132</v>
      </c>
      <c r="F11" s="2422"/>
      <c r="G11" s="2422"/>
      <c r="H11" s="2422"/>
      <c r="I11" s="1826"/>
    </row>
    <row r="12" spans="1:12" ht="12.75">
      <c r="A12" s="3169" t="s">
        <v>2133</v>
      </c>
      <c r="B12" s="3095">
        <v>15</v>
      </c>
      <c r="C12" s="3199"/>
      <c r="D12" s="3187"/>
      <c r="E12" s="140" t="s">
        <v>2134</v>
      </c>
      <c r="F12" s="2422"/>
      <c r="G12" s="2422"/>
      <c r="H12" s="2422"/>
      <c r="I12" s="1826"/>
    </row>
    <row r="13" spans="1:12" ht="12.75">
      <c r="A13" s="3169"/>
      <c r="B13" s="3095"/>
      <c r="C13" s="3200"/>
      <c r="D13" s="3187"/>
      <c r="E13" s="140" t="s">
        <v>2135</v>
      </c>
      <c r="F13" s="2422"/>
      <c r="G13" s="2422"/>
      <c r="H13" s="2422"/>
      <c r="I13" s="1826"/>
    </row>
    <row r="14" spans="1:12" ht="12.75">
      <c r="A14" s="3169" t="s">
        <v>2136</v>
      </c>
      <c r="B14" s="3095">
        <v>30</v>
      </c>
      <c r="C14" s="3199">
        <v>7</v>
      </c>
      <c r="D14" s="3187">
        <v>3</v>
      </c>
      <c r="E14" s="140" t="s">
        <v>2137</v>
      </c>
      <c r="F14" s="2422"/>
      <c r="G14" s="2422"/>
      <c r="H14" s="2422"/>
      <c r="I14" s="1826"/>
    </row>
    <row r="15" spans="1:12" ht="12.75">
      <c r="A15" s="3169"/>
      <c r="B15" s="3095"/>
      <c r="C15" s="3201"/>
      <c r="D15" s="3187"/>
      <c r="E15" s="140" t="s">
        <v>2138</v>
      </c>
      <c r="F15" s="2422"/>
      <c r="G15" s="2422"/>
      <c r="H15" s="2422"/>
      <c r="I15" s="1826"/>
    </row>
    <row r="16" spans="1:12" ht="12.75">
      <c r="A16" s="3169"/>
      <c r="B16" s="3095"/>
      <c r="C16" s="3200"/>
      <c r="D16" s="3187"/>
      <c r="E16" s="140" t="s">
        <v>2139</v>
      </c>
      <c r="F16" s="2422"/>
      <c r="G16" s="2422"/>
      <c r="H16" s="2422"/>
      <c r="I16" s="1826"/>
    </row>
    <row r="17" spans="1:35" ht="15">
      <c r="A17" s="2423" t="s">
        <v>2140</v>
      </c>
      <c r="B17" s="64"/>
      <c r="C17" s="141">
        <f>SUM(C5:C16)</f>
        <v>7</v>
      </c>
      <c r="D17" s="141">
        <f>SUM(D5:D16)</f>
        <v>3</v>
      </c>
      <c r="E17" s="138"/>
      <c r="F17" s="138"/>
      <c r="G17" s="138"/>
      <c r="H17" s="138"/>
      <c r="I17" s="138"/>
      <c r="K17" s="2421"/>
      <c r="L17" s="2424" t="s">
        <v>2141</v>
      </c>
      <c r="M17" s="2424" t="s">
        <v>2142</v>
      </c>
    </row>
    <row r="18" spans="1:35" ht="15.75" thickBot="1">
      <c r="A18" s="2425" t="s">
        <v>2143</v>
      </c>
      <c r="B18" s="2426"/>
      <c r="C18" s="142">
        <f>ROUND(C17/SUM(C17:D17),2)</f>
        <v>0.7</v>
      </c>
      <c r="D18" s="142">
        <f>1-C18</f>
        <v>0.30000000000000004</v>
      </c>
      <c r="E18" s="138"/>
      <c r="F18" s="138"/>
      <c r="G18" s="138"/>
      <c r="H18" s="138"/>
      <c r="I18" s="138"/>
      <c r="K18" s="2421" t="s">
        <v>2144</v>
      </c>
      <c r="L18" s="2421">
        <f>IF(C1="",'数据-汇总表'!E3,SUMIF(项目类型,C1,'数据-汇总表'!E17:E26)+SUMIF(项目类型,C1,'数据-汇总表'!I17:I26))</f>
        <v>15254.020000000017</v>
      </c>
      <c r="M18" s="2421">
        <f>IF(C1="",'数据-汇总表'!E3,SUMIF(项目类型,C1,'数据-汇总表'!E17:E26))</f>
        <v>15254.020000000017</v>
      </c>
    </row>
    <row r="19" spans="1:35" ht="15">
      <c r="A19" s="2427" t="s">
        <v>2145</v>
      </c>
      <c r="B19" s="2428" t="s">
        <v>2146</v>
      </c>
      <c r="C19" s="143">
        <f ca="1">SUMIF(INDIRECT("'"&amp;C4&amp;"'"&amp;"!A:A"),'结果表 (地下车库)'!B19,INDIRECT("'"&amp;C4&amp;"'"&amp;"!B:B"))</f>
        <v>6901</v>
      </c>
      <c r="D19" s="144">
        <f ca="1">SUMIF(INDIRECT("'"&amp;D4&amp;"'"&amp;"!A:A"),'结果表 (地下车库)'!B19,INDIRECT("'"&amp;D4&amp;"'"&amp;"!B:B"))</f>
        <v>3571</v>
      </c>
      <c r="E19" s="2427" t="s">
        <v>2147</v>
      </c>
      <c r="F19" s="2428" t="s">
        <v>2146</v>
      </c>
      <c r="G19" s="145">
        <f ca="1">ROUND(C19*$C$18+D19*$D$18,0)</f>
        <v>5902</v>
      </c>
      <c r="H19" s="2429" t="s">
        <v>2148</v>
      </c>
      <c r="I19" s="138"/>
      <c r="K19" s="2421" t="s">
        <v>2149</v>
      </c>
      <c r="L19" s="2421">
        <f>IF(C1="",'数据-汇总表'!D3,SUMIF(项目类型,C1,'数据-汇总表'!D17:D26)+SUMIF(项目类型,C1,'数据-汇总表'!H17:H27))</f>
        <v>2692.46</v>
      </c>
      <c r="M19" s="2421">
        <f>IF(C1="",'数据-汇总表'!D3,SUMIF(项目类型,C1,'数据-汇总表'!D17:D26))</f>
        <v>2692.46</v>
      </c>
    </row>
    <row r="20" spans="1:35" ht="15">
      <c r="A20" s="2430"/>
      <c r="B20" s="1243" t="s">
        <v>2150</v>
      </c>
      <c r="C20" s="146">
        <f ca="1">SUMIF(INDIRECT("'"&amp;C4&amp;"'"&amp;"!A:A"),'结果表 (地下车库)'!B20,INDIRECT("'"&amp;C4&amp;"'"&amp;"!B:B"))</f>
        <v>4524</v>
      </c>
      <c r="D20" s="147">
        <f ca="1">SUMIF(INDIRECT("'"&amp;D4&amp;"'"&amp;"!A:A"),'结果表 (地下车库)'!B20,INDIRECT("'"&amp;D4&amp;"'"&amp;"!B:B"))</f>
        <v>2341</v>
      </c>
      <c r="E20" s="2430"/>
      <c r="F20" s="1243" t="s">
        <v>2150</v>
      </c>
      <c r="G20" s="148">
        <f ca="1">ROUND(C20*$C$18+D20*$D$18,0)</f>
        <v>3869</v>
      </c>
      <c r="H20" s="978" t="s">
        <v>2151</v>
      </c>
      <c r="I20" s="138"/>
    </row>
    <row r="21" spans="1:35" ht="15" customHeight="1" thickBot="1">
      <c r="A21" s="998"/>
      <c r="B21" s="2431" t="s">
        <v>2152</v>
      </c>
      <c r="C21" s="789">
        <f ca="1">ROUND(C19*10000/L19,0)</f>
        <v>25631</v>
      </c>
      <c r="D21" s="790">
        <f ca="1">ROUND(D19*10000/L19,0)</f>
        <v>13263</v>
      </c>
      <c r="E21" s="998"/>
      <c r="F21" s="2431" t="s">
        <v>2152</v>
      </c>
      <c r="G21" s="149">
        <f ca="1">ROUND(G19*10000/L19,0)</f>
        <v>21920</v>
      </c>
      <c r="H21" s="2432" t="s">
        <v>2151</v>
      </c>
      <c r="I21" s="138"/>
    </row>
    <row r="22" spans="1:35" ht="15" thickBot="1">
      <c r="A22" s="2274" t="s">
        <v>2153</v>
      </c>
      <c r="B22" s="2433"/>
      <c r="C22" s="2434"/>
      <c r="D22" s="791">
        <f ca="1">IF(C19&lt;D19,D19/C19-1,C19/D19-1)</f>
        <v>0.93251190142817131</v>
      </c>
      <c r="E22" s="138"/>
      <c r="F22" s="138"/>
      <c r="G22" s="138"/>
      <c r="H22" s="138"/>
      <c r="I22" s="138"/>
    </row>
    <row r="23" spans="1:35" ht="13.5" thickBot="1">
      <c r="A23" s="2411"/>
      <c r="B23" s="2411"/>
      <c r="C23" s="2411"/>
      <c r="D23" s="2411"/>
      <c r="E23" s="138"/>
      <c r="F23" s="138"/>
      <c r="G23" s="138">
        <f ca="1">G19/209</f>
        <v>28.239234449760765</v>
      </c>
      <c r="H23" s="138"/>
      <c r="I23" s="138"/>
    </row>
    <row r="24" spans="1:35" ht="14.25">
      <c r="A24" s="3208" t="s">
        <v>2154</v>
      </c>
      <c r="B24" s="2428" t="s">
        <v>2146</v>
      </c>
      <c r="C24" s="145">
        <f>IF(B30=0,0,D30)</f>
        <v>0</v>
      </c>
      <c r="D24" s="2435"/>
      <c r="E24" s="138"/>
      <c r="F24" s="138"/>
      <c r="G24" s="138"/>
      <c r="H24" s="138"/>
      <c r="I24" s="138"/>
    </row>
    <row r="25" spans="1:35" ht="14.25">
      <c r="A25" s="3209"/>
      <c r="B25" s="1243" t="s">
        <v>2150</v>
      </c>
      <c r="C25" s="150">
        <f>IF(B30=0,0,C30)</f>
        <v>0</v>
      </c>
      <c r="D25" s="2436"/>
      <c r="E25" s="138"/>
      <c r="F25" s="138"/>
      <c r="G25" s="138"/>
      <c r="H25" s="138"/>
      <c r="I25" s="138"/>
    </row>
    <row r="26" spans="1:35" ht="13.5" customHeight="1">
      <c r="A26" s="2437" t="s">
        <v>2155</v>
      </c>
      <c r="B26" s="151" t="s">
        <v>2156</v>
      </c>
      <c r="C26" s="151" t="s">
        <v>2157</v>
      </c>
      <c r="D26" s="152" t="s">
        <v>2158</v>
      </c>
      <c r="E26" s="138"/>
      <c r="F26" s="138"/>
      <c r="G26" s="138"/>
      <c r="H26" s="138"/>
      <c r="I26" s="138"/>
    </row>
    <row r="27" spans="1:35" ht="14.25">
      <c r="A27" s="2437"/>
      <c r="B27" s="151">
        <v>0</v>
      </c>
      <c r="C27" s="151">
        <v>0</v>
      </c>
      <c r="D27" s="152"/>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2159</v>
      </c>
      <c r="B30" s="151"/>
      <c r="C30" s="151"/>
      <c r="D30" s="151"/>
      <c r="E30" s="2920" t="s">
        <v>3027</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2160</v>
      </c>
      <c r="B32" s="2441"/>
      <c r="C32" s="153">
        <f ca="1">IF(D32="总价",G19-C24,G20-C25)</f>
        <v>5902</v>
      </c>
      <c r="D32" s="2442" t="s">
        <v>2161</v>
      </c>
      <c r="E32" s="138"/>
      <c r="F32" s="138"/>
      <c r="G32" s="138"/>
      <c r="H32" s="138"/>
      <c r="I32" s="138"/>
    </row>
    <row r="33" spans="1:15" ht="15">
      <c r="A33" s="955" t="s">
        <v>2162</v>
      </c>
      <c r="B33" s="2443"/>
      <c r="C33" s="2444" t="s">
        <v>3822</v>
      </c>
      <c r="D33" s="2445" t="s">
        <v>3820</v>
      </c>
      <c r="E33" s="2446" t="s">
        <v>2163</v>
      </c>
      <c r="F33" s="2937" t="str">
        <f>IF(D32="楼面单价","取值（单价）","取值（总价）")</f>
        <v>取值（总价）</v>
      </c>
      <c r="G33" s="138"/>
      <c r="H33" s="138"/>
      <c r="I33" s="138"/>
    </row>
    <row r="34" spans="1:15" ht="15">
      <c r="A34" s="2448"/>
      <c r="B34" s="2449" t="s">
        <v>2164</v>
      </c>
      <c r="C34" s="157">
        <f>IF(C33="自定义",F34,C32-C35)</f>
        <v>0</v>
      </c>
      <c r="D34" s="1053">
        <f ca="1">IF(C33="自定义",ROUND(C34/C32,3),IF(C33="收益比率",SUMIF(INDIRECT("'"&amp;D33&amp;"'"&amp;"!b:b"),"土地收益比率",INDIRECT("'"&amp;D33&amp;"'"&amp;"!c:c")),SUMIF(INDIRECT("'"&amp;D33&amp;"'"&amp;"!b:b"),"土地成本比率",INDIRECT("'"&amp;D33&amp;"'"&amp;"!c:c"))))</f>
        <v>0</v>
      </c>
      <c r="E34" s="2450" t="s">
        <v>2165</v>
      </c>
      <c r="F34" s="1732"/>
      <c r="G34" s="138"/>
      <c r="H34" s="138"/>
      <c r="I34" s="138"/>
    </row>
    <row r="35" spans="1:15" ht="15.75" thickBot="1">
      <c r="A35" s="2451"/>
      <c r="B35" s="2452" t="s">
        <v>2166</v>
      </c>
      <c r="C35" s="1437">
        <f>IF(C33="自定义",F35,ROUND(C32*D35,0))</f>
        <v>0</v>
      </c>
      <c r="D35" s="1438">
        <f ca="1">IF(C33="自定义",ROUND(C35/C32,3),IF(C33="收益比率",SUMIF(INDIRECT("'"&amp;D33&amp;"'"&amp;"!b:b"),"建筑物收益比率",INDIRECT("'"&amp;D33&amp;"'"&amp;"!c:c")),SUMIF(INDIRECT("'"&amp;D33&amp;"'"&amp;"!b:b"),"建筑物成本比率",INDIRECT("'"&amp;D33&amp;"'"&amp;"!c:c"))))</f>
        <v>0</v>
      </c>
      <c r="E35" s="2453" t="s">
        <v>2167</v>
      </c>
      <c r="F35" s="163"/>
      <c r="G35" s="138"/>
      <c r="H35" s="138"/>
      <c r="I35" s="138"/>
    </row>
    <row r="36" spans="1:15" ht="15.75" thickBot="1">
      <c r="A36" s="3188" t="s">
        <v>2168</v>
      </c>
      <c r="B36" s="2454" t="s">
        <v>2169</v>
      </c>
      <c r="C36" s="154"/>
      <c r="D36" s="2455"/>
      <c r="E36" s="2456"/>
      <c r="F36" s="2457"/>
      <c r="G36" s="138"/>
      <c r="H36" s="138"/>
      <c r="I36" s="138"/>
    </row>
    <row r="37" spans="1:15" ht="15.75" thickBot="1">
      <c r="A37" s="3189"/>
      <c r="B37" s="2260" t="s">
        <v>2170</v>
      </c>
      <c r="C37" s="156"/>
      <c r="D37" s="1388"/>
      <c r="E37" s="1388"/>
      <c r="F37" s="2457"/>
      <c r="G37" s="138"/>
      <c r="H37" s="138"/>
      <c r="I37" s="138"/>
    </row>
    <row r="38" spans="1:15" ht="15.75" thickBot="1">
      <c r="A38" s="3190"/>
      <c r="B38" s="2458" t="s">
        <v>2171</v>
      </c>
      <c r="C38" s="727"/>
      <c r="D38" s="2459" t="s">
        <v>2172</v>
      </c>
      <c r="E38" s="1388"/>
      <c r="F38" s="2457"/>
      <c r="G38" s="138"/>
      <c r="H38" s="138"/>
      <c r="I38" s="138"/>
    </row>
    <row r="39" spans="1:15" ht="15">
      <c r="A39" s="2430" t="s">
        <v>2173</v>
      </c>
      <c r="B39" s="2460" t="s">
        <v>2156</v>
      </c>
      <c r="C39" s="2461" t="s">
        <v>2157</v>
      </c>
      <c r="D39" s="2461" t="s">
        <v>2176</v>
      </c>
      <c r="E39" s="2462" t="s">
        <v>2158</v>
      </c>
      <c r="F39" s="2457"/>
      <c r="G39" s="138"/>
      <c r="H39" s="138"/>
      <c r="I39" s="138"/>
    </row>
    <row r="40" spans="1:15" ht="14.25">
      <c r="A40" s="2463" t="s">
        <v>2178</v>
      </c>
      <c r="B40" s="158"/>
      <c r="C40" s="159"/>
      <c r="D40" s="159"/>
      <c r="E40" s="160"/>
      <c r="F40" s="2457"/>
      <c r="G40" s="138"/>
      <c r="H40" s="138"/>
      <c r="I40" s="138"/>
    </row>
    <row r="41" spans="1:15" ht="14.25">
      <c r="A41" s="2463" t="s">
        <v>2179</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2180</v>
      </c>
      <c r="B44" s="2468"/>
      <c r="C44" s="2468"/>
      <c r="D44" s="2469"/>
      <c r="E44" s="2469"/>
      <c r="F44" s="2470"/>
      <c r="G44" s="2470"/>
      <c r="H44" s="2470"/>
      <c r="I44" s="2470"/>
      <c r="J44" s="2471" t="s">
        <v>2181</v>
      </c>
      <c r="K44" s="2472"/>
      <c r="L44" s="2472"/>
      <c r="M44" s="2472"/>
      <c r="N44" s="2472"/>
      <c r="O44" s="2472"/>
    </row>
    <row r="45" spans="1:15" ht="14.25" customHeight="1" thickBot="1">
      <c r="A45" s="3205" t="s">
        <v>2182</v>
      </c>
      <c r="B45" s="3206"/>
      <c r="C45" s="3207"/>
      <c r="D45" s="164">
        <f ca="1">ROUND(H101*F45,0)</f>
        <v>5902</v>
      </c>
      <c r="E45" s="165" t="s">
        <v>2183</v>
      </c>
      <c r="F45" s="166">
        <v>1</v>
      </c>
      <c r="G45" s="167" t="s">
        <v>2184</v>
      </c>
      <c r="H45" s="138"/>
      <c r="I45" s="138"/>
      <c r="J45" s="3124" t="s">
        <v>2185</v>
      </c>
      <c r="K45" s="3124"/>
      <c r="L45" s="3124"/>
      <c r="M45" s="3124"/>
      <c r="N45" s="3124"/>
      <c r="O45" s="3124"/>
    </row>
    <row r="46" spans="1:15" ht="14.25" customHeight="1">
      <c r="A46" s="3202" t="s">
        <v>2186</v>
      </c>
      <c r="B46" s="3203"/>
      <c r="C46" s="3203"/>
      <c r="D46" s="3203"/>
      <c r="E46" s="3203"/>
      <c r="F46" s="3203"/>
      <c r="G46" s="3204"/>
      <c r="H46" s="2473"/>
      <c r="I46" s="168"/>
      <c r="J46" s="2947">
        <v>1</v>
      </c>
      <c r="K46" s="3124" t="s">
        <v>2187</v>
      </c>
      <c r="L46" s="3124"/>
      <c r="M46" s="3125"/>
      <c r="N46" s="3125"/>
      <c r="O46" s="3125"/>
    </row>
    <row r="47" spans="1:15" ht="12" customHeight="1">
      <c r="A47" s="169" t="s">
        <v>2188</v>
      </c>
      <c r="B47" s="170"/>
      <c r="C47" s="171"/>
      <c r="D47" s="172" t="s">
        <v>2189</v>
      </c>
      <c r="E47" s="24" t="s">
        <v>2190</v>
      </c>
      <c r="F47" s="173" t="s">
        <v>2191</v>
      </c>
      <c r="G47" s="174" t="s">
        <v>2192</v>
      </c>
      <c r="H47" s="2473"/>
      <c r="I47" s="168"/>
      <c r="J47" s="2947">
        <v>2</v>
      </c>
      <c r="K47" s="3124" t="s">
        <v>2193</v>
      </c>
      <c r="L47" s="3124"/>
      <c r="M47" s="3126">
        <f>'数据-取费表'!B2</f>
        <v>43342</v>
      </c>
      <c r="N47" s="3126"/>
      <c r="O47" s="3126"/>
    </row>
    <row r="48" spans="1:15" ht="25.5">
      <c r="A48" s="3192" t="s">
        <v>2194</v>
      </c>
      <c r="B48" s="3193"/>
      <c r="C48" s="3193"/>
      <c r="D48" s="140">
        <f>IF(H48="情况1",0,IF(H48="情况2",D52,IF(H48="情况3",D53,IF(H48="情况4",D54))))</f>
        <v>0</v>
      </c>
      <c r="E48" s="2957" t="str">
        <f>IF(H48="情况4","(销售额-原购置价)×税（费）率","销售额×税（费）率")</f>
        <v>销售额×税（费）率</v>
      </c>
      <c r="F48" s="175" t="str">
        <f>IF(H48="情况1","免征",'数据-取费表'!B41)</f>
        <v>免征</v>
      </c>
      <c r="G48" s="2474" t="s">
        <v>2195</v>
      </c>
      <c r="H48" s="2475" t="s">
        <v>2196</v>
      </c>
      <c r="I48" s="2473"/>
      <c r="J48" s="2947">
        <v>3</v>
      </c>
      <c r="K48" s="3124" t="s">
        <v>2197</v>
      </c>
      <c r="L48" s="3124"/>
      <c r="M48" s="3127">
        <f ca="1">H101</f>
        <v>5902</v>
      </c>
      <c r="N48" s="3127"/>
      <c r="O48" s="3127"/>
    </row>
    <row r="49" spans="1:35" ht="25.5" customHeight="1">
      <c r="A49" s="176" t="s">
        <v>2198</v>
      </c>
      <c r="B49" s="3172" t="s">
        <v>2199</v>
      </c>
      <c r="C49" s="3172"/>
      <c r="D49" s="177">
        <v>0</v>
      </c>
      <c r="E49" s="23" t="s">
        <v>2200</v>
      </c>
      <c r="F49" s="28" t="s">
        <v>34</v>
      </c>
      <c r="G49" s="3153"/>
      <c r="H49" s="138"/>
      <c r="I49" s="2476"/>
      <c r="J49" s="2947">
        <v>4</v>
      </c>
      <c r="K49" s="3124" t="str">
        <f>IF(项目基本情况!E8="房地产抵押价值","房地产抵押价值","抵押担保权已注销时的房地产抵押价值")</f>
        <v>房地产抵押价值</v>
      </c>
      <c r="L49" s="3124"/>
      <c r="M49" s="3127">
        <f ca="1">IF(项目基本情况!E8="房地产抵押价值",H107,H109)</f>
        <v>5902</v>
      </c>
      <c r="N49" s="3127"/>
      <c r="O49" s="3127"/>
    </row>
    <row r="50" spans="1:35" ht="25.5" customHeight="1">
      <c r="A50" s="178"/>
      <c r="B50" s="3172" t="s">
        <v>2201</v>
      </c>
      <c r="C50" s="3172"/>
      <c r="D50" s="179"/>
      <c r="E50" s="31"/>
      <c r="F50" s="180"/>
      <c r="G50" s="3154"/>
      <c r="H50" s="138"/>
      <c r="I50" s="2476"/>
      <c r="J50" s="3124" t="s">
        <v>2202</v>
      </c>
      <c r="K50" s="3124"/>
      <c r="L50" s="3124"/>
      <c r="M50" s="3124"/>
      <c r="N50" s="3124"/>
      <c r="O50" s="3124"/>
    </row>
    <row r="51" spans="1:35" ht="12" customHeight="1">
      <c r="A51" s="181"/>
      <c r="B51" s="3172" t="s">
        <v>2203</v>
      </c>
      <c r="C51" s="3172"/>
      <c r="D51" s="182"/>
      <c r="E51" s="30"/>
      <c r="F51" s="180"/>
      <c r="G51" s="3155"/>
      <c r="H51" s="138"/>
      <c r="I51" s="2476"/>
      <c r="J51" s="2940" t="s">
        <v>2204</v>
      </c>
      <c r="K51" s="3124" t="s">
        <v>2205</v>
      </c>
      <c r="L51" s="3124"/>
      <c r="M51" s="2940" t="s">
        <v>2206</v>
      </c>
      <c r="N51" s="2940" t="s">
        <v>2207</v>
      </c>
      <c r="O51" s="2940" t="s">
        <v>2208</v>
      </c>
    </row>
    <row r="52" spans="1:35" ht="24" customHeight="1">
      <c r="A52" s="183" t="s">
        <v>2209</v>
      </c>
      <c r="B52" s="3172" t="s">
        <v>2210</v>
      </c>
      <c r="C52" s="3172"/>
      <c r="D52" s="182">
        <f ca="1">ROUND(D45*'数据-取费表'!B41/(1+'数据-取费表'!C42),0)</f>
        <v>315</v>
      </c>
      <c r="E52" s="11" t="s">
        <v>2211</v>
      </c>
      <c r="F52" s="184">
        <f>'数据-取费表'!B41</f>
        <v>5.6000000000000001E-2</v>
      </c>
      <c r="G52" s="2478"/>
      <c r="H52" s="138"/>
      <c r="I52" s="2476"/>
      <c r="J52" s="2947">
        <v>1</v>
      </c>
      <c r="K52" s="3147" t="s">
        <v>2212</v>
      </c>
      <c r="L52" s="3147"/>
      <c r="M52" s="1747">
        <f>D48</f>
        <v>0</v>
      </c>
      <c r="N52" s="2947" t="str">
        <f>E48</f>
        <v>销售额×税（费）率</v>
      </c>
      <c r="O52" s="1748" t="str">
        <f>F48</f>
        <v>免征</v>
      </c>
    </row>
    <row r="53" spans="1:35" ht="12" customHeight="1">
      <c r="A53" s="183" t="s">
        <v>2213</v>
      </c>
      <c r="B53" s="3173" t="s">
        <v>2214</v>
      </c>
      <c r="C53" s="3174"/>
      <c r="D53" s="182">
        <f ca="1">ROUND(D45*'数据-取费表'!B41/(1+'数据-取费表'!C42),0)</f>
        <v>315</v>
      </c>
      <c r="E53" s="11" t="s">
        <v>2211</v>
      </c>
      <c r="F53" s="184">
        <f>'数据-取费表'!B41</f>
        <v>5.6000000000000001E-2</v>
      </c>
      <c r="G53" s="2478"/>
      <c r="H53" s="138"/>
      <c r="I53" s="2476"/>
      <c r="J53" s="2947">
        <v>2</v>
      </c>
      <c r="K53" s="3147" t="s">
        <v>2215</v>
      </c>
      <c r="L53" s="3147"/>
      <c r="M53" s="1747">
        <f t="shared" ref="M53:O54" ca="1" si="0">D55</f>
        <v>3</v>
      </c>
      <c r="N53" s="2947" t="str">
        <f t="shared" si="0"/>
        <v>销售额×税（费）率</v>
      </c>
      <c r="O53" s="1748">
        <f t="shared" si="0"/>
        <v>5.0000000000000001E-4</v>
      </c>
    </row>
    <row r="54" spans="1:35" ht="12" customHeight="1">
      <c r="A54" s="183" t="s">
        <v>2216</v>
      </c>
      <c r="B54" s="3173" t="s">
        <v>2217</v>
      </c>
      <c r="C54" s="3174"/>
      <c r="D54" s="182">
        <f ca="1">C68</f>
        <v>315</v>
      </c>
      <c r="E54" s="30" t="s">
        <v>2218</v>
      </c>
      <c r="F54" s="184">
        <f>'数据-取费表'!B41</f>
        <v>5.6000000000000001E-2</v>
      </c>
      <c r="G54" s="2478"/>
      <c r="H54" s="2479"/>
      <c r="I54" s="2476"/>
      <c r="J54" s="2947">
        <v>3</v>
      </c>
      <c r="K54" s="3147" t="s">
        <v>2219</v>
      </c>
      <c r="L54" s="3147"/>
      <c r="M54" s="1747">
        <f t="shared" ca="1" si="0"/>
        <v>3340</v>
      </c>
      <c r="N54" s="2947" t="str">
        <f t="shared" si="0"/>
        <v>增值额×税（费）率</v>
      </c>
      <c r="O54" s="1749" t="str">
        <f t="shared" si="0"/>
        <v>——</v>
      </c>
    </row>
    <row r="55" spans="1:35" ht="24" customHeight="1">
      <c r="A55" s="3211" t="s">
        <v>2220</v>
      </c>
      <c r="B55" s="3193"/>
      <c r="C55" s="3193"/>
      <c r="D55" s="185">
        <f ca="1">IF(H55="个人住宅",0,ROUND(D45*I55,0))</f>
        <v>3</v>
      </c>
      <c r="E55" s="11" t="s">
        <v>2221</v>
      </c>
      <c r="F55" s="184">
        <f>IF(H55="正常",I55,"免征")</f>
        <v>5.0000000000000001E-4</v>
      </c>
      <c r="G55" s="2478"/>
      <c r="H55" s="2475" t="s">
        <v>2222</v>
      </c>
      <c r="I55" s="186">
        <f>'数据-取费表'!B49</f>
        <v>5.0000000000000001E-4</v>
      </c>
      <c r="J55" s="2947" t="str">
        <f>IF(H59="非个人房产","",4)</f>
        <v/>
      </c>
      <c r="K55" s="3147" t="str">
        <f>IF(H59="非个人房产","——","个人所得税")</f>
        <v>——</v>
      </c>
      <c r="L55" s="3147"/>
      <c r="M55" s="1750" t="str">
        <f>D59</f>
        <v>——</v>
      </c>
      <c r="N55" s="2948" t="str">
        <f>E59</f>
        <v>——</v>
      </c>
      <c r="O55" s="1751" t="str">
        <f>F59</f>
        <v>——</v>
      </c>
    </row>
    <row r="56" spans="1:35" ht="24.75">
      <c r="A56" s="3211" t="s">
        <v>2223</v>
      </c>
      <c r="B56" s="3193"/>
      <c r="C56" s="3193"/>
      <c r="D56" s="185">
        <f ca="1">IF(H56="个人住宅",D57,D58)</f>
        <v>3340</v>
      </c>
      <c r="E56" s="11" t="s">
        <v>2224</v>
      </c>
      <c r="F56" s="184" t="str">
        <f>IF(H56="正常",F58,"免征")</f>
        <v>——</v>
      </c>
      <c r="G56" s="2480" t="s">
        <v>2225</v>
      </c>
      <c r="H56" s="2481" t="s">
        <v>2222</v>
      </c>
      <c r="I56" s="2482"/>
      <c r="J56" s="2947" t="str">
        <f>IF(项目基本情况!K6="上海银行",IF(J55="",4,J55+1),"")</f>
        <v/>
      </c>
      <c r="K56" s="3130" t="str">
        <f>IF(项目基本情况!K6="上海银行","其他处置费用","")</f>
        <v/>
      </c>
      <c r="L56" s="3131"/>
      <c r="M56" s="1747" t="str">
        <f>IF(项目基本情况!K6="上海银行",M69,"")</f>
        <v/>
      </c>
      <c r="N56" s="3133" t="str">
        <f>IF(项目基本情况!K6="上海银行","包含处置中涉及的律师、诉讼、拍卖、评估等费用","")</f>
        <v/>
      </c>
      <c r="O56" s="3134"/>
    </row>
    <row r="57" spans="1:35" ht="12.75">
      <c r="A57" s="183" t="s">
        <v>2198</v>
      </c>
      <c r="B57" s="3178" t="s">
        <v>2226</v>
      </c>
      <c r="C57" s="3179"/>
      <c r="D57" s="187">
        <v>0</v>
      </c>
      <c r="E57" s="23" t="s">
        <v>2200</v>
      </c>
      <c r="F57" s="155"/>
      <c r="G57" s="2478"/>
      <c r="H57" s="2482"/>
      <c r="I57" s="2482"/>
      <c r="J57" s="3147">
        <f>IF(AND(J55="",J56=""),4,IF(项目基本情况!K6="上海银行",'结果表 (地下车库)'!J56+1,'结果表 (地下车库)'!J55+1))</f>
        <v>4</v>
      </c>
      <c r="K57" s="3147" t="s">
        <v>2227</v>
      </c>
      <c r="L57" s="2483" t="s">
        <v>2228</v>
      </c>
      <c r="M57" s="1752"/>
      <c r="N57" s="1753">
        <f ca="1">SUMIF(M52:M56,"&lt;9e307")</f>
        <v>3343</v>
      </c>
      <c r="O57" s="2484"/>
      <c r="P57" s="1746">
        <f ca="1">N57/M49</f>
        <v>0.56641816333446293</v>
      </c>
    </row>
    <row r="58" spans="1:35" ht="24.75">
      <c r="A58" s="183" t="s">
        <v>2209</v>
      </c>
      <c r="B58" s="3178" t="s">
        <v>2229</v>
      </c>
      <c r="C58" s="3191"/>
      <c r="D58" s="185">
        <f ca="1">IF(H58="转让取得",C81,C97)</f>
        <v>3340</v>
      </c>
      <c r="E58" s="11" t="s">
        <v>2224</v>
      </c>
      <c r="F58" s="24" t="s">
        <v>34</v>
      </c>
      <c r="G58" s="2478"/>
      <c r="H58" s="2481" t="s">
        <v>2230</v>
      </c>
      <c r="I58" s="2482"/>
      <c r="J58" s="3147"/>
      <c r="K58" s="3147"/>
      <c r="L58" s="2483" t="s">
        <v>2231</v>
      </c>
      <c r="M58" s="1754"/>
      <c r="N58" s="2485" t="str">
        <f ca="1">NUMBERSTRING(INT(N57*10000),2)&amp;"元整"</f>
        <v>叁仟叁佰肆拾叁万元整</v>
      </c>
      <c r="O58" s="2486"/>
    </row>
    <row r="59" spans="1:35" ht="24.75" thickBot="1">
      <c r="A59" s="3151" t="s">
        <v>2232</v>
      </c>
      <c r="B59" s="3152"/>
      <c r="C59" s="3152"/>
      <c r="D59" s="188" t="str">
        <f>IF(H59="非个人房产","——",IF(H59="个人住宅",0,ROUND(D45*I59,0)))</f>
        <v>——</v>
      </c>
      <c r="E59" s="189" t="str">
        <f>IF(H59="非个人房产","——","销售额×税（费）率")</f>
        <v>——</v>
      </c>
      <c r="F59" s="190" t="str">
        <f>IF(H59="非个人房产","——",IF(H59="个人住宅","免征",I59))</f>
        <v>——</v>
      </c>
      <c r="G59" s="2487" t="s">
        <v>2225</v>
      </c>
      <c r="H59" s="2481" t="s">
        <v>2233</v>
      </c>
      <c r="I59" s="191">
        <v>0.01</v>
      </c>
      <c r="J59" s="3149">
        <f>J57+1</f>
        <v>5</v>
      </c>
      <c r="K59" s="3147" t="s">
        <v>2234</v>
      </c>
      <c r="L59" s="2947" t="s">
        <v>2228</v>
      </c>
      <c r="M59" s="1755"/>
      <c r="N59" s="1756">
        <f ca="1">M49-N57</f>
        <v>2559</v>
      </c>
      <c r="O59" s="2488"/>
    </row>
    <row r="60" spans="1:35" ht="12" customHeight="1">
      <c r="A60" s="2489"/>
      <c r="B60" s="2411"/>
      <c r="C60" s="2411"/>
      <c r="D60" s="2411"/>
      <c r="E60" s="2159"/>
      <c r="F60" s="2482"/>
      <c r="G60" s="2482"/>
      <c r="H60" s="2490"/>
      <c r="I60" s="138"/>
      <c r="J60" s="3150"/>
      <c r="K60" s="3147"/>
      <c r="L60" s="2483" t="s">
        <v>2231</v>
      </c>
      <c r="M60" s="1754"/>
      <c r="N60" s="2485" t="str">
        <f ca="1">NUMBERSTRING(INT(N59*10000),2)&amp;"元整"</f>
        <v>贰仟伍佰伍拾玖万元整</v>
      </c>
      <c r="O60" s="2486"/>
    </row>
    <row r="61" spans="1:35" ht="13.5" thickBot="1">
      <c r="A61" s="3210" t="s">
        <v>2235</v>
      </c>
      <c r="B61" s="3210"/>
      <c r="C61" s="3210"/>
      <c r="D61" s="3210"/>
      <c r="E61" s="3210"/>
      <c r="F61" s="2482"/>
      <c r="G61" s="2482"/>
      <c r="H61" s="2490"/>
      <c r="I61" s="138"/>
      <c r="J61" s="2947">
        <f>J59+1</f>
        <v>6</v>
      </c>
      <c r="K61" s="3147" t="s">
        <v>2236</v>
      </c>
      <c r="L61" s="3147"/>
      <c r="M61" s="1757"/>
      <c r="N61" s="1758">
        <f ca="1">ROUND(N59*10000/'数据-汇总表'!E3,0)</f>
        <v>749</v>
      </c>
      <c r="O61" s="2491"/>
    </row>
    <row r="62" spans="1:35" ht="12.75">
      <c r="A62" s="3167" t="s">
        <v>2237</v>
      </c>
      <c r="B62" s="3168"/>
      <c r="C62" s="2952"/>
      <c r="D62" s="2952" t="s">
        <v>2238</v>
      </c>
      <c r="E62" s="192" t="s">
        <v>2239</v>
      </c>
      <c r="F62" s="2482"/>
      <c r="G62" s="2482"/>
      <c r="H62" s="2490"/>
      <c r="I62" s="138"/>
    </row>
    <row r="63" spans="1:35" ht="12.75">
      <c r="A63" s="203" t="s">
        <v>775</v>
      </c>
      <c r="B63" s="193" t="s">
        <v>2240</v>
      </c>
      <c r="C63" s="194">
        <f ca="1">ROUND((C64+C65)/(1+'数据-取费表'!C42),0)</f>
        <v>5621</v>
      </c>
      <c r="D63" s="195"/>
      <c r="E63" s="196"/>
      <c r="F63" s="2482"/>
      <c r="G63" s="2482"/>
      <c r="H63" s="2490"/>
      <c r="I63" s="138"/>
      <c r="J63" s="3132" t="s">
        <v>2241</v>
      </c>
      <c r="K63" s="2943" t="s">
        <v>2242</v>
      </c>
      <c r="L63" s="1745">
        <f ca="1">IF(M49&gt;10000,M49*0.5%,IF(AND(M49&gt;1000,M49&lt;=10000),M49*1%,IF(AND(M49&gt;100,M49&lt;=1000),M49*3%,IF(AND(M49&gt;10,M49&lt;=100),M49*5%,M49*8%))))</f>
        <v>59.02</v>
      </c>
      <c r="M63" s="24">
        <f ca="1">ROUND(L63,1)</f>
        <v>59</v>
      </c>
      <c r="Z63" s="2416"/>
      <c r="AI63" s="2417"/>
    </row>
    <row r="64" spans="1:35" ht="14.25" customHeight="1">
      <c r="A64" s="197" t="s">
        <v>770</v>
      </c>
      <c r="B64" s="198" t="s">
        <v>2243</v>
      </c>
      <c r="C64" s="199">
        <f ca="1">D45</f>
        <v>5902</v>
      </c>
      <c r="D64" s="200" t="s">
        <v>32</v>
      </c>
      <c r="E64" s="201"/>
      <c r="F64" s="2482"/>
      <c r="G64" s="2482"/>
      <c r="H64" s="2490"/>
      <c r="I64" s="138"/>
      <c r="J64" s="3132"/>
      <c r="K64" s="2943" t="s">
        <v>2244</v>
      </c>
      <c r="L64" s="1745">
        <f ca="1">IF(M49&gt;2000,M49*0.5%,IF(AND(M49&gt;1000,M49&lt;=2000),M49*0.6%,IF(AND(M49&gt;500,M49&lt;=1000),M49*0.7%,IF(AND(M49&gt;200,M49&lt;=500),M49*0.8%,IF(AND(M49&gt;100,M49&lt;=200),M49*0.9%,IF(AND(M49&gt;50,M49&lt;=100),M49*1%,IF(AND(M49&gt;20,M49&lt;=50),M49*1.5%,IF(AND(M49&gt;10,M49&lt;=20),M49*2%,IF(AND(M49&gt;1,M49&lt;=10),M49*2.5%)))))))))</f>
        <v>29.51</v>
      </c>
      <c r="M64" s="24">
        <f t="shared" ref="M64:M65" ca="1" si="1">ROUND(L64,1)</f>
        <v>29.5</v>
      </c>
      <c r="N64" s="138" t="s">
        <v>2245</v>
      </c>
      <c r="Z64" s="2416"/>
      <c r="AI64" s="2417"/>
    </row>
    <row r="65" spans="1:35" ht="14.25" customHeight="1">
      <c r="A65" s="197" t="s">
        <v>771</v>
      </c>
      <c r="B65" s="198" t="s">
        <v>2246</v>
      </c>
      <c r="C65" s="202"/>
      <c r="D65" s="200"/>
      <c r="E65" s="201"/>
      <c r="F65" s="2482"/>
      <c r="G65" s="2482"/>
      <c r="H65" s="2490"/>
      <c r="I65" s="138"/>
      <c r="J65" s="3132"/>
      <c r="K65" s="2943" t="s">
        <v>2247</v>
      </c>
      <c r="L65" s="1745">
        <f ca="1">IF(M49&gt;1000,M49*0.1%,IF(AND(M49&gt;500,M49&lt;=1000),M49*0.5%,IF(AND(M49&gt;50,M49&lt;=500),M49*1%,IF(AND(M49&gt;1,M49&lt;=50),M49*1.5%))))</f>
        <v>5.9020000000000001</v>
      </c>
      <c r="M65" s="24">
        <f t="shared" ca="1" si="1"/>
        <v>5.9</v>
      </c>
      <c r="N65" s="138" t="s">
        <v>2245</v>
      </c>
      <c r="Z65" s="2416"/>
      <c r="AI65" s="2417"/>
    </row>
    <row r="66" spans="1:35" ht="14.25" customHeight="1">
      <c r="A66" s="203" t="s">
        <v>772</v>
      </c>
      <c r="B66" s="204" t="s">
        <v>2248</v>
      </c>
      <c r="C66" s="205"/>
      <c r="D66" s="206" t="s">
        <v>32</v>
      </c>
      <c r="E66" s="1768" t="s">
        <v>1371</v>
      </c>
      <c r="F66" s="2482"/>
      <c r="G66" s="2482"/>
      <c r="H66" s="2490"/>
      <c r="I66" s="138"/>
      <c r="J66" s="3132"/>
      <c r="K66" s="2943" t="s">
        <v>2249</v>
      </c>
      <c r="L66" s="1745">
        <f ca="1">M49*0.5%</f>
        <v>29.51</v>
      </c>
      <c r="M66" s="24">
        <f ca="1">IF(L66&gt;0.5,0.5,ROUND(L66,0))</f>
        <v>0.5</v>
      </c>
      <c r="N66" s="138" t="s">
        <v>2250</v>
      </c>
      <c r="Z66" s="2416"/>
      <c r="AI66" s="2417"/>
    </row>
    <row r="67" spans="1:35" ht="14.25" customHeight="1">
      <c r="A67" s="203" t="s">
        <v>773</v>
      </c>
      <c r="B67" s="204" t="s">
        <v>2251</v>
      </c>
      <c r="C67" s="207">
        <f ca="1">C63-C66</f>
        <v>5621</v>
      </c>
      <c r="D67" s="200" t="s">
        <v>32</v>
      </c>
      <c r="E67" s="201"/>
      <c r="F67" s="2482"/>
      <c r="G67" s="2482"/>
      <c r="H67" s="2490"/>
      <c r="I67" s="138"/>
      <c r="J67" s="3132"/>
      <c r="K67" s="2943" t="s">
        <v>2252</v>
      </c>
      <c r="L67" s="1745">
        <f ca="1">IF(M49&gt;=10000,(8.25+(M49-10000)*0.01%),IF(AND(M49&gt;=8000,M49&lt;10000),(7.85+(M49-8000)*0.02%),IF(AND(M49&gt;=5000,M49&lt;8000),(6.65+(M49-5000)*0.04%),IF(AND(M49&gt;=2000,M49&lt;5000),(4.25+(PM49-2000)*0.08%),IF(AND(M49&gt;=1000,M49&lt;2000),(2.75+(M49-1000)*0.15%),IF(AND(M49&gt;=100,M49&lt;1000),(0.5+(M49-100)*0.25%),IF(AND(M49&gt;0,M49&lt;100),M49*0.5%)))))))</f>
        <v>7.0108000000000006</v>
      </c>
      <c r="M67" s="24">
        <f ca="1">ROUND(L67*0.9,1)</f>
        <v>6.3</v>
      </c>
      <c r="Z67" s="2416"/>
      <c r="AI67" s="2417"/>
    </row>
    <row r="68" spans="1:35" ht="14.25" customHeight="1" thickBot="1">
      <c r="A68" s="208" t="s">
        <v>774</v>
      </c>
      <c r="B68" s="209" t="s">
        <v>2253</v>
      </c>
      <c r="C68" s="210">
        <f ca="1">IF(C67&lt;=0,0,ROUND(C67*D68,0))</f>
        <v>315</v>
      </c>
      <c r="D68" s="211">
        <f>'数据-取费表'!B41</f>
        <v>5.6000000000000001E-2</v>
      </c>
      <c r="E68" s="212"/>
      <c r="F68" s="2482"/>
      <c r="G68" s="2482"/>
      <c r="H68" s="2490"/>
      <c r="I68" s="138"/>
      <c r="J68" s="3132"/>
      <c r="K68" s="2943" t="s">
        <v>2254</v>
      </c>
      <c r="L68" s="1745">
        <f ca="1">IF(M49&gt;10000,M49*0.5%,IF(AND(M49&gt;5000,M49&lt;=10000),M49*1%,IF(AND(M49&gt;1000,M49&lt;=5000),M49*2%,IF(AND(M49&gt;200,M49&lt;=1000),M49*3%,M49*5%))))</f>
        <v>59.02</v>
      </c>
      <c r="M68" s="24">
        <f ca="1">ROUND(L68,1)</f>
        <v>59</v>
      </c>
      <c r="Z68" s="2416"/>
      <c r="AI68" s="2417"/>
    </row>
    <row r="69" spans="1:35" s="2439" customFormat="1" ht="16.5" customHeight="1">
      <c r="A69" s="2493"/>
      <c r="B69" s="2494"/>
      <c r="C69" s="2495"/>
      <c r="D69" s="2496"/>
      <c r="E69" s="2497"/>
      <c r="F69" s="2159"/>
      <c r="G69" s="2159"/>
      <c r="H69" s="2158"/>
      <c r="I69" s="2411"/>
      <c r="J69" s="3132"/>
      <c r="K69" s="2943" t="s">
        <v>2255</v>
      </c>
      <c r="L69" s="2498"/>
      <c r="M69" s="24">
        <f ca="1">ROUND(SUM(M63:M68),0)</f>
        <v>160</v>
      </c>
      <c r="N69" s="1746">
        <f ca="1">M69/M49</f>
        <v>2.7109454422229753E-2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76" t="s">
        <v>2256</v>
      </c>
      <c r="B70" s="3177"/>
      <c r="C70" s="3177"/>
      <c r="D70" s="3177"/>
      <c r="E70" s="3177"/>
      <c r="F70" s="3177"/>
      <c r="G70" s="3177"/>
      <c r="H70" s="317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67" t="s">
        <v>2237</v>
      </c>
      <c r="B71" s="3168"/>
      <c r="C71" s="2952"/>
      <c r="D71" s="2952" t="s">
        <v>2238</v>
      </c>
      <c r="E71" s="213" t="s">
        <v>2239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2257</v>
      </c>
      <c r="C72" s="207">
        <f ca="1">ROUND(D45/(1+'数据-取费表'!C42),0)</f>
        <v>5621</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2258</v>
      </c>
      <c r="C73" s="207">
        <f ca="1">C74+C78</f>
        <v>34</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2259</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2260</v>
      </c>
      <c r="C75" s="218"/>
      <c r="D75" s="200" t="s">
        <v>32</v>
      </c>
      <c r="E75" s="219" t="s">
        <v>2261</v>
      </c>
      <c r="F75" s="2504" t="s">
        <v>2262</v>
      </c>
      <c r="G75" s="219" t="s">
        <v>2263</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2264</v>
      </c>
      <c r="C76" s="200">
        <f>IF(F75="购房发票",ROUND(C75*H75*D76,0),0)</f>
        <v>0</v>
      </c>
      <c r="D76" s="222">
        <v>0.05</v>
      </c>
      <c r="E76" s="3173" t="s">
        <v>2265</v>
      </c>
      <c r="F76" s="3172"/>
      <c r="G76" s="3172"/>
      <c r="H76" s="317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2266</v>
      </c>
      <c r="C77" s="200">
        <f>ROUND(IF(G77="个人住宅",0,IF(G77="2016年5月1日前购买",C75*D77,C75*D77/(1+'数据-取费表'!C42))),0)</f>
        <v>0</v>
      </c>
      <c r="D77" s="223">
        <f>'数据-取费表'!B48+'数据-取费表'!B49</f>
        <v>3.0499999999999999E-2</v>
      </c>
      <c r="E77" s="2944" t="s">
        <v>2267</v>
      </c>
      <c r="F77" s="224"/>
      <c r="G77" s="2506" t="s">
        <v>2268</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2269</v>
      </c>
      <c r="C78" s="225">
        <f ca="1">ROUND(D45*D78/(1+'数据-取费表'!C42),0)</f>
        <v>34</v>
      </c>
      <c r="D78" s="226">
        <f>'数据-取费表'!B43</f>
        <v>6.000000000000001E-3</v>
      </c>
      <c r="E78" s="3164" t="s">
        <v>2270</v>
      </c>
      <c r="F78" s="3165"/>
      <c r="G78" s="3165"/>
      <c r="H78" s="316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2271</v>
      </c>
      <c r="C79" s="207">
        <f ca="1">C72-C73</f>
        <v>5587</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2272</v>
      </c>
      <c r="C80" s="227">
        <f ca="1">IF(C79&lt;=0,0,C79/C73)</f>
        <v>164.3235294117647</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2273</v>
      </c>
      <c r="C81" s="228">
        <f ca="1">ROUND(IF(C79&lt;=0,0,IF(C80&gt;=200%,C79*60%-C73*35%,IF(C80&gt;=100%,C79*50%-C73*15%,IF(C80&gt;=50%,C79*40%-C73*5%,IF(C80&lt;50%,C79*30%,0))))),0)</f>
        <v>3340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76" t="s">
        <v>2274</v>
      </c>
      <c r="B83" s="3177"/>
      <c r="C83" s="3177"/>
      <c r="D83" s="3177"/>
      <c r="E83" s="3177"/>
      <c r="F83" s="3177"/>
      <c r="G83" s="3177"/>
      <c r="H83" s="317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67" t="s">
        <v>2237</v>
      </c>
      <c r="B84" s="3168"/>
      <c r="C84" s="2952"/>
      <c r="D84" s="2952" t="s">
        <v>2238</v>
      </c>
      <c r="E84" s="213" t="s">
        <v>2239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2257</v>
      </c>
      <c r="C85" s="207">
        <f ca="1">ROUND(D45/(1+'数据-取费表'!C42),0)</f>
        <v>5621</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2258</v>
      </c>
      <c r="C86" s="207">
        <f ca="1">IF(H88="仅含出让金",C87+C90+C91+C92+C93+C94,C87+C91+C92+C93+C94)</f>
        <v>34</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2275</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2276</v>
      </c>
      <c r="C88" s="236"/>
      <c r="D88" s="226"/>
      <c r="E88" s="237" t="s">
        <v>2277</v>
      </c>
      <c r="F88" s="2950"/>
      <c r="G88" s="238" t="s">
        <v>2278</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2266</v>
      </c>
      <c r="C89" s="225">
        <f>ROUND(C88*D89,0)</f>
        <v>0</v>
      </c>
      <c r="D89" s="226">
        <f>'数据-取费表'!B48+'数据-取费表'!B49</f>
        <v>3.0499999999999999E-2</v>
      </c>
      <c r="E89" s="237" t="s">
        <v>2279</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2280</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2281</v>
      </c>
      <c r="B91" s="198" t="s">
        <v>2282</v>
      </c>
      <c r="C91" s="225">
        <f>IF(H91="——",成本法!C33,I91)</f>
        <v>0</v>
      </c>
      <c r="D91" s="226"/>
      <c r="E91" s="3164" t="s">
        <v>2283</v>
      </c>
      <c r="F91" s="3165"/>
      <c r="G91" s="3165"/>
      <c r="H91" s="2511" t="s">
        <v>2284</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2285</v>
      </c>
      <c r="B92" s="198" t="s">
        <v>2286</v>
      </c>
      <c r="C92" s="225">
        <f>ROUND((C87+C90+C91)*D92,0)</f>
        <v>0</v>
      </c>
      <c r="D92" s="226">
        <v>0.1</v>
      </c>
      <c r="E92" s="3164" t="s">
        <v>2287</v>
      </c>
      <c r="F92" s="3165"/>
      <c r="G92" s="3165"/>
      <c r="H92" s="316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2288</v>
      </c>
      <c r="B93" s="198" t="s">
        <v>2269</v>
      </c>
      <c r="C93" s="225">
        <f ca="1">ROUND(D45*D93/(1+'数据-取费表'!C42),0)</f>
        <v>34</v>
      </c>
      <c r="D93" s="226">
        <f>'数据-取费表'!B43</f>
        <v>6.000000000000001E-3</v>
      </c>
      <c r="E93" s="3164" t="s">
        <v>2270</v>
      </c>
      <c r="F93" s="3165"/>
      <c r="G93" s="3165"/>
      <c r="H93" s="316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2289</v>
      </c>
      <c r="B94" s="198" t="s">
        <v>2290</v>
      </c>
      <c r="C94" s="236">
        <f>ROUND((C87+C90+C91)*D94,0)</f>
        <v>0</v>
      </c>
      <c r="D94" s="226">
        <v>0.2</v>
      </c>
      <c r="E94" s="3212" t="s">
        <v>2291</v>
      </c>
      <c r="F94" s="3213"/>
      <c r="G94" s="3213"/>
      <c r="H94" s="321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2271</v>
      </c>
      <c r="C95" s="207">
        <f ca="1">ROUND(C85-C86,0)</f>
        <v>5587</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2272</v>
      </c>
      <c r="C96" s="227">
        <f ca="1">IF(C95&lt;=0,0,C95/C86)</f>
        <v>164.3235294117647</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2273</v>
      </c>
      <c r="C97" s="228">
        <f ca="1">ROUND(IF(C95&lt;=0,0,IF(C96&gt;=200%,C95*60%-C86*35%,IF(C96&gt;=100%,C95*50%-C86*15%,IF(C96&gt;=50%,C95*40%-C86*5%,IF(C96&lt;50%,C95*30%,0))))),0)</f>
        <v>3340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2292</v>
      </c>
      <c r="B99" s="2411"/>
      <c r="C99" s="2411"/>
      <c r="D99" s="2411"/>
      <c r="E99" s="2159"/>
      <c r="F99" s="2159"/>
      <c r="G99" s="2159"/>
      <c r="H99" s="2158"/>
      <c r="I99" s="138"/>
    </row>
    <row r="100" spans="1:35" ht="18.75" customHeight="1">
      <c r="A100" s="3116" t="s">
        <v>2293</v>
      </c>
      <c r="B100" s="3117"/>
      <c r="C100" s="3117"/>
      <c r="D100" s="3148"/>
      <c r="E100" s="3117" t="s">
        <v>2294</v>
      </c>
      <c r="F100" s="3117"/>
      <c r="G100" s="3117"/>
      <c r="H100" s="3148"/>
      <c r="I100" s="138"/>
    </row>
    <row r="101" spans="1:35" ht="18.75" customHeight="1">
      <c r="A101" s="3156" t="s">
        <v>2295</v>
      </c>
      <c r="B101" s="3157"/>
      <c r="C101" s="736" t="str">
        <f>C4</f>
        <v>比较法-车位</v>
      </c>
      <c r="D101" s="737" t="str">
        <f>D4</f>
        <v>收益法 (地下车库)</v>
      </c>
      <c r="E101" s="3128" t="s">
        <v>2296</v>
      </c>
      <c r="F101" s="3129"/>
      <c r="G101" s="2513" t="s">
        <v>2297</v>
      </c>
      <c r="H101" s="1043">
        <f ca="1">H118</f>
        <v>5902</v>
      </c>
      <c r="I101" s="138"/>
    </row>
    <row r="102" spans="1:35" ht="18.75" customHeight="1">
      <c r="A102" s="3158" t="s">
        <v>2298</v>
      </c>
      <c r="B102" s="2513" t="s">
        <v>2297</v>
      </c>
      <c r="C102" s="736">
        <f ca="1">C19</f>
        <v>6901</v>
      </c>
      <c r="D102" s="737">
        <f ca="1">D19</f>
        <v>3571</v>
      </c>
      <c r="E102" s="3128"/>
      <c r="F102" s="3129"/>
      <c r="G102" s="2513" t="s">
        <v>2299</v>
      </c>
      <c r="H102" s="371">
        <f ca="1">I118</f>
        <v>3869</v>
      </c>
      <c r="I102" s="138"/>
    </row>
    <row r="103" spans="1:35" ht="42.75" customHeight="1">
      <c r="A103" s="3158"/>
      <c r="B103" s="2513" t="s">
        <v>2299</v>
      </c>
      <c r="C103" s="738">
        <f ca="1">C20</f>
        <v>4524</v>
      </c>
      <c r="D103" s="739">
        <f ca="1">D20</f>
        <v>2341</v>
      </c>
      <c r="E103" s="3122" t="s">
        <v>2300</v>
      </c>
      <c r="F103" s="3123"/>
      <c r="G103" s="2514" t="s">
        <v>2301</v>
      </c>
      <c r="H103" s="1043">
        <f>IF(D36="正常操作",H104+H105+H106,H105+H106)</f>
        <v>0</v>
      </c>
      <c r="I103" s="138"/>
    </row>
    <row r="104" spans="1:35" ht="18.75" customHeight="1">
      <c r="A104" s="3158" t="s">
        <v>2302</v>
      </c>
      <c r="B104" s="2515" t="s">
        <v>2297</v>
      </c>
      <c r="C104" s="740">
        <f ca="1">H118</f>
        <v>5902</v>
      </c>
      <c r="D104" s="741"/>
      <c r="E104" s="2260" t="s">
        <v>2303</v>
      </c>
      <c r="F104" s="2251"/>
      <c r="G104" s="2514" t="s">
        <v>2301</v>
      </c>
      <c r="H104" s="1044">
        <f>IF(D36="同一抵押权人同一抵押物续贷",C36&amp;"（未扣减，详见特别提示）",C36)</f>
        <v>0</v>
      </c>
      <c r="I104" s="138"/>
    </row>
    <row r="105" spans="1:35" ht="18.75" customHeight="1" thickBot="1">
      <c r="A105" s="3170"/>
      <c r="B105" s="2516" t="s">
        <v>2299</v>
      </c>
      <c r="C105" s="742">
        <f ca="1">I118</f>
        <v>3869</v>
      </c>
      <c r="D105" s="743"/>
      <c r="E105" s="2260" t="s">
        <v>2304</v>
      </c>
      <c r="F105" s="2251"/>
      <c r="G105" s="2514" t="s">
        <v>2301</v>
      </c>
      <c r="H105" s="1044">
        <f>C37</f>
        <v>0</v>
      </c>
      <c r="I105" s="138"/>
    </row>
    <row r="106" spans="1:35" ht="18.75" customHeight="1">
      <c r="A106" s="2411" t="s">
        <v>2305</v>
      </c>
      <c r="B106" s="2411"/>
      <c r="C106" s="2411"/>
      <c r="D106" s="2411"/>
      <c r="E106" s="2517" t="s">
        <v>2306</v>
      </c>
      <c r="F106" s="2251"/>
      <c r="G106" s="2514" t="s">
        <v>2301</v>
      </c>
      <c r="H106" s="1044">
        <f>C38</f>
        <v>0</v>
      </c>
      <c r="I106" s="138"/>
    </row>
    <row r="107" spans="1:35" ht="18.75" customHeight="1">
      <c r="A107" s="138"/>
      <c r="B107" s="138"/>
      <c r="C107" s="138"/>
      <c r="D107" s="138"/>
      <c r="E107" s="3159" t="str">
        <f>IF(项目基本情况!E8="已注销","——","3.房地产抵押价值")</f>
        <v>3.房地产抵押价值</v>
      </c>
      <c r="F107" s="3129"/>
      <c r="G107" s="2513" t="s">
        <v>2297</v>
      </c>
      <c r="H107" s="1043">
        <f ca="1">IF(E107="——","——",H101-H103)</f>
        <v>5902</v>
      </c>
      <c r="I107" s="138"/>
    </row>
    <row r="108" spans="1:35" ht="18.75" customHeight="1">
      <c r="A108" s="138"/>
      <c r="B108" s="138"/>
      <c r="C108" s="138"/>
      <c r="D108" s="138"/>
      <c r="E108" s="3159"/>
      <c r="F108" s="3129"/>
      <c r="G108" s="2513" t="s">
        <v>2299</v>
      </c>
      <c r="H108" s="371">
        <f ca="1">ROUND(H107*10000/'数据-汇总表'!E3,0)</f>
        <v>1727</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3" t="s">
        <v>2297</v>
      </c>
      <c r="H109" s="348" t="str">
        <f>IF(E109="——","——",H101-H105-H106)</f>
        <v>——</v>
      </c>
      <c r="I109" s="138"/>
    </row>
    <row r="110" spans="1:35" ht="18.75" customHeight="1">
      <c r="A110" s="138"/>
      <c r="B110" s="138"/>
      <c r="C110" s="138"/>
      <c r="D110" s="138"/>
      <c r="E110" s="3159"/>
      <c r="F110" s="3129"/>
      <c r="G110" s="2513" t="s">
        <v>2299</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3" t="s">
        <v>2297</v>
      </c>
      <c r="H111" s="1043" t="str">
        <f>IF(E111="——","——",N59)</f>
        <v>——</v>
      </c>
      <c r="I111" s="138"/>
    </row>
    <row r="112" spans="1:35" ht="18.75" customHeight="1" thickBot="1">
      <c r="A112" s="138"/>
      <c r="B112" s="138"/>
      <c r="C112" s="138"/>
      <c r="D112" s="138"/>
      <c r="E112" s="3162"/>
      <c r="F112" s="3163"/>
      <c r="G112" s="2518" t="s">
        <v>2299</v>
      </c>
      <c r="H112" s="790" t="str">
        <f>IF(E111="——","——",N61)</f>
        <v>——</v>
      </c>
      <c r="I112" s="138"/>
    </row>
    <row r="113" spans="1:11" ht="18.75" customHeight="1">
      <c r="A113" s="138"/>
      <c r="B113" s="138"/>
      <c r="C113" s="138"/>
      <c r="D113" s="138"/>
      <c r="E113" s="3171" t="s">
        <v>2305</v>
      </c>
      <c r="F113" s="3171"/>
      <c r="G113" s="3171"/>
      <c r="H113" s="3171"/>
      <c r="I113" s="138"/>
    </row>
    <row r="114" spans="1:11" ht="3.75" customHeight="1">
      <c r="A114" s="2411"/>
      <c r="B114" s="2411"/>
      <c r="C114" s="2411"/>
      <c r="D114" s="2411"/>
      <c r="E114" s="2489"/>
      <c r="F114" s="2489"/>
      <c r="G114" s="2489"/>
      <c r="H114" s="2489"/>
      <c r="I114" s="2411"/>
    </row>
    <row r="115" spans="1:11" ht="18.75" customHeight="1">
      <c r="A115" s="3184" t="s">
        <v>2307</v>
      </c>
      <c r="B115" s="3185"/>
      <c r="C115" s="3185"/>
      <c r="D115" s="3185"/>
      <c r="E115" s="3185"/>
      <c r="F115" s="3185"/>
      <c r="G115" s="3185"/>
      <c r="H115" s="3185"/>
      <c r="I115" s="3186"/>
    </row>
    <row r="116" spans="1:11" ht="27" customHeight="1">
      <c r="A116" s="3095" t="s">
        <v>2308</v>
      </c>
      <c r="B116" s="3138" t="s">
        <v>2309</v>
      </c>
      <c r="C116" s="3138" t="s">
        <v>2310</v>
      </c>
      <c r="D116" s="3144" t="s">
        <v>2311</v>
      </c>
      <c r="E116" s="3145"/>
      <c r="F116" s="3180" t="s">
        <v>2312</v>
      </c>
      <c r="G116" s="3180"/>
      <c r="H116" s="3095" t="s">
        <v>2313</v>
      </c>
      <c r="I116" s="3095"/>
    </row>
    <row r="117" spans="1:11" ht="18.75" customHeight="1">
      <c r="A117" s="3095"/>
      <c r="B117" s="3139"/>
      <c r="C117" s="3139"/>
      <c r="D117" s="2938" t="s">
        <v>2314</v>
      </c>
      <c r="E117" s="2938" t="s">
        <v>2315</v>
      </c>
      <c r="F117" s="2938" t="s">
        <v>2314</v>
      </c>
      <c r="G117" s="2938" t="s">
        <v>2316</v>
      </c>
      <c r="H117" s="2938" t="s">
        <v>2314</v>
      </c>
      <c r="I117" s="2938" t="s">
        <v>2316</v>
      </c>
    </row>
    <row r="118" spans="1:11" ht="24.75" customHeight="1">
      <c r="A118" s="2519" t="str">
        <f>项目基本情况!S2</f>
        <v>北京市丰台区汽车博物馆西路8号院1、2、3号楼、4幢房地产</v>
      </c>
      <c r="B118" s="2938">
        <f>M18</f>
        <v>15254.020000000017</v>
      </c>
      <c r="C118" s="2938">
        <f>M19</f>
        <v>2692.46</v>
      </c>
      <c r="D118" s="2938">
        <f>ROUND(IF(D32="总价",C34,E118*B118/10000),0)</f>
        <v>0</v>
      </c>
      <c r="E118" s="2938">
        <f>ROUND(IF(C33="自定义",IF(D32="楼面单价",C34,D118*10000/B118),I118-G118),0)</f>
        <v>0</v>
      </c>
      <c r="F118" s="2938">
        <f>ROUND(IF(D32="总价",C35,G118*B118/10000),0)</f>
        <v>0</v>
      </c>
      <c r="G118" s="2938">
        <f>ROUND(IF(D32="楼面单价",C35,F118*10000/B118),0)</f>
        <v>0</v>
      </c>
      <c r="H118" s="2938">
        <f ca="1">ROUND(IF(D32="总价",C32,I118*B118/10000),0)</f>
        <v>5902</v>
      </c>
      <c r="I118" s="2938">
        <f ca="1">ROUND(IF(D32="楼面单价",C32,H118*10000/B118),0)</f>
        <v>3869</v>
      </c>
    </row>
    <row r="119" spans="1:11" ht="18.75" customHeight="1">
      <c r="A119" s="3095" t="s">
        <v>2317</v>
      </c>
      <c r="B119" s="3095"/>
      <c r="C119" s="3095"/>
      <c r="D119" s="3140" t="str">
        <f>NUMBERSTRING(INT(D118*10000),2)&amp;"元整"</f>
        <v>零元整</v>
      </c>
      <c r="E119" s="3141"/>
      <c r="F119" s="3140" t="str">
        <f>NUMBERSTRING(INT(F118*10000),2)&amp;"元整"</f>
        <v>零元整</v>
      </c>
      <c r="G119" s="3141"/>
      <c r="H119" s="3140" t="str">
        <f ca="1">NUMBERSTRING(INT(H118*10000),2)&amp;"元整"</f>
        <v>伍仟玖佰零贰万元整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6" t="str">
        <f>IF(D120=0,"故，本次评估不存在"&amp;A120,"故，本次评估"&amp;A120&amp;"为人民币"&amp;D120&amp;"万元整。")</f>
        <v>故，本次评估不存在估价师知悉的法定优先受偿款</v>
      </c>
    </row>
    <row r="121" spans="1:11" ht="18.75" customHeight="1">
      <c r="A121" s="3181" t="s">
        <v>2317</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5902</v>
      </c>
      <c r="E122" s="3136"/>
      <c r="F122" s="3136"/>
      <c r="G122" s="3136"/>
      <c r="H122" s="3136"/>
      <c r="I122" s="3137"/>
    </row>
    <row r="123" spans="1:11" ht="18.75" customHeight="1">
      <c r="A123" s="3095" t="s">
        <v>2317</v>
      </c>
      <c r="B123" s="3095"/>
      <c r="C123" s="3095"/>
      <c r="D123" s="3140" t="str">
        <f ca="1">NUMBERSTRING(INT(D122*10000),2)&amp;"元整"</f>
        <v>伍仟玖佰零贰万元整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2317</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2317</v>
      </c>
      <c r="B127" s="3095"/>
      <c r="C127" s="3095"/>
      <c r="D127" s="3140" t="e">
        <f>NUMBERSTRING(INT(D126*10000),2)&amp;"元整"</f>
        <v>#VALUE!</v>
      </c>
      <c r="E127" s="3142"/>
      <c r="F127" s="3142"/>
      <c r="G127" s="3142"/>
      <c r="H127" s="3142"/>
      <c r="I127" s="3141"/>
    </row>
    <row r="128" spans="1:11" ht="21.75" customHeight="1">
      <c r="A128" s="3143" t="s">
        <v>2318</v>
      </c>
      <c r="B128" s="3143"/>
      <c r="C128" s="3143"/>
      <c r="D128" s="3143"/>
      <c r="E128" s="3143"/>
      <c r="F128" s="3143"/>
      <c r="G128" s="3143"/>
      <c r="H128" s="3143"/>
      <c r="I128" s="3143"/>
    </row>
    <row r="129" spans="1:35" ht="21.75" customHeight="1">
      <c r="A129" s="2520" t="s">
        <v>2319</v>
      </c>
      <c r="B129" s="2521"/>
      <c r="C129" s="2522" t="s">
        <v>2320</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2321</v>
      </c>
      <c r="G135" s="2537"/>
      <c r="H135" s="2537"/>
      <c r="I135" s="2538" t="s">
        <v>2322</v>
      </c>
    </row>
    <row r="136" spans="1:35" ht="21.75" customHeight="1">
      <c r="A136" s="795"/>
      <c r="B136" s="253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2324</v>
      </c>
    </row>
    <row r="139" spans="1:35" ht="21.75" customHeight="1">
      <c r="A139" s="795"/>
      <c r="B139" s="2539" t="s">
        <v>2325</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2324</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620"/>
  <sheetViews>
    <sheetView tabSelected="1" topLeftCell="C1" workbookViewId="0">
      <selection activeCell="N39" sqref="N39"/>
    </sheetView>
  </sheetViews>
  <sheetFormatPr defaultRowHeight="13.5"/>
  <cols>
    <col min="1" max="1" width="5.875" customWidth="1"/>
    <col min="2" max="2" width="37.25" customWidth="1"/>
    <col min="8" max="8" width="12.75" customWidth="1"/>
    <col min="9" max="9" width="9" customWidth="1"/>
    <col min="10" max="12" width="10.5" bestFit="1" customWidth="1"/>
    <col min="14" max="14" width="10.625" customWidth="1"/>
    <col min="17" max="17" width="9.5" bestFit="1" customWidth="1"/>
  </cols>
  <sheetData>
    <row r="1" spans="1:19">
      <c r="A1" s="2966" t="s">
        <v>3431</v>
      </c>
      <c r="B1" s="2966" t="s">
        <v>3061</v>
      </c>
      <c r="C1" s="2966" t="s">
        <v>3434</v>
      </c>
      <c r="D1" s="2966" t="s">
        <v>3432</v>
      </c>
      <c r="E1" s="2966" t="s">
        <v>3433</v>
      </c>
      <c r="I1" s="2966" t="s">
        <v>3688</v>
      </c>
      <c r="J1" s="2966" t="s">
        <v>3689</v>
      </c>
      <c r="K1" s="2966" t="s">
        <v>3690</v>
      </c>
      <c r="L1" s="2966" t="s">
        <v>3696</v>
      </c>
      <c r="M1" s="2966" t="s">
        <v>3691</v>
      </c>
      <c r="N1" s="2966" t="s">
        <v>3706</v>
      </c>
    </row>
    <row r="2" spans="1:19">
      <c r="A2">
        <v>1</v>
      </c>
      <c r="B2" s="2966" t="s">
        <v>3062</v>
      </c>
      <c r="C2" s="2966" t="s">
        <v>3435</v>
      </c>
      <c r="D2" s="2966" t="s">
        <v>3063</v>
      </c>
      <c r="E2">
        <v>58.44</v>
      </c>
      <c r="G2" s="2966" t="s">
        <v>3692</v>
      </c>
      <c r="H2" s="2966" t="s">
        <v>3693</v>
      </c>
      <c r="I2" s="2967">
        <f>SUM(E2:E12)</f>
        <v>2906.2</v>
      </c>
      <c r="K2" s="2967">
        <f>SUM(E252:E255)</f>
        <v>1481.72</v>
      </c>
      <c r="M2">
        <f t="shared" ref="M2:M9" si="0">SUM(I2:L2)</f>
        <v>4387.92</v>
      </c>
      <c r="N2">
        <f>ROUND(M2*N9/M9,2)</f>
        <v>774.5</v>
      </c>
      <c r="P2">
        <v>8.5</v>
      </c>
      <c r="Q2">
        <f>P2*M2*365/10000</f>
        <v>1361.3521800000001</v>
      </c>
    </row>
    <row r="3" spans="1:19">
      <c r="A3">
        <v>2</v>
      </c>
      <c r="B3" s="2966" t="s">
        <v>3064</v>
      </c>
      <c r="C3" s="2966" t="s">
        <v>3435</v>
      </c>
      <c r="D3" s="2966" t="s">
        <v>3063</v>
      </c>
      <c r="E3">
        <v>166.25</v>
      </c>
      <c r="H3" s="2966" t="s">
        <v>3694</v>
      </c>
      <c r="I3" s="2967">
        <f>SUM(E13:E15)</f>
        <v>2061.8199999999997</v>
      </c>
      <c r="J3" s="2967">
        <f>SUM(E150:E152)</f>
        <v>2054.94</v>
      </c>
      <c r="K3" s="2967">
        <f>SUM(E256:E260)</f>
        <v>2009.75</v>
      </c>
      <c r="M3">
        <f t="shared" si="0"/>
        <v>6126.51</v>
      </c>
      <c r="N3">
        <f>ROUND(M3*N9/M9,2)</f>
        <v>1081.3800000000001</v>
      </c>
      <c r="O3">
        <f>典型户型修正!G25*典型户型修正!I25*典型户型修正!Q25</f>
        <v>0.72029999999999994</v>
      </c>
      <c r="P3">
        <f>P2*O3</f>
        <v>6.1225499999999995</v>
      </c>
      <c r="Q3">
        <f t="shared" ref="Q3:Q5" si="1">P3*M3*365/10000</f>
        <v>1369.1100287182499</v>
      </c>
    </row>
    <row r="4" spans="1:19">
      <c r="A4">
        <v>3</v>
      </c>
      <c r="B4" s="2966" t="s">
        <v>3065</v>
      </c>
      <c r="C4" s="2966" t="s">
        <v>3435</v>
      </c>
      <c r="D4" s="2966" t="s">
        <v>3063</v>
      </c>
      <c r="E4">
        <v>242.02</v>
      </c>
      <c r="H4" s="2966" t="s">
        <v>3698</v>
      </c>
      <c r="L4" s="2967">
        <f>J367</f>
        <v>5187.51</v>
      </c>
      <c r="M4">
        <f t="shared" si="0"/>
        <v>5187.51</v>
      </c>
      <c r="N4">
        <f>ROUND(M4*N9/M9,2)</f>
        <v>915.64</v>
      </c>
      <c r="O4">
        <f>典型户型修正!E26*典型户型修正!G26*典型户型修正!I26*典型户型修正!Q26</f>
        <v>0.58106879999999994</v>
      </c>
      <c r="P4">
        <f>P2*O4</f>
        <v>4.9390847999999998</v>
      </c>
      <c r="Q4">
        <f t="shared" si="1"/>
        <v>935.18664036595203</v>
      </c>
    </row>
    <row r="5" spans="1:19">
      <c r="A5">
        <v>4</v>
      </c>
      <c r="B5" s="2966" t="s">
        <v>3066</v>
      </c>
      <c r="C5" s="2966" t="s">
        <v>3435</v>
      </c>
      <c r="D5" s="2966" t="s">
        <v>3063</v>
      </c>
      <c r="E5">
        <v>92.53</v>
      </c>
      <c r="H5" s="2966" t="s">
        <v>3704</v>
      </c>
      <c r="L5" s="2967">
        <f>J368</f>
        <v>1163.6300000000001</v>
      </c>
      <c r="M5">
        <f t="shared" si="0"/>
        <v>1163.6300000000001</v>
      </c>
      <c r="N5">
        <f>ROUND(M5*N9/M9,2)</f>
        <v>205.39</v>
      </c>
      <c r="O5">
        <f>典型户型修正!E27*典型户型修正!G27*典型户型修正!I27*典型户型修正!Q27</f>
        <v>0.29998219999999992</v>
      </c>
      <c r="P5">
        <f>P2*O5</f>
        <v>2.5498486999999992</v>
      </c>
      <c r="Q5">
        <f t="shared" si="1"/>
        <v>108.29843616150647</v>
      </c>
    </row>
    <row r="6" spans="1:19">
      <c r="A6">
        <v>5</v>
      </c>
      <c r="B6" s="2966" t="s">
        <v>3067</v>
      </c>
      <c r="C6" s="2966" t="s">
        <v>3435</v>
      </c>
      <c r="D6" s="2966" t="s">
        <v>3063</v>
      </c>
      <c r="E6">
        <v>168.61</v>
      </c>
      <c r="G6" s="2966" t="s">
        <v>3695</v>
      </c>
      <c r="I6">
        <f>SUM(E16:E148)</f>
        <v>22338.650000000041</v>
      </c>
      <c r="J6">
        <f>SUM(E153:E250)</f>
        <v>16743.160000000018</v>
      </c>
      <c r="K6">
        <f>SUM(E261:E365)</f>
        <v>17369.080000000002</v>
      </c>
      <c r="M6">
        <f t="shared" si="0"/>
        <v>56450.890000000058</v>
      </c>
      <c r="Q6">
        <f>SUM(Q2:Q5)</f>
        <v>3773.9472852457079</v>
      </c>
      <c r="R6">
        <f>Q6:Q6*0.9</f>
        <v>3396.5525567211371</v>
      </c>
      <c r="S6">
        <f>R6/(M2+M3+M4+M5)*10000/365</f>
        <v>5.5175267975358127</v>
      </c>
    </row>
    <row r="7" spans="1:19">
      <c r="A7">
        <v>6</v>
      </c>
      <c r="B7" s="2966" t="s">
        <v>3068</v>
      </c>
      <c r="C7" s="2966" t="s">
        <v>3435</v>
      </c>
      <c r="D7" s="2966" t="s">
        <v>3063</v>
      </c>
      <c r="E7">
        <v>168.28</v>
      </c>
      <c r="G7" s="2966" t="s">
        <v>3705</v>
      </c>
      <c r="L7" s="2967">
        <f>J369</f>
        <v>15254.020000000017</v>
      </c>
      <c r="M7">
        <f t="shared" si="0"/>
        <v>15254.020000000017</v>
      </c>
      <c r="N7">
        <f>ROUND(M7*N9/M9,2)</f>
        <v>2692.46</v>
      </c>
    </row>
    <row r="8" spans="1:19">
      <c r="A8">
        <v>7</v>
      </c>
      <c r="B8" s="2966" t="s">
        <v>3069</v>
      </c>
      <c r="C8" s="2966" t="s">
        <v>3435</v>
      </c>
      <c r="D8" s="2966" t="s">
        <v>3063</v>
      </c>
      <c r="E8">
        <v>70.2</v>
      </c>
      <c r="G8" s="2966" t="s">
        <v>3703</v>
      </c>
      <c r="L8" s="2967">
        <f>J370</f>
        <v>2046.64</v>
      </c>
      <c r="M8">
        <f t="shared" si="0"/>
        <v>2046.64</v>
      </c>
      <c r="N8">
        <f>ROUND(M8*N9/M9,2)</f>
        <v>361.25</v>
      </c>
    </row>
    <row r="9" spans="1:19">
      <c r="A9">
        <v>8</v>
      </c>
      <c r="B9" s="2966" t="s">
        <v>3070</v>
      </c>
      <c r="C9" s="2966" t="s">
        <v>3435</v>
      </c>
      <c r="D9" s="2966" t="s">
        <v>3063</v>
      </c>
      <c r="E9">
        <v>548.16</v>
      </c>
      <c r="G9" s="2966" t="s">
        <v>3687</v>
      </c>
      <c r="I9">
        <f>SUM(I2:I8)</f>
        <v>27306.670000000042</v>
      </c>
      <c r="J9">
        <f>SUM(J2:J8)</f>
        <v>18798.100000000017</v>
      </c>
      <c r="K9">
        <f>SUM(K2:K8)</f>
        <v>20860.550000000003</v>
      </c>
      <c r="L9">
        <f>SUM(L2:L8)</f>
        <v>23651.800000000017</v>
      </c>
      <c r="M9">
        <f t="shared" si="0"/>
        <v>90617.120000000083</v>
      </c>
      <c r="N9">
        <v>15994.67</v>
      </c>
    </row>
    <row r="10" spans="1:19">
      <c r="A10">
        <v>9</v>
      </c>
      <c r="B10" s="2966" t="s">
        <v>3071</v>
      </c>
      <c r="C10" s="2966" t="s">
        <v>3435</v>
      </c>
      <c r="D10" s="2966" t="s">
        <v>3063</v>
      </c>
      <c r="E10">
        <v>444.28</v>
      </c>
      <c r="M10">
        <f>I9+J9+K9</f>
        <v>66965.320000000065</v>
      </c>
    </row>
    <row r="11" spans="1:19">
      <c r="A11">
        <v>10</v>
      </c>
      <c r="B11" s="2966" t="s">
        <v>3072</v>
      </c>
      <c r="C11" s="2966" t="s">
        <v>3435</v>
      </c>
      <c r="D11" s="2966" t="s">
        <v>3063</v>
      </c>
      <c r="E11">
        <v>457.33</v>
      </c>
      <c r="M11">
        <f>I2+I3+J3+K2+K3+L4+L5+L7+L8</f>
        <v>34166.230000000018</v>
      </c>
      <c r="N11">
        <f>ROUND(M11*N9/M9,2)</f>
        <v>6030.62</v>
      </c>
    </row>
    <row r="12" spans="1:19">
      <c r="A12">
        <v>11</v>
      </c>
      <c r="B12" s="2966" t="s">
        <v>3073</v>
      </c>
      <c r="C12" s="2966" t="s">
        <v>3435</v>
      </c>
      <c r="D12" s="2966" t="s">
        <v>3074</v>
      </c>
      <c r="E12">
        <v>490.1</v>
      </c>
    </row>
    <row r="13" spans="1:19">
      <c r="A13">
        <v>12</v>
      </c>
      <c r="B13" s="2966" t="s">
        <v>3075</v>
      </c>
      <c r="C13" s="2966" t="s">
        <v>3435</v>
      </c>
      <c r="D13" s="2966" t="s">
        <v>3074</v>
      </c>
      <c r="E13">
        <v>525.27</v>
      </c>
      <c r="I13" s="2966" t="s">
        <v>3889</v>
      </c>
      <c r="J13" s="2966" t="s">
        <v>3890</v>
      </c>
      <c r="K13" s="2966" t="s">
        <v>3891</v>
      </c>
      <c r="L13" s="2966" t="s">
        <v>3894</v>
      </c>
      <c r="M13" s="2966"/>
      <c r="N13" s="2966" t="s">
        <v>3895</v>
      </c>
    </row>
    <row r="14" spans="1:19">
      <c r="A14">
        <v>13</v>
      </c>
      <c r="B14" s="2966" t="s">
        <v>3076</v>
      </c>
      <c r="C14" s="2966" t="s">
        <v>3435</v>
      </c>
      <c r="D14" s="2966" t="s">
        <v>3074</v>
      </c>
      <c r="E14">
        <v>423.03</v>
      </c>
      <c r="G14" s="2966"/>
      <c r="H14" s="2966" t="s">
        <v>3885</v>
      </c>
      <c r="I14">
        <f>I2+I3</f>
        <v>4968.0199999999995</v>
      </c>
      <c r="J14">
        <f ca="1">ROUND((I2*典型户型修正!R24+面积表!I3*典型户型修正!R25)/10000,0)</f>
        <v>21475</v>
      </c>
      <c r="K14">
        <f ca="1">ROUND(J14/I14*10000,0)</f>
        <v>43226</v>
      </c>
      <c r="L14">
        <f ca="1">ROUND(J14*结果表!D35,0)</f>
        <v>3951</v>
      </c>
      <c r="M14">
        <f ca="1">ROUND(L14/I14*10000,0)</f>
        <v>7953</v>
      </c>
      <c r="N14">
        <f t="shared" ref="N14:O16" ca="1" si="2">J14-L14</f>
        <v>17524</v>
      </c>
      <c r="O14">
        <f t="shared" ca="1" si="2"/>
        <v>35273</v>
      </c>
    </row>
    <row r="15" spans="1:19">
      <c r="A15">
        <v>14</v>
      </c>
      <c r="B15" s="2966" t="s">
        <v>3077</v>
      </c>
      <c r="C15" s="2966" t="s">
        <v>3435</v>
      </c>
      <c r="D15" s="2966" t="s">
        <v>3074</v>
      </c>
      <c r="E15">
        <v>1113.52</v>
      </c>
      <c r="H15" s="2966" t="s">
        <v>3886</v>
      </c>
      <c r="I15">
        <f>J3</f>
        <v>2054.94</v>
      </c>
      <c r="J15">
        <f ca="1">ROUND(J3*典型户型修正!R25/10000,0)</f>
        <v>7239</v>
      </c>
      <c r="K15">
        <f t="shared" ref="K15:K18" ca="1" si="3">ROUND(J15/I15*10000,0)</f>
        <v>35227</v>
      </c>
      <c r="L15">
        <f ca="1">ROUND(J15*结果表!D35,0)</f>
        <v>1332</v>
      </c>
      <c r="M15">
        <f ca="1">ROUND(L15/I15*10000,0)</f>
        <v>6482</v>
      </c>
      <c r="N15">
        <f t="shared" ca="1" si="2"/>
        <v>5907</v>
      </c>
      <c r="O15">
        <f t="shared" ca="1" si="2"/>
        <v>28745</v>
      </c>
    </row>
    <row r="16" spans="1:19">
      <c r="A16">
        <v>15</v>
      </c>
      <c r="B16" s="2966" t="s">
        <v>3078</v>
      </c>
      <c r="C16" s="2966" t="s">
        <v>3435</v>
      </c>
      <c r="D16" s="2966" t="s">
        <v>3079</v>
      </c>
      <c r="E16">
        <v>281.43</v>
      </c>
      <c r="H16" s="2966" t="s">
        <v>3887</v>
      </c>
      <c r="I16">
        <f>K2+K3</f>
        <v>3491.4700000000003</v>
      </c>
      <c r="J16">
        <f ca="1">ROUND((K2*典型户型修正!R24+面积表!K3*典型户型修正!R25)/10000,0)</f>
        <v>14325</v>
      </c>
      <c r="K16">
        <f t="shared" ca="1" si="3"/>
        <v>41029</v>
      </c>
      <c r="L16">
        <f ca="1">ROUND(J16*结果表!D35,0)</f>
        <v>2636</v>
      </c>
      <c r="M16">
        <f ca="1">ROUND(L16/I16*10000,0)</f>
        <v>7550</v>
      </c>
      <c r="N16">
        <f t="shared" ca="1" si="2"/>
        <v>11689</v>
      </c>
      <c r="O16">
        <f t="shared" ca="1" si="2"/>
        <v>33479</v>
      </c>
    </row>
    <row r="17" spans="1:15">
      <c r="A17">
        <v>16</v>
      </c>
      <c r="B17" s="2966" t="s">
        <v>3080</v>
      </c>
      <c r="C17" s="2966" t="s">
        <v>3435</v>
      </c>
      <c r="D17" s="2966" t="s">
        <v>3079</v>
      </c>
      <c r="E17">
        <v>156.61000000000001</v>
      </c>
      <c r="H17" s="2966" t="s">
        <v>3888</v>
      </c>
      <c r="I17">
        <f>L4+L5+L7+L8</f>
        <v>23651.800000000017</v>
      </c>
      <c r="J17">
        <f ca="1">J25</f>
        <v>24020</v>
      </c>
      <c r="K17">
        <f t="shared" ca="1" si="3"/>
        <v>10156</v>
      </c>
      <c r="L17">
        <f ca="1">L25</f>
        <v>9328</v>
      </c>
      <c r="M17">
        <f ca="1">M25</f>
        <v>3944</v>
      </c>
      <c r="N17">
        <f ca="1">N25</f>
        <v>14692</v>
      </c>
      <c r="O17">
        <f ca="1">O25</f>
        <v>6212</v>
      </c>
    </row>
    <row r="18" spans="1:15">
      <c r="A18">
        <v>17</v>
      </c>
      <c r="B18" s="2966" t="s">
        <v>3081</v>
      </c>
      <c r="C18" s="2966" t="s">
        <v>3435</v>
      </c>
      <c r="D18" s="2966" t="s">
        <v>3079</v>
      </c>
      <c r="E18">
        <v>281.43</v>
      </c>
      <c r="I18">
        <f>SUM(I14:I17)</f>
        <v>34166.230000000018</v>
      </c>
      <c r="J18">
        <f ca="1">SUM(J14:J17)</f>
        <v>67059</v>
      </c>
      <c r="K18">
        <f t="shared" ca="1" si="3"/>
        <v>19627</v>
      </c>
      <c r="L18">
        <f ca="1">SUM(L14:L17)</f>
        <v>17247</v>
      </c>
      <c r="M18">
        <f ca="1">ROUND(L18/I18*10000,0)</f>
        <v>5048</v>
      </c>
      <c r="N18">
        <f ca="1">SUM(N14:N17)</f>
        <v>49812</v>
      </c>
      <c r="O18">
        <f ca="1">K18-M18</f>
        <v>14579</v>
      </c>
    </row>
    <row r="19" spans="1:15">
      <c r="A19">
        <v>18</v>
      </c>
      <c r="B19" s="2966" t="s">
        <v>3082</v>
      </c>
      <c r="C19" s="2966" t="s">
        <v>3435</v>
      </c>
      <c r="D19" s="2966" t="s">
        <v>3079</v>
      </c>
      <c r="E19">
        <v>79.58</v>
      </c>
    </row>
    <row r="20" spans="1:15">
      <c r="A20">
        <v>19</v>
      </c>
      <c r="B20" s="2966" t="s">
        <v>3083</v>
      </c>
      <c r="C20" s="2966" t="s">
        <v>3435</v>
      </c>
      <c r="D20" s="2966" t="s">
        <v>3079</v>
      </c>
      <c r="E20">
        <v>121.88</v>
      </c>
    </row>
    <row r="21" spans="1:15">
      <c r="A21">
        <v>20</v>
      </c>
      <c r="B21" s="2966" t="s">
        <v>3084</v>
      </c>
      <c r="C21" s="2966" t="s">
        <v>3435</v>
      </c>
      <c r="D21" s="2966" t="s">
        <v>3085</v>
      </c>
      <c r="E21">
        <v>123.54</v>
      </c>
    </row>
    <row r="22" spans="1:15">
      <c r="A22">
        <v>21</v>
      </c>
      <c r="B22" s="2966" t="s">
        <v>3086</v>
      </c>
      <c r="C22" s="2966" t="s">
        <v>3435</v>
      </c>
      <c r="D22" s="2966" t="s">
        <v>3085</v>
      </c>
      <c r="E22">
        <v>98.83</v>
      </c>
      <c r="H22" s="2966" t="s">
        <v>3896</v>
      </c>
      <c r="I22">
        <f>L4+L5</f>
        <v>6351.14</v>
      </c>
      <c r="J22">
        <f ca="1">典型户型修正!S26+典型户型修正!S27</f>
        <v>16448</v>
      </c>
      <c r="K22">
        <f ca="1">ROUND(J22/I22*10000,0)</f>
        <v>25898</v>
      </c>
      <c r="L22">
        <f ca="1">ROUND(J22*结果表!D35,0)</f>
        <v>3026</v>
      </c>
      <c r="M22">
        <f ca="1">ROUND(L22/I22*10000,0)</f>
        <v>4764</v>
      </c>
      <c r="N22">
        <f t="shared" ref="N22:O24" ca="1" si="4">J22-L22</f>
        <v>13422</v>
      </c>
      <c r="O22">
        <f t="shared" ca="1" si="4"/>
        <v>21134</v>
      </c>
    </row>
    <row r="23" spans="1:15">
      <c r="A23">
        <v>22</v>
      </c>
      <c r="B23" s="2966" t="s">
        <v>3087</v>
      </c>
      <c r="C23" s="2966" t="s">
        <v>3435</v>
      </c>
      <c r="D23" s="2966" t="s">
        <v>3085</v>
      </c>
      <c r="E23">
        <v>281.43</v>
      </c>
      <c r="H23" s="2966" t="s">
        <v>3897</v>
      </c>
      <c r="I23">
        <f>L8</f>
        <v>2046.64</v>
      </c>
      <c r="J23">
        <f ca="1">'结果表 (库房)'!G19</f>
        <v>1670</v>
      </c>
      <c r="K23">
        <f t="shared" ref="K23:K25" ca="1" si="5">ROUND(J23/I23*10000,0)</f>
        <v>8160</v>
      </c>
      <c r="L23">
        <f ca="1">ROUND(J23*'结果表 (库房)'!D35,0)</f>
        <v>703</v>
      </c>
      <c r="M23">
        <f ca="1">ROUND(L23/I23*10000,0)</f>
        <v>3435</v>
      </c>
      <c r="N23">
        <f t="shared" ca="1" si="4"/>
        <v>967</v>
      </c>
      <c r="O23">
        <f t="shared" ca="1" si="4"/>
        <v>4725</v>
      </c>
    </row>
    <row r="24" spans="1:15">
      <c r="A24">
        <v>23</v>
      </c>
      <c r="B24" s="2966" t="s">
        <v>3088</v>
      </c>
      <c r="C24" s="2966" t="s">
        <v>3435</v>
      </c>
      <c r="D24" s="2966" t="s">
        <v>3089</v>
      </c>
      <c r="E24">
        <v>156.61000000000001</v>
      </c>
      <c r="H24" s="2966" t="s">
        <v>3898</v>
      </c>
      <c r="I24">
        <f>L7</f>
        <v>15254.020000000017</v>
      </c>
      <c r="J24">
        <f ca="1">'结果表 (地下车库)'!G19</f>
        <v>5902</v>
      </c>
      <c r="K24">
        <f t="shared" ca="1" si="5"/>
        <v>3869</v>
      </c>
      <c r="L24">
        <f ca="1">'收益法 (地下车库)'!C13</f>
        <v>5599</v>
      </c>
      <c r="M24">
        <f ca="1">ROUND(L24/I24*10000,0)</f>
        <v>3671</v>
      </c>
      <c r="N24">
        <f t="shared" ca="1" si="4"/>
        <v>303</v>
      </c>
      <c r="O24">
        <f t="shared" ca="1" si="4"/>
        <v>198</v>
      </c>
    </row>
    <row r="25" spans="1:15">
      <c r="A25">
        <v>24</v>
      </c>
      <c r="B25" s="2966" t="s">
        <v>3090</v>
      </c>
      <c r="C25" s="2966" t="s">
        <v>3435</v>
      </c>
      <c r="D25" s="2966" t="s">
        <v>3089</v>
      </c>
      <c r="E25">
        <v>281.43</v>
      </c>
      <c r="I25">
        <f>SUM(I22:I24)</f>
        <v>23651.800000000017</v>
      </c>
      <c r="J25">
        <f ca="1">SUM(J22:J24)</f>
        <v>24020</v>
      </c>
      <c r="K25">
        <f t="shared" ca="1" si="5"/>
        <v>10156</v>
      </c>
      <c r="L25">
        <f ca="1">SUM(L22:L24)</f>
        <v>9328</v>
      </c>
      <c r="M25">
        <f ca="1">ROUND(L25/I25*10000,0)</f>
        <v>3944</v>
      </c>
      <c r="N25">
        <f ca="1">SUM(N22:N24)</f>
        <v>14692</v>
      </c>
      <c r="O25">
        <f ca="1">K25-M25</f>
        <v>6212</v>
      </c>
    </row>
    <row r="26" spans="1:15">
      <c r="A26">
        <v>25</v>
      </c>
      <c r="B26" s="2966" t="s">
        <v>3091</v>
      </c>
      <c r="C26" s="2966" t="s">
        <v>3435</v>
      </c>
      <c r="D26" s="2966" t="s">
        <v>3089</v>
      </c>
      <c r="E26">
        <v>98.83</v>
      </c>
    </row>
    <row r="27" spans="1:15">
      <c r="A27">
        <v>26</v>
      </c>
      <c r="B27" s="2966" t="s">
        <v>3092</v>
      </c>
      <c r="C27" s="2966" t="s">
        <v>3435</v>
      </c>
      <c r="D27" s="2966" t="s">
        <v>3089</v>
      </c>
      <c r="E27">
        <v>123.54</v>
      </c>
    </row>
    <row r="28" spans="1:15">
      <c r="A28">
        <v>27</v>
      </c>
      <c r="B28" s="2966" t="s">
        <v>3093</v>
      </c>
      <c r="C28" s="2966" t="s">
        <v>3435</v>
      </c>
      <c r="D28" s="2966" t="s">
        <v>3089</v>
      </c>
      <c r="E28">
        <v>123.54</v>
      </c>
      <c r="H28" s="3008" t="s">
        <v>3904</v>
      </c>
      <c r="I28" s="3008" t="s">
        <v>3435</v>
      </c>
      <c r="J28" s="3008" t="s">
        <v>3689</v>
      </c>
      <c r="K28" s="3008" t="s">
        <v>3690</v>
      </c>
      <c r="L28" s="3008" t="s">
        <v>3696</v>
      </c>
      <c r="M28" s="3008" t="s">
        <v>3687</v>
      </c>
    </row>
    <row r="29" spans="1:15">
      <c r="A29">
        <v>28</v>
      </c>
      <c r="B29" s="2966" t="s">
        <v>3094</v>
      </c>
      <c r="C29" s="2966" t="s">
        <v>3435</v>
      </c>
      <c r="D29" s="2966" t="s">
        <v>3089</v>
      </c>
      <c r="E29">
        <v>98.83</v>
      </c>
      <c r="G29" s="2966"/>
      <c r="H29" s="3008" t="s">
        <v>3900</v>
      </c>
      <c r="I29" s="3009">
        <v>2906.2</v>
      </c>
      <c r="J29" s="3009"/>
      <c r="K29" s="3009">
        <v>1481.72</v>
      </c>
      <c r="L29" s="3009"/>
      <c r="M29" s="3009">
        <v>4387.92</v>
      </c>
    </row>
    <row r="30" spans="1:15">
      <c r="A30">
        <v>29</v>
      </c>
      <c r="B30" s="2966" t="s">
        <v>3095</v>
      </c>
      <c r="C30" s="2966" t="s">
        <v>3435</v>
      </c>
      <c r="D30" s="2966" t="s">
        <v>3089</v>
      </c>
      <c r="E30">
        <v>281.43</v>
      </c>
      <c r="H30" s="3008" t="s">
        <v>3901</v>
      </c>
      <c r="I30" s="3009">
        <v>2061.8199999999997</v>
      </c>
      <c r="J30" s="3009">
        <v>2054.94</v>
      </c>
      <c r="K30" s="3009">
        <v>2009.75</v>
      </c>
      <c r="L30" s="3009"/>
      <c r="M30" s="3009">
        <v>6126.51</v>
      </c>
    </row>
    <row r="31" spans="1:15">
      <c r="A31">
        <v>30</v>
      </c>
      <c r="B31" s="2966" t="s">
        <v>3096</v>
      </c>
      <c r="C31" s="2966" t="s">
        <v>3435</v>
      </c>
      <c r="D31" s="2966" t="s">
        <v>3089</v>
      </c>
      <c r="E31">
        <v>156.61000000000001</v>
      </c>
      <c r="H31" s="3008" t="s">
        <v>3902</v>
      </c>
      <c r="I31" s="3009"/>
      <c r="J31" s="3009"/>
      <c r="K31" s="3009"/>
      <c r="L31" s="3009">
        <v>5187.51</v>
      </c>
      <c r="M31" s="3009">
        <v>5187.51</v>
      </c>
    </row>
    <row r="32" spans="1:15">
      <c r="A32">
        <v>31</v>
      </c>
      <c r="B32" s="2966" t="s">
        <v>3097</v>
      </c>
      <c r="C32" s="2966" t="s">
        <v>3435</v>
      </c>
      <c r="D32" s="2966" t="s">
        <v>3089</v>
      </c>
      <c r="E32">
        <v>281.43</v>
      </c>
      <c r="H32" s="3008" t="s">
        <v>3903</v>
      </c>
      <c r="I32" s="3009"/>
      <c r="J32" s="3009"/>
      <c r="K32" s="3009"/>
      <c r="L32" s="3009">
        <v>1163.6300000000001</v>
      </c>
      <c r="M32" s="3009">
        <v>1163.6300000000001</v>
      </c>
    </row>
    <row r="33" spans="1:13">
      <c r="A33">
        <v>32</v>
      </c>
      <c r="B33" s="2966" t="s">
        <v>3098</v>
      </c>
      <c r="C33" s="2966" t="s">
        <v>3435</v>
      </c>
      <c r="D33" s="2966" t="s">
        <v>3089</v>
      </c>
      <c r="E33">
        <v>79.58</v>
      </c>
      <c r="H33" s="3008" t="s">
        <v>3899</v>
      </c>
      <c r="I33" s="3007">
        <f>SUM(I29:I32)</f>
        <v>4968.0199999999995</v>
      </c>
      <c r="J33" s="3007">
        <f>SUM(J29:J32)</f>
        <v>2054.94</v>
      </c>
      <c r="K33" s="3007">
        <f>SUM(K29:K32)</f>
        <v>3491.4700000000003</v>
      </c>
      <c r="L33" s="3007">
        <f>SUM(L29:L32)</f>
        <v>6351.14</v>
      </c>
      <c r="M33" s="3007">
        <f>SUM(M29:M32)</f>
        <v>16865.57</v>
      </c>
    </row>
    <row r="34" spans="1:13">
      <c r="A34">
        <v>33</v>
      </c>
      <c r="B34" s="2966" t="s">
        <v>3099</v>
      </c>
      <c r="C34" s="2966" t="s">
        <v>3435</v>
      </c>
      <c r="D34" s="2966" t="s">
        <v>3089</v>
      </c>
      <c r="E34">
        <v>121.88</v>
      </c>
    </row>
    <row r="35" spans="1:13">
      <c r="A35">
        <v>34</v>
      </c>
      <c r="B35" s="2966" t="s">
        <v>3100</v>
      </c>
      <c r="C35" s="2966" t="s">
        <v>3435</v>
      </c>
      <c r="D35" s="2966" t="s">
        <v>3089</v>
      </c>
      <c r="E35">
        <v>123.54</v>
      </c>
      <c r="H35" s="3007"/>
      <c r="I35" s="3028" t="s">
        <v>3912</v>
      </c>
      <c r="J35" s="3028" t="s">
        <v>3914</v>
      </c>
      <c r="K35" s="3028" t="s">
        <v>3915</v>
      </c>
      <c r="L35" s="3028" t="s">
        <v>3916</v>
      </c>
    </row>
    <row r="36" spans="1:13">
      <c r="A36">
        <v>35</v>
      </c>
      <c r="B36" s="2966" t="s">
        <v>3101</v>
      </c>
      <c r="C36" s="2966" t="s">
        <v>3435</v>
      </c>
      <c r="D36" s="2966" t="s">
        <v>3089</v>
      </c>
      <c r="E36">
        <v>98.83</v>
      </c>
      <c r="H36" s="3028" t="s">
        <v>3908</v>
      </c>
      <c r="I36" s="3007">
        <f>M2</f>
        <v>4387.92</v>
      </c>
      <c r="J36" s="3359">
        <v>8.5</v>
      </c>
      <c r="K36" s="3360">
        <v>1</v>
      </c>
      <c r="L36" s="3361">
        <f>J36*I36*365/10000*0.9</f>
        <v>1225.2169620000002</v>
      </c>
    </row>
    <row r="37" spans="1:13">
      <c r="A37">
        <v>36</v>
      </c>
      <c r="B37" s="2966" t="s">
        <v>3102</v>
      </c>
      <c r="C37" s="2966" t="s">
        <v>3435</v>
      </c>
      <c r="D37" s="2966" t="s">
        <v>3089</v>
      </c>
      <c r="E37">
        <v>281.43</v>
      </c>
      <c r="H37" s="3362" t="s">
        <v>3909</v>
      </c>
      <c r="I37" s="3007">
        <f>M3</f>
        <v>6126.51</v>
      </c>
      <c r="J37" s="3359">
        <f>J36*K37</f>
        <v>6.1225499999999995</v>
      </c>
      <c r="K37" s="3360">
        <f>O3</f>
        <v>0.72029999999999994</v>
      </c>
      <c r="L37" s="3361">
        <f t="shared" ref="L37:L39" si="6">J37*I37*365/10000*0.9</f>
        <v>1232.199025846425</v>
      </c>
    </row>
    <row r="38" spans="1:13">
      <c r="A38">
        <v>37</v>
      </c>
      <c r="B38" s="2966" t="s">
        <v>3103</v>
      </c>
      <c r="C38" s="2966" t="s">
        <v>3435</v>
      </c>
      <c r="D38" s="2966" t="s">
        <v>3089</v>
      </c>
      <c r="E38">
        <v>156.61000000000001</v>
      </c>
      <c r="H38" s="3362" t="s">
        <v>3910</v>
      </c>
      <c r="I38" s="3007">
        <f>M4</f>
        <v>5187.51</v>
      </c>
      <c r="J38" s="3359">
        <f>J36*K38</f>
        <v>4.9390847999999998</v>
      </c>
      <c r="K38" s="3360">
        <f>O4</f>
        <v>0.58106879999999994</v>
      </c>
      <c r="L38" s="3361">
        <f t="shared" si="6"/>
        <v>841.66797632935686</v>
      </c>
    </row>
    <row r="39" spans="1:13">
      <c r="A39">
        <v>38</v>
      </c>
      <c r="B39" s="2966" t="s">
        <v>3104</v>
      </c>
      <c r="C39" s="2966" t="s">
        <v>3435</v>
      </c>
      <c r="D39" s="2966" t="s">
        <v>3089</v>
      </c>
      <c r="E39">
        <v>281.43</v>
      </c>
      <c r="H39" s="3362" t="s">
        <v>3911</v>
      </c>
      <c r="I39" s="3007">
        <f>M5</f>
        <v>1163.6300000000001</v>
      </c>
      <c r="J39" s="3359">
        <f>J36*K39</f>
        <v>2.5498486999999992</v>
      </c>
      <c r="K39" s="3360">
        <f>O5</f>
        <v>0.29998219999999992</v>
      </c>
      <c r="L39" s="3361">
        <f t="shared" si="6"/>
        <v>97.468592545355833</v>
      </c>
    </row>
    <row r="40" spans="1:13">
      <c r="A40">
        <v>39</v>
      </c>
      <c r="B40" s="2966" t="s">
        <v>3105</v>
      </c>
      <c r="C40" s="2966" t="s">
        <v>3435</v>
      </c>
      <c r="D40" s="2966" t="s">
        <v>3089</v>
      </c>
      <c r="E40">
        <v>98.83</v>
      </c>
      <c r="H40" s="3362" t="s">
        <v>3913</v>
      </c>
      <c r="I40" s="3007">
        <f>SUM(I36:I39)</f>
        <v>16865.57</v>
      </c>
      <c r="J40" s="3007"/>
      <c r="K40" s="3007"/>
      <c r="L40" s="3361">
        <f>SUM(L36:L39)</f>
        <v>3396.552556721138</v>
      </c>
    </row>
    <row r="41" spans="1:13">
      <c r="A41">
        <v>40</v>
      </c>
      <c r="B41" s="2966" t="s">
        <v>3106</v>
      </c>
      <c r="C41" s="2966" t="s">
        <v>3435</v>
      </c>
      <c r="D41" s="2966" t="s">
        <v>3089</v>
      </c>
      <c r="E41">
        <v>123.54</v>
      </c>
    </row>
    <row r="42" spans="1:13">
      <c r="A42">
        <v>41</v>
      </c>
      <c r="B42" s="2966" t="s">
        <v>3107</v>
      </c>
      <c r="C42" s="2966" t="s">
        <v>3435</v>
      </c>
      <c r="D42" s="2966" t="s">
        <v>3089</v>
      </c>
      <c r="E42">
        <v>123.54</v>
      </c>
    </row>
    <row r="43" spans="1:13">
      <c r="A43">
        <v>42</v>
      </c>
      <c r="B43" s="2966" t="s">
        <v>3108</v>
      </c>
      <c r="C43" s="2966" t="s">
        <v>3435</v>
      </c>
      <c r="D43" s="2966" t="s">
        <v>3089</v>
      </c>
      <c r="E43">
        <v>98.83</v>
      </c>
    </row>
    <row r="44" spans="1:13">
      <c r="A44">
        <v>43</v>
      </c>
      <c r="B44" s="2966" t="s">
        <v>3109</v>
      </c>
      <c r="C44" s="2966" t="s">
        <v>3435</v>
      </c>
      <c r="D44" s="2966" t="s">
        <v>3089</v>
      </c>
      <c r="E44">
        <v>281.43</v>
      </c>
    </row>
    <row r="45" spans="1:13">
      <c r="A45">
        <v>44</v>
      </c>
      <c r="B45" s="2966" t="s">
        <v>3110</v>
      </c>
      <c r="C45" s="2966" t="s">
        <v>3435</v>
      </c>
      <c r="D45" s="2966" t="s">
        <v>3089</v>
      </c>
      <c r="E45">
        <v>156.61000000000001</v>
      </c>
    </row>
    <row r="46" spans="1:13">
      <c r="A46">
        <v>45</v>
      </c>
      <c r="B46" s="2966" t="s">
        <v>3111</v>
      </c>
      <c r="C46" s="2966" t="s">
        <v>3435</v>
      </c>
      <c r="D46" s="2966" t="s">
        <v>3089</v>
      </c>
      <c r="E46">
        <v>281.43</v>
      </c>
    </row>
    <row r="47" spans="1:13">
      <c r="A47">
        <v>46</v>
      </c>
      <c r="B47" s="2966" t="s">
        <v>3112</v>
      </c>
      <c r="C47" s="2966" t="s">
        <v>3435</v>
      </c>
      <c r="D47" s="2966" t="s">
        <v>3089</v>
      </c>
      <c r="E47">
        <v>98.83</v>
      </c>
    </row>
    <row r="48" spans="1:13">
      <c r="A48">
        <v>47</v>
      </c>
      <c r="B48" s="2966" t="s">
        <v>3113</v>
      </c>
      <c r="C48" s="2966" t="s">
        <v>3435</v>
      </c>
      <c r="D48" s="2966" t="s">
        <v>3089</v>
      </c>
      <c r="E48">
        <v>123.54</v>
      </c>
    </row>
    <row r="49" spans="1:5">
      <c r="A49">
        <v>48</v>
      </c>
      <c r="B49" s="2966" t="s">
        <v>3114</v>
      </c>
      <c r="C49" s="2966" t="s">
        <v>3435</v>
      </c>
      <c r="D49" s="2966" t="s">
        <v>3089</v>
      </c>
      <c r="E49">
        <v>123.54</v>
      </c>
    </row>
    <row r="50" spans="1:5">
      <c r="A50">
        <v>49</v>
      </c>
      <c r="B50" s="2966" t="s">
        <v>3115</v>
      </c>
      <c r="C50" s="2966" t="s">
        <v>3435</v>
      </c>
      <c r="D50" s="2966" t="s">
        <v>3089</v>
      </c>
      <c r="E50">
        <v>98.83</v>
      </c>
    </row>
    <row r="51" spans="1:5">
      <c r="A51">
        <v>50</v>
      </c>
      <c r="B51" s="2966" t="s">
        <v>3116</v>
      </c>
      <c r="C51" s="2966" t="s">
        <v>3435</v>
      </c>
      <c r="D51" s="2966" t="s">
        <v>3089</v>
      </c>
      <c r="E51">
        <v>281.42</v>
      </c>
    </row>
    <row r="52" spans="1:5">
      <c r="A52">
        <v>51</v>
      </c>
      <c r="B52" s="2966" t="s">
        <v>3117</v>
      </c>
      <c r="C52" s="2966" t="s">
        <v>3435</v>
      </c>
      <c r="D52" s="2966" t="s">
        <v>3089</v>
      </c>
      <c r="E52">
        <v>156.61000000000001</v>
      </c>
    </row>
    <row r="53" spans="1:5">
      <c r="A53">
        <v>52</v>
      </c>
      <c r="B53" s="2966" t="s">
        <v>3118</v>
      </c>
      <c r="C53" s="2966" t="s">
        <v>3435</v>
      </c>
      <c r="D53" s="2966" t="s">
        <v>3089</v>
      </c>
      <c r="E53">
        <v>281.43</v>
      </c>
    </row>
    <row r="54" spans="1:5">
      <c r="A54">
        <v>53</v>
      </c>
      <c r="B54" s="2966" t="s">
        <v>3119</v>
      </c>
      <c r="C54" s="2966" t="s">
        <v>3435</v>
      </c>
      <c r="D54" s="2966" t="s">
        <v>3089</v>
      </c>
      <c r="E54">
        <v>98.83</v>
      </c>
    </row>
    <row r="55" spans="1:5">
      <c r="A55">
        <v>54</v>
      </c>
      <c r="B55" s="2966" t="s">
        <v>3120</v>
      </c>
      <c r="C55" s="2966" t="s">
        <v>3435</v>
      </c>
      <c r="D55" s="2966" t="s">
        <v>3089</v>
      </c>
      <c r="E55">
        <v>123.54</v>
      </c>
    </row>
    <row r="56" spans="1:5">
      <c r="A56">
        <v>55</v>
      </c>
      <c r="B56" s="2966" t="s">
        <v>3121</v>
      </c>
      <c r="C56" s="2966" t="s">
        <v>3435</v>
      </c>
      <c r="D56" s="2966" t="s">
        <v>3089</v>
      </c>
      <c r="E56">
        <v>123.54</v>
      </c>
    </row>
    <row r="57" spans="1:5">
      <c r="A57">
        <v>56</v>
      </c>
      <c r="B57" s="2966" t="s">
        <v>3122</v>
      </c>
      <c r="C57" s="2966" t="s">
        <v>3435</v>
      </c>
      <c r="D57" s="2966" t="s">
        <v>3089</v>
      </c>
      <c r="E57">
        <v>98.83</v>
      </c>
    </row>
    <row r="58" spans="1:5">
      <c r="A58">
        <v>57</v>
      </c>
      <c r="B58" s="2966" t="s">
        <v>3123</v>
      </c>
      <c r="C58" s="2966" t="s">
        <v>3435</v>
      </c>
      <c r="D58" s="2966" t="s">
        <v>3089</v>
      </c>
      <c r="E58">
        <v>281.43</v>
      </c>
    </row>
    <row r="59" spans="1:5">
      <c r="A59">
        <v>58</v>
      </c>
      <c r="B59" s="2966" t="s">
        <v>3124</v>
      </c>
      <c r="C59" s="2966" t="s">
        <v>3435</v>
      </c>
      <c r="D59" s="2966" t="s">
        <v>3089</v>
      </c>
      <c r="E59">
        <v>156.61000000000001</v>
      </c>
    </row>
    <row r="60" spans="1:5">
      <c r="A60">
        <v>59</v>
      </c>
      <c r="B60" s="2966" t="s">
        <v>3125</v>
      </c>
      <c r="C60" s="2966" t="s">
        <v>3435</v>
      </c>
      <c r="D60" s="2966" t="s">
        <v>3089</v>
      </c>
      <c r="E60">
        <v>281.43</v>
      </c>
    </row>
    <row r="61" spans="1:5">
      <c r="A61">
        <v>60</v>
      </c>
      <c r="B61" s="2966" t="s">
        <v>3126</v>
      </c>
      <c r="C61" s="2966" t="s">
        <v>3435</v>
      </c>
      <c r="D61" s="2966" t="s">
        <v>3089</v>
      </c>
      <c r="E61">
        <v>98.83</v>
      </c>
    </row>
    <row r="62" spans="1:5">
      <c r="A62">
        <v>61</v>
      </c>
      <c r="B62" s="2966" t="s">
        <v>3127</v>
      </c>
      <c r="C62" s="2966" t="s">
        <v>3435</v>
      </c>
      <c r="D62" s="2966" t="s">
        <v>3089</v>
      </c>
      <c r="E62">
        <v>123.54</v>
      </c>
    </row>
    <row r="63" spans="1:5">
      <c r="A63">
        <v>62</v>
      </c>
      <c r="B63" s="2966" t="s">
        <v>3128</v>
      </c>
      <c r="C63" s="2966" t="s">
        <v>3435</v>
      </c>
      <c r="D63" s="2966" t="s">
        <v>3089</v>
      </c>
      <c r="E63">
        <v>123.54</v>
      </c>
    </row>
    <row r="64" spans="1:5">
      <c r="A64">
        <v>63</v>
      </c>
      <c r="B64" s="2966" t="s">
        <v>3129</v>
      </c>
      <c r="C64" s="2966" t="s">
        <v>3435</v>
      </c>
      <c r="D64" s="2966" t="s">
        <v>3089</v>
      </c>
      <c r="E64">
        <v>98.83</v>
      </c>
    </row>
    <row r="65" spans="1:5">
      <c r="A65">
        <v>64</v>
      </c>
      <c r="B65" s="2966" t="s">
        <v>3130</v>
      </c>
      <c r="C65" s="2966" t="s">
        <v>3435</v>
      </c>
      <c r="D65" s="2966" t="s">
        <v>3089</v>
      </c>
      <c r="E65">
        <v>281.42</v>
      </c>
    </row>
    <row r="66" spans="1:5">
      <c r="A66">
        <v>65</v>
      </c>
      <c r="B66" s="2966" t="s">
        <v>3131</v>
      </c>
      <c r="C66" s="2966" t="s">
        <v>3435</v>
      </c>
      <c r="D66" s="2966" t="s">
        <v>3089</v>
      </c>
      <c r="E66">
        <v>156.61000000000001</v>
      </c>
    </row>
    <row r="67" spans="1:5">
      <c r="A67">
        <v>66</v>
      </c>
      <c r="B67" s="2966" t="s">
        <v>3132</v>
      </c>
      <c r="C67" s="2966" t="s">
        <v>3435</v>
      </c>
      <c r="D67" s="2966" t="s">
        <v>3089</v>
      </c>
      <c r="E67">
        <v>281.43</v>
      </c>
    </row>
    <row r="68" spans="1:5">
      <c r="A68">
        <v>67</v>
      </c>
      <c r="B68" s="2966" t="s">
        <v>3133</v>
      </c>
      <c r="C68" s="2966" t="s">
        <v>3435</v>
      </c>
      <c r="D68" s="2966" t="s">
        <v>3089</v>
      </c>
      <c r="E68">
        <v>98.83</v>
      </c>
    </row>
    <row r="69" spans="1:5">
      <c r="A69">
        <v>68</v>
      </c>
      <c r="B69" s="2966" t="s">
        <v>3134</v>
      </c>
      <c r="C69" s="2966" t="s">
        <v>3435</v>
      </c>
      <c r="D69" s="2966" t="s">
        <v>3089</v>
      </c>
      <c r="E69">
        <v>123.54</v>
      </c>
    </row>
    <row r="70" spans="1:5">
      <c r="A70">
        <v>69</v>
      </c>
      <c r="B70" s="2966" t="s">
        <v>3135</v>
      </c>
      <c r="C70" s="2966" t="s">
        <v>3435</v>
      </c>
      <c r="D70" s="2966" t="s">
        <v>3089</v>
      </c>
      <c r="E70">
        <v>123.54</v>
      </c>
    </row>
    <row r="71" spans="1:5">
      <c r="A71">
        <v>70</v>
      </c>
      <c r="B71" s="2966" t="s">
        <v>3136</v>
      </c>
      <c r="C71" s="2966" t="s">
        <v>3435</v>
      </c>
      <c r="D71" s="2966" t="s">
        <v>3089</v>
      </c>
      <c r="E71">
        <v>98.83</v>
      </c>
    </row>
    <row r="72" spans="1:5">
      <c r="A72">
        <v>71</v>
      </c>
      <c r="B72" s="2966" t="s">
        <v>3137</v>
      </c>
      <c r="C72" s="2966" t="s">
        <v>3435</v>
      </c>
      <c r="D72" s="2966" t="s">
        <v>3089</v>
      </c>
      <c r="E72">
        <v>281.43</v>
      </c>
    </row>
    <row r="73" spans="1:5">
      <c r="A73">
        <v>72</v>
      </c>
      <c r="B73" s="2966" t="s">
        <v>3138</v>
      </c>
      <c r="C73" s="2966" t="s">
        <v>3435</v>
      </c>
      <c r="D73" s="2966" t="s">
        <v>3089</v>
      </c>
      <c r="E73">
        <v>156.61000000000001</v>
      </c>
    </row>
    <row r="74" spans="1:5">
      <c r="A74">
        <v>73</v>
      </c>
      <c r="B74" s="2966" t="s">
        <v>3139</v>
      </c>
      <c r="C74" s="2966" t="s">
        <v>3435</v>
      </c>
      <c r="D74" s="2966" t="s">
        <v>3089</v>
      </c>
      <c r="E74">
        <v>281.43</v>
      </c>
    </row>
    <row r="75" spans="1:5">
      <c r="A75">
        <v>74</v>
      </c>
      <c r="B75" s="2966" t="s">
        <v>3140</v>
      </c>
      <c r="C75" s="2966" t="s">
        <v>3435</v>
      </c>
      <c r="D75" s="2966" t="s">
        <v>3089</v>
      </c>
      <c r="E75">
        <v>98.83</v>
      </c>
    </row>
    <row r="76" spans="1:5">
      <c r="A76">
        <v>75</v>
      </c>
      <c r="B76" s="2966" t="s">
        <v>3141</v>
      </c>
      <c r="C76" s="2966" t="s">
        <v>3435</v>
      </c>
      <c r="D76" s="2966" t="s">
        <v>3089</v>
      </c>
      <c r="E76">
        <v>123.54</v>
      </c>
    </row>
    <row r="77" spans="1:5">
      <c r="A77">
        <v>76</v>
      </c>
      <c r="B77" s="2966" t="s">
        <v>3142</v>
      </c>
      <c r="C77" s="2966" t="s">
        <v>3435</v>
      </c>
      <c r="D77" s="2966" t="s">
        <v>3089</v>
      </c>
      <c r="E77">
        <v>123.54</v>
      </c>
    </row>
    <row r="78" spans="1:5">
      <c r="A78">
        <v>77</v>
      </c>
      <c r="B78" s="2966" t="s">
        <v>3143</v>
      </c>
      <c r="C78" s="2966" t="s">
        <v>3435</v>
      </c>
      <c r="D78" s="2966" t="s">
        <v>3089</v>
      </c>
      <c r="E78">
        <v>98.83</v>
      </c>
    </row>
    <row r="79" spans="1:5">
      <c r="A79">
        <v>78</v>
      </c>
      <c r="B79" s="2966" t="s">
        <v>3144</v>
      </c>
      <c r="C79" s="2966" t="s">
        <v>3435</v>
      </c>
      <c r="D79" s="2966" t="s">
        <v>3089</v>
      </c>
      <c r="E79">
        <v>281.42</v>
      </c>
    </row>
    <row r="80" spans="1:5">
      <c r="A80">
        <v>79</v>
      </c>
      <c r="B80" s="2966" t="s">
        <v>3145</v>
      </c>
      <c r="C80" s="2966" t="s">
        <v>3435</v>
      </c>
      <c r="D80" s="2966" t="s">
        <v>3089</v>
      </c>
      <c r="E80">
        <v>156.61000000000001</v>
      </c>
    </row>
    <row r="81" spans="1:5">
      <c r="A81">
        <v>80</v>
      </c>
      <c r="B81" s="2966" t="s">
        <v>3146</v>
      </c>
      <c r="C81" s="2966" t="s">
        <v>3435</v>
      </c>
      <c r="D81" s="2966" t="s">
        <v>3089</v>
      </c>
      <c r="E81">
        <v>281.43</v>
      </c>
    </row>
    <row r="82" spans="1:5">
      <c r="A82">
        <v>81</v>
      </c>
      <c r="B82" s="2966" t="s">
        <v>3147</v>
      </c>
      <c r="C82" s="2966" t="s">
        <v>3435</v>
      </c>
      <c r="D82" s="2966" t="s">
        <v>3085</v>
      </c>
      <c r="E82">
        <v>98.83</v>
      </c>
    </row>
    <row r="83" spans="1:5">
      <c r="A83">
        <v>82</v>
      </c>
      <c r="B83" s="2966" t="s">
        <v>3148</v>
      </c>
      <c r="C83" s="2966" t="s">
        <v>3435</v>
      </c>
      <c r="D83" s="2966" t="s">
        <v>3085</v>
      </c>
      <c r="E83">
        <v>123.54</v>
      </c>
    </row>
    <row r="84" spans="1:5">
      <c r="A84">
        <v>83</v>
      </c>
      <c r="B84" s="2966" t="s">
        <v>3149</v>
      </c>
      <c r="C84" s="2966" t="s">
        <v>3435</v>
      </c>
      <c r="D84" s="2966" t="s">
        <v>3085</v>
      </c>
      <c r="E84">
        <v>123.54</v>
      </c>
    </row>
    <row r="85" spans="1:5">
      <c r="A85">
        <v>84</v>
      </c>
      <c r="B85" s="2966" t="s">
        <v>3150</v>
      </c>
      <c r="C85" s="2966" t="s">
        <v>3435</v>
      </c>
      <c r="D85" s="2966" t="s">
        <v>3085</v>
      </c>
      <c r="E85">
        <v>98.83</v>
      </c>
    </row>
    <row r="86" spans="1:5">
      <c r="A86">
        <v>85</v>
      </c>
      <c r="B86" s="2966" t="s">
        <v>3151</v>
      </c>
      <c r="C86" s="2966" t="s">
        <v>3435</v>
      </c>
      <c r="D86" s="2966" t="s">
        <v>3085</v>
      </c>
      <c r="E86">
        <v>281.43</v>
      </c>
    </row>
    <row r="87" spans="1:5">
      <c r="A87">
        <v>86</v>
      </c>
      <c r="B87" s="2966" t="s">
        <v>3152</v>
      </c>
      <c r="C87" s="2966" t="s">
        <v>3435</v>
      </c>
      <c r="D87" s="2966" t="s">
        <v>3085</v>
      </c>
      <c r="E87">
        <v>156.61000000000001</v>
      </c>
    </row>
    <row r="88" spans="1:5">
      <c r="A88">
        <v>87</v>
      </c>
      <c r="B88" s="2966" t="s">
        <v>3153</v>
      </c>
      <c r="C88" s="2966" t="s">
        <v>3435</v>
      </c>
      <c r="D88" s="2966" t="s">
        <v>3085</v>
      </c>
      <c r="E88">
        <v>281.43</v>
      </c>
    </row>
    <row r="89" spans="1:5">
      <c r="A89">
        <v>88</v>
      </c>
      <c r="B89" s="2966" t="s">
        <v>3154</v>
      </c>
      <c r="C89" s="2966" t="s">
        <v>3435</v>
      </c>
      <c r="D89" s="2966" t="s">
        <v>3085</v>
      </c>
      <c r="E89">
        <v>98.83</v>
      </c>
    </row>
    <row r="90" spans="1:5">
      <c r="A90">
        <v>89</v>
      </c>
      <c r="B90" s="2966" t="s">
        <v>3155</v>
      </c>
      <c r="C90" s="2966" t="s">
        <v>3435</v>
      </c>
      <c r="D90" s="2966" t="s">
        <v>3085</v>
      </c>
      <c r="E90">
        <v>123.54</v>
      </c>
    </row>
    <row r="91" spans="1:5">
      <c r="A91">
        <v>90</v>
      </c>
      <c r="B91" s="2966" t="s">
        <v>3156</v>
      </c>
      <c r="C91" s="2966" t="s">
        <v>3435</v>
      </c>
      <c r="D91" s="2966" t="s">
        <v>3085</v>
      </c>
      <c r="E91">
        <v>123.54</v>
      </c>
    </row>
    <row r="92" spans="1:5">
      <c r="A92">
        <v>91</v>
      </c>
      <c r="B92" s="2966" t="s">
        <v>3157</v>
      </c>
      <c r="C92" s="2966" t="s">
        <v>3435</v>
      </c>
      <c r="D92" s="2966" t="s">
        <v>3085</v>
      </c>
      <c r="E92">
        <v>98.83</v>
      </c>
    </row>
    <row r="93" spans="1:5">
      <c r="A93">
        <v>92</v>
      </c>
      <c r="B93" s="2966" t="s">
        <v>3158</v>
      </c>
      <c r="C93" s="2966" t="s">
        <v>3435</v>
      </c>
      <c r="D93" s="2966" t="s">
        <v>3085</v>
      </c>
      <c r="E93">
        <v>281.42</v>
      </c>
    </row>
    <row r="94" spans="1:5">
      <c r="A94">
        <v>93</v>
      </c>
      <c r="B94" s="2966" t="s">
        <v>3159</v>
      </c>
      <c r="C94" s="2966" t="s">
        <v>3435</v>
      </c>
      <c r="D94" s="2966" t="s">
        <v>3085</v>
      </c>
      <c r="E94">
        <v>156.61000000000001</v>
      </c>
    </row>
    <row r="95" spans="1:5">
      <c r="A95">
        <v>94</v>
      </c>
      <c r="B95" s="2966" t="s">
        <v>3160</v>
      </c>
      <c r="C95" s="2966" t="s">
        <v>3435</v>
      </c>
      <c r="D95" s="2966" t="s">
        <v>3085</v>
      </c>
      <c r="E95">
        <v>281.43</v>
      </c>
    </row>
    <row r="96" spans="1:5">
      <c r="A96">
        <v>95</v>
      </c>
      <c r="B96" s="2966" t="s">
        <v>3161</v>
      </c>
      <c r="C96" s="2966" t="s">
        <v>3435</v>
      </c>
      <c r="D96" s="2966" t="s">
        <v>3085</v>
      </c>
      <c r="E96">
        <v>98.83</v>
      </c>
    </row>
    <row r="97" spans="1:5">
      <c r="A97">
        <v>96</v>
      </c>
      <c r="B97" s="2966" t="s">
        <v>3162</v>
      </c>
      <c r="C97" s="2966" t="s">
        <v>3435</v>
      </c>
      <c r="D97" s="2966" t="s">
        <v>3085</v>
      </c>
      <c r="E97">
        <v>123.54</v>
      </c>
    </row>
    <row r="98" spans="1:5">
      <c r="A98">
        <v>97</v>
      </c>
      <c r="B98" s="2966" t="s">
        <v>3163</v>
      </c>
      <c r="C98" s="2966" t="s">
        <v>3435</v>
      </c>
      <c r="D98" s="2966" t="s">
        <v>3085</v>
      </c>
      <c r="E98">
        <v>123.54</v>
      </c>
    </row>
    <row r="99" spans="1:5">
      <c r="A99">
        <v>98</v>
      </c>
      <c r="B99" s="2966" t="s">
        <v>3164</v>
      </c>
      <c r="C99" s="2966" t="s">
        <v>3435</v>
      </c>
      <c r="D99" s="2966" t="s">
        <v>3085</v>
      </c>
      <c r="E99">
        <v>98.83</v>
      </c>
    </row>
    <row r="100" spans="1:5">
      <c r="A100">
        <v>99</v>
      </c>
      <c r="B100" s="2966" t="s">
        <v>3165</v>
      </c>
      <c r="C100" s="2966" t="s">
        <v>3435</v>
      </c>
      <c r="D100" s="2966" t="s">
        <v>3085</v>
      </c>
      <c r="E100">
        <v>281.43</v>
      </c>
    </row>
    <row r="101" spans="1:5">
      <c r="A101">
        <v>100</v>
      </c>
      <c r="B101" s="2966" t="s">
        <v>3166</v>
      </c>
      <c r="C101" s="2966" t="s">
        <v>3435</v>
      </c>
      <c r="D101" s="2966" t="s">
        <v>3085</v>
      </c>
      <c r="E101">
        <v>156.61000000000001</v>
      </c>
    </row>
    <row r="102" spans="1:5">
      <c r="A102">
        <v>101</v>
      </c>
      <c r="B102" s="2966" t="s">
        <v>3167</v>
      </c>
      <c r="C102" s="2966" t="s">
        <v>3435</v>
      </c>
      <c r="D102" s="2966" t="s">
        <v>3085</v>
      </c>
      <c r="E102">
        <v>281.43</v>
      </c>
    </row>
    <row r="103" spans="1:5">
      <c r="A103">
        <v>102</v>
      </c>
      <c r="B103" s="2966" t="s">
        <v>3168</v>
      </c>
      <c r="C103" s="2966" t="s">
        <v>3435</v>
      </c>
      <c r="D103" s="2966" t="s">
        <v>3085</v>
      </c>
      <c r="E103">
        <v>98.83</v>
      </c>
    </row>
    <row r="104" spans="1:5">
      <c r="A104">
        <v>103</v>
      </c>
      <c r="B104" s="2966" t="s">
        <v>3169</v>
      </c>
      <c r="C104" s="2966" t="s">
        <v>3435</v>
      </c>
      <c r="D104" s="2966" t="s">
        <v>3085</v>
      </c>
      <c r="E104">
        <v>123.54</v>
      </c>
    </row>
    <row r="105" spans="1:5">
      <c r="A105">
        <v>104</v>
      </c>
      <c r="B105" s="2966" t="s">
        <v>3170</v>
      </c>
      <c r="C105" s="2966" t="s">
        <v>3435</v>
      </c>
      <c r="D105" s="2966" t="s">
        <v>3085</v>
      </c>
      <c r="E105">
        <v>123.54</v>
      </c>
    </row>
    <row r="106" spans="1:5">
      <c r="A106">
        <v>105</v>
      </c>
      <c r="B106" s="2966" t="s">
        <v>3171</v>
      </c>
      <c r="C106" s="2966" t="s">
        <v>3435</v>
      </c>
      <c r="D106" s="2966" t="s">
        <v>3085</v>
      </c>
      <c r="E106">
        <v>98.83</v>
      </c>
    </row>
    <row r="107" spans="1:5">
      <c r="A107">
        <v>106</v>
      </c>
      <c r="B107" s="2966" t="s">
        <v>3172</v>
      </c>
      <c r="C107" s="2966" t="s">
        <v>3435</v>
      </c>
      <c r="D107" s="2966" t="s">
        <v>3085</v>
      </c>
      <c r="E107">
        <v>281.42</v>
      </c>
    </row>
    <row r="108" spans="1:5">
      <c r="A108">
        <v>107</v>
      </c>
      <c r="B108" s="2966" t="s">
        <v>3173</v>
      </c>
      <c r="C108" s="2966" t="s">
        <v>3435</v>
      </c>
      <c r="D108" s="2966" t="s">
        <v>3085</v>
      </c>
      <c r="E108">
        <v>156.61000000000001</v>
      </c>
    </row>
    <row r="109" spans="1:5">
      <c r="A109">
        <v>108</v>
      </c>
      <c r="B109" s="2966" t="s">
        <v>3174</v>
      </c>
      <c r="C109" s="2966" t="s">
        <v>3435</v>
      </c>
      <c r="D109" s="2966" t="s">
        <v>3085</v>
      </c>
      <c r="E109">
        <v>281.43</v>
      </c>
    </row>
    <row r="110" spans="1:5">
      <c r="A110">
        <v>109</v>
      </c>
      <c r="B110" s="2966" t="s">
        <v>3175</v>
      </c>
      <c r="C110" s="2966" t="s">
        <v>3435</v>
      </c>
      <c r="D110" s="2966" t="s">
        <v>3085</v>
      </c>
      <c r="E110">
        <v>98.83</v>
      </c>
    </row>
    <row r="111" spans="1:5">
      <c r="A111">
        <v>110</v>
      </c>
      <c r="B111" s="2966" t="s">
        <v>3176</v>
      </c>
      <c r="C111" s="2966" t="s">
        <v>3435</v>
      </c>
      <c r="D111" s="2966" t="s">
        <v>3085</v>
      </c>
      <c r="E111">
        <v>123.54</v>
      </c>
    </row>
    <row r="112" spans="1:5">
      <c r="A112">
        <v>111</v>
      </c>
      <c r="B112" s="2966" t="s">
        <v>3177</v>
      </c>
      <c r="C112" s="2966" t="s">
        <v>3435</v>
      </c>
      <c r="D112" s="2966" t="s">
        <v>3085</v>
      </c>
      <c r="E112">
        <v>123.54</v>
      </c>
    </row>
    <row r="113" spans="1:5">
      <c r="A113">
        <v>112</v>
      </c>
      <c r="B113" s="2966" t="s">
        <v>3178</v>
      </c>
      <c r="C113" s="2966" t="s">
        <v>3435</v>
      </c>
      <c r="D113" s="2966" t="s">
        <v>3085</v>
      </c>
      <c r="E113">
        <v>98.83</v>
      </c>
    </row>
    <row r="114" spans="1:5">
      <c r="A114">
        <v>113</v>
      </c>
      <c r="B114" s="2966" t="s">
        <v>3179</v>
      </c>
      <c r="C114" s="2966" t="s">
        <v>3435</v>
      </c>
      <c r="D114" s="2966" t="s">
        <v>3085</v>
      </c>
      <c r="E114">
        <v>281.43</v>
      </c>
    </row>
    <row r="115" spans="1:5">
      <c r="A115">
        <v>114</v>
      </c>
      <c r="B115" s="2966" t="s">
        <v>3180</v>
      </c>
      <c r="C115" s="2966" t="s">
        <v>3435</v>
      </c>
      <c r="D115" s="2966" t="s">
        <v>3085</v>
      </c>
      <c r="E115">
        <v>156.61000000000001</v>
      </c>
    </row>
    <row r="116" spans="1:5">
      <c r="A116">
        <v>115</v>
      </c>
      <c r="B116" s="2966" t="s">
        <v>3181</v>
      </c>
      <c r="C116" s="2966" t="s">
        <v>3435</v>
      </c>
      <c r="D116" s="2966" t="s">
        <v>3085</v>
      </c>
      <c r="E116">
        <v>281.43</v>
      </c>
    </row>
    <row r="117" spans="1:5">
      <c r="A117">
        <v>116</v>
      </c>
      <c r="B117" s="2966" t="s">
        <v>3182</v>
      </c>
      <c r="C117" s="2966" t="s">
        <v>3435</v>
      </c>
      <c r="D117" s="2966" t="s">
        <v>3085</v>
      </c>
      <c r="E117">
        <v>98.83</v>
      </c>
    </row>
    <row r="118" spans="1:5">
      <c r="A118">
        <v>117</v>
      </c>
      <c r="B118" s="2966" t="s">
        <v>3183</v>
      </c>
      <c r="C118" s="2966" t="s">
        <v>3435</v>
      </c>
      <c r="D118" s="2966" t="s">
        <v>3085</v>
      </c>
      <c r="E118">
        <v>123.54</v>
      </c>
    </row>
    <row r="119" spans="1:5">
      <c r="A119">
        <v>118</v>
      </c>
      <c r="B119" s="2966" t="s">
        <v>3184</v>
      </c>
      <c r="C119" s="2966" t="s">
        <v>3435</v>
      </c>
      <c r="D119" s="2966" t="s">
        <v>3085</v>
      </c>
      <c r="E119">
        <v>123.54</v>
      </c>
    </row>
    <row r="120" spans="1:5">
      <c r="A120">
        <v>119</v>
      </c>
      <c r="B120" s="2966" t="s">
        <v>3185</v>
      </c>
      <c r="C120" s="2966" t="s">
        <v>3435</v>
      </c>
      <c r="D120" s="2966" t="s">
        <v>3085</v>
      </c>
      <c r="E120">
        <v>98.83</v>
      </c>
    </row>
    <row r="121" spans="1:5">
      <c r="A121">
        <v>120</v>
      </c>
      <c r="B121" s="2966" t="s">
        <v>3186</v>
      </c>
      <c r="C121" s="2966" t="s">
        <v>3435</v>
      </c>
      <c r="D121" s="2966" t="s">
        <v>3085</v>
      </c>
      <c r="E121">
        <v>281.42</v>
      </c>
    </row>
    <row r="122" spans="1:5">
      <c r="A122">
        <v>121</v>
      </c>
      <c r="B122" s="2966" t="s">
        <v>3187</v>
      </c>
      <c r="C122" s="2966" t="s">
        <v>3435</v>
      </c>
      <c r="D122" s="2966" t="s">
        <v>3085</v>
      </c>
      <c r="E122">
        <v>156.61000000000001</v>
      </c>
    </row>
    <row r="123" spans="1:5">
      <c r="A123">
        <v>122</v>
      </c>
      <c r="B123" s="2966" t="s">
        <v>3188</v>
      </c>
      <c r="C123" s="2966" t="s">
        <v>3435</v>
      </c>
      <c r="D123" s="2966" t="s">
        <v>3085</v>
      </c>
      <c r="E123">
        <v>281.43</v>
      </c>
    </row>
    <row r="124" spans="1:5">
      <c r="A124">
        <v>123</v>
      </c>
      <c r="B124" s="2966" t="s">
        <v>3189</v>
      </c>
      <c r="C124" s="2966" t="s">
        <v>3435</v>
      </c>
      <c r="D124" s="2966" t="s">
        <v>3085</v>
      </c>
      <c r="E124">
        <v>98.83</v>
      </c>
    </row>
    <row r="125" spans="1:5">
      <c r="A125">
        <v>124</v>
      </c>
      <c r="B125" s="2966" t="s">
        <v>3190</v>
      </c>
      <c r="C125" s="2966" t="s">
        <v>3435</v>
      </c>
      <c r="D125" s="2966" t="s">
        <v>3085</v>
      </c>
      <c r="E125">
        <v>123.54</v>
      </c>
    </row>
    <row r="126" spans="1:5">
      <c r="A126">
        <v>125</v>
      </c>
      <c r="B126" s="2966" t="s">
        <v>3191</v>
      </c>
      <c r="C126" s="2966" t="s">
        <v>3435</v>
      </c>
      <c r="D126" s="2966" t="s">
        <v>3085</v>
      </c>
      <c r="E126">
        <v>123.54</v>
      </c>
    </row>
    <row r="127" spans="1:5">
      <c r="A127">
        <v>126</v>
      </c>
      <c r="B127" s="2966" t="s">
        <v>3192</v>
      </c>
      <c r="C127" s="2966" t="s">
        <v>3435</v>
      </c>
      <c r="D127" s="2966" t="s">
        <v>3085</v>
      </c>
      <c r="E127">
        <v>98.83</v>
      </c>
    </row>
    <row r="128" spans="1:5">
      <c r="A128">
        <v>127</v>
      </c>
      <c r="B128" s="2966" t="s">
        <v>3193</v>
      </c>
      <c r="C128" s="2966" t="s">
        <v>3435</v>
      </c>
      <c r="D128" s="2966" t="s">
        <v>3085</v>
      </c>
      <c r="E128">
        <v>281.43</v>
      </c>
    </row>
    <row r="129" spans="1:5">
      <c r="A129">
        <v>128</v>
      </c>
      <c r="B129" s="2966" t="s">
        <v>3194</v>
      </c>
      <c r="C129" s="2966" t="s">
        <v>3435</v>
      </c>
      <c r="D129" s="2966" t="s">
        <v>3085</v>
      </c>
      <c r="E129">
        <v>156.61000000000001</v>
      </c>
    </row>
    <row r="130" spans="1:5">
      <c r="A130">
        <v>129</v>
      </c>
      <c r="B130" s="2966" t="s">
        <v>3195</v>
      </c>
      <c r="C130" s="2966" t="s">
        <v>3435</v>
      </c>
      <c r="D130" s="2966" t="s">
        <v>3085</v>
      </c>
      <c r="E130">
        <v>281.43</v>
      </c>
    </row>
    <row r="131" spans="1:5">
      <c r="A131">
        <v>130</v>
      </c>
      <c r="B131" s="2966" t="s">
        <v>3196</v>
      </c>
      <c r="C131" s="2966" t="s">
        <v>3435</v>
      </c>
      <c r="D131" s="2966" t="s">
        <v>3085</v>
      </c>
      <c r="E131">
        <v>98.83</v>
      </c>
    </row>
    <row r="132" spans="1:5">
      <c r="A132">
        <v>131</v>
      </c>
      <c r="B132" s="2966" t="s">
        <v>3197</v>
      </c>
      <c r="C132" s="2966" t="s">
        <v>3435</v>
      </c>
      <c r="D132" s="2966" t="s">
        <v>3085</v>
      </c>
      <c r="E132">
        <v>123.54</v>
      </c>
    </row>
    <row r="133" spans="1:5">
      <c r="A133">
        <v>132</v>
      </c>
      <c r="B133" s="2966" t="s">
        <v>3198</v>
      </c>
      <c r="C133" s="2966" t="s">
        <v>3435</v>
      </c>
      <c r="D133" s="2966" t="s">
        <v>3085</v>
      </c>
      <c r="E133">
        <v>123.54</v>
      </c>
    </row>
    <row r="134" spans="1:5">
      <c r="A134">
        <v>133</v>
      </c>
      <c r="B134" s="2966" t="s">
        <v>3199</v>
      </c>
      <c r="C134" s="2966" t="s">
        <v>3435</v>
      </c>
      <c r="D134" s="2966" t="s">
        <v>3085</v>
      </c>
      <c r="E134">
        <v>98.83</v>
      </c>
    </row>
    <row r="135" spans="1:5">
      <c r="A135">
        <v>134</v>
      </c>
      <c r="B135" s="2966" t="s">
        <v>3200</v>
      </c>
      <c r="C135" s="2966" t="s">
        <v>3435</v>
      </c>
      <c r="D135" s="2966" t="s">
        <v>3085</v>
      </c>
      <c r="E135">
        <v>281.42</v>
      </c>
    </row>
    <row r="136" spans="1:5">
      <c r="A136">
        <v>135</v>
      </c>
      <c r="B136" s="2966" t="s">
        <v>3201</v>
      </c>
      <c r="C136" s="2966" t="s">
        <v>3435</v>
      </c>
      <c r="D136" s="2966" t="s">
        <v>3085</v>
      </c>
      <c r="E136">
        <v>156.61000000000001</v>
      </c>
    </row>
    <row r="137" spans="1:5">
      <c r="A137">
        <v>136</v>
      </c>
      <c r="B137" s="2966" t="s">
        <v>3202</v>
      </c>
      <c r="C137" s="2966" t="s">
        <v>3435</v>
      </c>
      <c r="D137" s="2966" t="s">
        <v>3085</v>
      </c>
      <c r="E137">
        <v>281.43</v>
      </c>
    </row>
    <row r="138" spans="1:5">
      <c r="A138">
        <v>137</v>
      </c>
      <c r="B138" s="2966" t="s">
        <v>3203</v>
      </c>
      <c r="C138" s="2966" t="s">
        <v>3435</v>
      </c>
      <c r="D138" s="2966" t="s">
        <v>3085</v>
      </c>
      <c r="E138">
        <v>98.83</v>
      </c>
    </row>
    <row r="139" spans="1:5">
      <c r="A139">
        <v>138</v>
      </c>
      <c r="B139" s="2966" t="s">
        <v>3204</v>
      </c>
      <c r="C139" s="2966" t="s">
        <v>3435</v>
      </c>
      <c r="D139" s="2966" t="s">
        <v>3085</v>
      </c>
      <c r="E139">
        <v>123.54</v>
      </c>
    </row>
    <row r="140" spans="1:5">
      <c r="A140">
        <v>139</v>
      </c>
      <c r="B140" s="2966" t="s">
        <v>3205</v>
      </c>
      <c r="C140" s="2966" t="s">
        <v>3435</v>
      </c>
      <c r="D140" s="2966" t="s">
        <v>3085</v>
      </c>
      <c r="E140">
        <v>123.54</v>
      </c>
    </row>
    <row r="141" spans="1:5">
      <c r="A141">
        <v>140</v>
      </c>
      <c r="B141" s="2966" t="s">
        <v>3206</v>
      </c>
      <c r="C141" s="2966" t="s">
        <v>3435</v>
      </c>
      <c r="D141" s="2966" t="s">
        <v>3085</v>
      </c>
      <c r="E141">
        <v>98.83</v>
      </c>
    </row>
    <row r="142" spans="1:5">
      <c r="A142">
        <v>141</v>
      </c>
      <c r="B142" s="2966" t="s">
        <v>3207</v>
      </c>
      <c r="C142" s="2966" t="s">
        <v>3435</v>
      </c>
      <c r="D142" s="2966" t="s">
        <v>3085</v>
      </c>
      <c r="E142">
        <v>253.82</v>
      </c>
    </row>
    <row r="143" spans="1:5">
      <c r="A143">
        <v>142</v>
      </c>
      <c r="B143" s="2966" t="s">
        <v>3208</v>
      </c>
      <c r="C143" s="2966" t="s">
        <v>3435</v>
      </c>
      <c r="D143" s="2966" t="s">
        <v>3085</v>
      </c>
      <c r="E143">
        <v>98.83</v>
      </c>
    </row>
    <row r="144" spans="1:5">
      <c r="A144">
        <v>143</v>
      </c>
      <c r="B144" s="2966" t="s">
        <v>3209</v>
      </c>
      <c r="C144" s="2966" t="s">
        <v>3435</v>
      </c>
      <c r="D144" s="2966" t="s">
        <v>3085</v>
      </c>
      <c r="E144">
        <v>281.42</v>
      </c>
    </row>
    <row r="145" spans="1:5">
      <c r="A145">
        <v>144</v>
      </c>
      <c r="B145" s="2966" t="s">
        <v>3210</v>
      </c>
      <c r="C145" s="2966" t="s">
        <v>3435</v>
      </c>
      <c r="D145" s="2966" t="s">
        <v>3085</v>
      </c>
      <c r="E145">
        <v>156.61000000000001</v>
      </c>
    </row>
    <row r="146" spans="1:5">
      <c r="A146">
        <v>145</v>
      </c>
      <c r="B146" s="2966" t="s">
        <v>3211</v>
      </c>
      <c r="C146" s="2966" t="s">
        <v>3435</v>
      </c>
      <c r="D146" s="2966" t="s">
        <v>3085</v>
      </c>
      <c r="E146">
        <v>281.43</v>
      </c>
    </row>
    <row r="147" spans="1:5">
      <c r="A147">
        <v>146</v>
      </c>
      <c r="B147" s="2966" t="s">
        <v>3212</v>
      </c>
      <c r="C147" s="2966" t="s">
        <v>3435</v>
      </c>
      <c r="D147" s="2966" t="s">
        <v>3085</v>
      </c>
      <c r="E147">
        <v>98.83</v>
      </c>
    </row>
    <row r="148" spans="1:5">
      <c r="A148">
        <v>147</v>
      </c>
      <c r="B148" s="2966" t="s">
        <v>3213</v>
      </c>
      <c r="C148" s="2966" t="s">
        <v>3435</v>
      </c>
      <c r="D148" s="2966" t="s">
        <v>3085</v>
      </c>
      <c r="E148">
        <v>253.82</v>
      </c>
    </row>
    <row r="149" spans="1:5">
      <c r="B149" s="2966" t="s">
        <v>3436</v>
      </c>
      <c r="E149">
        <f>SUM(E2:E148)</f>
        <v>27306.670000000067</v>
      </c>
    </row>
    <row r="150" spans="1:5">
      <c r="A150">
        <v>1</v>
      </c>
      <c r="B150" s="2966" t="s">
        <v>3214</v>
      </c>
      <c r="C150" s="2966"/>
      <c r="D150" s="2966" t="s">
        <v>3215</v>
      </c>
      <c r="E150">
        <v>448.35</v>
      </c>
    </row>
    <row r="151" spans="1:5">
      <c r="A151">
        <v>2</v>
      </c>
      <c r="B151" s="2966" t="s">
        <v>3216</v>
      </c>
      <c r="C151" s="2966"/>
      <c r="D151" s="2966" t="s">
        <v>3215</v>
      </c>
      <c r="E151">
        <v>376.02</v>
      </c>
    </row>
    <row r="152" spans="1:5">
      <c r="A152">
        <v>3</v>
      </c>
      <c r="B152" s="2966" t="s">
        <v>3217</v>
      </c>
      <c r="C152" s="2966"/>
      <c r="D152" s="2966" t="s">
        <v>3215</v>
      </c>
      <c r="E152">
        <v>1230.57</v>
      </c>
    </row>
    <row r="153" spans="1:5">
      <c r="A153">
        <v>4</v>
      </c>
      <c r="B153" s="2966" t="s">
        <v>3218</v>
      </c>
      <c r="C153" s="2966"/>
      <c r="D153" s="2966" t="s">
        <v>3085</v>
      </c>
      <c r="E153">
        <v>281.43</v>
      </c>
    </row>
    <row r="154" spans="1:5">
      <c r="A154">
        <v>5</v>
      </c>
      <c r="B154" s="2966" t="s">
        <v>3219</v>
      </c>
      <c r="C154" s="2966"/>
      <c r="D154" s="2966" t="s">
        <v>3085</v>
      </c>
      <c r="E154">
        <v>156.61000000000001</v>
      </c>
    </row>
    <row r="155" spans="1:5">
      <c r="A155">
        <v>6</v>
      </c>
      <c r="B155" s="2966" t="s">
        <v>3220</v>
      </c>
      <c r="C155" s="2966"/>
      <c r="D155" s="2966" t="s">
        <v>3085</v>
      </c>
      <c r="E155">
        <v>281.43</v>
      </c>
    </row>
    <row r="156" spans="1:5">
      <c r="A156">
        <v>7</v>
      </c>
      <c r="B156" s="2966" t="s">
        <v>3221</v>
      </c>
      <c r="C156" s="2966"/>
      <c r="D156" s="2966" t="s">
        <v>3085</v>
      </c>
      <c r="E156">
        <v>82.59</v>
      </c>
    </row>
    <row r="157" spans="1:5">
      <c r="A157">
        <v>8</v>
      </c>
      <c r="B157" s="2966" t="s">
        <v>3222</v>
      </c>
      <c r="C157" s="2966"/>
      <c r="D157" s="2966" t="s">
        <v>3085</v>
      </c>
      <c r="E157">
        <v>118.6</v>
      </c>
    </row>
    <row r="158" spans="1:5">
      <c r="A158">
        <v>9</v>
      </c>
      <c r="B158" s="2966" t="s">
        <v>3223</v>
      </c>
      <c r="C158" s="2966"/>
      <c r="D158" s="2966" t="s">
        <v>3085</v>
      </c>
      <c r="E158">
        <v>123.54</v>
      </c>
    </row>
    <row r="159" spans="1:5">
      <c r="A159">
        <v>10</v>
      </c>
      <c r="B159" s="2966" t="s">
        <v>3224</v>
      </c>
      <c r="C159" s="2966"/>
      <c r="D159" s="2966" t="s">
        <v>3085</v>
      </c>
      <c r="E159">
        <v>98.83</v>
      </c>
    </row>
    <row r="160" spans="1:5">
      <c r="A160">
        <v>11</v>
      </c>
      <c r="B160" s="2966" t="s">
        <v>3225</v>
      </c>
      <c r="C160" s="2966"/>
      <c r="D160" s="2966" t="s">
        <v>3079</v>
      </c>
      <c r="E160">
        <v>281.43</v>
      </c>
    </row>
    <row r="161" spans="1:5">
      <c r="A161">
        <v>12</v>
      </c>
      <c r="B161" s="2966" t="s">
        <v>3226</v>
      </c>
      <c r="C161" s="2966"/>
      <c r="D161" s="2966" t="s">
        <v>3079</v>
      </c>
      <c r="E161">
        <v>156.61000000000001</v>
      </c>
    </row>
    <row r="162" spans="1:5">
      <c r="A162">
        <v>13</v>
      </c>
      <c r="B162" s="2966" t="s">
        <v>3227</v>
      </c>
      <c r="C162" s="2966"/>
      <c r="D162" s="2966" t="s">
        <v>3079</v>
      </c>
      <c r="E162">
        <v>281.43</v>
      </c>
    </row>
    <row r="163" spans="1:5">
      <c r="A163">
        <v>14</v>
      </c>
      <c r="B163" s="2966" t="s">
        <v>3228</v>
      </c>
      <c r="C163" s="2966"/>
      <c r="D163" s="2966" t="s">
        <v>3079</v>
      </c>
      <c r="E163">
        <v>98.83</v>
      </c>
    </row>
    <row r="164" spans="1:5">
      <c r="A164">
        <v>15</v>
      </c>
      <c r="B164" s="2966" t="s">
        <v>3229</v>
      </c>
      <c r="C164" s="2966"/>
      <c r="D164" s="2966" t="s">
        <v>3079</v>
      </c>
      <c r="E164">
        <v>123.54</v>
      </c>
    </row>
    <row r="165" spans="1:5">
      <c r="A165">
        <v>16</v>
      </c>
      <c r="B165" s="2966" t="s">
        <v>3230</v>
      </c>
      <c r="C165" s="2966"/>
      <c r="D165" s="2966" t="s">
        <v>3079</v>
      </c>
      <c r="E165">
        <v>118.6</v>
      </c>
    </row>
    <row r="166" spans="1:5">
      <c r="A166">
        <v>17</v>
      </c>
      <c r="B166" s="2966" t="s">
        <v>3231</v>
      </c>
      <c r="C166" s="2966"/>
      <c r="D166" s="2966" t="s">
        <v>3079</v>
      </c>
      <c r="E166">
        <v>82.59</v>
      </c>
    </row>
    <row r="167" spans="1:5">
      <c r="A167">
        <v>18</v>
      </c>
      <c r="B167" s="2966" t="s">
        <v>3232</v>
      </c>
      <c r="C167" s="2966"/>
      <c r="D167" s="2966" t="s">
        <v>3079</v>
      </c>
      <c r="E167">
        <v>281.43</v>
      </c>
    </row>
    <row r="168" spans="1:5">
      <c r="A168">
        <v>19</v>
      </c>
      <c r="B168" s="2966" t="s">
        <v>3233</v>
      </c>
      <c r="C168" s="2966"/>
      <c r="D168" s="2966" t="s">
        <v>3079</v>
      </c>
      <c r="E168">
        <v>156.61000000000001</v>
      </c>
    </row>
    <row r="169" spans="1:5">
      <c r="A169">
        <v>20</v>
      </c>
      <c r="B169" s="2966" t="s">
        <v>3234</v>
      </c>
      <c r="C169" s="2966"/>
      <c r="D169" s="2966" t="s">
        <v>3079</v>
      </c>
      <c r="E169">
        <v>281.43</v>
      </c>
    </row>
    <row r="170" spans="1:5">
      <c r="A170">
        <v>21</v>
      </c>
      <c r="B170" s="2966" t="s">
        <v>3235</v>
      </c>
      <c r="C170" s="2966"/>
      <c r="D170" s="2966" t="s">
        <v>3079</v>
      </c>
      <c r="E170">
        <v>82.59</v>
      </c>
    </row>
    <row r="171" spans="1:5">
      <c r="A171">
        <v>22</v>
      </c>
      <c r="B171" s="2966" t="s">
        <v>3236</v>
      </c>
      <c r="C171" s="2966"/>
      <c r="D171" s="2966" t="s">
        <v>3079</v>
      </c>
      <c r="E171">
        <v>118.6</v>
      </c>
    </row>
    <row r="172" spans="1:5">
      <c r="A172">
        <v>23</v>
      </c>
      <c r="B172" s="2966" t="s">
        <v>3237</v>
      </c>
      <c r="C172" s="2966"/>
      <c r="D172" s="2966" t="s">
        <v>3079</v>
      </c>
      <c r="E172">
        <v>123.54</v>
      </c>
    </row>
    <row r="173" spans="1:5">
      <c r="A173">
        <v>24</v>
      </c>
      <c r="B173" s="2966" t="s">
        <v>3238</v>
      </c>
      <c r="C173" s="2966"/>
      <c r="D173" s="2966" t="s">
        <v>3079</v>
      </c>
      <c r="E173">
        <v>98.83</v>
      </c>
    </row>
    <row r="174" spans="1:5">
      <c r="A174">
        <v>25</v>
      </c>
      <c r="B174" s="2966" t="s">
        <v>3239</v>
      </c>
      <c r="C174" s="2966"/>
      <c r="D174" s="2966" t="s">
        <v>3079</v>
      </c>
      <c r="E174">
        <v>281.43</v>
      </c>
    </row>
    <row r="175" spans="1:5">
      <c r="A175">
        <v>26</v>
      </c>
      <c r="B175" s="2966" t="s">
        <v>3240</v>
      </c>
      <c r="C175" s="2966"/>
      <c r="D175" s="2966" t="s">
        <v>3079</v>
      </c>
      <c r="E175">
        <v>156.61000000000001</v>
      </c>
    </row>
    <row r="176" spans="1:5">
      <c r="A176">
        <v>27</v>
      </c>
      <c r="B176" s="2966" t="s">
        <v>3241</v>
      </c>
      <c r="C176" s="2966"/>
      <c r="D176" s="2966" t="s">
        <v>3079</v>
      </c>
      <c r="E176">
        <v>281.43</v>
      </c>
    </row>
    <row r="177" spans="1:5">
      <c r="A177">
        <v>28</v>
      </c>
      <c r="B177" s="2966" t="s">
        <v>3242</v>
      </c>
      <c r="C177" s="2966"/>
      <c r="D177" s="2966" t="s">
        <v>3079</v>
      </c>
      <c r="E177">
        <v>98.83</v>
      </c>
    </row>
    <row r="178" spans="1:5">
      <c r="A178">
        <v>29</v>
      </c>
      <c r="B178" s="2966" t="s">
        <v>3243</v>
      </c>
      <c r="C178" s="2966"/>
      <c r="D178" s="2966" t="s">
        <v>3079</v>
      </c>
      <c r="E178">
        <v>123.54</v>
      </c>
    </row>
    <row r="179" spans="1:5">
      <c r="A179">
        <v>30</v>
      </c>
      <c r="B179" s="2966" t="s">
        <v>3244</v>
      </c>
      <c r="C179" s="2966"/>
      <c r="D179" s="2966" t="s">
        <v>3079</v>
      </c>
      <c r="E179">
        <v>118.6</v>
      </c>
    </row>
    <row r="180" spans="1:5">
      <c r="A180">
        <v>31</v>
      </c>
      <c r="B180" s="2966" t="s">
        <v>3245</v>
      </c>
      <c r="C180" s="2966"/>
      <c r="D180" s="2966" t="s">
        <v>3079</v>
      </c>
      <c r="E180">
        <v>82.59</v>
      </c>
    </row>
    <row r="181" spans="1:5">
      <c r="A181">
        <v>32</v>
      </c>
      <c r="B181" s="2966" t="s">
        <v>3246</v>
      </c>
      <c r="C181" s="2966"/>
      <c r="D181" s="2966" t="s">
        <v>3079</v>
      </c>
      <c r="E181">
        <v>281.43</v>
      </c>
    </row>
    <row r="182" spans="1:5">
      <c r="A182">
        <v>33</v>
      </c>
      <c r="B182" s="2966" t="s">
        <v>3247</v>
      </c>
      <c r="C182" s="2966"/>
      <c r="D182" s="2966" t="s">
        <v>3079</v>
      </c>
      <c r="E182">
        <v>156.61000000000001</v>
      </c>
    </row>
    <row r="183" spans="1:5">
      <c r="A183">
        <v>34</v>
      </c>
      <c r="B183" s="2966" t="s">
        <v>3248</v>
      </c>
      <c r="C183" s="2966"/>
      <c r="D183" s="2966" t="s">
        <v>3079</v>
      </c>
      <c r="E183">
        <v>281.43</v>
      </c>
    </row>
    <row r="184" spans="1:5">
      <c r="A184">
        <v>35</v>
      </c>
      <c r="B184" s="2966" t="s">
        <v>3249</v>
      </c>
      <c r="C184" s="2966"/>
      <c r="D184" s="2966" t="s">
        <v>3079</v>
      </c>
      <c r="E184">
        <v>98.83</v>
      </c>
    </row>
    <row r="185" spans="1:5">
      <c r="A185">
        <v>36</v>
      </c>
      <c r="B185" s="2966" t="s">
        <v>3250</v>
      </c>
      <c r="C185" s="2966"/>
      <c r="D185" s="2966" t="s">
        <v>3079</v>
      </c>
      <c r="E185">
        <v>123.54</v>
      </c>
    </row>
    <row r="186" spans="1:5">
      <c r="A186">
        <v>37</v>
      </c>
      <c r="B186" s="2966" t="s">
        <v>3251</v>
      </c>
      <c r="C186" s="2966"/>
      <c r="D186" s="2966" t="s">
        <v>3079</v>
      </c>
      <c r="E186">
        <v>123.54</v>
      </c>
    </row>
    <row r="187" spans="1:5">
      <c r="A187">
        <v>38</v>
      </c>
      <c r="B187" s="2966" t="s">
        <v>3252</v>
      </c>
      <c r="C187" s="2966"/>
      <c r="D187" s="2966" t="s">
        <v>3079</v>
      </c>
      <c r="E187">
        <v>98.83</v>
      </c>
    </row>
    <row r="188" spans="1:5">
      <c r="A188">
        <v>39</v>
      </c>
      <c r="B188" s="2966" t="s">
        <v>3253</v>
      </c>
      <c r="C188" s="2966"/>
      <c r="D188" s="2966" t="s">
        <v>3079</v>
      </c>
      <c r="E188">
        <v>281.42</v>
      </c>
    </row>
    <row r="189" spans="1:5">
      <c r="A189">
        <v>40</v>
      </c>
      <c r="B189" s="2966" t="s">
        <v>3254</v>
      </c>
      <c r="C189" s="2966"/>
      <c r="D189" s="2966" t="s">
        <v>3079</v>
      </c>
      <c r="E189">
        <v>156.61000000000001</v>
      </c>
    </row>
    <row r="190" spans="1:5">
      <c r="A190">
        <v>41</v>
      </c>
      <c r="B190" s="2966" t="s">
        <v>3255</v>
      </c>
      <c r="C190" s="2966"/>
      <c r="D190" s="2966" t="s">
        <v>3079</v>
      </c>
      <c r="E190">
        <v>281.43</v>
      </c>
    </row>
    <row r="191" spans="1:5">
      <c r="A191">
        <v>42</v>
      </c>
      <c r="B191" s="2966" t="s">
        <v>3256</v>
      </c>
      <c r="C191" s="2966"/>
      <c r="D191" s="2966" t="s">
        <v>3079</v>
      </c>
      <c r="E191">
        <v>98.83</v>
      </c>
    </row>
    <row r="192" spans="1:5">
      <c r="A192">
        <v>43</v>
      </c>
      <c r="B192" s="2966" t="s">
        <v>3257</v>
      </c>
      <c r="C192" s="2966"/>
      <c r="D192" s="2966" t="s">
        <v>3079</v>
      </c>
      <c r="E192">
        <v>123.54</v>
      </c>
    </row>
    <row r="193" spans="1:5">
      <c r="A193">
        <v>44</v>
      </c>
      <c r="B193" s="2966" t="s">
        <v>3258</v>
      </c>
      <c r="C193" s="2966"/>
      <c r="D193" s="2966" t="s">
        <v>3079</v>
      </c>
      <c r="E193">
        <v>123.54</v>
      </c>
    </row>
    <row r="194" spans="1:5">
      <c r="A194">
        <v>45</v>
      </c>
      <c r="B194" s="2966" t="s">
        <v>3259</v>
      </c>
      <c r="C194" s="2966"/>
      <c r="D194" s="2966" t="s">
        <v>3079</v>
      </c>
      <c r="E194">
        <v>98.83</v>
      </c>
    </row>
    <row r="195" spans="1:5">
      <c r="A195">
        <v>46</v>
      </c>
      <c r="B195" s="2966" t="s">
        <v>3260</v>
      </c>
      <c r="C195" s="2966"/>
      <c r="D195" s="2966" t="s">
        <v>3079</v>
      </c>
      <c r="E195">
        <v>281.43</v>
      </c>
    </row>
    <row r="196" spans="1:5">
      <c r="A196">
        <v>47</v>
      </c>
      <c r="B196" s="2966" t="s">
        <v>3261</v>
      </c>
      <c r="C196" s="2966"/>
      <c r="D196" s="2966" t="s">
        <v>3079</v>
      </c>
      <c r="E196">
        <v>156.61000000000001</v>
      </c>
    </row>
    <row r="197" spans="1:5">
      <c r="A197">
        <v>48</v>
      </c>
      <c r="B197" s="2966" t="s">
        <v>3262</v>
      </c>
      <c r="C197" s="2966"/>
      <c r="D197" s="2966" t="s">
        <v>3079</v>
      </c>
      <c r="E197">
        <v>281.43</v>
      </c>
    </row>
    <row r="198" spans="1:5">
      <c r="A198">
        <v>49</v>
      </c>
      <c r="B198" s="2966" t="s">
        <v>3263</v>
      </c>
      <c r="C198" s="2966"/>
      <c r="D198" s="2966" t="s">
        <v>3079</v>
      </c>
      <c r="E198">
        <v>98.83</v>
      </c>
    </row>
    <row r="199" spans="1:5">
      <c r="A199">
        <v>50</v>
      </c>
      <c r="B199" s="2966" t="s">
        <v>3264</v>
      </c>
      <c r="C199" s="2966"/>
      <c r="D199" s="2966" t="s">
        <v>3079</v>
      </c>
      <c r="E199">
        <v>123.54</v>
      </c>
    </row>
    <row r="200" spans="1:5">
      <c r="A200">
        <v>51</v>
      </c>
      <c r="B200" s="2966" t="s">
        <v>3265</v>
      </c>
      <c r="C200" s="2966"/>
      <c r="D200" s="2966" t="s">
        <v>3079</v>
      </c>
      <c r="E200">
        <v>123.54</v>
      </c>
    </row>
    <row r="201" spans="1:5">
      <c r="A201">
        <v>52</v>
      </c>
      <c r="B201" s="2966" t="s">
        <v>3266</v>
      </c>
      <c r="C201" s="2966"/>
      <c r="D201" s="2966" t="s">
        <v>3079</v>
      </c>
      <c r="E201">
        <v>98.83</v>
      </c>
    </row>
    <row r="202" spans="1:5">
      <c r="A202">
        <v>53</v>
      </c>
      <c r="B202" s="2966" t="s">
        <v>3267</v>
      </c>
      <c r="C202" s="2966"/>
      <c r="D202" s="2966" t="s">
        <v>3079</v>
      </c>
      <c r="E202">
        <v>281.42</v>
      </c>
    </row>
    <row r="203" spans="1:5">
      <c r="A203">
        <v>54</v>
      </c>
      <c r="B203" s="2966" t="s">
        <v>3268</v>
      </c>
      <c r="C203" s="2966"/>
      <c r="D203" s="2966" t="s">
        <v>3079</v>
      </c>
      <c r="E203">
        <v>156.61000000000001</v>
      </c>
    </row>
    <row r="204" spans="1:5">
      <c r="A204">
        <v>55</v>
      </c>
      <c r="B204" s="2966" t="s">
        <v>3269</v>
      </c>
      <c r="C204" s="2966"/>
      <c r="D204" s="2966" t="s">
        <v>3089</v>
      </c>
      <c r="E204">
        <v>281.43</v>
      </c>
    </row>
    <row r="205" spans="1:5">
      <c r="A205">
        <v>56</v>
      </c>
      <c r="B205" s="2966" t="s">
        <v>3270</v>
      </c>
      <c r="C205" s="2966"/>
      <c r="D205" s="2966" t="s">
        <v>3089</v>
      </c>
      <c r="E205">
        <v>98.83</v>
      </c>
    </row>
    <row r="206" spans="1:5">
      <c r="A206">
        <v>57</v>
      </c>
      <c r="B206" s="2966" t="s">
        <v>3271</v>
      </c>
      <c r="C206" s="2966"/>
      <c r="D206" s="2966" t="s">
        <v>3089</v>
      </c>
      <c r="E206">
        <v>123.54</v>
      </c>
    </row>
    <row r="207" spans="1:5">
      <c r="A207">
        <v>58</v>
      </c>
      <c r="B207" s="2966" t="s">
        <v>3272</v>
      </c>
      <c r="C207" s="2966"/>
      <c r="D207" s="2966" t="s">
        <v>3089</v>
      </c>
      <c r="E207">
        <v>123.54</v>
      </c>
    </row>
    <row r="208" spans="1:5">
      <c r="A208">
        <v>59</v>
      </c>
      <c r="B208" s="2966" t="s">
        <v>3273</v>
      </c>
      <c r="C208" s="2966"/>
      <c r="D208" s="2966" t="s">
        <v>3089</v>
      </c>
      <c r="E208">
        <v>98.83</v>
      </c>
    </row>
    <row r="209" spans="1:5">
      <c r="A209">
        <v>60</v>
      </c>
      <c r="B209" s="2966" t="s">
        <v>3274</v>
      </c>
      <c r="C209" s="2966"/>
      <c r="D209" s="2966" t="s">
        <v>3089</v>
      </c>
      <c r="E209">
        <v>281.43</v>
      </c>
    </row>
    <row r="210" spans="1:5">
      <c r="A210">
        <v>61</v>
      </c>
      <c r="B210" s="2966" t="s">
        <v>3275</v>
      </c>
      <c r="C210" s="2966"/>
      <c r="D210" s="2966" t="s">
        <v>3089</v>
      </c>
      <c r="E210">
        <v>156.61000000000001</v>
      </c>
    </row>
    <row r="211" spans="1:5">
      <c r="A211">
        <v>62</v>
      </c>
      <c r="B211" s="2966" t="s">
        <v>3276</v>
      </c>
      <c r="C211" s="2966"/>
      <c r="D211" s="2966" t="s">
        <v>3089</v>
      </c>
      <c r="E211">
        <v>281.43</v>
      </c>
    </row>
    <row r="212" spans="1:5">
      <c r="A212">
        <v>63</v>
      </c>
      <c r="B212" s="2966" t="s">
        <v>3277</v>
      </c>
      <c r="C212" s="2966"/>
      <c r="D212" s="2966" t="s">
        <v>3089</v>
      </c>
      <c r="E212">
        <v>98.83</v>
      </c>
    </row>
    <row r="213" spans="1:5">
      <c r="A213">
        <v>64</v>
      </c>
      <c r="B213" s="2966" t="s">
        <v>3278</v>
      </c>
      <c r="C213" s="2966"/>
      <c r="D213" s="2966" t="s">
        <v>3089</v>
      </c>
      <c r="E213">
        <v>123.54</v>
      </c>
    </row>
    <row r="214" spans="1:5">
      <c r="A214">
        <v>65</v>
      </c>
      <c r="B214" s="2966" t="s">
        <v>3279</v>
      </c>
      <c r="C214" s="2966"/>
      <c r="D214" s="2966" t="s">
        <v>3089</v>
      </c>
      <c r="E214">
        <v>123.54</v>
      </c>
    </row>
    <row r="215" spans="1:5">
      <c r="A215">
        <v>66</v>
      </c>
      <c r="B215" s="2966" t="s">
        <v>3280</v>
      </c>
      <c r="C215" s="2966"/>
      <c r="D215" s="2966" t="s">
        <v>3089</v>
      </c>
      <c r="E215">
        <v>98.83</v>
      </c>
    </row>
    <row r="216" spans="1:5">
      <c r="A216">
        <v>67</v>
      </c>
      <c r="B216" s="2966" t="s">
        <v>3281</v>
      </c>
      <c r="C216" s="2966"/>
      <c r="D216" s="2966" t="s">
        <v>3089</v>
      </c>
      <c r="E216">
        <v>281.42</v>
      </c>
    </row>
    <row r="217" spans="1:5">
      <c r="A217">
        <v>68</v>
      </c>
      <c r="B217" s="2966" t="s">
        <v>3282</v>
      </c>
      <c r="C217" s="2966"/>
      <c r="D217" s="2966" t="s">
        <v>3089</v>
      </c>
      <c r="E217">
        <v>156.61000000000001</v>
      </c>
    </row>
    <row r="218" spans="1:5">
      <c r="A218">
        <v>69</v>
      </c>
      <c r="B218" s="2966" t="s">
        <v>3283</v>
      </c>
      <c r="C218" s="2966"/>
      <c r="D218" s="2966" t="s">
        <v>3089</v>
      </c>
      <c r="E218">
        <v>281.43</v>
      </c>
    </row>
    <row r="219" spans="1:5">
      <c r="A219">
        <v>70</v>
      </c>
      <c r="B219" s="2966" t="s">
        <v>3284</v>
      </c>
      <c r="C219" s="2966"/>
      <c r="D219" s="2966" t="s">
        <v>3089</v>
      </c>
      <c r="E219">
        <v>98.83</v>
      </c>
    </row>
    <row r="220" spans="1:5">
      <c r="A220">
        <v>71</v>
      </c>
      <c r="B220" s="2966" t="s">
        <v>3285</v>
      </c>
      <c r="C220" s="2966"/>
      <c r="D220" s="2966" t="s">
        <v>3089</v>
      </c>
      <c r="E220">
        <v>123.54</v>
      </c>
    </row>
    <row r="221" spans="1:5">
      <c r="A221">
        <v>72</v>
      </c>
      <c r="B221" s="2966" t="s">
        <v>3286</v>
      </c>
      <c r="C221" s="2966"/>
      <c r="D221" s="2966" t="s">
        <v>3089</v>
      </c>
      <c r="E221">
        <v>123.54</v>
      </c>
    </row>
    <row r="222" spans="1:5">
      <c r="A222">
        <v>73</v>
      </c>
      <c r="B222" s="2966" t="s">
        <v>3287</v>
      </c>
      <c r="C222" s="2966"/>
      <c r="D222" s="2966" t="s">
        <v>3089</v>
      </c>
      <c r="E222">
        <v>98.83</v>
      </c>
    </row>
    <row r="223" spans="1:5">
      <c r="A223">
        <v>74</v>
      </c>
      <c r="B223" s="2966" t="s">
        <v>3288</v>
      </c>
      <c r="C223" s="2966"/>
      <c r="D223" s="2966" t="s">
        <v>3089</v>
      </c>
      <c r="E223">
        <v>281.43</v>
      </c>
    </row>
    <row r="224" spans="1:5">
      <c r="A224">
        <v>75</v>
      </c>
      <c r="B224" s="2966" t="s">
        <v>3289</v>
      </c>
      <c r="C224" s="2966"/>
      <c r="D224" s="2966" t="s">
        <v>3089</v>
      </c>
      <c r="E224">
        <v>156.61000000000001</v>
      </c>
    </row>
    <row r="225" spans="1:5">
      <c r="A225">
        <v>76</v>
      </c>
      <c r="B225" s="2966" t="s">
        <v>3290</v>
      </c>
      <c r="C225" s="2966"/>
      <c r="D225" s="2966" t="s">
        <v>3089</v>
      </c>
      <c r="E225">
        <v>281.43</v>
      </c>
    </row>
    <row r="226" spans="1:5">
      <c r="A226">
        <v>77</v>
      </c>
      <c r="B226" s="2966" t="s">
        <v>3291</v>
      </c>
      <c r="C226" s="2966"/>
      <c r="D226" s="2966" t="s">
        <v>3089</v>
      </c>
      <c r="E226">
        <v>98.83</v>
      </c>
    </row>
    <row r="227" spans="1:5">
      <c r="A227">
        <v>78</v>
      </c>
      <c r="B227" s="2966" t="s">
        <v>3292</v>
      </c>
      <c r="C227" s="2966"/>
      <c r="D227" s="2966" t="s">
        <v>3089</v>
      </c>
      <c r="E227">
        <v>123.54</v>
      </c>
    </row>
    <row r="228" spans="1:5">
      <c r="A228">
        <v>79</v>
      </c>
      <c r="B228" s="2966" t="s">
        <v>3293</v>
      </c>
      <c r="C228" s="2966"/>
      <c r="D228" s="2966" t="s">
        <v>3089</v>
      </c>
      <c r="E228">
        <v>123.54</v>
      </c>
    </row>
    <row r="229" spans="1:5">
      <c r="A229">
        <v>80</v>
      </c>
      <c r="B229" s="2966" t="s">
        <v>3294</v>
      </c>
      <c r="C229" s="2966"/>
      <c r="D229" s="2966" t="s">
        <v>3089</v>
      </c>
      <c r="E229">
        <v>98.83</v>
      </c>
    </row>
    <row r="230" spans="1:5">
      <c r="A230">
        <v>81</v>
      </c>
      <c r="B230" s="2966" t="s">
        <v>3295</v>
      </c>
      <c r="C230" s="2966"/>
      <c r="D230" s="2966" t="s">
        <v>3089</v>
      </c>
      <c r="E230">
        <v>281.42</v>
      </c>
    </row>
    <row r="231" spans="1:5">
      <c r="A231">
        <v>82</v>
      </c>
      <c r="B231" s="2966" t="s">
        <v>3296</v>
      </c>
      <c r="C231" s="2966"/>
      <c r="D231" s="2966" t="s">
        <v>3089</v>
      </c>
      <c r="E231">
        <v>156.61000000000001</v>
      </c>
    </row>
    <row r="232" spans="1:5">
      <c r="A232">
        <v>83</v>
      </c>
      <c r="B232" s="2966" t="s">
        <v>3297</v>
      </c>
      <c r="C232" s="2966"/>
      <c r="D232" s="2966" t="s">
        <v>3089</v>
      </c>
      <c r="E232">
        <v>281.43</v>
      </c>
    </row>
    <row r="233" spans="1:5">
      <c r="A233">
        <v>84</v>
      </c>
      <c r="B233" s="2966" t="s">
        <v>3298</v>
      </c>
      <c r="C233" s="2966"/>
      <c r="D233" s="2966" t="s">
        <v>3089</v>
      </c>
      <c r="E233">
        <v>98.83</v>
      </c>
    </row>
    <row r="234" spans="1:5">
      <c r="A234">
        <v>85</v>
      </c>
      <c r="B234" s="2966" t="s">
        <v>3299</v>
      </c>
      <c r="C234" s="2966"/>
      <c r="D234" s="2966" t="s">
        <v>3089</v>
      </c>
      <c r="E234">
        <v>123.54</v>
      </c>
    </row>
    <row r="235" spans="1:5">
      <c r="A235">
        <v>86</v>
      </c>
      <c r="B235" s="2966" t="s">
        <v>3300</v>
      </c>
      <c r="C235" s="2966"/>
      <c r="D235" s="2966" t="s">
        <v>3089</v>
      </c>
      <c r="E235">
        <v>123.54</v>
      </c>
    </row>
    <row r="236" spans="1:5">
      <c r="A236">
        <v>87</v>
      </c>
      <c r="B236" s="2966" t="s">
        <v>3301</v>
      </c>
      <c r="C236" s="2966"/>
      <c r="D236" s="2966" t="s">
        <v>3089</v>
      </c>
      <c r="E236">
        <v>98.83</v>
      </c>
    </row>
    <row r="237" spans="1:5">
      <c r="A237">
        <v>88</v>
      </c>
      <c r="B237" s="2966" t="s">
        <v>3302</v>
      </c>
      <c r="C237" s="2966"/>
      <c r="D237" s="2966" t="s">
        <v>3089</v>
      </c>
      <c r="E237">
        <v>255.79</v>
      </c>
    </row>
    <row r="238" spans="1:5">
      <c r="A238">
        <v>89</v>
      </c>
      <c r="B238" s="2966" t="s">
        <v>3303</v>
      </c>
      <c r="C238" s="2966"/>
      <c r="D238" s="2966" t="s">
        <v>3089</v>
      </c>
      <c r="E238">
        <v>98.83</v>
      </c>
    </row>
    <row r="239" spans="1:5">
      <c r="A239">
        <v>90</v>
      </c>
      <c r="B239" s="2966" t="s">
        <v>3304</v>
      </c>
      <c r="C239" s="2966"/>
      <c r="D239" s="2966" t="s">
        <v>3089</v>
      </c>
      <c r="E239">
        <v>281.42</v>
      </c>
    </row>
    <row r="240" spans="1:5">
      <c r="A240">
        <v>91</v>
      </c>
      <c r="B240" s="2966" t="s">
        <v>3305</v>
      </c>
      <c r="C240" s="2966"/>
      <c r="D240" s="2966" t="s">
        <v>3089</v>
      </c>
      <c r="E240">
        <v>156.61000000000001</v>
      </c>
    </row>
    <row r="241" spans="1:5">
      <c r="A241">
        <v>92</v>
      </c>
      <c r="B241" s="2966" t="s">
        <v>3306</v>
      </c>
      <c r="C241" s="2966"/>
      <c r="D241" s="2966" t="s">
        <v>3089</v>
      </c>
      <c r="E241">
        <v>281.43</v>
      </c>
    </row>
    <row r="242" spans="1:5">
      <c r="A242">
        <v>93</v>
      </c>
      <c r="B242" s="2966" t="s">
        <v>3307</v>
      </c>
      <c r="C242" s="2966"/>
      <c r="D242" s="2966" t="s">
        <v>3089</v>
      </c>
      <c r="E242">
        <v>98.83</v>
      </c>
    </row>
    <row r="243" spans="1:5">
      <c r="A243">
        <v>94</v>
      </c>
      <c r="B243" s="2966" t="s">
        <v>3308</v>
      </c>
      <c r="C243" s="2966"/>
      <c r="D243" s="2966" t="s">
        <v>3089</v>
      </c>
      <c r="E243">
        <v>255.79</v>
      </c>
    </row>
    <row r="244" spans="1:5">
      <c r="A244">
        <v>95</v>
      </c>
      <c r="B244" s="2966" t="s">
        <v>3309</v>
      </c>
      <c r="C244" s="2966"/>
      <c r="D244" s="2966" t="s">
        <v>3089</v>
      </c>
      <c r="E244">
        <v>255.79</v>
      </c>
    </row>
    <row r="245" spans="1:5">
      <c r="A245">
        <v>96</v>
      </c>
      <c r="B245" s="2966" t="s">
        <v>3310</v>
      </c>
      <c r="C245" s="2966"/>
      <c r="D245" s="2966" t="s">
        <v>3089</v>
      </c>
      <c r="E245">
        <v>98.83</v>
      </c>
    </row>
    <row r="246" spans="1:5">
      <c r="A246">
        <v>97</v>
      </c>
      <c r="B246" s="2966" t="s">
        <v>3311</v>
      </c>
      <c r="C246" s="2966"/>
      <c r="D246" s="2966" t="s">
        <v>3089</v>
      </c>
      <c r="E246">
        <v>281.42</v>
      </c>
    </row>
    <row r="247" spans="1:5">
      <c r="A247">
        <v>98</v>
      </c>
      <c r="B247" s="2966" t="s">
        <v>3312</v>
      </c>
      <c r="C247" s="2966"/>
      <c r="D247" s="2966" t="s">
        <v>3089</v>
      </c>
      <c r="E247">
        <v>156.61000000000001</v>
      </c>
    </row>
    <row r="248" spans="1:5">
      <c r="A248">
        <v>99</v>
      </c>
      <c r="B248" s="2966" t="s">
        <v>3313</v>
      </c>
      <c r="C248" s="2966"/>
      <c r="D248" s="2966" t="s">
        <v>3089</v>
      </c>
      <c r="E248">
        <v>281.43</v>
      </c>
    </row>
    <row r="249" spans="1:5">
      <c r="A249">
        <v>100</v>
      </c>
      <c r="B249" s="2966" t="s">
        <v>3314</v>
      </c>
      <c r="C249" s="2966"/>
      <c r="D249" s="2966" t="s">
        <v>3089</v>
      </c>
      <c r="E249">
        <v>98.83</v>
      </c>
    </row>
    <row r="250" spans="1:5">
      <c r="A250">
        <v>101</v>
      </c>
      <c r="B250" s="2966" t="s">
        <v>3315</v>
      </c>
      <c r="C250" s="2966"/>
      <c r="D250" s="2966" t="s">
        <v>3089</v>
      </c>
      <c r="E250">
        <v>255.79</v>
      </c>
    </row>
    <row r="251" spans="1:5">
      <c r="B251" s="2966" t="s">
        <v>3436</v>
      </c>
      <c r="E251">
        <f>SUM(E150:E250)</f>
        <v>18798.100000000028</v>
      </c>
    </row>
    <row r="252" spans="1:5">
      <c r="A252">
        <v>1</v>
      </c>
      <c r="B252" s="2966" t="s">
        <v>3316</v>
      </c>
      <c r="C252" s="2966"/>
      <c r="D252" s="2966" t="s">
        <v>3317</v>
      </c>
      <c r="E252">
        <v>258.08</v>
      </c>
    </row>
    <row r="253" spans="1:5">
      <c r="A253">
        <v>2</v>
      </c>
      <c r="B253" s="2966" t="s">
        <v>3318</v>
      </c>
      <c r="C253" s="2966"/>
      <c r="D253" s="2966" t="s">
        <v>3317</v>
      </c>
      <c r="E253">
        <v>231.03</v>
      </c>
    </row>
    <row r="254" spans="1:5">
      <c r="A254">
        <v>3</v>
      </c>
      <c r="B254" s="2966" t="s">
        <v>3319</v>
      </c>
      <c r="C254" s="2966"/>
      <c r="D254" s="2966" t="s">
        <v>3317</v>
      </c>
      <c r="E254">
        <v>544.37</v>
      </c>
    </row>
    <row r="255" spans="1:5">
      <c r="A255">
        <v>4</v>
      </c>
      <c r="B255" s="2966" t="s">
        <v>3320</v>
      </c>
      <c r="C255" s="2966"/>
      <c r="D255" s="2966" t="s">
        <v>3317</v>
      </c>
      <c r="E255">
        <v>448.24</v>
      </c>
    </row>
    <row r="256" spans="1:5">
      <c r="A256">
        <v>5</v>
      </c>
      <c r="B256" s="2966" t="s">
        <v>3321</v>
      </c>
      <c r="C256" s="2966"/>
      <c r="D256" s="2966" t="s">
        <v>3317</v>
      </c>
      <c r="E256">
        <v>356.42</v>
      </c>
    </row>
    <row r="257" spans="1:5">
      <c r="A257">
        <v>6</v>
      </c>
      <c r="B257" s="2966" t="s">
        <v>3322</v>
      </c>
      <c r="C257" s="2966"/>
      <c r="D257" s="2966" t="s">
        <v>3317</v>
      </c>
      <c r="E257">
        <v>410.57</v>
      </c>
    </row>
    <row r="258" spans="1:5">
      <c r="A258">
        <v>7</v>
      </c>
      <c r="B258" s="2966" t="s">
        <v>3323</v>
      </c>
      <c r="C258" s="2966"/>
      <c r="D258" s="2966" t="s">
        <v>3317</v>
      </c>
      <c r="E258">
        <v>985.68</v>
      </c>
    </row>
    <row r="259" spans="1:5">
      <c r="A259">
        <v>8</v>
      </c>
      <c r="B259" s="2966" t="s">
        <v>3324</v>
      </c>
      <c r="C259" s="2966"/>
      <c r="D259" s="2966" t="s">
        <v>3317</v>
      </c>
      <c r="E259">
        <v>120.79</v>
      </c>
    </row>
    <row r="260" spans="1:5">
      <c r="A260">
        <v>9</v>
      </c>
      <c r="B260" s="2966" t="s">
        <v>3325</v>
      </c>
      <c r="C260" s="2966"/>
      <c r="D260" s="2966" t="s">
        <v>3317</v>
      </c>
      <c r="E260">
        <v>136.29</v>
      </c>
    </row>
    <row r="261" spans="1:5">
      <c r="A261">
        <v>10</v>
      </c>
      <c r="B261" s="2966" t="s">
        <v>3326</v>
      </c>
      <c r="C261" s="2966"/>
      <c r="D261" s="2966" t="s">
        <v>3089</v>
      </c>
      <c r="E261">
        <v>276.51</v>
      </c>
    </row>
    <row r="262" spans="1:5">
      <c r="A262">
        <v>11</v>
      </c>
      <c r="B262" s="2966" t="s">
        <v>3327</v>
      </c>
      <c r="C262" s="2966"/>
      <c r="D262" s="2966" t="s">
        <v>3089</v>
      </c>
      <c r="E262">
        <v>153.86000000000001</v>
      </c>
    </row>
    <row r="263" spans="1:5">
      <c r="A263">
        <v>12</v>
      </c>
      <c r="B263" s="2966" t="s">
        <v>3328</v>
      </c>
      <c r="C263" s="2966"/>
      <c r="D263" s="2966" t="s">
        <v>3089</v>
      </c>
      <c r="E263">
        <v>276.51</v>
      </c>
    </row>
    <row r="264" spans="1:5">
      <c r="A264">
        <v>13</v>
      </c>
      <c r="B264" s="2966" t="s">
        <v>3329</v>
      </c>
      <c r="C264" s="2966"/>
      <c r="D264" s="2966" t="s">
        <v>3089</v>
      </c>
      <c r="E264">
        <v>97.1</v>
      </c>
    </row>
    <row r="265" spans="1:5">
      <c r="A265">
        <v>14</v>
      </c>
      <c r="B265" s="2966" t="s">
        <v>3330</v>
      </c>
      <c r="C265" s="2966"/>
      <c r="D265" s="2966" t="s">
        <v>3089</v>
      </c>
      <c r="E265">
        <v>121.38</v>
      </c>
    </row>
    <row r="266" spans="1:5">
      <c r="A266">
        <v>15</v>
      </c>
      <c r="B266" s="2966" t="s">
        <v>3331</v>
      </c>
      <c r="C266" s="2966"/>
      <c r="D266" s="2966" t="s">
        <v>3089</v>
      </c>
      <c r="E266">
        <v>121.38</v>
      </c>
    </row>
    <row r="267" spans="1:5">
      <c r="A267">
        <v>16</v>
      </c>
      <c r="B267" s="2966" t="s">
        <v>3332</v>
      </c>
      <c r="C267" s="2966"/>
      <c r="D267" s="2966" t="s">
        <v>3089</v>
      </c>
      <c r="E267">
        <v>97.1</v>
      </c>
    </row>
    <row r="268" spans="1:5">
      <c r="A268">
        <v>17</v>
      </c>
      <c r="B268" s="2966" t="s">
        <v>3333</v>
      </c>
      <c r="C268" s="2966"/>
      <c r="D268" s="2966" t="s">
        <v>3079</v>
      </c>
      <c r="E268">
        <v>276.51</v>
      </c>
    </row>
    <row r="269" spans="1:5">
      <c r="A269">
        <v>18</v>
      </c>
      <c r="B269" s="2966" t="s">
        <v>3334</v>
      </c>
      <c r="C269" s="2966"/>
      <c r="D269" s="2966" t="s">
        <v>3079</v>
      </c>
      <c r="E269">
        <v>153.86000000000001</v>
      </c>
    </row>
    <row r="270" spans="1:5">
      <c r="A270">
        <v>19</v>
      </c>
      <c r="B270" s="2966" t="s">
        <v>3335</v>
      </c>
      <c r="C270" s="2966"/>
      <c r="D270" s="2966" t="s">
        <v>3079</v>
      </c>
      <c r="E270">
        <v>276.51</v>
      </c>
    </row>
    <row r="271" spans="1:5">
      <c r="A271">
        <v>20</v>
      </c>
      <c r="B271" s="2966" t="s">
        <v>3336</v>
      </c>
      <c r="C271" s="2966"/>
      <c r="D271" s="2966" t="s">
        <v>3079</v>
      </c>
      <c r="E271">
        <v>97.1</v>
      </c>
    </row>
    <row r="272" spans="1:5">
      <c r="A272">
        <v>21</v>
      </c>
      <c r="B272" s="2966" t="s">
        <v>3337</v>
      </c>
      <c r="C272" s="2966"/>
      <c r="D272" s="2966" t="s">
        <v>3079</v>
      </c>
      <c r="E272">
        <v>121.38</v>
      </c>
    </row>
    <row r="273" spans="1:5">
      <c r="A273">
        <v>22</v>
      </c>
      <c r="B273" s="2966" t="s">
        <v>3338</v>
      </c>
      <c r="C273" s="2966"/>
      <c r="D273" s="2966" t="s">
        <v>3079</v>
      </c>
      <c r="E273">
        <v>121.38</v>
      </c>
    </row>
    <row r="274" spans="1:5">
      <c r="A274">
        <v>23</v>
      </c>
      <c r="B274" s="2966" t="s">
        <v>3339</v>
      </c>
      <c r="C274" s="2966"/>
      <c r="D274" s="2966" t="s">
        <v>3079</v>
      </c>
      <c r="E274">
        <v>74.900000000000006</v>
      </c>
    </row>
    <row r="275" spans="1:5">
      <c r="A275">
        <v>24</v>
      </c>
      <c r="B275" s="2966" t="s">
        <v>3340</v>
      </c>
      <c r="C275" s="2966"/>
      <c r="D275" s="2966" t="s">
        <v>3079</v>
      </c>
      <c r="E275">
        <v>276.51</v>
      </c>
    </row>
    <row r="276" spans="1:5">
      <c r="A276">
        <v>25</v>
      </c>
      <c r="B276" s="2966" t="s">
        <v>3341</v>
      </c>
      <c r="C276" s="2966"/>
      <c r="D276" s="2966" t="s">
        <v>3079</v>
      </c>
      <c r="E276">
        <v>153.86000000000001</v>
      </c>
    </row>
    <row r="277" spans="1:5">
      <c r="A277">
        <v>26</v>
      </c>
      <c r="B277" s="2966" t="s">
        <v>3342</v>
      </c>
      <c r="C277" s="2966"/>
      <c r="D277" s="2966" t="s">
        <v>3079</v>
      </c>
      <c r="E277">
        <v>276.51</v>
      </c>
    </row>
    <row r="278" spans="1:5">
      <c r="A278">
        <v>27</v>
      </c>
      <c r="B278" s="2966" t="s">
        <v>3343</v>
      </c>
      <c r="C278" s="2966"/>
      <c r="D278" s="2966" t="s">
        <v>3079</v>
      </c>
      <c r="E278">
        <v>97.1</v>
      </c>
    </row>
    <row r="279" spans="1:5">
      <c r="A279">
        <v>28</v>
      </c>
      <c r="B279" s="2966" t="s">
        <v>3344</v>
      </c>
      <c r="C279" s="2966"/>
      <c r="D279" s="2966" t="s">
        <v>3079</v>
      </c>
      <c r="E279">
        <v>121.38</v>
      </c>
    </row>
    <row r="280" spans="1:5">
      <c r="A280">
        <v>29</v>
      </c>
      <c r="B280" s="2966" t="s">
        <v>3345</v>
      </c>
      <c r="C280" s="2966"/>
      <c r="D280" s="2966" t="s">
        <v>3079</v>
      </c>
      <c r="E280">
        <v>121.38</v>
      </c>
    </row>
    <row r="281" spans="1:5">
      <c r="A281">
        <v>30</v>
      </c>
      <c r="B281" s="2966" t="s">
        <v>3346</v>
      </c>
      <c r="C281" s="2966"/>
      <c r="D281" s="2966" t="s">
        <v>3079</v>
      </c>
      <c r="E281">
        <v>97.1</v>
      </c>
    </row>
    <row r="282" spans="1:5">
      <c r="A282">
        <v>31</v>
      </c>
      <c r="B282" s="2966" t="s">
        <v>3347</v>
      </c>
      <c r="C282" s="2966"/>
      <c r="D282" s="2966" t="s">
        <v>3079</v>
      </c>
      <c r="E282">
        <v>276.51</v>
      </c>
    </row>
    <row r="283" spans="1:5">
      <c r="A283">
        <v>32</v>
      </c>
      <c r="B283" s="2966" t="s">
        <v>3348</v>
      </c>
      <c r="C283" s="2966"/>
      <c r="D283" s="2966" t="s">
        <v>3079</v>
      </c>
      <c r="E283">
        <v>153.86000000000001</v>
      </c>
    </row>
    <row r="284" spans="1:5">
      <c r="A284">
        <v>33</v>
      </c>
      <c r="B284" s="2966" t="s">
        <v>3349</v>
      </c>
      <c r="C284" s="2966"/>
      <c r="D284" s="2966" t="s">
        <v>3079</v>
      </c>
      <c r="E284">
        <v>276.51</v>
      </c>
    </row>
    <row r="285" spans="1:5">
      <c r="A285">
        <v>34</v>
      </c>
      <c r="B285" s="2966" t="s">
        <v>3350</v>
      </c>
      <c r="C285" s="2966"/>
      <c r="D285" s="2966" t="s">
        <v>3079</v>
      </c>
      <c r="E285">
        <v>97.1</v>
      </c>
    </row>
    <row r="286" spans="1:5">
      <c r="A286">
        <v>35</v>
      </c>
      <c r="B286" s="2966" t="s">
        <v>3351</v>
      </c>
      <c r="C286" s="2966"/>
      <c r="D286" s="2966" t="s">
        <v>3079</v>
      </c>
      <c r="E286">
        <v>121.38</v>
      </c>
    </row>
    <row r="287" spans="1:5">
      <c r="A287">
        <v>36</v>
      </c>
      <c r="B287" s="2966" t="s">
        <v>3352</v>
      </c>
      <c r="C287" s="2966"/>
      <c r="D287" s="2966" t="s">
        <v>3079</v>
      </c>
      <c r="E287">
        <v>121.38</v>
      </c>
    </row>
    <row r="288" spans="1:5">
      <c r="A288">
        <v>37</v>
      </c>
      <c r="B288" s="2966" t="s">
        <v>3353</v>
      </c>
      <c r="C288" s="2966"/>
      <c r="D288" s="2966" t="s">
        <v>3079</v>
      </c>
      <c r="E288">
        <v>74.900000000000006</v>
      </c>
    </row>
    <row r="289" spans="1:5">
      <c r="A289">
        <v>38</v>
      </c>
      <c r="B289" s="2966" t="s">
        <v>3354</v>
      </c>
      <c r="C289" s="2966"/>
      <c r="D289" s="2966" t="s">
        <v>3079</v>
      </c>
      <c r="E289">
        <v>276.51</v>
      </c>
    </row>
    <row r="290" spans="1:5">
      <c r="A290">
        <v>39</v>
      </c>
      <c r="B290" s="2966" t="s">
        <v>3355</v>
      </c>
      <c r="C290" s="2966"/>
      <c r="D290" s="2966" t="s">
        <v>3079</v>
      </c>
      <c r="E290">
        <v>153.86000000000001</v>
      </c>
    </row>
    <row r="291" spans="1:5">
      <c r="A291">
        <v>40</v>
      </c>
      <c r="B291" s="2966" t="s">
        <v>3356</v>
      </c>
      <c r="C291" s="2966"/>
      <c r="D291" s="2966" t="s">
        <v>3079</v>
      </c>
      <c r="E291">
        <v>276.51</v>
      </c>
    </row>
    <row r="292" spans="1:5">
      <c r="A292">
        <v>41</v>
      </c>
      <c r="B292" s="2966" t="s">
        <v>3357</v>
      </c>
      <c r="C292" s="2966"/>
      <c r="D292" s="2966" t="s">
        <v>3079</v>
      </c>
      <c r="E292">
        <v>97.1</v>
      </c>
    </row>
    <row r="293" spans="1:5">
      <c r="A293">
        <v>42</v>
      </c>
      <c r="B293" s="2966" t="s">
        <v>3358</v>
      </c>
      <c r="C293" s="2966"/>
      <c r="D293" s="2966" t="s">
        <v>3079</v>
      </c>
      <c r="E293">
        <v>121.38</v>
      </c>
    </row>
    <row r="294" spans="1:5">
      <c r="A294">
        <v>43</v>
      </c>
      <c r="B294" s="2966" t="s">
        <v>3359</v>
      </c>
      <c r="C294" s="2966"/>
      <c r="D294" s="2966" t="s">
        <v>3079</v>
      </c>
      <c r="E294">
        <v>121.38</v>
      </c>
    </row>
    <row r="295" spans="1:5">
      <c r="A295">
        <v>44</v>
      </c>
      <c r="B295" s="2966" t="s">
        <v>3360</v>
      </c>
      <c r="C295" s="2966"/>
      <c r="D295" s="2966" t="s">
        <v>3079</v>
      </c>
      <c r="E295">
        <v>97.1</v>
      </c>
    </row>
    <row r="296" spans="1:5">
      <c r="A296">
        <v>45</v>
      </c>
      <c r="B296" s="2966" t="s">
        <v>3361</v>
      </c>
      <c r="C296" s="2966"/>
      <c r="D296" s="2966" t="s">
        <v>3079</v>
      </c>
      <c r="E296">
        <v>276.49</v>
      </c>
    </row>
    <row r="297" spans="1:5">
      <c r="A297">
        <v>46</v>
      </c>
      <c r="B297" s="2966" t="s">
        <v>3362</v>
      </c>
      <c r="C297" s="2966"/>
      <c r="D297" s="2966" t="s">
        <v>3079</v>
      </c>
      <c r="E297">
        <v>153.86000000000001</v>
      </c>
    </row>
    <row r="298" spans="1:5">
      <c r="A298">
        <v>47</v>
      </c>
      <c r="B298" s="2966" t="s">
        <v>3363</v>
      </c>
      <c r="C298" s="2966"/>
      <c r="D298" s="2966" t="s">
        <v>3079</v>
      </c>
      <c r="E298">
        <v>276.51</v>
      </c>
    </row>
    <row r="299" spans="1:5">
      <c r="A299">
        <v>48</v>
      </c>
      <c r="B299" s="2966" t="s">
        <v>3364</v>
      </c>
      <c r="C299" s="2966"/>
      <c r="D299" s="2966" t="s">
        <v>3079</v>
      </c>
      <c r="E299">
        <v>97.1</v>
      </c>
    </row>
    <row r="300" spans="1:5">
      <c r="A300">
        <v>49</v>
      </c>
      <c r="B300" s="2966" t="s">
        <v>3365</v>
      </c>
      <c r="C300" s="2966"/>
      <c r="D300" s="2966" t="s">
        <v>3079</v>
      </c>
      <c r="E300">
        <v>121.38</v>
      </c>
    </row>
    <row r="301" spans="1:5">
      <c r="A301">
        <v>50</v>
      </c>
      <c r="B301" s="2966" t="s">
        <v>3366</v>
      </c>
      <c r="C301" s="2966"/>
      <c r="D301" s="2966" t="s">
        <v>3079</v>
      </c>
      <c r="E301">
        <v>121.38</v>
      </c>
    </row>
    <row r="302" spans="1:5">
      <c r="A302">
        <v>51</v>
      </c>
      <c r="B302" s="2966" t="s">
        <v>3367</v>
      </c>
      <c r="C302" s="2966"/>
      <c r="D302" s="2966" t="s">
        <v>3079</v>
      </c>
      <c r="E302">
        <v>97.1</v>
      </c>
    </row>
    <row r="303" spans="1:5">
      <c r="A303">
        <v>52</v>
      </c>
      <c r="B303" s="2966" t="s">
        <v>3368</v>
      </c>
      <c r="C303" s="2966"/>
      <c r="D303" s="2966" t="s">
        <v>3079</v>
      </c>
      <c r="E303">
        <v>276.51</v>
      </c>
    </row>
    <row r="304" spans="1:5">
      <c r="A304">
        <v>53</v>
      </c>
      <c r="B304" s="2966" t="s">
        <v>3369</v>
      </c>
      <c r="C304" s="2966"/>
      <c r="D304" s="2966" t="s">
        <v>3079</v>
      </c>
      <c r="E304">
        <v>153.86000000000001</v>
      </c>
    </row>
    <row r="305" spans="1:5">
      <c r="A305">
        <v>54</v>
      </c>
      <c r="B305" s="2966" t="s">
        <v>3370</v>
      </c>
      <c r="C305" s="2966"/>
      <c r="D305" s="2966" t="s">
        <v>3079</v>
      </c>
      <c r="E305">
        <v>276.51</v>
      </c>
    </row>
    <row r="306" spans="1:5">
      <c r="A306">
        <v>55</v>
      </c>
      <c r="B306" s="2966" t="s">
        <v>3371</v>
      </c>
      <c r="C306" s="2966"/>
      <c r="D306" s="2966" t="s">
        <v>3079</v>
      </c>
      <c r="E306">
        <v>97.1</v>
      </c>
    </row>
    <row r="307" spans="1:5">
      <c r="A307">
        <v>56</v>
      </c>
      <c r="B307" s="2966" t="s">
        <v>3372</v>
      </c>
      <c r="C307" s="2966"/>
      <c r="D307" s="2966" t="s">
        <v>3079</v>
      </c>
      <c r="E307">
        <v>121.38</v>
      </c>
    </row>
    <row r="308" spans="1:5">
      <c r="A308">
        <v>57</v>
      </c>
      <c r="B308" s="2966" t="s">
        <v>3373</v>
      </c>
      <c r="C308" s="2966"/>
      <c r="D308" s="2966" t="s">
        <v>3079</v>
      </c>
      <c r="E308">
        <v>121.38</v>
      </c>
    </row>
    <row r="309" spans="1:5">
      <c r="A309">
        <v>58</v>
      </c>
      <c r="B309" s="2966" t="s">
        <v>3374</v>
      </c>
      <c r="C309" s="2966"/>
      <c r="D309" s="2966" t="s">
        <v>3079</v>
      </c>
      <c r="E309">
        <v>97.1</v>
      </c>
    </row>
    <row r="310" spans="1:5">
      <c r="A310">
        <v>59</v>
      </c>
      <c r="B310" s="2966" t="s">
        <v>3375</v>
      </c>
      <c r="C310" s="2966"/>
      <c r="D310" s="2966" t="s">
        <v>3079</v>
      </c>
      <c r="E310">
        <v>276.49</v>
      </c>
    </row>
    <row r="311" spans="1:5">
      <c r="A311">
        <v>60</v>
      </c>
      <c r="B311" s="2966" t="s">
        <v>3376</v>
      </c>
      <c r="C311" s="2966"/>
      <c r="D311" s="2966" t="s">
        <v>3079</v>
      </c>
      <c r="E311">
        <v>153.86000000000001</v>
      </c>
    </row>
    <row r="312" spans="1:5">
      <c r="A312">
        <v>61</v>
      </c>
      <c r="B312" s="2966" t="s">
        <v>3377</v>
      </c>
      <c r="C312" s="2966"/>
      <c r="D312" s="2966" t="s">
        <v>3079</v>
      </c>
      <c r="E312">
        <v>276.51</v>
      </c>
    </row>
    <row r="313" spans="1:5">
      <c r="A313">
        <v>62</v>
      </c>
      <c r="B313" s="2966" t="s">
        <v>3378</v>
      </c>
      <c r="C313" s="2966"/>
      <c r="D313" s="2966" t="s">
        <v>3079</v>
      </c>
      <c r="E313">
        <v>97.1</v>
      </c>
    </row>
    <row r="314" spans="1:5">
      <c r="A314">
        <v>63</v>
      </c>
      <c r="B314" s="2966" t="s">
        <v>3379</v>
      </c>
      <c r="C314" s="2966"/>
      <c r="D314" s="2966" t="s">
        <v>3079</v>
      </c>
      <c r="E314">
        <v>121.38</v>
      </c>
    </row>
    <row r="315" spans="1:5">
      <c r="A315">
        <v>64</v>
      </c>
      <c r="B315" s="2966" t="s">
        <v>3380</v>
      </c>
      <c r="C315" s="2966"/>
      <c r="D315" s="2966" t="s">
        <v>3079</v>
      </c>
      <c r="E315">
        <v>121.38</v>
      </c>
    </row>
    <row r="316" spans="1:5">
      <c r="A316">
        <v>65</v>
      </c>
      <c r="B316" s="2966" t="s">
        <v>3381</v>
      </c>
      <c r="C316" s="2966"/>
      <c r="D316" s="2966" t="s">
        <v>3079</v>
      </c>
      <c r="E316">
        <v>97.1</v>
      </c>
    </row>
    <row r="317" spans="1:5">
      <c r="A317">
        <v>66</v>
      </c>
      <c r="B317" s="2966" t="s">
        <v>3382</v>
      </c>
      <c r="C317" s="2966"/>
      <c r="D317" s="2966" t="s">
        <v>3079</v>
      </c>
      <c r="E317">
        <v>276.51</v>
      </c>
    </row>
    <row r="318" spans="1:5">
      <c r="A318">
        <v>67</v>
      </c>
      <c r="B318" s="2966" t="s">
        <v>3383</v>
      </c>
      <c r="C318" s="2966"/>
      <c r="D318" s="2966" t="s">
        <v>3079</v>
      </c>
      <c r="E318">
        <v>153.86000000000001</v>
      </c>
    </row>
    <row r="319" spans="1:5">
      <c r="A319">
        <v>68</v>
      </c>
      <c r="B319" s="2966" t="s">
        <v>3384</v>
      </c>
      <c r="C319" s="2966"/>
      <c r="D319" s="2966" t="s">
        <v>3079</v>
      </c>
      <c r="E319">
        <v>276.51</v>
      </c>
    </row>
    <row r="320" spans="1:5">
      <c r="A320">
        <v>69</v>
      </c>
      <c r="B320" s="2966" t="s">
        <v>3385</v>
      </c>
      <c r="C320" s="2966"/>
      <c r="D320" s="2966" t="s">
        <v>3079</v>
      </c>
      <c r="E320">
        <v>97.1</v>
      </c>
    </row>
    <row r="321" spans="1:5">
      <c r="A321">
        <v>70</v>
      </c>
      <c r="B321" s="2966" t="s">
        <v>3386</v>
      </c>
      <c r="C321" s="2966"/>
      <c r="D321" s="2966" t="s">
        <v>3079</v>
      </c>
      <c r="E321">
        <v>121.38</v>
      </c>
    </row>
    <row r="322" spans="1:5">
      <c r="A322">
        <v>71</v>
      </c>
      <c r="B322" s="2966" t="s">
        <v>3387</v>
      </c>
      <c r="C322" s="2966"/>
      <c r="D322" s="2966" t="s">
        <v>3079</v>
      </c>
      <c r="E322">
        <v>121.38</v>
      </c>
    </row>
    <row r="323" spans="1:5">
      <c r="A323">
        <v>72</v>
      </c>
      <c r="B323" s="2966" t="s">
        <v>3388</v>
      </c>
      <c r="C323" s="2966"/>
      <c r="D323" s="2966" t="s">
        <v>3079</v>
      </c>
      <c r="E323">
        <v>97.1</v>
      </c>
    </row>
    <row r="324" spans="1:5">
      <c r="A324">
        <v>73</v>
      </c>
      <c r="B324" s="2966" t="s">
        <v>3389</v>
      </c>
      <c r="C324" s="2966"/>
      <c r="D324" s="2966" t="s">
        <v>3079</v>
      </c>
      <c r="E324">
        <v>276.49</v>
      </c>
    </row>
    <row r="325" spans="1:5">
      <c r="A325">
        <v>74</v>
      </c>
      <c r="B325" s="2966" t="s">
        <v>3390</v>
      </c>
      <c r="C325" s="2966"/>
      <c r="D325" s="2966" t="s">
        <v>3079</v>
      </c>
      <c r="E325">
        <v>153.86000000000001</v>
      </c>
    </row>
    <row r="326" spans="1:5">
      <c r="A326">
        <v>75</v>
      </c>
      <c r="B326" s="2966" t="s">
        <v>3391</v>
      </c>
      <c r="C326" s="2966"/>
      <c r="D326" s="2966" t="s">
        <v>3079</v>
      </c>
      <c r="E326">
        <v>276.51</v>
      </c>
    </row>
    <row r="327" spans="1:5">
      <c r="A327">
        <v>76</v>
      </c>
      <c r="B327" s="2966" t="s">
        <v>3392</v>
      </c>
      <c r="C327" s="2966"/>
      <c r="D327" s="2966" t="s">
        <v>3079</v>
      </c>
      <c r="E327">
        <v>97.1</v>
      </c>
    </row>
    <row r="328" spans="1:5">
      <c r="A328">
        <v>77</v>
      </c>
      <c r="B328" s="2966" t="s">
        <v>3393</v>
      </c>
      <c r="C328" s="2966"/>
      <c r="D328" s="2966" t="s">
        <v>3079</v>
      </c>
      <c r="E328">
        <v>121.38</v>
      </c>
    </row>
    <row r="329" spans="1:5">
      <c r="A329">
        <v>78</v>
      </c>
      <c r="B329" s="2966" t="s">
        <v>3394</v>
      </c>
      <c r="C329" s="2966"/>
      <c r="D329" s="2966" t="s">
        <v>3079</v>
      </c>
      <c r="E329">
        <v>121.38</v>
      </c>
    </row>
    <row r="330" spans="1:5">
      <c r="A330">
        <v>79</v>
      </c>
      <c r="B330" s="2966" t="s">
        <v>3395</v>
      </c>
      <c r="C330" s="2966"/>
      <c r="D330" s="2966" t="s">
        <v>3079</v>
      </c>
      <c r="E330">
        <v>97.1</v>
      </c>
    </row>
    <row r="331" spans="1:5">
      <c r="A331">
        <v>80</v>
      </c>
      <c r="B331" s="2966" t="s">
        <v>3396</v>
      </c>
      <c r="C331" s="2966"/>
      <c r="D331" s="2966" t="s">
        <v>3079</v>
      </c>
      <c r="E331">
        <v>276.51</v>
      </c>
    </row>
    <row r="332" spans="1:5">
      <c r="A332">
        <v>81</v>
      </c>
      <c r="B332" s="2966" t="s">
        <v>3397</v>
      </c>
      <c r="C332" s="2966"/>
      <c r="D332" s="2966" t="s">
        <v>3079</v>
      </c>
      <c r="E332">
        <v>153.86000000000001</v>
      </c>
    </row>
    <row r="333" spans="1:5">
      <c r="A333">
        <v>82</v>
      </c>
      <c r="B333" s="2966" t="s">
        <v>3398</v>
      </c>
      <c r="C333" s="2966"/>
      <c r="D333" s="2966" t="s">
        <v>3079</v>
      </c>
      <c r="E333">
        <v>276.51</v>
      </c>
    </row>
    <row r="334" spans="1:5">
      <c r="A334">
        <v>83</v>
      </c>
      <c r="B334" s="2966" t="s">
        <v>3399</v>
      </c>
      <c r="C334" s="2966"/>
      <c r="D334" s="2966" t="s">
        <v>3079</v>
      </c>
      <c r="E334">
        <v>97.1</v>
      </c>
    </row>
    <row r="335" spans="1:5">
      <c r="A335">
        <v>84</v>
      </c>
      <c r="B335" s="2966" t="s">
        <v>3400</v>
      </c>
      <c r="C335" s="2966"/>
      <c r="D335" s="2966" t="s">
        <v>3079</v>
      </c>
      <c r="E335">
        <v>121.38</v>
      </c>
    </row>
    <row r="336" spans="1:5">
      <c r="A336">
        <v>85</v>
      </c>
      <c r="B336" s="2966" t="s">
        <v>3401</v>
      </c>
      <c r="C336" s="2966"/>
      <c r="D336" s="2966" t="s">
        <v>3079</v>
      </c>
      <c r="E336">
        <v>121.38</v>
      </c>
    </row>
    <row r="337" spans="1:5">
      <c r="A337">
        <v>86</v>
      </c>
      <c r="B337" s="2966" t="s">
        <v>3402</v>
      </c>
      <c r="C337" s="2966"/>
      <c r="D337" s="2966" t="s">
        <v>3079</v>
      </c>
      <c r="E337">
        <v>97.1</v>
      </c>
    </row>
    <row r="338" spans="1:5">
      <c r="A338">
        <v>87</v>
      </c>
      <c r="B338" s="2966" t="s">
        <v>3403</v>
      </c>
      <c r="C338" s="2966"/>
      <c r="D338" s="2966" t="s">
        <v>3079</v>
      </c>
      <c r="E338">
        <v>276.49</v>
      </c>
    </row>
    <row r="339" spans="1:5">
      <c r="A339">
        <v>88</v>
      </c>
      <c r="B339" s="2966" t="s">
        <v>3404</v>
      </c>
      <c r="C339" s="2966"/>
      <c r="D339" s="2966" t="s">
        <v>3079</v>
      </c>
      <c r="E339">
        <v>153.86000000000001</v>
      </c>
    </row>
    <row r="340" spans="1:5">
      <c r="A340">
        <v>89</v>
      </c>
      <c r="B340" s="2966" t="s">
        <v>3405</v>
      </c>
      <c r="C340" s="2966"/>
      <c r="D340" s="2966" t="s">
        <v>3079</v>
      </c>
      <c r="E340">
        <v>276.51</v>
      </c>
    </row>
    <row r="341" spans="1:5">
      <c r="A341">
        <v>90</v>
      </c>
      <c r="B341" s="2966" t="s">
        <v>3406</v>
      </c>
      <c r="C341" s="2966"/>
      <c r="D341" s="2966" t="s">
        <v>3079</v>
      </c>
      <c r="E341">
        <v>97.1</v>
      </c>
    </row>
    <row r="342" spans="1:5">
      <c r="A342">
        <v>91</v>
      </c>
      <c r="B342" s="2966" t="s">
        <v>3407</v>
      </c>
      <c r="C342" s="2966"/>
      <c r="D342" s="2966" t="s">
        <v>3079</v>
      </c>
      <c r="E342">
        <v>121.38</v>
      </c>
    </row>
    <row r="343" spans="1:5">
      <c r="A343">
        <v>92</v>
      </c>
      <c r="B343" s="2966" t="s">
        <v>3408</v>
      </c>
      <c r="C343" s="2966"/>
      <c r="D343" s="2966" t="s">
        <v>3079</v>
      </c>
      <c r="E343">
        <v>121.38</v>
      </c>
    </row>
    <row r="344" spans="1:5">
      <c r="A344">
        <v>93</v>
      </c>
      <c r="B344" s="2966" t="s">
        <v>3409</v>
      </c>
      <c r="C344" s="2966"/>
      <c r="D344" s="2966" t="s">
        <v>3079</v>
      </c>
      <c r="E344">
        <v>97.1</v>
      </c>
    </row>
    <row r="345" spans="1:5">
      <c r="A345">
        <v>94</v>
      </c>
      <c r="B345" s="2966" t="s">
        <v>3410</v>
      </c>
      <c r="C345" s="2966"/>
      <c r="D345" s="2966" t="s">
        <v>3079</v>
      </c>
      <c r="E345">
        <v>276.51</v>
      </c>
    </row>
    <row r="346" spans="1:5">
      <c r="A346">
        <v>95</v>
      </c>
      <c r="B346" s="2966" t="s">
        <v>3411</v>
      </c>
      <c r="C346" s="2966"/>
      <c r="D346" s="2966" t="s">
        <v>3079</v>
      </c>
      <c r="E346">
        <v>153.86000000000001</v>
      </c>
    </row>
    <row r="347" spans="1:5">
      <c r="A347">
        <v>96</v>
      </c>
      <c r="B347" s="2966" t="s">
        <v>3412</v>
      </c>
      <c r="C347" s="2966"/>
      <c r="D347" s="2966" t="s">
        <v>3079</v>
      </c>
      <c r="E347">
        <v>276.51</v>
      </c>
    </row>
    <row r="348" spans="1:5">
      <c r="A348">
        <v>97</v>
      </c>
      <c r="B348" s="2966" t="s">
        <v>3413</v>
      </c>
      <c r="C348" s="2966"/>
      <c r="D348" s="2966" t="s">
        <v>3079</v>
      </c>
      <c r="E348">
        <v>97.1</v>
      </c>
    </row>
    <row r="349" spans="1:5">
      <c r="A349">
        <v>98</v>
      </c>
      <c r="B349" s="2966" t="s">
        <v>3414</v>
      </c>
      <c r="C349" s="2966"/>
      <c r="D349" s="2966" t="s">
        <v>3079</v>
      </c>
      <c r="E349">
        <v>121.38</v>
      </c>
    </row>
    <row r="350" spans="1:5">
      <c r="A350">
        <v>99</v>
      </c>
      <c r="B350" s="2966" t="s">
        <v>3415</v>
      </c>
      <c r="C350" s="2966"/>
      <c r="D350" s="2966" t="s">
        <v>3079</v>
      </c>
      <c r="E350">
        <v>121.38</v>
      </c>
    </row>
    <row r="351" spans="1:5">
      <c r="A351">
        <v>100</v>
      </c>
      <c r="B351" s="2966" t="s">
        <v>3416</v>
      </c>
      <c r="C351" s="2966"/>
      <c r="D351" s="2966" t="s">
        <v>3079</v>
      </c>
      <c r="E351">
        <v>97.1</v>
      </c>
    </row>
    <row r="352" spans="1:5">
      <c r="A352">
        <v>101</v>
      </c>
      <c r="B352" s="2966" t="s">
        <v>3417</v>
      </c>
      <c r="C352" s="2966"/>
      <c r="D352" s="2966" t="s">
        <v>3079</v>
      </c>
      <c r="E352">
        <v>276.49</v>
      </c>
    </row>
    <row r="353" spans="1:10">
      <c r="A353">
        <v>102</v>
      </c>
      <c r="B353" s="2966" t="s">
        <v>3418</v>
      </c>
      <c r="C353" s="2966"/>
      <c r="D353" s="2966" t="s">
        <v>3079</v>
      </c>
      <c r="E353">
        <v>153.86000000000001</v>
      </c>
    </row>
    <row r="354" spans="1:10">
      <c r="A354">
        <v>103</v>
      </c>
      <c r="B354" s="2966" t="s">
        <v>3419</v>
      </c>
      <c r="C354" s="2966"/>
      <c r="D354" s="2966" t="s">
        <v>3079</v>
      </c>
      <c r="E354">
        <v>276.51</v>
      </c>
    </row>
    <row r="355" spans="1:10">
      <c r="A355">
        <v>104</v>
      </c>
      <c r="B355" s="2966" t="s">
        <v>3420</v>
      </c>
      <c r="C355" s="2966"/>
      <c r="D355" s="2966" t="s">
        <v>3079</v>
      </c>
      <c r="E355">
        <v>97.1</v>
      </c>
    </row>
    <row r="356" spans="1:10">
      <c r="A356">
        <v>105</v>
      </c>
      <c r="B356" s="2966" t="s">
        <v>3421</v>
      </c>
      <c r="C356" s="2966"/>
      <c r="D356" s="2966" t="s">
        <v>3079</v>
      </c>
      <c r="E356">
        <v>121.38</v>
      </c>
    </row>
    <row r="357" spans="1:10">
      <c r="A357">
        <v>106</v>
      </c>
      <c r="B357" s="2966" t="s">
        <v>3422</v>
      </c>
      <c r="C357" s="2966"/>
      <c r="D357" s="2966" t="s">
        <v>3079</v>
      </c>
      <c r="E357">
        <v>121.38</v>
      </c>
    </row>
    <row r="358" spans="1:10">
      <c r="A358">
        <v>107</v>
      </c>
      <c r="B358" s="2966" t="s">
        <v>3423</v>
      </c>
      <c r="C358" s="2966"/>
      <c r="D358" s="2966" t="s">
        <v>3079</v>
      </c>
      <c r="E358">
        <v>97.1</v>
      </c>
    </row>
    <row r="359" spans="1:10">
      <c r="A359">
        <v>108</v>
      </c>
      <c r="B359" s="2966" t="s">
        <v>3424</v>
      </c>
      <c r="C359" s="2966"/>
      <c r="D359" s="2966" t="s">
        <v>3079</v>
      </c>
      <c r="E359">
        <v>249.38</v>
      </c>
    </row>
    <row r="360" spans="1:10">
      <c r="A360">
        <v>109</v>
      </c>
      <c r="B360" s="2966" t="s">
        <v>3425</v>
      </c>
      <c r="C360" s="2966"/>
      <c r="D360" s="2966" t="s">
        <v>3079</v>
      </c>
      <c r="E360">
        <v>97.1</v>
      </c>
    </row>
    <row r="361" spans="1:10">
      <c r="A361">
        <v>110</v>
      </c>
      <c r="B361" s="2966" t="s">
        <v>3426</v>
      </c>
      <c r="C361" s="2966"/>
      <c r="D361" s="2966" t="s">
        <v>3079</v>
      </c>
      <c r="E361">
        <v>276.49</v>
      </c>
    </row>
    <row r="362" spans="1:10">
      <c r="A362">
        <v>111</v>
      </c>
      <c r="B362" s="2966" t="s">
        <v>3427</v>
      </c>
      <c r="C362" s="2966"/>
      <c r="D362" s="2966" t="s">
        <v>3079</v>
      </c>
      <c r="E362">
        <v>153.86000000000001</v>
      </c>
    </row>
    <row r="363" spans="1:10">
      <c r="A363">
        <v>112</v>
      </c>
      <c r="B363" s="2966" t="s">
        <v>3428</v>
      </c>
      <c r="C363" s="2966"/>
      <c r="D363" s="2966" t="s">
        <v>3079</v>
      </c>
      <c r="E363">
        <v>276.51</v>
      </c>
    </row>
    <row r="364" spans="1:10">
      <c r="A364">
        <v>113</v>
      </c>
      <c r="B364" s="2966" t="s">
        <v>3429</v>
      </c>
      <c r="C364" s="2966"/>
      <c r="D364" s="2966" t="s">
        <v>3079</v>
      </c>
      <c r="E364">
        <v>97.1</v>
      </c>
    </row>
    <row r="365" spans="1:10">
      <c r="A365">
        <v>114</v>
      </c>
      <c r="B365" s="2966" t="s">
        <v>3430</v>
      </c>
      <c r="C365" s="2966"/>
      <c r="D365" s="2966" t="s">
        <v>3079</v>
      </c>
      <c r="E365">
        <v>249.38</v>
      </c>
    </row>
    <row r="366" spans="1:10">
      <c r="B366" s="2966" t="s">
        <v>3436</v>
      </c>
      <c r="E366">
        <f>SUM(E252:E365)</f>
        <v>20860.549999999996</v>
      </c>
    </row>
    <row r="367" spans="1:10">
      <c r="A367">
        <v>1</v>
      </c>
      <c r="B367" s="2966" t="s">
        <v>3676</v>
      </c>
      <c r="D367" s="2966" t="s">
        <v>3677</v>
      </c>
      <c r="E367">
        <v>75.31</v>
      </c>
      <c r="G367" s="2966" t="s">
        <v>3696</v>
      </c>
      <c r="H367" s="2966" t="s">
        <v>3699</v>
      </c>
      <c r="I367" s="2966" t="s">
        <v>3698</v>
      </c>
      <c r="J367">
        <f>E492+SUM(E494:E497)+E499+SUM(E501:E502)+SUM(E504:E505)</f>
        <v>5187.51</v>
      </c>
    </row>
    <row r="368" spans="1:10">
      <c r="A368">
        <v>2</v>
      </c>
      <c r="B368" s="2966" t="s">
        <v>3549</v>
      </c>
      <c r="D368" s="2966" t="s">
        <v>3677</v>
      </c>
      <c r="E368">
        <v>75.31</v>
      </c>
      <c r="I368" s="2966" t="s">
        <v>3701</v>
      </c>
      <c r="J368">
        <f>SUM(E472:E480)</f>
        <v>1163.6300000000001</v>
      </c>
    </row>
    <row r="369" spans="1:12">
      <c r="A369">
        <v>3</v>
      </c>
      <c r="B369" s="2966" t="s">
        <v>3550</v>
      </c>
      <c r="D369" s="2966" t="s">
        <v>3677</v>
      </c>
      <c r="E369">
        <v>73.81</v>
      </c>
      <c r="H369" s="2966" t="s">
        <v>3702</v>
      </c>
      <c r="J369">
        <f>SUM(E367:E471)+SUM(E515:E618)</f>
        <v>15254.020000000017</v>
      </c>
      <c r="K369">
        <v>209</v>
      </c>
      <c r="L369">
        <f>J369/K369</f>
        <v>72.985741626794336</v>
      </c>
    </row>
    <row r="370" spans="1:12">
      <c r="A370">
        <v>4</v>
      </c>
      <c r="B370" s="2966" t="s">
        <v>3551</v>
      </c>
      <c r="D370" s="2966" t="s">
        <v>3677</v>
      </c>
      <c r="E370">
        <v>75.31</v>
      </c>
      <c r="H370" s="2966" t="s">
        <v>3703</v>
      </c>
      <c r="J370">
        <f>SUM(E481:E491)+E493+E498+E500+E503+SUM(E506:E514)</f>
        <v>2046.64</v>
      </c>
    </row>
    <row r="371" spans="1:12">
      <c r="A371">
        <v>5</v>
      </c>
      <c r="B371" s="2966" t="s">
        <v>3552</v>
      </c>
      <c r="D371" s="2966" t="s">
        <v>3677</v>
      </c>
      <c r="E371">
        <v>75.31</v>
      </c>
      <c r="J371">
        <f>SUM(J367:J370)</f>
        <v>23651.800000000017</v>
      </c>
    </row>
    <row r="372" spans="1:12">
      <c r="A372">
        <v>6</v>
      </c>
      <c r="B372" s="2966" t="s">
        <v>3553</v>
      </c>
      <c r="D372" s="2966" t="s">
        <v>3677</v>
      </c>
      <c r="E372">
        <v>75.31</v>
      </c>
    </row>
    <row r="373" spans="1:12">
      <c r="A373">
        <v>7</v>
      </c>
      <c r="B373" s="2966" t="s">
        <v>3554</v>
      </c>
      <c r="D373" s="2966" t="s">
        <v>3677</v>
      </c>
      <c r="E373">
        <v>75.31</v>
      </c>
    </row>
    <row r="374" spans="1:12">
      <c r="A374">
        <v>8</v>
      </c>
      <c r="B374" s="2966" t="s">
        <v>3555</v>
      </c>
      <c r="D374" s="2966" t="s">
        <v>3677</v>
      </c>
      <c r="E374">
        <v>73.81</v>
      </c>
    </row>
    <row r="375" spans="1:12">
      <c r="A375">
        <v>9</v>
      </c>
      <c r="B375" s="2966" t="s">
        <v>3556</v>
      </c>
      <c r="D375" s="2966" t="s">
        <v>3677</v>
      </c>
      <c r="E375">
        <v>75.31</v>
      </c>
    </row>
    <row r="376" spans="1:12">
      <c r="A376">
        <v>10</v>
      </c>
      <c r="B376" s="2966" t="s">
        <v>3557</v>
      </c>
      <c r="D376" s="2966" t="s">
        <v>3677</v>
      </c>
      <c r="E376">
        <v>75.31</v>
      </c>
    </row>
    <row r="377" spans="1:12">
      <c r="A377">
        <v>11</v>
      </c>
      <c r="B377" s="2966" t="s">
        <v>3558</v>
      </c>
      <c r="D377" s="2966" t="s">
        <v>3677</v>
      </c>
      <c r="E377">
        <v>73.81</v>
      </c>
    </row>
    <row r="378" spans="1:12">
      <c r="A378">
        <v>12</v>
      </c>
      <c r="B378" s="2966" t="s">
        <v>3559</v>
      </c>
      <c r="D378" s="2966" t="s">
        <v>3677</v>
      </c>
      <c r="E378">
        <v>75.31</v>
      </c>
    </row>
    <row r="379" spans="1:12">
      <c r="A379">
        <v>13</v>
      </c>
      <c r="B379" s="2966" t="s">
        <v>3560</v>
      </c>
      <c r="D379" s="2966" t="s">
        <v>3677</v>
      </c>
      <c r="E379">
        <v>75.31</v>
      </c>
    </row>
    <row r="380" spans="1:12">
      <c r="A380">
        <v>14</v>
      </c>
      <c r="B380" s="2966" t="s">
        <v>3561</v>
      </c>
      <c r="D380" s="2966" t="s">
        <v>3677</v>
      </c>
      <c r="E380">
        <v>73.81</v>
      </c>
    </row>
    <row r="381" spans="1:12">
      <c r="A381">
        <v>15</v>
      </c>
      <c r="B381" s="2966" t="s">
        <v>3562</v>
      </c>
      <c r="D381" s="2966" t="s">
        <v>3677</v>
      </c>
      <c r="E381">
        <v>75.31</v>
      </c>
    </row>
    <row r="382" spans="1:12">
      <c r="A382">
        <v>16</v>
      </c>
      <c r="B382" s="2966" t="s">
        <v>3563</v>
      </c>
      <c r="D382" s="2966" t="s">
        <v>3677</v>
      </c>
      <c r="E382">
        <v>75.31</v>
      </c>
    </row>
    <row r="383" spans="1:12">
      <c r="A383">
        <v>17</v>
      </c>
      <c r="B383" s="2966" t="s">
        <v>3564</v>
      </c>
      <c r="D383" s="2966" t="s">
        <v>3677</v>
      </c>
      <c r="E383">
        <v>73.81</v>
      </c>
    </row>
    <row r="384" spans="1:12">
      <c r="A384">
        <v>18</v>
      </c>
      <c r="B384" s="2966" t="s">
        <v>3565</v>
      </c>
      <c r="D384" s="2966" t="s">
        <v>3677</v>
      </c>
      <c r="E384">
        <v>75.31</v>
      </c>
    </row>
    <row r="385" spans="1:5">
      <c r="A385">
        <v>19</v>
      </c>
      <c r="B385" s="2966" t="s">
        <v>3566</v>
      </c>
      <c r="D385" s="2966" t="s">
        <v>3677</v>
      </c>
      <c r="E385">
        <v>75.31</v>
      </c>
    </row>
    <row r="386" spans="1:5">
      <c r="A386">
        <v>20</v>
      </c>
      <c r="B386" s="2966" t="s">
        <v>3567</v>
      </c>
      <c r="D386" s="2966" t="s">
        <v>3677</v>
      </c>
      <c r="E386">
        <v>73.81</v>
      </c>
    </row>
    <row r="387" spans="1:5">
      <c r="A387">
        <v>21</v>
      </c>
      <c r="B387" s="2966" t="s">
        <v>3568</v>
      </c>
      <c r="D387" s="2966" t="s">
        <v>3677</v>
      </c>
      <c r="E387">
        <v>75.31</v>
      </c>
    </row>
    <row r="388" spans="1:5">
      <c r="A388">
        <v>22</v>
      </c>
      <c r="B388" s="2966" t="s">
        <v>3569</v>
      </c>
      <c r="D388" s="2966" t="s">
        <v>3677</v>
      </c>
      <c r="E388">
        <v>75.31</v>
      </c>
    </row>
    <row r="389" spans="1:5">
      <c r="A389">
        <v>23</v>
      </c>
      <c r="B389" s="2966" t="s">
        <v>3570</v>
      </c>
      <c r="D389" s="2966" t="s">
        <v>3677</v>
      </c>
      <c r="E389">
        <v>73.81</v>
      </c>
    </row>
    <row r="390" spans="1:5">
      <c r="A390">
        <v>24</v>
      </c>
      <c r="B390" s="2966" t="s">
        <v>3571</v>
      </c>
      <c r="D390" s="2966" t="s">
        <v>3677</v>
      </c>
      <c r="E390">
        <v>75.31</v>
      </c>
    </row>
    <row r="391" spans="1:5">
      <c r="A391">
        <v>25</v>
      </c>
      <c r="B391" s="2966" t="s">
        <v>3572</v>
      </c>
      <c r="D391" s="2966" t="s">
        <v>3677</v>
      </c>
      <c r="E391">
        <v>75.31</v>
      </c>
    </row>
    <row r="392" spans="1:5">
      <c r="A392">
        <v>26</v>
      </c>
      <c r="B392" s="2966" t="s">
        <v>3573</v>
      </c>
      <c r="D392" s="2966" t="s">
        <v>3677</v>
      </c>
      <c r="E392">
        <v>73.81</v>
      </c>
    </row>
    <row r="393" spans="1:5">
      <c r="A393">
        <v>27</v>
      </c>
      <c r="B393" s="2966" t="s">
        <v>3574</v>
      </c>
      <c r="D393" s="2966" t="s">
        <v>3677</v>
      </c>
      <c r="E393">
        <v>75.31</v>
      </c>
    </row>
    <row r="394" spans="1:5">
      <c r="A394">
        <v>28</v>
      </c>
      <c r="B394" s="2966" t="s">
        <v>3575</v>
      </c>
      <c r="D394" s="2966" t="s">
        <v>3677</v>
      </c>
      <c r="E394">
        <v>72.36</v>
      </c>
    </row>
    <row r="395" spans="1:5">
      <c r="A395">
        <v>29</v>
      </c>
      <c r="B395" s="2966" t="s">
        <v>3576</v>
      </c>
      <c r="D395" s="2966" t="s">
        <v>3677</v>
      </c>
      <c r="E395">
        <v>73.81</v>
      </c>
    </row>
    <row r="396" spans="1:5">
      <c r="A396">
        <v>30</v>
      </c>
      <c r="B396" s="2966" t="s">
        <v>3577</v>
      </c>
      <c r="D396" s="2966" t="s">
        <v>3677</v>
      </c>
      <c r="E396">
        <v>75.31</v>
      </c>
    </row>
    <row r="397" spans="1:5">
      <c r="A397">
        <v>31</v>
      </c>
      <c r="B397" s="2966" t="s">
        <v>3578</v>
      </c>
      <c r="D397" s="2966" t="s">
        <v>3677</v>
      </c>
      <c r="E397">
        <v>75.31</v>
      </c>
    </row>
    <row r="398" spans="1:5">
      <c r="A398">
        <v>32</v>
      </c>
      <c r="B398" s="2966" t="s">
        <v>3579</v>
      </c>
      <c r="D398" s="2966" t="s">
        <v>3677</v>
      </c>
      <c r="E398">
        <v>73.81</v>
      </c>
    </row>
    <row r="399" spans="1:5">
      <c r="A399">
        <v>33</v>
      </c>
      <c r="B399" s="2966" t="s">
        <v>3580</v>
      </c>
      <c r="D399" s="2966" t="s">
        <v>3677</v>
      </c>
      <c r="E399">
        <v>75.31</v>
      </c>
    </row>
    <row r="400" spans="1:5">
      <c r="A400">
        <v>34</v>
      </c>
      <c r="B400" s="2966" t="s">
        <v>3581</v>
      </c>
      <c r="D400" s="2966" t="s">
        <v>3677</v>
      </c>
      <c r="E400">
        <v>64.41</v>
      </c>
    </row>
    <row r="401" spans="1:5">
      <c r="A401">
        <v>35</v>
      </c>
      <c r="B401" s="2966" t="s">
        <v>3582</v>
      </c>
      <c r="D401" s="2966" t="s">
        <v>3677</v>
      </c>
      <c r="E401">
        <v>64.41</v>
      </c>
    </row>
    <row r="402" spans="1:5">
      <c r="A402">
        <v>36</v>
      </c>
      <c r="B402" s="2966" t="s">
        <v>3583</v>
      </c>
      <c r="D402" s="2966" t="s">
        <v>3677</v>
      </c>
      <c r="E402">
        <v>64.41</v>
      </c>
    </row>
    <row r="403" spans="1:5">
      <c r="A403">
        <v>37</v>
      </c>
      <c r="B403" s="2966" t="s">
        <v>3584</v>
      </c>
      <c r="D403" s="2966" t="s">
        <v>3677</v>
      </c>
      <c r="E403">
        <v>64.41</v>
      </c>
    </row>
    <row r="404" spans="1:5">
      <c r="A404">
        <v>38</v>
      </c>
      <c r="B404" s="2966" t="s">
        <v>3585</v>
      </c>
      <c r="D404" s="2966" t="s">
        <v>3677</v>
      </c>
      <c r="E404">
        <v>64.41</v>
      </c>
    </row>
    <row r="405" spans="1:5">
      <c r="A405">
        <v>39</v>
      </c>
      <c r="B405" s="2966" t="s">
        <v>3586</v>
      </c>
      <c r="D405" s="2966" t="s">
        <v>3677</v>
      </c>
      <c r="E405">
        <v>65.489999999999995</v>
      </c>
    </row>
    <row r="406" spans="1:5">
      <c r="A406">
        <v>40</v>
      </c>
      <c r="B406" s="2966" t="s">
        <v>3587</v>
      </c>
      <c r="D406" s="2966" t="s">
        <v>3677</v>
      </c>
      <c r="E406">
        <v>65.489999999999995</v>
      </c>
    </row>
    <row r="407" spans="1:5">
      <c r="A407">
        <v>41</v>
      </c>
      <c r="B407" s="2966" t="s">
        <v>3588</v>
      </c>
      <c r="D407" s="2966" t="s">
        <v>3677</v>
      </c>
      <c r="E407">
        <v>65.489999999999995</v>
      </c>
    </row>
    <row r="408" spans="1:5">
      <c r="A408">
        <v>42</v>
      </c>
      <c r="B408" s="2966" t="s">
        <v>3589</v>
      </c>
      <c r="D408" s="2966" t="s">
        <v>3677</v>
      </c>
      <c r="E408">
        <v>74.61</v>
      </c>
    </row>
    <row r="409" spans="1:5">
      <c r="A409">
        <v>43</v>
      </c>
      <c r="B409" s="2966" t="s">
        <v>3590</v>
      </c>
      <c r="D409" s="2966" t="s">
        <v>3677</v>
      </c>
      <c r="E409">
        <v>73.16</v>
      </c>
    </row>
    <row r="410" spans="1:5">
      <c r="A410">
        <v>44</v>
      </c>
      <c r="B410" s="2966" t="s">
        <v>3591</v>
      </c>
      <c r="D410" s="2966" t="s">
        <v>3677</v>
      </c>
      <c r="E410">
        <v>74.61</v>
      </c>
    </row>
    <row r="411" spans="1:5">
      <c r="A411">
        <v>45</v>
      </c>
      <c r="B411" s="2966" t="s">
        <v>3592</v>
      </c>
      <c r="D411" s="2966" t="s">
        <v>3677</v>
      </c>
      <c r="E411">
        <v>74.61</v>
      </c>
    </row>
    <row r="412" spans="1:5">
      <c r="A412">
        <v>46</v>
      </c>
      <c r="B412" s="2966" t="s">
        <v>3593</v>
      </c>
      <c r="D412" s="2966" t="s">
        <v>3677</v>
      </c>
      <c r="E412">
        <v>73.16</v>
      </c>
    </row>
    <row r="413" spans="1:5">
      <c r="A413">
        <v>47</v>
      </c>
      <c r="B413" s="2966" t="s">
        <v>3594</v>
      </c>
      <c r="D413" s="2966" t="s">
        <v>3677</v>
      </c>
      <c r="E413">
        <v>74.61</v>
      </c>
    </row>
    <row r="414" spans="1:5">
      <c r="A414">
        <v>48</v>
      </c>
      <c r="B414" s="2966" t="s">
        <v>3595</v>
      </c>
      <c r="D414" s="2966" t="s">
        <v>3677</v>
      </c>
      <c r="E414">
        <v>74.61</v>
      </c>
    </row>
    <row r="415" spans="1:5">
      <c r="A415">
        <v>49</v>
      </c>
      <c r="B415" s="2966" t="s">
        <v>3596</v>
      </c>
      <c r="D415" s="2966" t="s">
        <v>3677</v>
      </c>
      <c r="E415">
        <v>73.16</v>
      </c>
    </row>
    <row r="416" spans="1:5">
      <c r="A416">
        <v>50</v>
      </c>
      <c r="B416" s="2966" t="s">
        <v>3597</v>
      </c>
      <c r="D416" s="2966" t="s">
        <v>3677</v>
      </c>
      <c r="E416">
        <v>74.61</v>
      </c>
    </row>
    <row r="417" spans="1:5">
      <c r="A417">
        <v>51</v>
      </c>
      <c r="B417" s="2966" t="s">
        <v>3598</v>
      </c>
      <c r="D417" s="2966" t="s">
        <v>3677</v>
      </c>
      <c r="E417">
        <v>74.61</v>
      </c>
    </row>
    <row r="418" spans="1:5">
      <c r="A418">
        <v>52</v>
      </c>
      <c r="B418" s="2966" t="s">
        <v>3599</v>
      </c>
      <c r="D418" s="2966" t="s">
        <v>3677</v>
      </c>
      <c r="E418">
        <v>73.16</v>
      </c>
    </row>
    <row r="419" spans="1:5">
      <c r="A419">
        <v>53</v>
      </c>
      <c r="B419" s="2966" t="s">
        <v>3600</v>
      </c>
      <c r="D419" s="2966" t="s">
        <v>3677</v>
      </c>
      <c r="E419">
        <v>74.61</v>
      </c>
    </row>
    <row r="420" spans="1:5">
      <c r="A420">
        <v>54</v>
      </c>
      <c r="B420" s="2966" t="s">
        <v>3601</v>
      </c>
      <c r="D420" s="2966" t="s">
        <v>3677</v>
      </c>
      <c r="E420">
        <v>65.489999999999995</v>
      </c>
    </row>
    <row r="421" spans="1:5">
      <c r="A421">
        <v>55</v>
      </c>
      <c r="B421" s="2966" t="s">
        <v>3602</v>
      </c>
      <c r="D421" s="2966" t="s">
        <v>3677</v>
      </c>
      <c r="E421">
        <v>74.61</v>
      </c>
    </row>
    <row r="422" spans="1:5">
      <c r="A422">
        <v>56</v>
      </c>
      <c r="B422" s="2966" t="s">
        <v>3603</v>
      </c>
      <c r="D422" s="2966" t="s">
        <v>3677</v>
      </c>
      <c r="E422">
        <v>73.16</v>
      </c>
    </row>
    <row r="423" spans="1:5">
      <c r="A423">
        <v>57</v>
      </c>
      <c r="B423" s="2966" t="s">
        <v>3604</v>
      </c>
      <c r="D423" s="2966" t="s">
        <v>3677</v>
      </c>
      <c r="E423">
        <v>74.61</v>
      </c>
    </row>
    <row r="424" spans="1:5">
      <c r="A424">
        <v>58</v>
      </c>
      <c r="B424" s="2966" t="s">
        <v>3605</v>
      </c>
      <c r="D424" s="2966" t="s">
        <v>3677</v>
      </c>
      <c r="E424">
        <v>74.61</v>
      </c>
    </row>
    <row r="425" spans="1:5">
      <c r="A425">
        <v>59</v>
      </c>
      <c r="B425" s="2966" t="s">
        <v>3606</v>
      </c>
      <c r="D425" s="2966" t="s">
        <v>3677</v>
      </c>
      <c r="E425">
        <v>73.16</v>
      </c>
    </row>
    <row r="426" spans="1:5">
      <c r="A426">
        <v>60</v>
      </c>
      <c r="B426" s="2966" t="s">
        <v>3607</v>
      </c>
      <c r="D426" s="2966" t="s">
        <v>3677</v>
      </c>
      <c r="E426">
        <v>74.61</v>
      </c>
    </row>
    <row r="427" spans="1:5">
      <c r="A427">
        <v>61</v>
      </c>
      <c r="B427" s="2966" t="s">
        <v>3608</v>
      </c>
      <c r="D427" s="2966" t="s">
        <v>3677</v>
      </c>
      <c r="E427">
        <v>74.61</v>
      </c>
    </row>
    <row r="428" spans="1:5">
      <c r="A428">
        <v>62</v>
      </c>
      <c r="B428" s="2966" t="s">
        <v>3609</v>
      </c>
      <c r="D428" s="2966" t="s">
        <v>3677</v>
      </c>
      <c r="E428">
        <v>73.16</v>
      </c>
    </row>
    <row r="429" spans="1:5">
      <c r="A429">
        <v>63</v>
      </c>
      <c r="B429" s="2966" t="s">
        <v>3610</v>
      </c>
      <c r="D429" s="2966" t="s">
        <v>3677</v>
      </c>
      <c r="E429">
        <v>74.61</v>
      </c>
    </row>
    <row r="430" spans="1:5">
      <c r="A430">
        <v>64</v>
      </c>
      <c r="B430" s="2966" t="s">
        <v>3611</v>
      </c>
      <c r="D430" s="2966" t="s">
        <v>3677</v>
      </c>
      <c r="E430">
        <v>74.61</v>
      </c>
    </row>
    <row r="431" spans="1:5">
      <c r="A431">
        <v>65</v>
      </c>
      <c r="B431" s="2966" t="s">
        <v>3612</v>
      </c>
      <c r="D431" s="2966" t="s">
        <v>3677</v>
      </c>
      <c r="E431">
        <v>73.16</v>
      </c>
    </row>
    <row r="432" spans="1:5">
      <c r="A432">
        <v>66</v>
      </c>
      <c r="B432" s="2966" t="s">
        <v>3613</v>
      </c>
      <c r="D432" s="2966" t="s">
        <v>3677</v>
      </c>
      <c r="E432">
        <v>74.61</v>
      </c>
    </row>
    <row r="433" spans="1:5">
      <c r="A433">
        <v>67</v>
      </c>
      <c r="B433" s="2966" t="s">
        <v>3614</v>
      </c>
      <c r="D433" s="2966" t="s">
        <v>3677</v>
      </c>
      <c r="E433">
        <v>66.56</v>
      </c>
    </row>
    <row r="434" spans="1:5">
      <c r="A434">
        <v>68</v>
      </c>
      <c r="B434" s="2966" t="s">
        <v>3615</v>
      </c>
      <c r="D434" s="2966" t="s">
        <v>3677</v>
      </c>
      <c r="E434">
        <v>66.02</v>
      </c>
    </row>
    <row r="435" spans="1:5">
      <c r="A435">
        <v>69</v>
      </c>
      <c r="B435" s="2966" t="s">
        <v>3616</v>
      </c>
      <c r="D435" s="2966" t="s">
        <v>3677</v>
      </c>
      <c r="E435">
        <v>66.56</v>
      </c>
    </row>
    <row r="436" spans="1:5">
      <c r="A436">
        <v>70</v>
      </c>
      <c r="B436" s="2966" t="s">
        <v>3617</v>
      </c>
      <c r="D436" s="2966" t="s">
        <v>3677</v>
      </c>
      <c r="E436">
        <v>75.31</v>
      </c>
    </row>
    <row r="437" spans="1:5">
      <c r="A437">
        <v>71</v>
      </c>
      <c r="B437" s="2966" t="s">
        <v>3618</v>
      </c>
      <c r="D437" s="2966" t="s">
        <v>3677</v>
      </c>
      <c r="E437">
        <v>75.31</v>
      </c>
    </row>
    <row r="438" spans="1:5">
      <c r="A438">
        <v>72</v>
      </c>
      <c r="B438" s="2966" t="s">
        <v>3619</v>
      </c>
      <c r="D438" s="2966" t="s">
        <v>3677</v>
      </c>
      <c r="E438">
        <v>65.489999999999995</v>
      </c>
    </row>
    <row r="439" spans="1:5">
      <c r="A439">
        <v>73</v>
      </c>
      <c r="B439" s="2966" t="s">
        <v>3620</v>
      </c>
      <c r="D439" s="2966" t="s">
        <v>3677</v>
      </c>
      <c r="E439">
        <v>75.31</v>
      </c>
    </row>
    <row r="440" spans="1:5">
      <c r="A440">
        <v>74</v>
      </c>
      <c r="B440" s="2966" t="s">
        <v>3621</v>
      </c>
      <c r="D440" s="2966" t="s">
        <v>3677</v>
      </c>
      <c r="E440">
        <v>73.81</v>
      </c>
    </row>
    <row r="441" spans="1:5">
      <c r="A441">
        <v>75</v>
      </c>
      <c r="B441" s="2966" t="s">
        <v>3622</v>
      </c>
      <c r="D441" s="2966" t="s">
        <v>3677</v>
      </c>
      <c r="E441">
        <v>75.31</v>
      </c>
    </row>
    <row r="442" spans="1:5">
      <c r="A442">
        <v>76</v>
      </c>
      <c r="B442" s="2966" t="s">
        <v>3623</v>
      </c>
      <c r="D442" s="2966" t="s">
        <v>3677</v>
      </c>
      <c r="E442">
        <v>75.31</v>
      </c>
    </row>
    <row r="443" spans="1:5">
      <c r="A443">
        <v>77</v>
      </c>
      <c r="B443" s="2966" t="s">
        <v>3624</v>
      </c>
      <c r="D443" s="2966" t="s">
        <v>3677</v>
      </c>
      <c r="E443">
        <v>73.81</v>
      </c>
    </row>
    <row r="444" spans="1:5">
      <c r="A444">
        <v>78</v>
      </c>
      <c r="B444" s="2966" t="s">
        <v>3625</v>
      </c>
      <c r="D444" s="2966" t="s">
        <v>3677</v>
      </c>
      <c r="E444">
        <v>73.81</v>
      </c>
    </row>
    <row r="445" spans="1:5">
      <c r="A445">
        <v>79</v>
      </c>
      <c r="B445" s="2966" t="s">
        <v>3626</v>
      </c>
      <c r="D445" s="2966" t="s">
        <v>3677</v>
      </c>
      <c r="E445">
        <v>73.81</v>
      </c>
    </row>
    <row r="446" spans="1:5">
      <c r="A446">
        <v>80</v>
      </c>
      <c r="B446" s="2966" t="s">
        <v>3627</v>
      </c>
      <c r="D446" s="2966" t="s">
        <v>3677</v>
      </c>
      <c r="E446">
        <v>73.81</v>
      </c>
    </row>
    <row r="447" spans="1:5">
      <c r="A447">
        <v>81</v>
      </c>
      <c r="B447" s="2966" t="s">
        <v>3628</v>
      </c>
      <c r="D447" s="2966" t="s">
        <v>3677</v>
      </c>
      <c r="E447">
        <v>73.81</v>
      </c>
    </row>
    <row r="448" spans="1:5">
      <c r="A448">
        <v>82</v>
      </c>
      <c r="B448" s="2966" t="s">
        <v>3629</v>
      </c>
      <c r="D448" s="2966" t="s">
        <v>3677</v>
      </c>
      <c r="E448">
        <v>73.81</v>
      </c>
    </row>
    <row r="449" spans="1:5">
      <c r="A449">
        <v>83</v>
      </c>
      <c r="B449" s="2966" t="s">
        <v>3630</v>
      </c>
      <c r="D449" s="2966" t="s">
        <v>3677</v>
      </c>
      <c r="E449">
        <v>73.81</v>
      </c>
    </row>
    <row r="450" spans="1:5">
      <c r="A450">
        <v>84</v>
      </c>
      <c r="B450" s="2966" t="s">
        <v>3631</v>
      </c>
      <c r="D450" s="2966" t="s">
        <v>3677</v>
      </c>
      <c r="E450">
        <v>73.81</v>
      </c>
    </row>
    <row r="451" spans="1:5">
      <c r="A451">
        <v>85</v>
      </c>
      <c r="B451" s="2966" t="s">
        <v>3632</v>
      </c>
      <c r="D451" s="2966" t="s">
        <v>3677</v>
      </c>
      <c r="E451">
        <v>73.81</v>
      </c>
    </row>
    <row r="452" spans="1:5">
      <c r="A452">
        <v>86</v>
      </c>
      <c r="B452" s="2966" t="s">
        <v>3633</v>
      </c>
      <c r="D452" s="2966" t="s">
        <v>3677</v>
      </c>
      <c r="E452">
        <v>73.81</v>
      </c>
    </row>
    <row r="453" spans="1:5">
      <c r="A453">
        <v>87</v>
      </c>
      <c r="B453" s="2966" t="s">
        <v>3634</v>
      </c>
      <c r="D453" s="2966" t="s">
        <v>3677</v>
      </c>
      <c r="E453">
        <v>75.31</v>
      </c>
    </row>
    <row r="454" spans="1:5">
      <c r="A454">
        <v>88</v>
      </c>
      <c r="B454" s="2966" t="s">
        <v>3635</v>
      </c>
      <c r="D454" s="2966" t="s">
        <v>3677</v>
      </c>
      <c r="E454">
        <v>75.36</v>
      </c>
    </row>
    <row r="455" spans="1:5">
      <c r="A455">
        <v>89</v>
      </c>
      <c r="B455" s="2966" t="s">
        <v>3636</v>
      </c>
      <c r="D455" s="2966" t="s">
        <v>3677</v>
      </c>
      <c r="E455">
        <v>67.150000000000006</v>
      </c>
    </row>
    <row r="456" spans="1:5">
      <c r="A456">
        <v>90</v>
      </c>
      <c r="B456" s="2966" t="s">
        <v>3637</v>
      </c>
      <c r="D456" s="2966" t="s">
        <v>3677</v>
      </c>
      <c r="E456">
        <v>67.150000000000006</v>
      </c>
    </row>
    <row r="457" spans="1:5">
      <c r="A457">
        <v>91</v>
      </c>
      <c r="B457" s="2966" t="s">
        <v>3638</v>
      </c>
      <c r="D457" s="2966" t="s">
        <v>3677</v>
      </c>
      <c r="E457">
        <v>72.36</v>
      </c>
    </row>
    <row r="458" spans="1:5">
      <c r="A458">
        <v>92</v>
      </c>
      <c r="B458" s="2966" t="s">
        <v>3639</v>
      </c>
      <c r="D458" s="2966" t="s">
        <v>3677</v>
      </c>
      <c r="E458">
        <v>70.86</v>
      </c>
    </row>
    <row r="459" spans="1:5">
      <c r="A459">
        <v>93</v>
      </c>
      <c r="B459" s="2966" t="s">
        <v>3640</v>
      </c>
      <c r="D459" s="2966" t="s">
        <v>3677</v>
      </c>
      <c r="E459">
        <v>72.36</v>
      </c>
    </row>
    <row r="460" spans="1:5">
      <c r="A460">
        <v>94</v>
      </c>
      <c r="B460" s="2966" t="s">
        <v>3641</v>
      </c>
      <c r="D460" s="2966" t="s">
        <v>3677</v>
      </c>
      <c r="E460">
        <v>75.31</v>
      </c>
    </row>
    <row r="461" spans="1:5">
      <c r="A461">
        <v>95</v>
      </c>
      <c r="B461" s="2966" t="s">
        <v>3642</v>
      </c>
      <c r="D461" s="2966" t="s">
        <v>3677</v>
      </c>
      <c r="E461">
        <v>73.81</v>
      </c>
    </row>
    <row r="462" spans="1:5">
      <c r="A462">
        <v>96</v>
      </c>
      <c r="B462" s="2966" t="s">
        <v>3643</v>
      </c>
      <c r="D462" s="2966" t="s">
        <v>3677</v>
      </c>
      <c r="E462">
        <v>75.31</v>
      </c>
    </row>
    <row r="463" spans="1:5">
      <c r="A463">
        <v>97</v>
      </c>
      <c r="B463" s="2966" t="s">
        <v>3644</v>
      </c>
      <c r="D463" s="2966" t="s">
        <v>3677</v>
      </c>
      <c r="E463">
        <v>75.31</v>
      </c>
    </row>
    <row r="464" spans="1:5">
      <c r="A464">
        <v>98</v>
      </c>
      <c r="B464" s="2966" t="s">
        <v>3645</v>
      </c>
      <c r="D464" s="2966" t="s">
        <v>3677</v>
      </c>
      <c r="E464">
        <v>73.81</v>
      </c>
    </row>
    <row r="465" spans="1:5">
      <c r="A465">
        <v>99</v>
      </c>
      <c r="B465" s="2966" t="s">
        <v>3646</v>
      </c>
      <c r="D465" s="2966" t="s">
        <v>3677</v>
      </c>
      <c r="E465">
        <v>75.31</v>
      </c>
    </row>
    <row r="466" spans="1:5">
      <c r="A466">
        <v>100</v>
      </c>
      <c r="B466" s="2966" t="s">
        <v>3647</v>
      </c>
      <c r="D466" s="2966" t="s">
        <v>3677</v>
      </c>
      <c r="E466">
        <v>75.31</v>
      </c>
    </row>
    <row r="467" spans="1:5">
      <c r="A467">
        <v>101</v>
      </c>
      <c r="B467" s="2966" t="s">
        <v>3648</v>
      </c>
      <c r="D467" s="2966" t="s">
        <v>3677</v>
      </c>
      <c r="E467">
        <v>73.81</v>
      </c>
    </row>
    <row r="468" spans="1:5">
      <c r="A468">
        <v>102</v>
      </c>
      <c r="B468" s="2966" t="s">
        <v>3649</v>
      </c>
      <c r="D468" s="2966" t="s">
        <v>3677</v>
      </c>
      <c r="E468">
        <v>75.31</v>
      </c>
    </row>
    <row r="469" spans="1:5">
      <c r="A469">
        <v>103</v>
      </c>
      <c r="B469" s="2966" t="s">
        <v>3650</v>
      </c>
      <c r="D469" s="2966" t="s">
        <v>3677</v>
      </c>
      <c r="E469">
        <v>72.36</v>
      </c>
    </row>
    <row r="470" spans="1:5">
      <c r="A470">
        <v>104</v>
      </c>
      <c r="B470" s="2966" t="s">
        <v>3651</v>
      </c>
      <c r="D470" s="2966" t="s">
        <v>3677</v>
      </c>
      <c r="E470">
        <v>70.86</v>
      </c>
    </row>
    <row r="471" spans="1:5">
      <c r="A471">
        <v>105</v>
      </c>
      <c r="B471" s="2966" t="s">
        <v>3652</v>
      </c>
      <c r="D471" s="2966" t="s">
        <v>3677</v>
      </c>
      <c r="E471">
        <v>72.36</v>
      </c>
    </row>
    <row r="472" spans="1:5">
      <c r="A472">
        <v>106</v>
      </c>
      <c r="B472" s="2966" t="s">
        <v>3678</v>
      </c>
      <c r="D472" s="2966" t="s">
        <v>3679</v>
      </c>
      <c r="E472">
        <v>145.15</v>
      </c>
    </row>
    <row r="473" spans="1:5">
      <c r="A473">
        <v>107</v>
      </c>
      <c r="B473" s="2966" t="s">
        <v>3646</v>
      </c>
      <c r="D473" s="2966" t="s">
        <v>3679</v>
      </c>
      <c r="E473">
        <v>178.46</v>
      </c>
    </row>
    <row r="474" spans="1:5">
      <c r="A474">
        <v>108</v>
      </c>
      <c r="B474" s="2966" t="s">
        <v>3647</v>
      </c>
      <c r="D474" s="2966" t="s">
        <v>3679</v>
      </c>
      <c r="E474">
        <v>145.15</v>
      </c>
    </row>
    <row r="475" spans="1:5">
      <c r="A475">
        <v>109</v>
      </c>
      <c r="B475" s="2966" t="s">
        <v>3648</v>
      </c>
      <c r="D475" s="2966" t="s">
        <v>3679</v>
      </c>
      <c r="E475">
        <v>139.72999999999999</v>
      </c>
    </row>
    <row r="476" spans="1:5">
      <c r="A476">
        <v>110</v>
      </c>
      <c r="B476" s="2966" t="s">
        <v>3649</v>
      </c>
      <c r="D476" s="2966" t="s">
        <v>3679</v>
      </c>
      <c r="E476">
        <v>133.96</v>
      </c>
    </row>
    <row r="477" spans="1:5">
      <c r="A477">
        <v>111</v>
      </c>
      <c r="B477" s="2966" t="s">
        <v>3650</v>
      </c>
      <c r="D477" s="2966" t="s">
        <v>3679</v>
      </c>
      <c r="E477">
        <v>155.99</v>
      </c>
    </row>
    <row r="478" spans="1:5">
      <c r="A478">
        <v>112</v>
      </c>
      <c r="B478" s="2966" t="s">
        <v>3651</v>
      </c>
      <c r="D478" s="2966" t="s">
        <v>3679</v>
      </c>
      <c r="E478">
        <v>64.69</v>
      </c>
    </row>
    <row r="479" spans="1:5">
      <c r="A479">
        <v>113</v>
      </c>
      <c r="B479" s="2966" t="s">
        <v>3652</v>
      </c>
      <c r="D479" s="2966" t="s">
        <v>3679</v>
      </c>
      <c r="E479">
        <v>51.55</v>
      </c>
    </row>
    <row r="480" spans="1:5">
      <c r="A480">
        <v>114</v>
      </c>
      <c r="B480" s="2966" t="s">
        <v>3653</v>
      </c>
      <c r="D480" s="2966" t="s">
        <v>3679</v>
      </c>
      <c r="E480">
        <v>148.94999999999999</v>
      </c>
    </row>
    <row r="481" spans="1:5">
      <c r="A481">
        <v>115</v>
      </c>
      <c r="B481" s="2966" t="s">
        <v>3654</v>
      </c>
      <c r="D481" s="2966" t="s">
        <v>3438</v>
      </c>
      <c r="E481">
        <v>279.24</v>
      </c>
    </row>
    <row r="482" spans="1:5">
      <c r="A482">
        <v>116</v>
      </c>
      <c r="B482" s="2966" t="s">
        <v>3655</v>
      </c>
      <c r="D482" s="2966" t="s">
        <v>3438</v>
      </c>
      <c r="E482">
        <v>36.549999999999997</v>
      </c>
    </row>
    <row r="483" spans="1:5">
      <c r="A483">
        <v>117</v>
      </c>
      <c r="B483" s="2966" t="s">
        <v>3656</v>
      </c>
      <c r="D483" s="2966" t="s">
        <v>3438</v>
      </c>
      <c r="E483">
        <v>9.5</v>
      </c>
    </row>
    <row r="484" spans="1:5">
      <c r="A484">
        <v>118</v>
      </c>
      <c r="B484" s="2966" t="s">
        <v>3657</v>
      </c>
      <c r="D484" s="2966" t="s">
        <v>3438</v>
      </c>
      <c r="E484">
        <v>60.16</v>
      </c>
    </row>
    <row r="485" spans="1:5">
      <c r="A485">
        <v>119</v>
      </c>
      <c r="B485" s="2966" t="s">
        <v>3658</v>
      </c>
      <c r="D485" s="2966" t="s">
        <v>3438</v>
      </c>
      <c r="E485">
        <v>107.24</v>
      </c>
    </row>
    <row r="486" spans="1:5">
      <c r="A486">
        <v>120</v>
      </c>
      <c r="B486" s="2966" t="s">
        <v>3659</v>
      </c>
      <c r="D486" s="2966" t="s">
        <v>3438</v>
      </c>
      <c r="E486">
        <v>45.73</v>
      </c>
    </row>
    <row r="487" spans="1:5">
      <c r="A487">
        <v>121</v>
      </c>
      <c r="B487" s="2966" t="s">
        <v>3660</v>
      </c>
      <c r="D487" s="2966" t="s">
        <v>3438</v>
      </c>
      <c r="E487">
        <v>46.61</v>
      </c>
    </row>
    <row r="488" spans="1:5">
      <c r="A488">
        <v>122</v>
      </c>
      <c r="B488" s="2966" t="s">
        <v>3661</v>
      </c>
      <c r="D488" s="2966" t="s">
        <v>3438</v>
      </c>
      <c r="E488">
        <v>61.41</v>
      </c>
    </row>
    <row r="489" spans="1:5">
      <c r="A489">
        <v>123</v>
      </c>
      <c r="B489" s="2966" t="s">
        <v>3662</v>
      </c>
      <c r="D489" s="2966" t="s">
        <v>3438</v>
      </c>
      <c r="E489">
        <v>68.88</v>
      </c>
    </row>
    <row r="490" spans="1:5">
      <c r="A490">
        <v>124</v>
      </c>
      <c r="B490" s="2966" t="s">
        <v>3663</v>
      </c>
      <c r="D490" s="2966" t="s">
        <v>3438</v>
      </c>
      <c r="E490">
        <v>74.5</v>
      </c>
    </row>
    <row r="491" spans="1:5">
      <c r="A491">
        <v>125</v>
      </c>
      <c r="B491" s="2966" t="s">
        <v>3664</v>
      </c>
      <c r="D491" s="2966" t="s">
        <v>3438</v>
      </c>
      <c r="E491">
        <v>53.33</v>
      </c>
    </row>
    <row r="492" spans="1:5">
      <c r="A492">
        <v>126</v>
      </c>
      <c r="B492" s="2966" t="s">
        <v>3680</v>
      </c>
      <c r="D492" s="2966" t="s">
        <v>3679</v>
      </c>
      <c r="E492">
        <v>224.86</v>
      </c>
    </row>
    <row r="493" spans="1:5">
      <c r="A493">
        <v>127</v>
      </c>
      <c r="B493" s="2966" t="s">
        <v>3665</v>
      </c>
      <c r="D493" s="2966" t="s">
        <v>3438</v>
      </c>
      <c r="E493">
        <v>74.849999999999994</v>
      </c>
    </row>
    <row r="494" spans="1:5">
      <c r="A494">
        <v>128</v>
      </c>
      <c r="B494" s="2966" t="s">
        <v>3681</v>
      </c>
      <c r="D494" s="2966" t="s">
        <v>3679</v>
      </c>
      <c r="E494">
        <v>417.08</v>
      </c>
    </row>
    <row r="495" spans="1:5">
      <c r="A495">
        <v>129</v>
      </c>
      <c r="B495" s="2966" t="s">
        <v>3666</v>
      </c>
      <c r="D495" s="2966" t="s">
        <v>3679</v>
      </c>
      <c r="E495">
        <v>546.83000000000004</v>
      </c>
    </row>
    <row r="496" spans="1:5">
      <c r="A496">
        <v>130</v>
      </c>
      <c r="B496" s="2966" t="s">
        <v>3667</v>
      </c>
      <c r="D496" s="2966" t="s">
        <v>3679</v>
      </c>
      <c r="E496">
        <v>879.49</v>
      </c>
    </row>
    <row r="497" spans="1:5">
      <c r="A497">
        <v>131</v>
      </c>
      <c r="B497" s="2966" t="s">
        <v>3668</v>
      </c>
      <c r="D497" s="2966" t="s">
        <v>3679</v>
      </c>
      <c r="E497">
        <v>650.02</v>
      </c>
    </row>
    <row r="498" spans="1:5">
      <c r="A498">
        <v>132</v>
      </c>
      <c r="B498" s="2966" t="s">
        <v>3669</v>
      </c>
      <c r="D498" s="2966" t="s">
        <v>3438</v>
      </c>
      <c r="E498">
        <v>150.78</v>
      </c>
    </row>
    <row r="499" spans="1:5">
      <c r="A499">
        <v>133</v>
      </c>
      <c r="B499" s="2966" t="s">
        <v>3670</v>
      </c>
      <c r="D499" s="2966" t="s">
        <v>3679</v>
      </c>
      <c r="E499">
        <v>581.82000000000005</v>
      </c>
    </row>
    <row r="500" spans="1:5">
      <c r="A500">
        <v>134</v>
      </c>
      <c r="B500" s="2966" t="s">
        <v>3671</v>
      </c>
      <c r="D500" s="2966" t="s">
        <v>3438</v>
      </c>
      <c r="E500">
        <v>71.37</v>
      </c>
    </row>
    <row r="501" spans="1:5">
      <c r="A501">
        <v>135</v>
      </c>
      <c r="B501" s="2966" t="s">
        <v>3672</v>
      </c>
      <c r="D501" s="2966" t="s">
        <v>3679</v>
      </c>
      <c r="E501">
        <v>667.49</v>
      </c>
    </row>
    <row r="502" spans="1:5">
      <c r="A502">
        <v>136</v>
      </c>
      <c r="B502" s="2966" t="s">
        <v>3673</v>
      </c>
      <c r="D502" s="2966" t="s">
        <v>3679</v>
      </c>
      <c r="E502">
        <v>678.43</v>
      </c>
    </row>
    <row r="503" spans="1:5">
      <c r="A503">
        <v>137</v>
      </c>
      <c r="B503" s="2966" t="s">
        <v>3682</v>
      </c>
      <c r="D503" s="2966" t="s">
        <v>3438</v>
      </c>
      <c r="E503">
        <v>334.28</v>
      </c>
    </row>
    <row r="504" spans="1:5">
      <c r="A504">
        <v>138</v>
      </c>
      <c r="B504" s="2966" t="s">
        <v>3674</v>
      </c>
      <c r="D504" s="2966" t="s">
        <v>3679</v>
      </c>
      <c r="E504">
        <v>418.11</v>
      </c>
    </row>
    <row r="505" spans="1:5">
      <c r="A505">
        <v>139</v>
      </c>
      <c r="B505" s="2966" t="s">
        <v>3675</v>
      </c>
      <c r="D505" s="2966" t="s">
        <v>3679</v>
      </c>
      <c r="E505">
        <v>123.38</v>
      </c>
    </row>
    <row r="506" spans="1:5">
      <c r="A506">
        <v>140</v>
      </c>
      <c r="B506" s="2966" t="s">
        <v>3439</v>
      </c>
      <c r="D506" s="2966" t="s">
        <v>3438</v>
      </c>
      <c r="E506">
        <v>41.91</v>
      </c>
    </row>
    <row r="507" spans="1:5">
      <c r="A507">
        <v>141</v>
      </c>
      <c r="B507" s="2966" t="s">
        <v>3440</v>
      </c>
      <c r="D507" s="2966" t="s">
        <v>3438</v>
      </c>
      <c r="E507">
        <v>38.5</v>
      </c>
    </row>
    <row r="508" spans="1:5">
      <c r="A508">
        <v>142</v>
      </c>
      <c r="B508" s="2966" t="s">
        <v>3441</v>
      </c>
      <c r="D508" s="2966" t="s">
        <v>3438</v>
      </c>
      <c r="E508">
        <v>70.97</v>
      </c>
    </row>
    <row r="509" spans="1:5">
      <c r="A509">
        <v>143</v>
      </c>
      <c r="B509" s="2966" t="s">
        <v>3442</v>
      </c>
      <c r="D509" s="2966" t="s">
        <v>3438</v>
      </c>
      <c r="E509">
        <v>97.19</v>
      </c>
    </row>
    <row r="510" spans="1:5">
      <c r="A510">
        <v>144</v>
      </c>
      <c r="B510" s="2966" t="s">
        <v>3443</v>
      </c>
      <c r="D510" s="2966" t="s">
        <v>3438</v>
      </c>
      <c r="E510">
        <v>41.91</v>
      </c>
    </row>
    <row r="511" spans="1:5">
      <c r="A511">
        <v>145</v>
      </c>
      <c r="B511" s="2966" t="s">
        <v>3444</v>
      </c>
      <c r="D511" s="2966" t="s">
        <v>3438</v>
      </c>
      <c r="E511">
        <v>38.5</v>
      </c>
    </row>
    <row r="512" spans="1:5">
      <c r="A512">
        <v>146</v>
      </c>
      <c r="B512" s="2966" t="s">
        <v>3445</v>
      </c>
      <c r="D512" s="2966" t="s">
        <v>3438</v>
      </c>
      <c r="E512">
        <v>93.44</v>
      </c>
    </row>
    <row r="513" spans="1:5">
      <c r="A513">
        <v>147</v>
      </c>
      <c r="B513" s="2966" t="s">
        <v>3446</v>
      </c>
      <c r="D513" s="2966" t="s">
        <v>3438</v>
      </c>
      <c r="E513">
        <v>56.35</v>
      </c>
    </row>
    <row r="514" spans="1:5">
      <c r="A514">
        <v>148</v>
      </c>
      <c r="B514" s="2966" t="s">
        <v>3447</v>
      </c>
      <c r="D514" s="2966" t="s">
        <v>3438</v>
      </c>
      <c r="E514">
        <v>93.44</v>
      </c>
    </row>
    <row r="515" spans="1:5">
      <c r="A515">
        <v>149</v>
      </c>
      <c r="B515" s="2966" t="s">
        <v>3448</v>
      </c>
      <c r="D515" s="2966" t="s">
        <v>3677</v>
      </c>
      <c r="E515">
        <v>73.91</v>
      </c>
    </row>
    <row r="516" spans="1:5">
      <c r="A516">
        <v>150</v>
      </c>
      <c r="B516" s="2966" t="s">
        <v>3449</v>
      </c>
      <c r="D516" s="2966" t="s">
        <v>3677</v>
      </c>
      <c r="E516">
        <v>72.47</v>
      </c>
    </row>
    <row r="517" spans="1:5">
      <c r="A517">
        <v>151</v>
      </c>
      <c r="B517" s="2966" t="s">
        <v>3450</v>
      </c>
      <c r="D517" s="2966" t="s">
        <v>3677</v>
      </c>
      <c r="E517">
        <v>73.91</v>
      </c>
    </row>
    <row r="518" spans="1:5">
      <c r="A518">
        <v>152</v>
      </c>
      <c r="B518" s="2966" t="s">
        <v>3451</v>
      </c>
      <c r="D518" s="2966" t="s">
        <v>3677</v>
      </c>
      <c r="E518">
        <v>73.91</v>
      </c>
    </row>
    <row r="519" spans="1:5">
      <c r="A519">
        <v>153</v>
      </c>
      <c r="B519" s="2966" t="s">
        <v>3452</v>
      </c>
      <c r="D519" s="2966" t="s">
        <v>3677</v>
      </c>
      <c r="E519">
        <v>72.47</v>
      </c>
    </row>
    <row r="520" spans="1:5">
      <c r="A520">
        <v>154</v>
      </c>
      <c r="B520" s="2966" t="s">
        <v>3453</v>
      </c>
      <c r="D520" s="2966" t="s">
        <v>3677</v>
      </c>
      <c r="E520">
        <v>73.91</v>
      </c>
    </row>
    <row r="521" spans="1:5">
      <c r="A521">
        <v>155</v>
      </c>
      <c r="B521" s="2966" t="s">
        <v>3454</v>
      </c>
      <c r="D521" s="2966" t="s">
        <v>3677</v>
      </c>
      <c r="E521">
        <v>65.489999999999995</v>
      </c>
    </row>
    <row r="522" spans="1:5">
      <c r="A522">
        <v>156</v>
      </c>
      <c r="B522" s="2966" t="s">
        <v>3455</v>
      </c>
      <c r="D522" s="2966" t="s">
        <v>3677</v>
      </c>
      <c r="E522">
        <v>64.95</v>
      </c>
    </row>
    <row r="523" spans="1:5">
      <c r="A523">
        <v>157</v>
      </c>
      <c r="B523" s="2966" t="s">
        <v>3456</v>
      </c>
      <c r="D523" s="2966" t="s">
        <v>3677</v>
      </c>
      <c r="E523">
        <v>65.489999999999995</v>
      </c>
    </row>
    <row r="524" spans="1:5">
      <c r="A524">
        <v>158</v>
      </c>
      <c r="B524" s="2966" t="s">
        <v>3457</v>
      </c>
      <c r="D524" s="2966" t="s">
        <v>3677</v>
      </c>
      <c r="E524">
        <v>65.489999999999995</v>
      </c>
    </row>
    <row r="525" spans="1:5">
      <c r="A525">
        <v>159</v>
      </c>
      <c r="B525" s="2966" t="s">
        <v>3458</v>
      </c>
      <c r="D525" s="2966" t="s">
        <v>3677</v>
      </c>
      <c r="E525">
        <v>64.95</v>
      </c>
    </row>
    <row r="526" spans="1:5">
      <c r="A526">
        <v>160</v>
      </c>
      <c r="B526" s="2966" t="s">
        <v>3459</v>
      </c>
      <c r="D526" s="2966" t="s">
        <v>3677</v>
      </c>
      <c r="E526">
        <v>64.95</v>
      </c>
    </row>
    <row r="527" spans="1:5">
      <c r="A527">
        <v>161</v>
      </c>
      <c r="B527" s="2966" t="s">
        <v>3460</v>
      </c>
      <c r="D527" s="2966" t="s">
        <v>3677</v>
      </c>
      <c r="E527">
        <v>65.489999999999995</v>
      </c>
    </row>
    <row r="528" spans="1:5">
      <c r="A528">
        <v>162</v>
      </c>
      <c r="B528" s="2966" t="s">
        <v>3461</v>
      </c>
      <c r="D528" s="2966" t="s">
        <v>3677</v>
      </c>
      <c r="E528">
        <v>65.489999999999995</v>
      </c>
    </row>
    <row r="529" spans="1:5">
      <c r="A529">
        <v>163</v>
      </c>
      <c r="B529" s="2966" t="s">
        <v>3462</v>
      </c>
      <c r="D529" s="2966" t="s">
        <v>3677</v>
      </c>
      <c r="E529">
        <v>65.489999999999995</v>
      </c>
    </row>
    <row r="530" spans="1:5">
      <c r="A530">
        <v>164</v>
      </c>
      <c r="B530" s="2966" t="s">
        <v>3463</v>
      </c>
      <c r="D530" s="2966" t="s">
        <v>3677</v>
      </c>
      <c r="E530">
        <v>65.489999999999995</v>
      </c>
    </row>
    <row r="531" spans="1:5">
      <c r="A531">
        <v>165</v>
      </c>
      <c r="B531" s="2966" t="s">
        <v>3464</v>
      </c>
      <c r="D531" s="2966" t="s">
        <v>3677</v>
      </c>
      <c r="E531">
        <v>65.489999999999995</v>
      </c>
    </row>
    <row r="532" spans="1:5">
      <c r="A532">
        <v>166</v>
      </c>
      <c r="B532" s="2966" t="s">
        <v>3465</v>
      </c>
      <c r="D532" s="2966" t="s">
        <v>3677</v>
      </c>
      <c r="E532">
        <v>65.489999999999995</v>
      </c>
    </row>
    <row r="533" spans="1:5">
      <c r="A533">
        <v>167</v>
      </c>
      <c r="B533" s="2966" t="s">
        <v>3466</v>
      </c>
      <c r="D533" s="2966" t="s">
        <v>3677</v>
      </c>
      <c r="E533">
        <v>76.760000000000005</v>
      </c>
    </row>
    <row r="534" spans="1:5">
      <c r="A534">
        <v>168</v>
      </c>
      <c r="B534" s="2966" t="s">
        <v>3467</v>
      </c>
      <c r="D534" s="2966" t="s">
        <v>3677</v>
      </c>
      <c r="E534">
        <v>75.31</v>
      </c>
    </row>
    <row r="535" spans="1:5">
      <c r="A535">
        <v>169</v>
      </c>
      <c r="B535" s="2966" t="s">
        <v>3468</v>
      </c>
      <c r="D535" s="2966" t="s">
        <v>3677</v>
      </c>
      <c r="E535">
        <v>75.31</v>
      </c>
    </row>
    <row r="536" spans="1:5">
      <c r="A536">
        <v>170</v>
      </c>
      <c r="B536" s="2966" t="s">
        <v>3469</v>
      </c>
      <c r="D536" s="2966" t="s">
        <v>3677</v>
      </c>
      <c r="E536">
        <v>75.31</v>
      </c>
    </row>
    <row r="537" spans="1:5">
      <c r="A537">
        <v>171</v>
      </c>
      <c r="B537" s="2966" t="s">
        <v>3470</v>
      </c>
      <c r="D537" s="2966" t="s">
        <v>3677</v>
      </c>
      <c r="E537">
        <v>75.31</v>
      </c>
    </row>
    <row r="538" spans="1:5">
      <c r="A538">
        <v>172</v>
      </c>
      <c r="B538" s="2966" t="s">
        <v>3471</v>
      </c>
      <c r="D538" s="2966" t="s">
        <v>3677</v>
      </c>
      <c r="E538">
        <v>67.150000000000006</v>
      </c>
    </row>
    <row r="539" spans="1:5">
      <c r="A539">
        <v>173</v>
      </c>
      <c r="B539" s="2966" t="s">
        <v>3472</v>
      </c>
      <c r="D539" s="2966" t="s">
        <v>3677</v>
      </c>
      <c r="E539">
        <v>67.150000000000006</v>
      </c>
    </row>
    <row r="540" spans="1:5">
      <c r="A540">
        <v>174</v>
      </c>
      <c r="B540" s="2966" t="s">
        <v>3473</v>
      </c>
      <c r="D540" s="2966" t="s">
        <v>3677</v>
      </c>
      <c r="E540">
        <v>65.489999999999995</v>
      </c>
    </row>
    <row r="541" spans="1:5">
      <c r="A541">
        <v>175</v>
      </c>
      <c r="B541" s="2966" t="s">
        <v>3474</v>
      </c>
      <c r="D541" s="2966" t="s">
        <v>3677</v>
      </c>
      <c r="E541">
        <v>74.61</v>
      </c>
    </row>
    <row r="542" spans="1:5">
      <c r="A542">
        <v>176</v>
      </c>
      <c r="B542" s="2966" t="s">
        <v>3475</v>
      </c>
      <c r="D542" s="2966" t="s">
        <v>3677</v>
      </c>
      <c r="E542">
        <v>73.16</v>
      </c>
    </row>
    <row r="543" spans="1:5">
      <c r="A543">
        <v>177</v>
      </c>
      <c r="B543" s="2966" t="s">
        <v>3476</v>
      </c>
      <c r="D543" s="2966" t="s">
        <v>3677</v>
      </c>
      <c r="E543">
        <v>74.61</v>
      </c>
    </row>
    <row r="544" spans="1:5">
      <c r="A544">
        <v>178</v>
      </c>
      <c r="B544" s="2966" t="s">
        <v>3477</v>
      </c>
      <c r="D544" s="2966" t="s">
        <v>3677</v>
      </c>
      <c r="E544">
        <v>74.61</v>
      </c>
    </row>
    <row r="545" spans="1:5">
      <c r="A545">
        <v>179</v>
      </c>
      <c r="B545" s="2966" t="s">
        <v>3478</v>
      </c>
      <c r="D545" s="2966" t="s">
        <v>3677</v>
      </c>
      <c r="E545">
        <v>73.16</v>
      </c>
    </row>
    <row r="546" spans="1:5">
      <c r="A546">
        <v>180</v>
      </c>
      <c r="B546" s="2966" t="s">
        <v>3479</v>
      </c>
      <c r="D546" s="2966" t="s">
        <v>3677</v>
      </c>
      <c r="E546">
        <v>74.61</v>
      </c>
    </row>
    <row r="547" spans="1:5">
      <c r="A547">
        <v>181</v>
      </c>
      <c r="B547" s="2966" t="s">
        <v>3480</v>
      </c>
      <c r="D547" s="2966" t="s">
        <v>3677</v>
      </c>
      <c r="E547">
        <v>74.61</v>
      </c>
    </row>
    <row r="548" spans="1:5">
      <c r="A548">
        <v>182</v>
      </c>
      <c r="B548" s="2966" t="s">
        <v>3481</v>
      </c>
      <c r="D548" s="2966" t="s">
        <v>3677</v>
      </c>
      <c r="E548">
        <v>73.16</v>
      </c>
    </row>
    <row r="549" spans="1:5">
      <c r="A549">
        <v>183</v>
      </c>
      <c r="B549" s="2966" t="s">
        <v>3482</v>
      </c>
      <c r="D549" s="2966" t="s">
        <v>3677</v>
      </c>
      <c r="E549">
        <v>74.61</v>
      </c>
    </row>
    <row r="550" spans="1:5">
      <c r="A550">
        <v>184</v>
      </c>
      <c r="B550" s="2966" t="s">
        <v>3483</v>
      </c>
      <c r="D550" s="2966" t="s">
        <v>3677</v>
      </c>
      <c r="E550">
        <v>74.61</v>
      </c>
    </row>
    <row r="551" spans="1:5">
      <c r="A551">
        <v>185</v>
      </c>
      <c r="B551" s="2966" t="s">
        <v>3484</v>
      </c>
      <c r="D551" s="2966" t="s">
        <v>3677</v>
      </c>
      <c r="E551">
        <v>73.16</v>
      </c>
    </row>
    <row r="552" spans="1:5">
      <c r="A552">
        <v>186</v>
      </c>
      <c r="B552" s="2966" t="s">
        <v>3485</v>
      </c>
      <c r="D552" s="2966" t="s">
        <v>3677</v>
      </c>
      <c r="E552">
        <v>74.61</v>
      </c>
    </row>
    <row r="553" spans="1:5">
      <c r="A553">
        <v>187</v>
      </c>
      <c r="B553" s="2966" t="s">
        <v>3486</v>
      </c>
      <c r="D553" s="2966" t="s">
        <v>3677</v>
      </c>
      <c r="E553">
        <v>65.489999999999995</v>
      </c>
    </row>
    <row r="554" spans="1:5">
      <c r="A554">
        <v>188</v>
      </c>
      <c r="B554" s="2966" t="s">
        <v>3487</v>
      </c>
      <c r="D554" s="2966" t="s">
        <v>3677</v>
      </c>
      <c r="E554">
        <v>74.61</v>
      </c>
    </row>
    <row r="555" spans="1:5">
      <c r="A555">
        <v>189</v>
      </c>
      <c r="B555" s="2966" t="s">
        <v>3488</v>
      </c>
      <c r="D555" s="2966" t="s">
        <v>3677</v>
      </c>
      <c r="E555">
        <v>73.16</v>
      </c>
    </row>
    <row r="556" spans="1:5">
      <c r="A556">
        <v>190</v>
      </c>
      <c r="B556" s="2966" t="s">
        <v>3489</v>
      </c>
      <c r="D556" s="2966" t="s">
        <v>3677</v>
      </c>
      <c r="E556">
        <v>74.61</v>
      </c>
    </row>
    <row r="557" spans="1:5">
      <c r="A557">
        <v>191</v>
      </c>
      <c r="B557" s="2966" t="s">
        <v>3490</v>
      </c>
      <c r="D557" s="2966" t="s">
        <v>3677</v>
      </c>
      <c r="E557">
        <v>74.61</v>
      </c>
    </row>
    <row r="558" spans="1:5">
      <c r="A558">
        <v>192</v>
      </c>
      <c r="B558" s="2966" t="s">
        <v>3491</v>
      </c>
      <c r="D558" s="2966" t="s">
        <v>3677</v>
      </c>
      <c r="E558">
        <v>73.16</v>
      </c>
    </row>
    <row r="559" spans="1:5">
      <c r="A559">
        <v>193</v>
      </c>
      <c r="B559" s="2966" t="s">
        <v>3492</v>
      </c>
      <c r="D559" s="2966" t="s">
        <v>3677</v>
      </c>
      <c r="E559">
        <v>74.61</v>
      </c>
    </row>
    <row r="560" spans="1:5">
      <c r="A560">
        <v>194</v>
      </c>
      <c r="B560" s="2966" t="s">
        <v>3493</v>
      </c>
      <c r="D560" s="2966" t="s">
        <v>3677</v>
      </c>
      <c r="E560">
        <v>74.61</v>
      </c>
    </row>
    <row r="561" spans="1:5">
      <c r="A561">
        <v>195</v>
      </c>
      <c r="B561" s="2966" t="s">
        <v>3494</v>
      </c>
      <c r="D561" s="2966" t="s">
        <v>3677</v>
      </c>
      <c r="E561">
        <v>73.16</v>
      </c>
    </row>
    <row r="562" spans="1:5">
      <c r="A562">
        <v>196</v>
      </c>
      <c r="B562" s="2966" t="s">
        <v>3495</v>
      </c>
      <c r="D562" s="2966" t="s">
        <v>3677</v>
      </c>
      <c r="E562">
        <v>74.61</v>
      </c>
    </row>
    <row r="563" spans="1:5">
      <c r="A563">
        <v>197</v>
      </c>
      <c r="B563" s="2966" t="s">
        <v>3496</v>
      </c>
      <c r="D563" s="2966" t="s">
        <v>3677</v>
      </c>
      <c r="E563">
        <v>74.61</v>
      </c>
    </row>
    <row r="564" spans="1:5">
      <c r="A564">
        <v>198</v>
      </c>
      <c r="B564" s="2966" t="s">
        <v>3497</v>
      </c>
      <c r="D564" s="2966" t="s">
        <v>3677</v>
      </c>
      <c r="E564">
        <v>73.16</v>
      </c>
    </row>
    <row r="565" spans="1:5">
      <c r="A565">
        <v>199</v>
      </c>
      <c r="B565" s="2966" t="s">
        <v>3498</v>
      </c>
      <c r="D565" s="2966" t="s">
        <v>3677</v>
      </c>
      <c r="E565">
        <v>74.61</v>
      </c>
    </row>
    <row r="566" spans="1:5">
      <c r="A566">
        <v>200</v>
      </c>
      <c r="B566" s="2966" t="s">
        <v>3499</v>
      </c>
      <c r="D566" s="2966" t="s">
        <v>3677</v>
      </c>
      <c r="E566">
        <v>64.95</v>
      </c>
    </row>
    <row r="567" spans="1:5">
      <c r="A567">
        <v>201</v>
      </c>
      <c r="B567" s="2966" t="s">
        <v>3500</v>
      </c>
      <c r="D567" s="2966" t="s">
        <v>3677</v>
      </c>
      <c r="E567">
        <v>64.95</v>
      </c>
    </row>
    <row r="568" spans="1:5">
      <c r="A568">
        <v>202</v>
      </c>
      <c r="B568" s="2966" t="s">
        <v>3501</v>
      </c>
      <c r="D568" s="2966" t="s">
        <v>3677</v>
      </c>
      <c r="E568">
        <v>75.31</v>
      </c>
    </row>
    <row r="569" spans="1:5">
      <c r="A569">
        <v>203</v>
      </c>
      <c r="B569" s="2966" t="s">
        <v>3502</v>
      </c>
      <c r="D569" s="2966" t="s">
        <v>3677</v>
      </c>
      <c r="E569">
        <v>75.31</v>
      </c>
    </row>
    <row r="570" spans="1:5">
      <c r="A570">
        <v>204</v>
      </c>
      <c r="B570" s="2966" t="s">
        <v>3503</v>
      </c>
      <c r="D570" s="2966" t="s">
        <v>3677</v>
      </c>
      <c r="E570">
        <v>75.31</v>
      </c>
    </row>
    <row r="571" spans="1:5">
      <c r="A571">
        <v>205</v>
      </c>
      <c r="B571" s="2966" t="s">
        <v>3504</v>
      </c>
      <c r="D571" s="2966" t="s">
        <v>3677</v>
      </c>
      <c r="E571">
        <v>73.81</v>
      </c>
    </row>
    <row r="572" spans="1:5">
      <c r="A572">
        <v>206</v>
      </c>
      <c r="B572" s="2966" t="s">
        <v>3505</v>
      </c>
      <c r="D572" s="2966" t="s">
        <v>3677</v>
      </c>
      <c r="E572">
        <v>75.31</v>
      </c>
    </row>
    <row r="573" spans="1:5">
      <c r="A573">
        <v>207</v>
      </c>
      <c r="B573" s="2966" t="s">
        <v>3506</v>
      </c>
      <c r="D573" s="2966" t="s">
        <v>3677</v>
      </c>
      <c r="E573">
        <v>76.760000000000005</v>
      </c>
    </row>
    <row r="574" spans="1:5">
      <c r="A574">
        <v>208</v>
      </c>
      <c r="B574" s="2966" t="s">
        <v>3507</v>
      </c>
      <c r="D574" s="2966" t="s">
        <v>3677</v>
      </c>
      <c r="E574">
        <v>76.760000000000005</v>
      </c>
    </row>
    <row r="575" spans="1:5">
      <c r="A575">
        <v>209</v>
      </c>
      <c r="B575" s="2966" t="s">
        <v>3508</v>
      </c>
      <c r="D575" s="2966" t="s">
        <v>3677</v>
      </c>
      <c r="E575">
        <v>73.81</v>
      </c>
    </row>
    <row r="576" spans="1:5">
      <c r="A576">
        <v>210</v>
      </c>
      <c r="B576" s="2966" t="s">
        <v>3509</v>
      </c>
      <c r="D576" s="2966" t="s">
        <v>3677</v>
      </c>
      <c r="E576">
        <v>73.81</v>
      </c>
    </row>
    <row r="577" spans="1:5">
      <c r="A577">
        <v>211</v>
      </c>
      <c r="B577" s="2966" t="s">
        <v>3510</v>
      </c>
      <c r="D577" s="2966" t="s">
        <v>3677</v>
      </c>
      <c r="E577">
        <v>73.81</v>
      </c>
    </row>
    <row r="578" spans="1:5">
      <c r="A578">
        <v>212</v>
      </c>
      <c r="B578" s="2966" t="s">
        <v>3511</v>
      </c>
      <c r="D578" s="2966" t="s">
        <v>3677</v>
      </c>
      <c r="E578">
        <v>73.81</v>
      </c>
    </row>
    <row r="579" spans="1:5">
      <c r="A579">
        <v>213</v>
      </c>
      <c r="B579" s="2966" t="s">
        <v>3512</v>
      </c>
      <c r="D579" s="2966" t="s">
        <v>3677</v>
      </c>
      <c r="E579">
        <v>73.81</v>
      </c>
    </row>
    <row r="580" spans="1:5">
      <c r="A580">
        <v>214</v>
      </c>
      <c r="B580" s="2966" t="s">
        <v>3513</v>
      </c>
      <c r="D580" s="2966" t="s">
        <v>3677</v>
      </c>
      <c r="E580">
        <v>73.81</v>
      </c>
    </row>
    <row r="581" spans="1:5">
      <c r="A581">
        <v>215</v>
      </c>
      <c r="B581" s="2966" t="s">
        <v>3514</v>
      </c>
      <c r="D581" s="2966" t="s">
        <v>3677</v>
      </c>
      <c r="E581">
        <v>73.81</v>
      </c>
    </row>
    <row r="582" spans="1:5">
      <c r="A582">
        <v>216</v>
      </c>
      <c r="B582" s="2966" t="s">
        <v>3515</v>
      </c>
      <c r="D582" s="2966" t="s">
        <v>3677</v>
      </c>
      <c r="E582">
        <v>73.81</v>
      </c>
    </row>
    <row r="583" spans="1:5">
      <c r="A583">
        <v>217</v>
      </c>
      <c r="B583" s="2966" t="s">
        <v>3516</v>
      </c>
      <c r="D583" s="2966" t="s">
        <v>3677</v>
      </c>
      <c r="E583">
        <v>73.81</v>
      </c>
    </row>
    <row r="584" spans="1:5">
      <c r="A584">
        <v>218</v>
      </c>
      <c r="B584" s="2966" t="s">
        <v>3517</v>
      </c>
      <c r="D584" s="2966" t="s">
        <v>3677</v>
      </c>
      <c r="E584">
        <v>73.81</v>
      </c>
    </row>
    <row r="585" spans="1:5">
      <c r="A585">
        <v>219</v>
      </c>
      <c r="B585" s="2966" t="s">
        <v>3518</v>
      </c>
      <c r="D585" s="2966" t="s">
        <v>3677</v>
      </c>
      <c r="E585">
        <v>73.81</v>
      </c>
    </row>
    <row r="586" spans="1:5">
      <c r="A586">
        <v>220</v>
      </c>
      <c r="B586" s="2966" t="s">
        <v>3519</v>
      </c>
      <c r="D586" s="2966" t="s">
        <v>3677</v>
      </c>
      <c r="E586">
        <v>73.81</v>
      </c>
    </row>
    <row r="587" spans="1:5">
      <c r="A587">
        <v>221</v>
      </c>
      <c r="B587" s="2966" t="s">
        <v>3520</v>
      </c>
      <c r="D587" s="2966" t="s">
        <v>3677</v>
      </c>
      <c r="E587">
        <v>75.31</v>
      </c>
    </row>
    <row r="588" spans="1:5">
      <c r="A588">
        <v>222</v>
      </c>
      <c r="B588" s="2966" t="s">
        <v>3521</v>
      </c>
      <c r="D588" s="2966" t="s">
        <v>3677</v>
      </c>
      <c r="E588">
        <v>73.81</v>
      </c>
    </row>
    <row r="589" spans="1:5">
      <c r="A589">
        <v>223</v>
      </c>
      <c r="B589" s="2966" t="s">
        <v>3522</v>
      </c>
      <c r="D589" s="2966" t="s">
        <v>3677</v>
      </c>
      <c r="E589">
        <v>75.31</v>
      </c>
    </row>
    <row r="590" spans="1:5">
      <c r="A590">
        <v>224</v>
      </c>
      <c r="B590" s="2966" t="s">
        <v>3523</v>
      </c>
      <c r="D590" s="2966" t="s">
        <v>3677</v>
      </c>
      <c r="E590">
        <v>75.31</v>
      </c>
    </row>
    <row r="591" spans="1:5">
      <c r="A591">
        <v>225</v>
      </c>
      <c r="B591" s="2966" t="s">
        <v>3524</v>
      </c>
      <c r="D591" s="2966" t="s">
        <v>3677</v>
      </c>
      <c r="E591">
        <v>75.31</v>
      </c>
    </row>
    <row r="592" spans="1:5">
      <c r="A592">
        <v>226</v>
      </c>
      <c r="B592" s="2966" t="s">
        <v>3525</v>
      </c>
      <c r="D592" s="2966" t="s">
        <v>3677</v>
      </c>
      <c r="E592">
        <v>75.31</v>
      </c>
    </row>
    <row r="593" spans="1:5">
      <c r="A593">
        <v>227</v>
      </c>
      <c r="B593" s="2966" t="s">
        <v>3526</v>
      </c>
      <c r="D593" s="2966" t="s">
        <v>3677</v>
      </c>
      <c r="E593">
        <v>75.31</v>
      </c>
    </row>
    <row r="594" spans="1:5">
      <c r="A594">
        <v>228</v>
      </c>
      <c r="B594" s="2966" t="s">
        <v>3527</v>
      </c>
      <c r="D594" s="2966" t="s">
        <v>3677</v>
      </c>
      <c r="E594">
        <v>66.56</v>
      </c>
    </row>
    <row r="595" spans="1:5">
      <c r="A595">
        <v>229</v>
      </c>
      <c r="B595" s="2966" t="s">
        <v>3528</v>
      </c>
      <c r="D595" s="2966" t="s">
        <v>3677</v>
      </c>
      <c r="E595">
        <v>66.02</v>
      </c>
    </row>
    <row r="596" spans="1:5">
      <c r="A596">
        <v>230</v>
      </c>
      <c r="B596" s="2966" t="s">
        <v>3529</v>
      </c>
      <c r="D596" s="2966" t="s">
        <v>3677</v>
      </c>
      <c r="E596">
        <v>66.56</v>
      </c>
    </row>
    <row r="597" spans="1:5">
      <c r="A597">
        <v>231</v>
      </c>
      <c r="B597" s="2966" t="s">
        <v>3530</v>
      </c>
      <c r="D597" s="2966" t="s">
        <v>3677</v>
      </c>
      <c r="E597" s="2966">
        <v>72.36</v>
      </c>
    </row>
    <row r="598" spans="1:5">
      <c r="A598">
        <v>232</v>
      </c>
      <c r="B598" s="2966" t="s">
        <v>3531</v>
      </c>
      <c r="D598" s="2966" t="s">
        <v>3677</v>
      </c>
      <c r="E598" s="2966">
        <v>70.86</v>
      </c>
    </row>
    <row r="599" spans="1:5">
      <c r="A599">
        <v>233</v>
      </c>
      <c r="B599" s="2966" t="s">
        <v>3532</v>
      </c>
      <c r="D599" s="2966" t="s">
        <v>3677</v>
      </c>
      <c r="E599" s="2966">
        <v>72.36</v>
      </c>
    </row>
    <row r="600" spans="1:5">
      <c r="A600">
        <v>234</v>
      </c>
      <c r="B600" s="2966" t="s">
        <v>3533</v>
      </c>
      <c r="D600" s="2966" t="s">
        <v>3677</v>
      </c>
      <c r="E600" s="2966">
        <v>75.31</v>
      </c>
    </row>
    <row r="601" spans="1:5">
      <c r="A601">
        <v>235</v>
      </c>
      <c r="B601" s="2966" t="s">
        <v>3683</v>
      </c>
      <c r="D601" s="2966" t="s">
        <v>3677</v>
      </c>
      <c r="E601" s="2966">
        <v>72.36</v>
      </c>
    </row>
    <row r="602" spans="1:5">
      <c r="A602">
        <v>236</v>
      </c>
      <c r="B602" s="2966" t="s">
        <v>3540</v>
      </c>
      <c r="D602" s="2966" t="s">
        <v>3677</v>
      </c>
      <c r="E602" s="2966">
        <v>70.86</v>
      </c>
    </row>
    <row r="603" spans="1:5">
      <c r="A603">
        <v>237</v>
      </c>
      <c r="B603" s="2966" t="s">
        <v>3541</v>
      </c>
      <c r="D603" s="2966" t="s">
        <v>3677</v>
      </c>
      <c r="E603" s="2966">
        <v>72.36</v>
      </c>
    </row>
    <row r="604" spans="1:5">
      <c r="A604">
        <v>238</v>
      </c>
      <c r="B604" s="2966" t="s">
        <v>3542</v>
      </c>
      <c r="D604" s="2966" t="s">
        <v>3677</v>
      </c>
      <c r="E604" s="2966">
        <v>93.51</v>
      </c>
    </row>
    <row r="605" spans="1:5">
      <c r="A605">
        <v>239</v>
      </c>
      <c r="B605" s="2966" t="s">
        <v>3543</v>
      </c>
      <c r="D605" s="2966" t="s">
        <v>3677</v>
      </c>
      <c r="E605" s="2966">
        <v>93.51</v>
      </c>
    </row>
    <row r="606" spans="1:5">
      <c r="A606">
        <v>240</v>
      </c>
      <c r="B606" s="2966" t="s">
        <v>3544</v>
      </c>
      <c r="D606" s="2966" t="s">
        <v>3677</v>
      </c>
      <c r="E606" s="2966">
        <v>75.31</v>
      </c>
    </row>
    <row r="607" spans="1:5">
      <c r="A607">
        <v>241</v>
      </c>
      <c r="B607" s="2966" t="s">
        <v>3545</v>
      </c>
      <c r="D607" s="2966" t="s">
        <v>3677</v>
      </c>
      <c r="E607" s="2966">
        <v>73.81</v>
      </c>
    </row>
    <row r="608" spans="1:5">
      <c r="A608">
        <v>242</v>
      </c>
      <c r="B608" s="2966" t="s">
        <v>3546</v>
      </c>
      <c r="D608" s="2966" t="s">
        <v>3677</v>
      </c>
      <c r="E608" s="2966">
        <v>75.31</v>
      </c>
    </row>
    <row r="609" spans="1:5">
      <c r="A609">
        <v>243</v>
      </c>
      <c r="B609" s="2966" t="s">
        <v>3547</v>
      </c>
      <c r="D609" s="2966" t="s">
        <v>3677</v>
      </c>
      <c r="E609" s="2966">
        <v>75.31</v>
      </c>
    </row>
    <row r="610" spans="1:5">
      <c r="A610">
        <v>244</v>
      </c>
      <c r="B610" s="2966" t="s">
        <v>3548</v>
      </c>
      <c r="D610" s="2966" t="s">
        <v>3677</v>
      </c>
      <c r="E610" s="2966">
        <v>73.81</v>
      </c>
    </row>
    <row r="611" spans="1:5">
      <c r="A611">
        <v>245</v>
      </c>
      <c r="B611" s="2966" t="s">
        <v>3684</v>
      </c>
      <c r="D611" s="2966" t="s">
        <v>3677</v>
      </c>
      <c r="E611" s="2966">
        <v>73.81</v>
      </c>
    </row>
    <row r="612" spans="1:5">
      <c r="A612">
        <v>246</v>
      </c>
      <c r="B612" s="2966" t="s">
        <v>3685</v>
      </c>
      <c r="D612" s="2966" t="s">
        <v>3677</v>
      </c>
      <c r="E612" s="2966">
        <v>75.31</v>
      </c>
    </row>
    <row r="613" spans="1:5">
      <c r="A613">
        <v>247</v>
      </c>
      <c r="B613" s="2966" t="s">
        <v>3534</v>
      </c>
      <c r="D613" s="2966" t="s">
        <v>3677</v>
      </c>
      <c r="E613" s="2966">
        <v>75.31</v>
      </c>
    </row>
    <row r="614" spans="1:5">
      <c r="A614">
        <v>248</v>
      </c>
      <c r="B614" s="2966" t="s">
        <v>3535</v>
      </c>
      <c r="D614" s="2966" t="s">
        <v>3677</v>
      </c>
      <c r="E614" s="2966">
        <v>73.81</v>
      </c>
    </row>
    <row r="615" spans="1:5">
      <c r="A615">
        <v>249</v>
      </c>
      <c r="B615" s="2966" t="s">
        <v>3536</v>
      </c>
      <c r="D615" s="2966" t="s">
        <v>3677</v>
      </c>
      <c r="E615" s="2966">
        <v>75.31</v>
      </c>
    </row>
    <row r="616" spans="1:5">
      <c r="A616">
        <v>250</v>
      </c>
      <c r="B616" s="2966" t="s">
        <v>3537</v>
      </c>
      <c r="D616" s="2966" t="s">
        <v>3677</v>
      </c>
      <c r="E616" s="2966">
        <v>75.31</v>
      </c>
    </row>
    <row r="617" spans="1:5">
      <c r="A617">
        <v>251</v>
      </c>
      <c r="B617" s="2966" t="s">
        <v>3538</v>
      </c>
      <c r="D617" s="2966" t="s">
        <v>3677</v>
      </c>
      <c r="E617" s="2966">
        <v>73.81</v>
      </c>
    </row>
    <row r="618" spans="1:5">
      <c r="A618">
        <v>252</v>
      </c>
      <c r="B618" s="2966" t="s">
        <v>3539</v>
      </c>
      <c r="D618" s="2966" t="s">
        <v>3677</v>
      </c>
      <c r="E618" s="2966">
        <v>75.31</v>
      </c>
    </row>
    <row r="619" spans="1:5">
      <c r="B619" s="2966" t="s">
        <v>3686</v>
      </c>
      <c r="E619">
        <f>SUM(E367:E618)</f>
        <v>23651.80000000009</v>
      </c>
    </row>
    <row r="620" spans="1:5">
      <c r="B620" s="2966" t="s">
        <v>3687</v>
      </c>
      <c r="E620">
        <f>E149+E251+E366+E619</f>
        <v>90617.120000000185</v>
      </c>
    </row>
  </sheetData>
  <phoneticPr fontId="14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I17" sqref="I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6.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3723</v>
      </c>
      <c r="G1" s="1627" t="s">
        <v>2643</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2327</v>
      </c>
      <c r="B2" s="1414">
        <f>IF(C2="——",ROUND(C49*D3/10000,0),ROUND(C49*D3/10000,0)-D2)</f>
        <v>23289</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2329</v>
      </c>
      <c r="B3" s="609">
        <f>IF(C2="——",C49,ROUND(B2*10000/D3,0))</f>
        <v>53075</v>
      </c>
      <c r="C3" s="400" t="s">
        <v>2644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8" t="s">
        <v>2648</v>
      </c>
      <c r="AC4" s="3215" t="s">
        <v>2649</v>
      </c>
    </row>
    <row r="5" spans="1:29" ht="15">
      <c r="A5" s="404"/>
      <c r="B5" s="405"/>
      <c r="C5" s="3227" t="s">
        <v>2542</v>
      </c>
      <c r="D5" s="3228"/>
      <c r="E5" s="3225" t="s">
        <v>3839</v>
      </c>
      <c r="F5" s="3226"/>
      <c r="G5" s="3225" t="s">
        <v>3839</v>
      </c>
      <c r="H5" s="3226"/>
      <c r="I5" s="3231" t="s">
        <v>3772</v>
      </c>
      <c r="J5" s="3228"/>
      <c r="K5" s="610"/>
      <c r="L5" s="1126"/>
      <c r="M5" s="1127"/>
      <c r="N5" s="1127"/>
      <c r="O5" s="1127"/>
      <c r="P5" s="3241"/>
      <c r="Q5" s="3242"/>
      <c r="R5" s="3223"/>
      <c r="S5" s="3224"/>
      <c r="T5" s="3223"/>
      <c r="U5" s="3224"/>
      <c r="V5" s="3218"/>
      <c r="W5" s="3218"/>
      <c r="X5" s="1808"/>
      <c r="Y5" s="3223"/>
      <c r="Z5" s="3224"/>
      <c r="AA5" s="3216"/>
      <c r="AB5" s="3218"/>
      <c r="AC5" s="3216"/>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1808"/>
      <c r="Y6" s="3245"/>
      <c r="Z6" s="3246"/>
      <c r="AA6" s="3217"/>
      <c r="AB6" s="3218"/>
      <c r="AC6" s="3217"/>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19" t="s">
        <v>2549</v>
      </c>
      <c r="Q7" s="3247"/>
      <c r="R7" s="770" t="s">
        <v>17</v>
      </c>
      <c r="S7" s="771">
        <f t="shared" ref="S7:S15" si="0">F7</f>
        <v>100</v>
      </c>
      <c r="T7" s="770" t="s">
        <v>17</v>
      </c>
      <c r="U7" s="771">
        <f t="shared" ref="U7:U15" si="1">H7</f>
        <v>100</v>
      </c>
      <c r="V7" s="770" t="s">
        <v>17</v>
      </c>
      <c r="W7" s="771">
        <f t="shared" ref="W7:W15" si="2">J7</f>
        <v>100</v>
      </c>
      <c r="X7" s="772"/>
      <c r="Y7" s="3219" t="s">
        <v>2549</v>
      </c>
      <c r="Z7" s="3220"/>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19" t="s">
        <v>2552</v>
      </c>
      <c r="Q8" s="3220"/>
      <c r="R8" s="770" t="s">
        <v>17</v>
      </c>
      <c r="S8" s="771">
        <f t="shared" si="0"/>
        <v>100</v>
      </c>
      <c r="T8" s="770" t="s">
        <v>17</v>
      </c>
      <c r="U8" s="771">
        <f t="shared" si="1"/>
        <v>100</v>
      </c>
      <c r="V8" s="770" t="s">
        <v>17</v>
      </c>
      <c r="W8" s="771">
        <f t="shared" si="2"/>
        <v>100</v>
      </c>
      <c r="X8" s="772"/>
      <c r="Y8" s="3219" t="s">
        <v>2552</v>
      </c>
      <c r="Z8" s="3220"/>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34"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773">
        <f t="shared" si="5"/>
        <v>1</v>
      </c>
    </row>
    <row r="10" spans="1:29" s="427" customFormat="1" ht="27.75" thickBot="1">
      <c r="A10" s="421"/>
      <c r="B10" s="422"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34"/>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hidden="1">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34"/>
      <c r="Q11" s="1790" t="str">
        <f t="shared" si="6"/>
        <v>容积率</v>
      </c>
      <c r="R11" s="770" t="s">
        <v>17</v>
      </c>
      <c r="S11" s="771">
        <f t="shared" si="0"/>
        <v>100</v>
      </c>
      <c r="T11" s="770" t="s">
        <v>17</v>
      </c>
      <c r="U11" s="771">
        <f t="shared" si="1"/>
        <v>100</v>
      </c>
      <c r="V11" s="770" t="s">
        <v>17</v>
      </c>
      <c r="W11" s="771">
        <f t="shared" si="2"/>
        <v>100</v>
      </c>
      <c r="X11" s="772"/>
      <c r="Y11" s="3095"/>
      <c r="Z11" s="55" t="str">
        <f t="shared" si="7"/>
        <v>容积率</v>
      </c>
      <c r="AA11" s="773">
        <f t="shared" si="3"/>
        <v>1</v>
      </c>
      <c r="AB11" s="773">
        <f t="shared" si="4"/>
        <v>1</v>
      </c>
      <c r="AC11" s="773">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34"/>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34"/>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34"/>
      <c r="Q14" s="1790">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48" t="s">
        <v>2560</v>
      </c>
      <c r="Q15" s="1805" t="str">
        <f t="shared" si="6"/>
        <v>商业繁华度</v>
      </c>
      <c r="R15" s="774" t="s">
        <v>17</v>
      </c>
      <c r="S15" s="775">
        <f t="shared" si="0"/>
        <v>100</v>
      </c>
      <c r="T15" s="774" t="s">
        <v>17</v>
      </c>
      <c r="U15" s="775">
        <f t="shared" si="1"/>
        <v>100</v>
      </c>
      <c r="V15" s="774" t="s">
        <v>17</v>
      </c>
      <c r="W15" s="775">
        <f t="shared" si="2"/>
        <v>100</v>
      </c>
      <c r="X15" s="1808"/>
      <c r="Y15" s="3250" t="s">
        <v>2560</v>
      </c>
      <c r="Z15" s="1809" t="str">
        <f t="shared" si="7"/>
        <v>商业繁华度</v>
      </c>
      <c r="AA15" s="1806">
        <f t="shared" si="3"/>
        <v>1</v>
      </c>
      <c r="AB15" s="1806">
        <f t="shared" si="4"/>
        <v>1</v>
      </c>
      <c r="AC15" s="1806">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49"/>
      <c r="Q16" s="1805"/>
      <c r="R16" s="774"/>
      <c r="S16" s="775"/>
      <c r="T16" s="774"/>
      <c r="U16" s="775"/>
      <c r="V16" s="774"/>
      <c r="W16" s="775"/>
      <c r="X16" s="1808"/>
      <c r="Y16" s="3251"/>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49"/>
      <c r="Q17" s="1805" t="str">
        <f>B17</f>
        <v>交通便捷度</v>
      </c>
      <c r="R17" s="774" t="s">
        <v>17</v>
      </c>
      <c r="S17" s="775">
        <f>F17</f>
        <v>100</v>
      </c>
      <c r="T17" s="774" t="s">
        <v>17</v>
      </c>
      <c r="U17" s="775">
        <f>H17</f>
        <v>100</v>
      </c>
      <c r="V17" s="774" t="s">
        <v>17</v>
      </c>
      <c r="W17" s="775">
        <f>J17</f>
        <v>100</v>
      </c>
      <c r="X17" s="1808"/>
      <c r="Y17" s="3251"/>
      <c r="Z17" s="1809" t="str">
        <f>Q17</f>
        <v>交通便捷度</v>
      </c>
      <c r="AA17" s="1806">
        <f t="shared" si="3"/>
        <v>1</v>
      </c>
      <c r="AB17" s="1806">
        <f t="shared" si="4"/>
        <v>1</v>
      </c>
      <c r="AC17" s="1806">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49"/>
      <c r="Q18" s="1805"/>
      <c r="R18" s="774"/>
      <c r="S18" s="775"/>
      <c r="T18" s="774"/>
      <c r="U18" s="775"/>
      <c r="V18" s="774"/>
      <c r="W18" s="775"/>
      <c r="X18" s="1808"/>
      <c r="Y18" s="3251"/>
      <c r="Z18" s="1809"/>
      <c r="AA18" s="1806">
        <v>1</v>
      </c>
      <c r="AB18" s="1806">
        <v>1</v>
      </c>
      <c r="AC18" s="1806">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49"/>
      <c r="Q19" s="1805" t="str">
        <f>B19</f>
        <v>公共配套设施</v>
      </c>
      <c r="R19" s="774" t="s">
        <v>17</v>
      </c>
      <c r="S19" s="775">
        <f>F19</f>
        <v>100</v>
      </c>
      <c r="T19" s="774" t="s">
        <v>17</v>
      </c>
      <c r="U19" s="775">
        <f>H19</f>
        <v>100</v>
      </c>
      <c r="V19" s="774" t="s">
        <v>17</v>
      </c>
      <c r="W19" s="775">
        <f>J19</f>
        <v>100</v>
      </c>
      <c r="X19" s="1808"/>
      <c r="Y19" s="3251"/>
      <c r="Z19" s="1809" t="str">
        <f>Q19</f>
        <v>公共配套设施</v>
      </c>
      <c r="AA19" s="1806">
        <f t="shared" si="3"/>
        <v>1</v>
      </c>
      <c r="AB19" s="1806">
        <f t="shared" si="4"/>
        <v>1</v>
      </c>
      <c r="AC19" s="1806">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49"/>
      <c r="Q20" s="1805"/>
      <c r="R20" s="774"/>
      <c r="S20" s="775"/>
      <c r="T20" s="774"/>
      <c r="U20" s="775"/>
      <c r="V20" s="774"/>
      <c r="W20" s="775"/>
      <c r="X20" s="1808"/>
      <c r="Y20" s="3251"/>
      <c r="Z20" s="1809"/>
      <c r="AA20" s="1806">
        <v>1</v>
      </c>
      <c r="AB20" s="1806">
        <v>1</v>
      </c>
      <c r="AC20" s="1806">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49"/>
      <c r="Q21" s="1805" t="str">
        <f>B21</f>
        <v>基础设施水平</v>
      </c>
      <c r="R21" s="774" t="s">
        <v>17</v>
      </c>
      <c r="S21" s="775">
        <f>F21</f>
        <v>100</v>
      </c>
      <c r="T21" s="774" t="s">
        <v>17</v>
      </c>
      <c r="U21" s="775">
        <f>H21</f>
        <v>100</v>
      </c>
      <c r="V21" s="774" t="s">
        <v>17</v>
      </c>
      <c r="W21" s="775">
        <f>J21</f>
        <v>100</v>
      </c>
      <c r="X21" s="1808"/>
      <c r="Y21" s="3251"/>
      <c r="Z21" s="1809" t="str">
        <f>Q21</f>
        <v>基础设施水平</v>
      </c>
      <c r="AA21" s="1806">
        <f t="shared" ref="AA21" si="8">D21/F21</f>
        <v>1</v>
      </c>
      <c r="AB21" s="1806">
        <f t="shared" ref="AB21" si="9">D21/H21</f>
        <v>1</v>
      </c>
      <c r="AC21" s="1806">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49"/>
      <c r="Q22" s="1805"/>
      <c r="R22" s="774"/>
      <c r="S22" s="775"/>
      <c r="T22" s="774"/>
      <c r="U22" s="775"/>
      <c r="V22" s="774"/>
      <c r="W22" s="775"/>
      <c r="X22" s="1808"/>
      <c r="Y22" s="3251"/>
      <c r="Z22" s="1809"/>
      <c r="AA22" s="1806">
        <v>1</v>
      </c>
      <c r="AB22" s="1806">
        <v>1</v>
      </c>
      <c r="AC22" s="1806">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9"/>
      <c r="Q23" s="1805" t="str">
        <f>B23</f>
        <v>自然及人文环境</v>
      </c>
      <c r="R23" s="774" t="s">
        <v>17</v>
      </c>
      <c r="S23" s="775">
        <f>F23</f>
        <v>100</v>
      </c>
      <c r="T23" s="774" t="s">
        <v>17</v>
      </c>
      <c r="U23" s="775">
        <f>H23</f>
        <v>100</v>
      </c>
      <c r="V23" s="774" t="s">
        <v>17</v>
      </c>
      <c r="W23" s="775">
        <f>J23</f>
        <v>100</v>
      </c>
      <c r="X23" s="1808"/>
      <c r="Y23" s="3251"/>
      <c r="Z23" s="1809" t="str">
        <f>Q23</f>
        <v>自然及人文环境</v>
      </c>
      <c r="AA23" s="1806">
        <f t="shared" si="3"/>
        <v>1</v>
      </c>
      <c r="AB23" s="1806">
        <f t="shared" si="4"/>
        <v>1</v>
      </c>
      <c r="AC23" s="1806">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49"/>
      <c r="Q24" s="1805"/>
      <c r="R24" s="774"/>
      <c r="S24" s="775"/>
      <c r="T24" s="774"/>
      <c r="U24" s="775"/>
      <c r="V24" s="774"/>
      <c r="W24" s="775"/>
      <c r="X24" s="1808"/>
      <c r="Y24" s="3251"/>
      <c r="Z24" s="1809"/>
      <c r="AA24" s="1806">
        <v>1</v>
      </c>
      <c r="AB24" s="1806">
        <v>1</v>
      </c>
      <c r="AC24" s="1806">
        <v>1</v>
      </c>
    </row>
    <row r="25" spans="1:29" ht="15">
      <c r="A25" s="428"/>
      <c r="B25" s="422"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49"/>
      <c r="Q25" s="1805" t="str">
        <f t="shared" ref="Q25:Q46" si="11">B25</f>
        <v>临街状况</v>
      </c>
      <c r="R25" s="774" t="s">
        <v>17</v>
      </c>
      <c r="S25" s="775">
        <f>F25</f>
        <v>100</v>
      </c>
      <c r="T25" s="774" t="s">
        <v>17</v>
      </c>
      <c r="U25" s="775">
        <f>H25</f>
        <v>100</v>
      </c>
      <c r="V25" s="774" t="s">
        <v>17</v>
      </c>
      <c r="W25" s="775">
        <f>J25</f>
        <v>100</v>
      </c>
      <c r="X25" s="1808"/>
      <c r="Y25" s="3251"/>
      <c r="Z25" s="1809" t="str">
        <f>Q25</f>
        <v>临街状况</v>
      </c>
      <c r="AA25" s="1806">
        <f t="shared" si="3"/>
        <v>1</v>
      </c>
      <c r="AB25" s="1806">
        <f t="shared" si="4"/>
        <v>1</v>
      </c>
      <c r="AC25" s="1806">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49"/>
      <c r="Q26" s="1805" t="str">
        <f t="shared" si="11"/>
        <v>平面位置/可视性</v>
      </c>
      <c r="R26" s="774" t="s">
        <v>17</v>
      </c>
      <c r="S26" s="775">
        <f>F26</f>
        <v>100</v>
      </c>
      <c r="T26" s="774" t="s">
        <v>17</v>
      </c>
      <c r="U26" s="775">
        <f>H26</f>
        <v>100</v>
      </c>
      <c r="V26" s="774" t="s">
        <v>17</v>
      </c>
      <c r="W26" s="775">
        <f>J26</f>
        <v>100</v>
      </c>
      <c r="X26" s="1808"/>
      <c r="Y26" s="3251"/>
      <c r="Z26" s="1809" t="str">
        <f>Q26</f>
        <v>平面位置/可视性</v>
      </c>
      <c r="AA26" s="1806">
        <f t="shared" si="3"/>
        <v>1</v>
      </c>
      <c r="AB26" s="1806">
        <f t="shared" si="4"/>
        <v>1</v>
      </c>
      <c r="AC26" s="1806">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49"/>
      <c r="Q27" s="1790" t="str">
        <f t="shared" si="11"/>
        <v>人流量</v>
      </c>
      <c r="R27" s="770" t="s">
        <v>17</v>
      </c>
      <c r="S27" s="771">
        <f>F27</f>
        <v>100</v>
      </c>
      <c r="T27" s="770" t="s">
        <v>17</v>
      </c>
      <c r="U27" s="771">
        <f>H27</f>
        <v>100</v>
      </c>
      <c r="V27" s="770" t="s">
        <v>17</v>
      </c>
      <c r="W27" s="771">
        <f>J27</f>
        <v>100</v>
      </c>
      <c r="X27" s="772"/>
      <c r="Y27" s="3251"/>
      <c r="Z27" s="55" t="str">
        <f>Q27</f>
        <v>人流量</v>
      </c>
      <c r="AA27" s="1806">
        <f>D27/F27</f>
        <v>1</v>
      </c>
      <c r="AB27" s="1806">
        <f>D27/H27</f>
        <v>1</v>
      </c>
      <c r="AC27" s="1806">
        <f>D27/J27</f>
        <v>1</v>
      </c>
    </row>
    <row r="28" spans="1:29" ht="15.75" thickBot="1">
      <c r="A28" s="428"/>
      <c r="B28" s="422" t="s">
        <v>2659</v>
      </c>
      <c r="C28" s="616" t="s">
        <v>3745</v>
      </c>
      <c r="D28" s="435">
        <v>100</v>
      </c>
      <c r="E28" s="616" t="s">
        <v>3745</v>
      </c>
      <c r="F28" s="461">
        <f>SUMIF(92:92,E28,93:93)-SUMIF(92:92,C28,93:93)+100</f>
        <v>100</v>
      </c>
      <c r="G28" s="616" t="s">
        <v>3745</v>
      </c>
      <c r="H28" s="435">
        <f>SUMIF(92:92,G28,93:93)-SUMIF(92:92,C28,93:93)+100</f>
        <v>100</v>
      </c>
      <c r="I28" s="2998" t="s">
        <v>3774</v>
      </c>
      <c r="J28" s="2995">
        <f>SUMIF(92:92,I28,93:93)-SUMIF(92:92,C28,93:93)+100</f>
        <v>85</v>
      </c>
      <c r="K28" s="613"/>
      <c r="L28" s="1136"/>
      <c r="M28" s="1127"/>
      <c r="N28" s="1127"/>
      <c r="O28" s="1127"/>
      <c r="P28" s="3249"/>
      <c r="Q28" s="1805" t="str">
        <f t="shared" si="11"/>
        <v>楼层</v>
      </c>
      <c r="R28" s="774" t="s">
        <v>17</v>
      </c>
      <c r="S28" s="775">
        <f t="shared" ref="S28:S46" si="12">F28</f>
        <v>100</v>
      </c>
      <c r="T28" s="774" t="s">
        <v>17</v>
      </c>
      <c r="U28" s="775">
        <f t="shared" ref="U28:U46" si="13">H28</f>
        <v>100</v>
      </c>
      <c r="V28" s="774" t="s">
        <v>17</v>
      </c>
      <c r="W28" s="775">
        <f t="shared" ref="W28:W46" si="14">J28</f>
        <v>85</v>
      </c>
      <c r="X28" s="1808"/>
      <c r="Y28" s="3251"/>
      <c r="Z28" s="1809" t="str">
        <f t="shared" ref="Z28:Z46" si="15">Q28</f>
        <v>楼层</v>
      </c>
      <c r="AA28" s="1806">
        <f t="shared" si="3"/>
        <v>1</v>
      </c>
      <c r="AB28" s="1806">
        <f t="shared" si="4"/>
        <v>1</v>
      </c>
      <c r="AC28" s="1806">
        <f t="shared" si="5"/>
        <v>1.1764705882352942</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9"/>
      <c r="Q29" s="1805">
        <f t="shared" si="11"/>
        <v>111</v>
      </c>
      <c r="R29" s="774" t="s">
        <v>17</v>
      </c>
      <c r="S29" s="775">
        <f t="shared" si="12"/>
        <v>100</v>
      </c>
      <c r="T29" s="774" t="s">
        <v>17</v>
      </c>
      <c r="U29" s="775">
        <f t="shared" si="13"/>
        <v>100</v>
      </c>
      <c r="V29" s="774" t="s">
        <v>17</v>
      </c>
      <c r="W29" s="775">
        <f t="shared" si="14"/>
        <v>100</v>
      </c>
      <c r="X29" s="1808"/>
      <c r="Y29" s="3251"/>
      <c r="Z29" s="1809">
        <f t="shared" si="15"/>
        <v>111</v>
      </c>
      <c r="AA29" s="1806">
        <f t="shared" si="3"/>
        <v>1</v>
      </c>
      <c r="AB29" s="1806">
        <f t="shared" si="4"/>
        <v>1</v>
      </c>
      <c r="AC29" s="1806">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9"/>
      <c r="Q30" s="1805">
        <f t="shared" si="11"/>
        <v>111</v>
      </c>
      <c r="R30" s="774" t="s">
        <v>17</v>
      </c>
      <c r="S30" s="775">
        <f t="shared" si="12"/>
        <v>100</v>
      </c>
      <c r="T30" s="774" t="s">
        <v>17</v>
      </c>
      <c r="U30" s="775">
        <f t="shared" si="13"/>
        <v>100</v>
      </c>
      <c r="V30" s="774" t="s">
        <v>17</v>
      </c>
      <c r="W30" s="775">
        <f t="shared" si="14"/>
        <v>100</v>
      </c>
      <c r="X30" s="1808"/>
      <c r="Y30" s="3251"/>
      <c r="Z30" s="1809">
        <f t="shared" si="15"/>
        <v>111</v>
      </c>
      <c r="AA30" s="1806">
        <f t="shared" si="3"/>
        <v>1</v>
      </c>
      <c r="AB30" s="1806">
        <f t="shared" si="4"/>
        <v>1</v>
      </c>
      <c r="AC30" s="1806">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9"/>
      <c r="Q31" s="1805">
        <f t="shared" si="11"/>
        <v>111</v>
      </c>
      <c r="R31" s="774" t="s">
        <v>17</v>
      </c>
      <c r="S31" s="775">
        <f t="shared" si="12"/>
        <v>100</v>
      </c>
      <c r="T31" s="774" t="s">
        <v>17</v>
      </c>
      <c r="U31" s="775">
        <f t="shared" si="13"/>
        <v>100</v>
      </c>
      <c r="V31" s="774" t="s">
        <v>17</v>
      </c>
      <c r="W31" s="775">
        <f t="shared" si="14"/>
        <v>100</v>
      </c>
      <c r="X31" s="1808"/>
      <c r="Y31" s="3251"/>
      <c r="Z31" s="1809">
        <f t="shared" si="15"/>
        <v>111</v>
      </c>
      <c r="AA31" s="1806">
        <f t="shared" si="3"/>
        <v>1</v>
      </c>
      <c r="AB31" s="1806">
        <f t="shared" si="4"/>
        <v>1</v>
      </c>
      <c r="AC31" s="1806">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3775</v>
      </c>
      <c r="J32" s="467">
        <f>SUMIF(100:100,I32,101:101)-SUMIF(100:100,C32,101:101)+100</f>
        <v>108</v>
      </c>
      <c r="K32" s="612">
        <v>4</v>
      </c>
      <c r="L32" s="1136"/>
      <c r="M32" s="1127"/>
      <c r="N32" s="1127"/>
      <c r="O32" s="1127"/>
      <c r="P32" s="3252" t="s">
        <v>2565</v>
      </c>
      <c r="Q32" s="1805" t="str">
        <f t="shared" si="11"/>
        <v>商业类型</v>
      </c>
      <c r="R32" s="774" t="s">
        <v>17</v>
      </c>
      <c r="S32" s="775">
        <f t="shared" si="12"/>
        <v>100</v>
      </c>
      <c r="T32" s="774" t="s">
        <v>17</v>
      </c>
      <c r="U32" s="775">
        <f t="shared" si="13"/>
        <v>100</v>
      </c>
      <c r="V32" s="774" t="s">
        <v>17</v>
      </c>
      <c r="W32" s="775">
        <f t="shared" si="14"/>
        <v>108</v>
      </c>
      <c r="X32" s="1808"/>
      <c r="Y32" s="3255" t="s">
        <v>2565</v>
      </c>
      <c r="Z32" s="1809" t="str">
        <f t="shared" si="15"/>
        <v>商业类型</v>
      </c>
      <c r="AA32" s="1806">
        <f t="shared" si="3"/>
        <v>1</v>
      </c>
      <c r="AB32" s="1806">
        <f t="shared" si="4"/>
        <v>1</v>
      </c>
      <c r="AC32" s="1806">
        <f t="shared" si="5"/>
        <v>0.92592592592592593</v>
      </c>
    </row>
    <row r="33" spans="1:29" s="471" customFormat="1" ht="15" hidden="1">
      <c r="A33" s="468"/>
      <c r="B33" s="422"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3"/>
      <c r="Q33" s="776" t="str">
        <f t="shared" si="11"/>
        <v>项目建筑规模</v>
      </c>
      <c r="R33" s="777" t="s">
        <v>17</v>
      </c>
      <c r="S33" s="778">
        <f t="shared" si="12"/>
        <v>100</v>
      </c>
      <c r="T33" s="777" t="s">
        <v>17</v>
      </c>
      <c r="U33" s="778">
        <f t="shared" si="13"/>
        <v>100</v>
      </c>
      <c r="V33" s="777" t="s">
        <v>17</v>
      </c>
      <c r="W33" s="778">
        <f t="shared" si="14"/>
        <v>100</v>
      </c>
      <c r="X33" s="779"/>
      <c r="Y33" s="3255"/>
      <c r="Z33" s="780" t="str">
        <f t="shared" si="15"/>
        <v>项目建筑规模</v>
      </c>
      <c r="AA33" s="1806">
        <f t="shared" si="3"/>
        <v>1</v>
      </c>
      <c r="AB33" s="1806">
        <f t="shared" si="4"/>
        <v>1</v>
      </c>
      <c r="AC33" s="1806">
        <f t="shared" si="5"/>
        <v>1</v>
      </c>
    </row>
    <row r="34" spans="1:29" ht="15">
      <c r="A34" s="472"/>
      <c r="B34" s="422"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53"/>
      <c r="Q34" s="1805" t="str">
        <f t="shared" si="11"/>
        <v>建筑结构</v>
      </c>
      <c r="R34" s="774" t="s">
        <v>17</v>
      </c>
      <c r="S34" s="775">
        <f t="shared" si="12"/>
        <v>100</v>
      </c>
      <c r="T34" s="774" t="s">
        <v>17</v>
      </c>
      <c r="U34" s="775">
        <f t="shared" si="13"/>
        <v>100</v>
      </c>
      <c r="V34" s="774" t="s">
        <v>17</v>
      </c>
      <c r="W34" s="775">
        <f t="shared" si="14"/>
        <v>100</v>
      </c>
      <c r="X34" s="1808"/>
      <c r="Y34" s="3255"/>
      <c r="Z34" s="1809" t="str">
        <f t="shared" si="15"/>
        <v>建筑结构</v>
      </c>
      <c r="AA34" s="1806">
        <f t="shared" si="3"/>
        <v>1</v>
      </c>
      <c r="AB34" s="1806">
        <f t="shared" si="4"/>
        <v>1</v>
      </c>
      <c r="AC34" s="1806">
        <f t="shared" si="5"/>
        <v>1</v>
      </c>
    </row>
    <row r="35" spans="1:29" ht="15">
      <c r="A35" s="472"/>
      <c r="B35" s="422"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53"/>
      <c r="Q35" s="1805" t="str">
        <f t="shared" si="11"/>
        <v>公共部分装修</v>
      </c>
      <c r="R35" s="774" t="s">
        <v>17</v>
      </c>
      <c r="S35" s="775">
        <f t="shared" si="12"/>
        <v>100</v>
      </c>
      <c r="T35" s="774" t="s">
        <v>17</v>
      </c>
      <c r="U35" s="775">
        <f t="shared" si="13"/>
        <v>100</v>
      </c>
      <c r="V35" s="774" t="s">
        <v>17</v>
      </c>
      <c r="W35" s="775">
        <f t="shared" si="14"/>
        <v>100</v>
      </c>
      <c r="X35" s="1808"/>
      <c r="Y35" s="3255"/>
      <c r="Z35" s="1809" t="str">
        <f t="shared" si="15"/>
        <v>公共部分装修</v>
      </c>
      <c r="AA35" s="1806">
        <f t="shared" si="3"/>
        <v>1</v>
      </c>
      <c r="AB35" s="1806">
        <f t="shared" si="4"/>
        <v>1</v>
      </c>
      <c r="AC35" s="1806">
        <f t="shared" si="5"/>
        <v>1</v>
      </c>
    </row>
    <row r="36" spans="1:29" ht="15">
      <c r="A36" s="472"/>
      <c r="B36" s="422" t="s">
        <v>2662</v>
      </c>
      <c r="C36" s="474">
        <f>'数据-取费表'!N6</f>
        <v>0.97</v>
      </c>
      <c r="D36" s="435">
        <v>100</v>
      </c>
      <c r="E36" s="474">
        <f>ROUND(1-(2018-2014)/60,2)</f>
        <v>0.93</v>
      </c>
      <c r="F36" s="461">
        <f>LOOKUP(E36,110:110,111:111)-LOOKUP(C36,110:110,111:111)+100</f>
        <v>100</v>
      </c>
      <c r="G36" s="474">
        <f>ROUND(1-(2018-2014)/60,2)</f>
        <v>0.93</v>
      </c>
      <c r="H36" s="461">
        <f>LOOKUP(G36,110:110,111:111)-LOOKUP(C36,110:110,111:111)+100</f>
        <v>100</v>
      </c>
      <c r="I36" s="474">
        <v>0.9</v>
      </c>
      <c r="J36" s="435">
        <f>LOOKUP(I36,110:110,111:111)-LOOKUP(C36,110:110,111:111)+100</f>
        <v>100</v>
      </c>
      <c r="K36" s="612">
        <v>2</v>
      </c>
      <c r="L36" s="1136"/>
      <c r="M36" s="1127"/>
      <c r="N36" s="1127"/>
      <c r="O36" s="1127"/>
      <c r="P36" s="3253"/>
      <c r="Q36" s="1805" t="str">
        <f t="shared" si="11"/>
        <v>成新度</v>
      </c>
      <c r="R36" s="774" t="s">
        <v>17</v>
      </c>
      <c r="S36" s="775">
        <f t="shared" si="12"/>
        <v>100</v>
      </c>
      <c r="T36" s="774" t="s">
        <v>17</v>
      </c>
      <c r="U36" s="775">
        <f t="shared" si="13"/>
        <v>100</v>
      </c>
      <c r="V36" s="774" t="s">
        <v>17</v>
      </c>
      <c r="W36" s="775">
        <f t="shared" si="14"/>
        <v>100</v>
      </c>
      <c r="X36" s="1808"/>
      <c r="Y36" s="3255"/>
      <c r="Z36" s="1809" t="str">
        <f t="shared" si="15"/>
        <v>成新度</v>
      </c>
      <c r="AA36" s="1806">
        <f t="shared" si="3"/>
        <v>1</v>
      </c>
      <c r="AB36" s="1806">
        <f t="shared" si="4"/>
        <v>1</v>
      </c>
      <c r="AC36" s="1806">
        <f t="shared" si="5"/>
        <v>1</v>
      </c>
    </row>
    <row r="37" spans="1:29" s="117" customFormat="1" ht="15">
      <c r="A37" s="473"/>
      <c r="B37" s="422"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53"/>
      <c r="Q37" s="1790" t="str">
        <f t="shared" si="11"/>
        <v>市政基础设施</v>
      </c>
      <c r="R37" s="770" t="s">
        <v>17</v>
      </c>
      <c r="S37" s="771">
        <f t="shared" si="12"/>
        <v>100</v>
      </c>
      <c r="T37" s="770" t="s">
        <v>17</v>
      </c>
      <c r="U37" s="771">
        <f t="shared" si="13"/>
        <v>100</v>
      </c>
      <c r="V37" s="770" t="s">
        <v>17</v>
      </c>
      <c r="W37" s="771">
        <f t="shared" si="14"/>
        <v>100</v>
      </c>
      <c r="X37" s="772"/>
      <c r="Y37" s="3255"/>
      <c r="Z37" s="55" t="str">
        <f t="shared" si="15"/>
        <v>市政基础设施</v>
      </c>
      <c r="AA37" s="773">
        <f t="shared" si="3"/>
        <v>1</v>
      </c>
      <c r="AB37" s="773">
        <f t="shared" si="4"/>
        <v>1</v>
      </c>
      <c r="AC37" s="773">
        <f t="shared" si="5"/>
        <v>1</v>
      </c>
    </row>
    <row r="38" spans="1:29" ht="15">
      <c r="A38" s="472"/>
      <c r="B38" s="422"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53" t="s">
        <v>2565</v>
      </c>
      <c r="Q38" s="1805" t="str">
        <f t="shared" si="11"/>
        <v>业态</v>
      </c>
      <c r="R38" s="774" t="s">
        <v>17</v>
      </c>
      <c r="S38" s="775">
        <f t="shared" si="12"/>
        <v>100</v>
      </c>
      <c r="T38" s="774" t="s">
        <v>17</v>
      </c>
      <c r="U38" s="775">
        <f t="shared" si="13"/>
        <v>100</v>
      </c>
      <c r="V38" s="774" t="s">
        <v>17</v>
      </c>
      <c r="W38" s="775">
        <f t="shared" si="14"/>
        <v>100</v>
      </c>
      <c r="X38" s="1808"/>
      <c r="Y38" s="3255" t="s">
        <v>2565</v>
      </c>
      <c r="Z38" s="1809" t="str">
        <f t="shared" si="15"/>
        <v>业态</v>
      </c>
      <c r="AA38" s="1806">
        <f t="shared" si="3"/>
        <v>1</v>
      </c>
      <c r="AB38" s="1806">
        <f t="shared" si="4"/>
        <v>1</v>
      </c>
      <c r="AC38" s="1806">
        <f t="shared" si="5"/>
        <v>1</v>
      </c>
    </row>
    <row r="39" spans="1:29" ht="15">
      <c r="A39" s="472"/>
      <c r="B39" s="422"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2</v>
      </c>
      <c r="L39" s="1136"/>
      <c r="M39" s="1127"/>
      <c r="N39" s="1127"/>
      <c r="O39" s="1127"/>
      <c r="P39" s="3253"/>
      <c r="Q39" s="1805" t="str">
        <f t="shared" si="11"/>
        <v>层高</v>
      </c>
      <c r="R39" s="774" t="s">
        <v>17</v>
      </c>
      <c r="S39" s="775">
        <f t="shared" si="12"/>
        <v>100</v>
      </c>
      <c r="T39" s="774" t="s">
        <v>17</v>
      </c>
      <c r="U39" s="775">
        <f t="shared" si="13"/>
        <v>100</v>
      </c>
      <c r="V39" s="774" t="s">
        <v>17</v>
      </c>
      <c r="W39" s="775">
        <f t="shared" si="14"/>
        <v>100</v>
      </c>
      <c r="X39" s="1808"/>
      <c r="Y39" s="3255"/>
      <c r="Z39" s="1809" t="str">
        <f t="shared" si="15"/>
        <v>层高</v>
      </c>
      <c r="AA39" s="1806">
        <f t="shared" si="3"/>
        <v>1</v>
      </c>
      <c r="AB39" s="1806">
        <f t="shared" si="4"/>
        <v>1</v>
      </c>
      <c r="AC39" s="1806">
        <f t="shared" si="5"/>
        <v>1</v>
      </c>
    </row>
    <row r="40" spans="1:29" ht="15">
      <c r="A40" s="472"/>
      <c r="B40" s="422" t="s">
        <v>2666</v>
      </c>
      <c r="C40" s="2993" t="s">
        <v>3779</v>
      </c>
      <c r="D40" s="435">
        <v>100</v>
      </c>
      <c r="E40" s="434">
        <v>100</v>
      </c>
      <c r="F40" s="461">
        <f>SUMIF(118:118,E40,119:119)-SUMIF(118:118,C40,119:119)+100</f>
        <v>100</v>
      </c>
      <c r="G40" s="434">
        <v>112</v>
      </c>
      <c r="H40" s="435">
        <f>SUMIF(118:118,G40,119:119)-SUMIF(118:118,C40,119:119)+100</f>
        <v>100</v>
      </c>
      <c r="I40" s="434">
        <v>450</v>
      </c>
      <c r="J40" s="435">
        <f>SUMIF(118:118,I40,119:119)-SUMIF(118:118,C40,119:119)+100</f>
        <v>100</v>
      </c>
      <c r="K40" s="613"/>
      <c r="L40" s="1136"/>
      <c r="M40" s="1127"/>
      <c r="N40" s="1127"/>
      <c r="O40" s="1127"/>
      <c r="P40" s="3253"/>
      <c r="Q40" s="1805" t="str">
        <f t="shared" si="11"/>
        <v>单套建筑面积</v>
      </c>
      <c r="R40" s="774" t="s">
        <v>17</v>
      </c>
      <c r="S40" s="775">
        <f t="shared" si="12"/>
        <v>100</v>
      </c>
      <c r="T40" s="774" t="s">
        <v>17</v>
      </c>
      <c r="U40" s="775">
        <f t="shared" si="13"/>
        <v>100</v>
      </c>
      <c r="V40" s="774" t="s">
        <v>17</v>
      </c>
      <c r="W40" s="775">
        <f t="shared" si="14"/>
        <v>100</v>
      </c>
      <c r="X40" s="1808"/>
      <c r="Y40" s="3255"/>
      <c r="Z40" s="1809" t="str">
        <f t="shared" si="15"/>
        <v>单套建筑面积</v>
      </c>
      <c r="AA40" s="1806">
        <f t="shared" si="3"/>
        <v>1</v>
      </c>
      <c r="AB40" s="1806">
        <f t="shared" si="4"/>
        <v>1</v>
      </c>
      <c r="AC40" s="1806">
        <f t="shared" si="5"/>
        <v>1</v>
      </c>
    </row>
    <row r="41" spans="1:29" s="471" customFormat="1" ht="15" hidden="1">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53"/>
      <c r="Q41" s="776" t="str">
        <f t="shared" si="11"/>
        <v>进深比</v>
      </c>
      <c r="R41" s="777" t="s">
        <v>17</v>
      </c>
      <c r="S41" s="778">
        <f t="shared" si="12"/>
        <v>100</v>
      </c>
      <c r="T41" s="777" t="s">
        <v>17</v>
      </c>
      <c r="U41" s="778">
        <f t="shared" si="13"/>
        <v>100</v>
      </c>
      <c r="V41" s="777" t="s">
        <v>17</v>
      </c>
      <c r="W41" s="778">
        <f t="shared" si="14"/>
        <v>100</v>
      </c>
      <c r="X41" s="779"/>
      <c r="Y41" s="3255"/>
      <c r="Z41" s="780" t="str">
        <f t="shared" si="15"/>
        <v>进深比</v>
      </c>
      <c r="AA41" s="1806">
        <f t="shared" si="3"/>
        <v>1</v>
      </c>
      <c r="AB41" s="1806">
        <f t="shared" si="4"/>
        <v>1</v>
      </c>
      <c r="AC41" s="1806">
        <f t="shared" si="5"/>
        <v>1</v>
      </c>
    </row>
    <row r="42" spans="1:29" ht="15">
      <c r="A42" s="472"/>
      <c r="B42" s="422" t="s">
        <v>2668</v>
      </c>
      <c r="C42" s="2994" t="s">
        <v>3771</v>
      </c>
      <c r="D42" s="2995">
        <v>100</v>
      </c>
      <c r="E42" s="2994" t="s">
        <v>3777</v>
      </c>
      <c r="F42" s="2996">
        <f>SUMIF(122:122,E42,123:123)-SUMIF(122:122,C42,123:123)+100</f>
        <v>101</v>
      </c>
      <c r="G42" s="2994" t="s">
        <v>3777</v>
      </c>
      <c r="H42" s="2995">
        <f>SUMIF(122:122,G42,123:123)-SUMIF(122:122,C42,123:123)+100</f>
        <v>101</v>
      </c>
      <c r="I42" s="2994" t="s">
        <v>3766</v>
      </c>
      <c r="J42" s="2995">
        <f>SUMIF(122:122,I42,123:123)-SUMIF(122:122,C42,123:123)+100</f>
        <v>102</v>
      </c>
      <c r="K42" s="2997">
        <v>1</v>
      </c>
      <c r="L42" s="1136"/>
      <c r="M42" s="1127"/>
      <c r="N42" s="1127"/>
      <c r="O42" s="1127"/>
      <c r="P42" s="3253"/>
      <c r="Q42" s="1805" t="str">
        <f t="shared" si="11"/>
        <v>内部装修</v>
      </c>
      <c r="R42" s="774" t="s">
        <v>17</v>
      </c>
      <c r="S42" s="775">
        <f t="shared" si="12"/>
        <v>101</v>
      </c>
      <c r="T42" s="774" t="s">
        <v>17</v>
      </c>
      <c r="U42" s="775">
        <f t="shared" si="13"/>
        <v>101</v>
      </c>
      <c r="V42" s="774" t="s">
        <v>17</v>
      </c>
      <c r="W42" s="775">
        <f t="shared" si="14"/>
        <v>102</v>
      </c>
      <c r="X42" s="1808"/>
      <c r="Y42" s="3255"/>
      <c r="Z42" s="1809" t="str">
        <f t="shared" si="15"/>
        <v>内部装修</v>
      </c>
      <c r="AA42" s="1806">
        <f t="shared" si="3"/>
        <v>0.99009900990099009</v>
      </c>
      <c r="AB42" s="1806">
        <f t="shared" si="4"/>
        <v>0.99009900990099009</v>
      </c>
      <c r="AC42" s="1806">
        <f t="shared" si="5"/>
        <v>0.98039215686274506</v>
      </c>
    </row>
    <row r="43" spans="1:29" ht="15.75" thickBot="1">
      <c r="A43" s="472"/>
      <c r="B43" s="422"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53"/>
      <c r="Q43" s="1805" t="str">
        <f t="shared" si="11"/>
        <v>内部装修维护情况</v>
      </c>
      <c r="R43" s="774" t="s">
        <v>17</v>
      </c>
      <c r="S43" s="775">
        <f t="shared" si="12"/>
        <v>100</v>
      </c>
      <c r="T43" s="774" t="s">
        <v>17</v>
      </c>
      <c r="U43" s="775">
        <f t="shared" si="13"/>
        <v>100</v>
      </c>
      <c r="V43" s="774" t="s">
        <v>17</v>
      </c>
      <c r="W43" s="775">
        <f t="shared" si="14"/>
        <v>100</v>
      </c>
      <c r="X43" s="1808"/>
      <c r="Y43" s="3255"/>
      <c r="Z43" s="1809" t="str">
        <f t="shared" si="15"/>
        <v>内部装修维护情况</v>
      </c>
      <c r="AA43" s="1806">
        <f t="shared" si="3"/>
        <v>1</v>
      </c>
      <c r="AB43" s="1806">
        <f t="shared" si="4"/>
        <v>1</v>
      </c>
      <c r="AC43" s="1806">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3"/>
      <c r="Q44" s="1790">
        <f t="shared" si="11"/>
        <v>111</v>
      </c>
      <c r="R44" s="770" t="s">
        <v>17</v>
      </c>
      <c r="S44" s="771">
        <f t="shared" si="12"/>
        <v>100</v>
      </c>
      <c r="T44" s="770" t="s">
        <v>17</v>
      </c>
      <c r="U44" s="771">
        <f t="shared" si="13"/>
        <v>100</v>
      </c>
      <c r="V44" s="770" t="s">
        <v>17</v>
      </c>
      <c r="W44" s="771">
        <f t="shared" si="14"/>
        <v>100</v>
      </c>
      <c r="X44" s="772"/>
      <c r="Y44" s="3255"/>
      <c r="Z44" s="55">
        <f t="shared" si="15"/>
        <v>111</v>
      </c>
      <c r="AA44" s="773">
        <f t="shared" si="3"/>
        <v>1</v>
      </c>
      <c r="AB44" s="773">
        <f t="shared" si="4"/>
        <v>1</v>
      </c>
      <c r="AC44" s="773">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3"/>
      <c r="Q45" s="1805">
        <f t="shared" si="11"/>
        <v>111</v>
      </c>
      <c r="R45" s="774" t="s">
        <v>17</v>
      </c>
      <c r="S45" s="775">
        <f t="shared" si="12"/>
        <v>100</v>
      </c>
      <c r="T45" s="774" t="s">
        <v>17</v>
      </c>
      <c r="U45" s="775">
        <f t="shared" si="13"/>
        <v>100</v>
      </c>
      <c r="V45" s="774" t="s">
        <v>17</v>
      </c>
      <c r="W45" s="775">
        <f t="shared" si="14"/>
        <v>100</v>
      </c>
      <c r="X45" s="1808"/>
      <c r="Y45" s="3255"/>
      <c r="Z45" s="1809">
        <f t="shared" si="15"/>
        <v>111</v>
      </c>
      <c r="AA45" s="1806">
        <f t="shared" si="3"/>
        <v>1</v>
      </c>
      <c r="AB45" s="1806">
        <f t="shared" si="4"/>
        <v>1</v>
      </c>
      <c r="AC45" s="1806">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4"/>
      <c r="Q46" s="1805">
        <f t="shared" si="11"/>
        <v>111</v>
      </c>
      <c r="R46" s="774" t="s">
        <v>17</v>
      </c>
      <c r="S46" s="775">
        <f t="shared" si="12"/>
        <v>100</v>
      </c>
      <c r="T46" s="774" t="s">
        <v>17</v>
      </c>
      <c r="U46" s="775">
        <f t="shared" si="13"/>
        <v>100</v>
      </c>
      <c r="V46" s="774" t="s">
        <v>17</v>
      </c>
      <c r="W46" s="775">
        <f t="shared" si="14"/>
        <v>100</v>
      </c>
      <c r="X46" s="1808"/>
      <c r="Y46" s="3256"/>
      <c r="Z46" s="1809">
        <f t="shared" si="15"/>
        <v>111</v>
      </c>
      <c r="AA46" s="1806">
        <f t="shared" si="3"/>
        <v>1</v>
      </c>
      <c r="AB46" s="1806">
        <f t="shared" si="4"/>
        <v>1</v>
      </c>
      <c r="AC46" s="1806">
        <f t="shared" si="5"/>
        <v>1</v>
      </c>
    </row>
    <row r="47" spans="1:29" ht="15">
      <c r="A47" s="479" t="s">
        <v>2577</v>
      </c>
      <c r="B47" s="480"/>
      <c r="C47" s="1403" t="s">
        <v>1</v>
      </c>
      <c r="D47" s="1404"/>
      <c r="E47" s="1405">
        <f>ROUND(500/E40*10000,0)</f>
        <v>50000</v>
      </c>
      <c r="F47" s="1406"/>
      <c r="G47" s="1405">
        <f>ROUND(570/G40*10000,0)</f>
        <v>50893</v>
      </c>
      <c r="H47" s="1408"/>
      <c r="I47" s="1405">
        <f>ROUND(2500/I40*10000,0)</f>
        <v>55556</v>
      </c>
      <c r="J47" s="1408"/>
      <c r="K47" s="783"/>
      <c r="L47" s="1139"/>
      <c r="M47" s="1140"/>
      <c r="N47" s="1127"/>
      <c r="O47" s="1140"/>
      <c r="P47" s="3257" t="str">
        <f>A47</f>
        <v>成交单价（元/平方米）</v>
      </c>
      <c r="Q47" s="3257"/>
      <c r="R47" s="3218">
        <f>E47</f>
        <v>50000</v>
      </c>
      <c r="S47" s="3218"/>
      <c r="T47" s="3218">
        <f>G47</f>
        <v>50893</v>
      </c>
      <c r="U47" s="3218"/>
      <c r="V47" s="3218">
        <f>I47</f>
        <v>55556</v>
      </c>
      <c r="W47" s="3218"/>
      <c r="X47" s="759"/>
      <c r="Y47" s="781"/>
      <c r="Z47" s="759"/>
      <c r="AA47" s="759"/>
      <c r="AB47" s="759"/>
      <c r="AC47" s="759"/>
    </row>
    <row r="48" spans="1:29" ht="15.75" thickBot="1">
      <c r="A48" s="486" t="s">
        <v>2669</v>
      </c>
      <c r="B48" s="487"/>
      <c r="C48" s="1409">
        <f>R49</f>
        <v>53075</v>
      </c>
      <c r="D48" s="1410"/>
      <c r="E48" s="1411">
        <f>R48</f>
        <v>49505</v>
      </c>
      <c r="F48" s="1411"/>
      <c r="G48" s="1409">
        <f>T48</f>
        <v>50389</v>
      </c>
      <c r="H48" s="1410"/>
      <c r="I48" s="1411">
        <f>V48</f>
        <v>59332</v>
      </c>
      <c r="J48" s="1410"/>
      <c r="K48" s="784"/>
      <c r="L48" s="1139"/>
      <c r="M48" s="1140"/>
      <c r="N48" s="1127"/>
      <c r="O48" s="1140"/>
      <c r="P48" s="3257" t="str">
        <f>A48</f>
        <v>比较价值（元/平方米）</v>
      </c>
      <c r="Q48" s="3257"/>
      <c r="R48" s="3258">
        <f>IF(F1="售价",ROUND(PRODUCT(R47,AA7:AA46),0),ROUND(PRODUCT(R47,AA7:AA46),1))</f>
        <v>49505</v>
      </c>
      <c r="S48" s="3258"/>
      <c r="T48" s="3258">
        <f>IF(F1="售价",ROUND(PRODUCT(T47,AB7:AB46),0),ROUND(PRODUCT(T47,AB7:AB46),1))</f>
        <v>50389</v>
      </c>
      <c r="U48" s="3258"/>
      <c r="V48" s="3258">
        <f>IF(F1="售价",ROUND(PRODUCT(V47,AC7:AC46),0),ROUND(PRODUCT(V47,AC7:AC46),1))</f>
        <v>59332</v>
      </c>
      <c r="W48" s="3258"/>
      <c r="X48" s="759"/>
      <c r="Y48" s="759"/>
      <c r="Z48" s="759"/>
      <c r="AA48" s="759"/>
      <c r="AB48" s="759"/>
      <c r="AC48" s="759"/>
    </row>
    <row r="49" spans="1:29" ht="15.75" thickBot="1">
      <c r="A49" s="492" t="s">
        <v>2670</v>
      </c>
      <c r="B49" s="493"/>
      <c r="C49" s="1413">
        <f>R49</f>
        <v>53075</v>
      </c>
      <c r="D49" s="1413"/>
      <c r="E49" s="1413"/>
      <c r="F49" s="1413"/>
      <c r="G49" s="1413"/>
      <c r="H49" s="1413"/>
      <c r="I49" s="1413"/>
      <c r="J49" s="1413"/>
      <c r="K49" s="785"/>
      <c r="L49" s="1139"/>
      <c r="M49" s="1140"/>
      <c r="N49" s="1127"/>
      <c r="O49" s="1140"/>
      <c r="P49" s="3259" t="str">
        <f>A49</f>
        <v>估价对象XX用房的比较价值（楼面单价，元/平方米）</v>
      </c>
      <c r="Q49" s="3260"/>
      <c r="R49" s="3261">
        <f>IF(F1="售价",ROUND(AVERAGE(R48:V48),0),ROUND(AVERAGE(R48:V48),1))</f>
        <v>53075</v>
      </c>
      <c r="S49" s="3261"/>
      <c r="T49" s="3261"/>
      <c r="U49" s="3261"/>
      <c r="V49" s="3261"/>
      <c r="W49" s="326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2671</v>
      </c>
      <c r="D52" s="498"/>
      <c r="E52" s="499">
        <f>IF(E47&lt;E48,E48/E47-1,E47/E48-1)</f>
        <v>9.9989900010100108E-3</v>
      </c>
      <c r="F52" s="500" t="str">
        <f>IF(OR(E52&gt;=0.3,E52&lt;=-0.3),"超过30%","")</f>
        <v/>
      </c>
      <c r="G52" s="499">
        <f>IF(G47&lt;G48,G48/G47-1,G47/G48-1)</f>
        <v>1.0002183016134536E-2</v>
      </c>
      <c r="H52" s="500" t="str">
        <f>IF(OR(G52&gt;=0.3,G52&lt;=-0.3),"超过30%","")</f>
        <v/>
      </c>
      <c r="I52" s="499">
        <f>IF(I47&lt;I48,I48/I47-1,I47/I48-1)</f>
        <v>6.7967456260349834E-2</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2672</v>
      </c>
      <c r="D53" s="501"/>
      <c r="E53" s="499">
        <f>IF(E48&lt;G48,G48/E48-1,E48/G48-1)</f>
        <v>1.7856782143217842E-2</v>
      </c>
      <c r="F53" s="500" t="str">
        <f>IF(OR(E53&gt;=0.2,E53&lt;=-0.2),"超过20%","")</f>
        <v/>
      </c>
      <c r="G53" s="499">
        <f>IF(G48&lt;I48,I48/G48-1,G48/I48-1)</f>
        <v>0.17747921173271952</v>
      </c>
      <c r="H53" s="500" t="str">
        <f>IF(OR(G53&gt;=0.2,G53&lt;=-0.2),"超过20%","")</f>
        <v/>
      </c>
      <c r="I53" s="499">
        <f>IF(I48&lt;E48,E48/I48-1,I48/E48-1)</f>
        <v>0.19850520149479856</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2673</v>
      </c>
      <c r="D54" s="501"/>
      <c r="E54" s="499">
        <f>IF(E47&lt;G47,G47/E47-1,E47/G47-1)</f>
        <v>1.7859999999999987E-2</v>
      </c>
      <c r="F54" s="500" t="str">
        <f>IF(OR(E54&gt;=0.3,E54&lt;=-0.3),"超过30%","")</f>
        <v/>
      </c>
      <c r="G54" s="499">
        <f>IF(G47&lt;I47,I47/G47-1,G47/I47-1)</f>
        <v>9.162360246006318E-2</v>
      </c>
      <c r="H54" s="500" t="str">
        <f>IF(OR(G54&gt;=0.3,G54&lt;=-0.3),"超过30%","")</f>
        <v/>
      </c>
      <c r="I54" s="499">
        <f>IF(I47&lt;E47,E47/I47-1,I47/E47-1)</f>
        <v>0.11112000000000011</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2652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85</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77" t="s">
        <v>3746</v>
      </c>
      <c r="D100" s="2977" t="s">
        <v>3747</v>
      </c>
      <c r="E100" s="2977" t="s">
        <v>3748</v>
      </c>
      <c r="F100" s="2977" t="s">
        <v>3749</v>
      </c>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3764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M47" sqref="M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5" style="403" customWidth="1"/>
    <col min="6" max="6" width="12.25" style="403" customWidth="1"/>
    <col min="7" max="7" width="15.75" style="403" customWidth="1"/>
    <col min="8" max="8" width="12.25" style="403" customWidth="1"/>
    <col min="9" max="9" width="17"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2642</v>
      </c>
      <c r="C1" s="1630" t="s">
        <v>2530</v>
      </c>
      <c r="D1" s="1617" t="s">
        <v>3714</v>
      </c>
      <c r="E1" s="2652"/>
      <c r="F1" s="2579" t="s">
        <v>3776</v>
      </c>
      <c r="G1" s="1627" t="s">
        <v>2532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1394</v>
      </c>
      <c r="B2" s="1414">
        <f>IF(C2="——",ROUND(C49*D3/10000,0),ROUND(C49*D3/10000,0)-D2)</f>
        <v>4</v>
      </c>
      <c r="C2" s="2581" t="s">
        <v>70</v>
      </c>
      <c r="D2" s="1361" t="e">
        <f ca="1">SUMIF(INDIRECT("'"&amp;F2&amp;"'"&amp;"!A:A"),"承租人权益价值",INDIRECT("'"&amp;F2&amp;"'"&amp;"!c:c"))</f>
        <v>#REF!</v>
      </c>
      <c r="E2" s="2582" t="s">
        <v>2328</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1395</v>
      </c>
      <c r="B3" s="609">
        <f>IF(C2="——",C49,ROUND(B2*10000/D3,0))</f>
        <v>8.5</v>
      </c>
      <c r="C3" s="400" t="s">
        <v>2534</v>
      </c>
      <c r="D3" s="399">
        <f>IF(D1="",'数据-汇总表'!E3,SUMIF('数据-汇总表'!$C19:$C33,D1,'数据-汇总表'!$E19:$E33))</f>
        <v>4387.92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2535</v>
      </c>
      <c r="B4" s="402"/>
      <c r="C4" s="3235" t="s">
        <v>2536</v>
      </c>
      <c r="D4" s="3236"/>
      <c r="E4" s="3237" t="s">
        <v>2537</v>
      </c>
      <c r="F4" s="3238"/>
      <c r="G4" s="3235" t="s">
        <v>2538</v>
      </c>
      <c r="H4" s="3236"/>
      <c r="I4" s="3235" t="s">
        <v>2539</v>
      </c>
      <c r="J4" s="3236"/>
      <c r="K4" s="610" t="s">
        <v>2540</v>
      </c>
      <c r="L4" s="1126"/>
      <c r="M4" s="1127"/>
      <c r="N4" s="1127"/>
      <c r="O4" s="1127"/>
      <c r="P4" s="3239" t="s">
        <v>2541</v>
      </c>
      <c r="Q4" s="3240"/>
      <c r="R4" s="3221" t="s">
        <v>2537</v>
      </c>
      <c r="S4" s="3222"/>
      <c r="T4" s="3221" t="s">
        <v>2538</v>
      </c>
      <c r="U4" s="3222"/>
      <c r="V4" s="3218" t="s">
        <v>2539</v>
      </c>
      <c r="W4" s="3218"/>
      <c r="X4" s="2959"/>
      <c r="Y4" s="3221" t="s">
        <v>2541</v>
      </c>
      <c r="Z4" s="3222"/>
      <c r="AA4" s="3215" t="s">
        <v>2537</v>
      </c>
      <c r="AB4" s="3218" t="s">
        <v>2538</v>
      </c>
      <c r="AC4" s="3215" t="s">
        <v>2539</v>
      </c>
    </row>
    <row r="5" spans="1:29" ht="15">
      <c r="A5" s="404"/>
      <c r="B5" s="405"/>
      <c r="C5" s="3227" t="s">
        <v>2542</v>
      </c>
      <c r="D5" s="3228"/>
      <c r="E5" s="3225" t="s">
        <v>3778</v>
      </c>
      <c r="F5" s="3226"/>
      <c r="G5" s="3225" t="s">
        <v>3778</v>
      </c>
      <c r="H5" s="3226"/>
      <c r="I5" s="3231" t="s">
        <v>3781</v>
      </c>
      <c r="J5" s="3228"/>
      <c r="K5" s="610"/>
      <c r="L5" s="1126"/>
      <c r="M5" s="1127"/>
      <c r="N5" s="1127"/>
      <c r="O5" s="1127"/>
      <c r="P5" s="3241"/>
      <c r="Q5" s="3242"/>
      <c r="R5" s="3223"/>
      <c r="S5" s="3224"/>
      <c r="T5" s="3223"/>
      <c r="U5" s="3224"/>
      <c r="V5" s="3218"/>
      <c r="W5" s="3218"/>
      <c r="X5" s="2959"/>
      <c r="Y5" s="3223"/>
      <c r="Z5" s="3224"/>
      <c r="AA5" s="3216"/>
      <c r="AB5" s="3218"/>
      <c r="AC5" s="3216"/>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2959"/>
      <c r="Y6" s="3245"/>
      <c r="Z6" s="3246"/>
      <c r="AA6" s="3217"/>
      <c r="AB6" s="3218"/>
      <c r="AC6" s="3217"/>
    </row>
    <row r="7" spans="1:29" s="117" customFormat="1" ht="15.75" thickBot="1">
      <c r="A7" s="408" t="s">
        <v>2548</v>
      </c>
      <c r="B7" s="409"/>
      <c r="C7" s="410">
        <f>'数据-取费表'!B2</f>
        <v>43342</v>
      </c>
      <c r="D7" s="411">
        <v>100</v>
      </c>
      <c r="E7" s="412">
        <f>C7</f>
        <v>43342</v>
      </c>
      <c r="F7" s="413">
        <f>SUMIF(58:58,YEAR(E7)&amp;"-"&amp;MONTH(E7),59:59)</f>
        <v>100</v>
      </c>
      <c r="G7" s="412">
        <f>C7</f>
        <v>43342</v>
      </c>
      <c r="H7" s="411">
        <f>SUMIF(58:58,YEAR(G7)&amp;"-"&amp;MONTH(G7),59:59)</f>
        <v>100</v>
      </c>
      <c r="I7" s="412">
        <f>C7</f>
        <v>43342</v>
      </c>
      <c r="J7" s="411">
        <f>SUMIF(58:58,YEAR(I7)&amp;"-"&amp;MONTH(I7),59:59)</f>
        <v>100</v>
      </c>
      <c r="K7" s="611"/>
      <c r="L7" s="1128"/>
      <c r="M7" s="1129"/>
      <c r="N7" s="1129"/>
      <c r="O7" s="1129"/>
      <c r="P7" s="3219" t="s">
        <v>2549</v>
      </c>
      <c r="Q7" s="3247"/>
      <c r="R7" s="770" t="s">
        <v>17</v>
      </c>
      <c r="S7" s="771">
        <f t="shared" ref="S7:S15" si="0">F7</f>
        <v>100</v>
      </c>
      <c r="T7" s="770" t="s">
        <v>17</v>
      </c>
      <c r="U7" s="771">
        <f t="shared" ref="U7:U15" si="1">H7</f>
        <v>100</v>
      </c>
      <c r="V7" s="770" t="s">
        <v>17</v>
      </c>
      <c r="W7" s="771">
        <f t="shared" ref="W7:W15" si="2">J7</f>
        <v>100</v>
      </c>
      <c r="X7" s="772"/>
      <c r="Y7" s="3219" t="s">
        <v>2549</v>
      </c>
      <c r="Z7" s="3220"/>
      <c r="AA7" s="773">
        <f>D7/F7</f>
        <v>1</v>
      </c>
      <c r="AB7" s="773">
        <f>D7/H7</f>
        <v>1</v>
      </c>
      <c r="AC7" s="773">
        <f>D7/J7</f>
        <v>1</v>
      </c>
    </row>
    <row r="8" spans="1:29" s="117" customFormat="1" ht="15.75" thickBot="1">
      <c r="A8" s="408" t="s">
        <v>2550</v>
      </c>
      <c r="B8" s="409"/>
      <c r="C8" s="414" t="s">
        <v>2587</v>
      </c>
      <c r="D8" s="411">
        <v>100</v>
      </c>
      <c r="E8" s="414" t="s">
        <v>2587</v>
      </c>
      <c r="F8" s="413">
        <f>SUMIF(61:61,E8,62:62)-SUMIF(61:61,C8,62:62)+100</f>
        <v>100</v>
      </c>
      <c r="G8" s="414" t="s">
        <v>2587</v>
      </c>
      <c r="H8" s="411">
        <f>SUMIF(61:61,G8,62:62)-SUMIF(61:61,C8,62:62)+100</f>
        <v>100</v>
      </c>
      <c r="I8" s="414" t="s">
        <v>2587</v>
      </c>
      <c r="J8" s="411">
        <f>SUMIF(61:61,I8,62:62)-SUMIF(61:61,C8,62:62)+100</f>
        <v>100</v>
      </c>
      <c r="K8" s="611"/>
      <c r="L8" s="1128"/>
      <c r="M8" s="1129"/>
      <c r="N8" s="1129"/>
      <c r="O8" s="1129"/>
      <c r="P8" s="3219" t="s">
        <v>2552</v>
      </c>
      <c r="Q8" s="3220"/>
      <c r="R8" s="770" t="s">
        <v>17</v>
      </c>
      <c r="S8" s="771">
        <f t="shared" si="0"/>
        <v>100</v>
      </c>
      <c r="T8" s="770" t="s">
        <v>17</v>
      </c>
      <c r="U8" s="771">
        <f t="shared" si="1"/>
        <v>100</v>
      </c>
      <c r="V8" s="770" t="s">
        <v>17</v>
      </c>
      <c r="W8" s="771">
        <f t="shared" si="2"/>
        <v>100</v>
      </c>
      <c r="X8" s="772"/>
      <c r="Y8" s="3219" t="s">
        <v>2552</v>
      </c>
      <c r="Z8" s="3220"/>
      <c r="AA8" s="773">
        <f t="shared" ref="AA8:AA46" si="3">D8/F8</f>
        <v>1</v>
      </c>
      <c r="AB8" s="773">
        <f t="shared" ref="AB8:AB46" si="4">D8/H8</f>
        <v>1</v>
      </c>
      <c r="AC8" s="773">
        <f t="shared" ref="AC8:AC46" si="5">D8/J8</f>
        <v>1</v>
      </c>
    </row>
    <row r="9" spans="1:29" s="117" customFormat="1">
      <c r="A9" s="415" t="s">
        <v>2553</v>
      </c>
      <c r="B9" s="71" t="s">
        <v>2554</v>
      </c>
      <c r="C9" s="2970" t="s">
        <v>3724</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234" t="s">
        <v>2555</v>
      </c>
      <c r="Q9" s="2938" t="str">
        <f t="shared" ref="Q9:Q15" si="6">B9</f>
        <v>用途</v>
      </c>
      <c r="R9" s="770" t="s">
        <v>17</v>
      </c>
      <c r="S9" s="771">
        <f t="shared" si="0"/>
        <v>100</v>
      </c>
      <c r="T9" s="770" t="s">
        <v>17</v>
      </c>
      <c r="U9" s="771">
        <f t="shared" si="1"/>
        <v>100</v>
      </c>
      <c r="V9" s="770" t="s">
        <v>17</v>
      </c>
      <c r="W9" s="771">
        <f t="shared" si="2"/>
        <v>100</v>
      </c>
      <c r="X9" s="772"/>
      <c r="Y9" s="3095" t="s">
        <v>2556</v>
      </c>
      <c r="Z9" s="2939" t="str">
        <f t="shared" ref="Z9:Z15" si="7">Q9</f>
        <v>用途</v>
      </c>
      <c r="AA9" s="773">
        <f t="shared" si="3"/>
        <v>1</v>
      </c>
      <c r="AB9" s="773">
        <f t="shared" si="4"/>
        <v>1</v>
      </c>
      <c r="AC9" s="773">
        <f t="shared" si="5"/>
        <v>1</v>
      </c>
    </row>
    <row r="10" spans="1:29" s="427" customFormat="1" ht="27.75" thickBot="1">
      <c r="A10" s="421"/>
      <c r="B10" s="2956" t="s">
        <v>2557</v>
      </c>
      <c r="C10" s="423" t="s">
        <v>3725</v>
      </c>
      <c r="D10" s="136">
        <v>100</v>
      </c>
      <c r="E10" s="424" t="s">
        <v>3725</v>
      </c>
      <c r="F10" s="425">
        <f>SUMIF(65:65,E10,66:66)-SUMIF(65:65,C10,66:66)+100</f>
        <v>100</v>
      </c>
      <c r="G10" s="424" t="s">
        <v>3725</v>
      </c>
      <c r="H10" s="136">
        <f>SUMIF(65:65,G10,66:66)-SUMIF(65:65,C10,66:66)+100</f>
        <v>100</v>
      </c>
      <c r="I10" s="424" t="s">
        <v>3725</v>
      </c>
      <c r="J10" s="136">
        <f>SUMIF(65:65,I10,66:66)-SUMIF(65:65,C10,66:66)+100</f>
        <v>100</v>
      </c>
      <c r="K10" s="612">
        <v>2</v>
      </c>
      <c r="L10" s="1131"/>
      <c r="M10" s="1132"/>
      <c r="N10" s="1132"/>
      <c r="O10" s="1132"/>
      <c r="P10" s="3234"/>
      <c r="Q10" s="2938" t="str">
        <f t="shared" si="6"/>
        <v>土地使用年限（年）</v>
      </c>
      <c r="R10" s="770" t="s">
        <v>17</v>
      </c>
      <c r="S10" s="771">
        <f t="shared" si="0"/>
        <v>100</v>
      </c>
      <c r="T10" s="770" t="s">
        <v>17</v>
      </c>
      <c r="U10" s="771">
        <f t="shared" si="1"/>
        <v>100</v>
      </c>
      <c r="V10" s="770" t="s">
        <v>17</v>
      </c>
      <c r="W10" s="771">
        <f t="shared" si="2"/>
        <v>100</v>
      </c>
      <c r="X10" s="772"/>
      <c r="Y10" s="3095"/>
      <c r="Z10" s="2939" t="str">
        <f t="shared" si="7"/>
        <v>土地使用年限（年）</v>
      </c>
      <c r="AA10" s="773">
        <f t="shared" si="3"/>
        <v>1</v>
      </c>
      <c r="AB10" s="773">
        <f t="shared" si="4"/>
        <v>1</v>
      </c>
      <c r="AC10" s="773">
        <f t="shared" si="5"/>
        <v>1</v>
      </c>
    </row>
    <row r="11" spans="1:29" ht="15.75" hidden="1" thickBot="1">
      <c r="A11" s="428"/>
      <c r="B11" s="2956"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34"/>
      <c r="Q11" s="2938" t="str">
        <f t="shared" si="6"/>
        <v>容积率</v>
      </c>
      <c r="R11" s="770" t="s">
        <v>17</v>
      </c>
      <c r="S11" s="771">
        <f t="shared" si="0"/>
        <v>100</v>
      </c>
      <c r="T11" s="770" t="s">
        <v>17</v>
      </c>
      <c r="U11" s="771">
        <f t="shared" si="1"/>
        <v>100</v>
      </c>
      <c r="V11" s="770" t="s">
        <v>17</v>
      </c>
      <c r="W11" s="771">
        <f t="shared" si="2"/>
        <v>100</v>
      </c>
      <c r="X11" s="772"/>
      <c r="Y11" s="3095"/>
      <c r="Z11" s="2939" t="str">
        <f t="shared" si="7"/>
        <v>容积率</v>
      </c>
      <c r="AA11" s="773">
        <f t="shared" si="3"/>
        <v>1</v>
      </c>
      <c r="AB11" s="773">
        <f t="shared" si="4"/>
        <v>1</v>
      </c>
      <c r="AC11" s="773">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34"/>
      <c r="Q12" s="2938">
        <f t="shared" si="6"/>
        <v>111</v>
      </c>
      <c r="R12" s="770" t="s">
        <v>17</v>
      </c>
      <c r="S12" s="771">
        <f t="shared" si="0"/>
        <v>100</v>
      </c>
      <c r="T12" s="770" t="s">
        <v>17</v>
      </c>
      <c r="U12" s="771">
        <f t="shared" si="1"/>
        <v>100</v>
      </c>
      <c r="V12" s="770" t="s">
        <v>17</v>
      </c>
      <c r="W12" s="771">
        <f t="shared" si="2"/>
        <v>100</v>
      </c>
      <c r="X12" s="772"/>
      <c r="Y12" s="3095"/>
      <c r="Z12" s="2939">
        <f t="shared" si="7"/>
        <v>111</v>
      </c>
      <c r="AA12" s="773">
        <f>D12/F12</f>
        <v>1</v>
      </c>
      <c r="AB12" s="773">
        <f>D12/H12</f>
        <v>1</v>
      </c>
      <c r="AC12" s="773">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34"/>
      <c r="Q13" s="2938">
        <f t="shared" si="6"/>
        <v>111</v>
      </c>
      <c r="R13" s="770" t="s">
        <v>17</v>
      </c>
      <c r="S13" s="771">
        <f t="shared" si="0"/>
        <v>100</v>
      </c>
      <c r="T13" s="770" t="s">
        <v>17</v>
      </c>
      <c r="U13" s="771">
        <f t="shared" si="1"/>
        <v>100</v>
      </c>
      <c r="V13" s="770" t="s">
        <v>17</v>
      </c>
      <c r="W13" s="771">
        <f t="shared" si="2"/>
        <v>100</v>
      </c>
      <c r="X13" s="772"/>
      <c r="Y13" s="3095"/>
      <c r="Z13" s="2939">
        <f t="shared" si="7"/>
        <v>111</v>
      </c>
      <c r="AA13" s="773">
        <f t="shared" si="3"/>
        <v>1</v>
      </c>
      <c r="AB13" s="773">
        <f t="shared" si="4"/>
        <v>1</v>
      </c>
      <c r="AC13" s="773">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34"/>
      <c r="Q14" s="2938">
        <f t="shared" si="6"/>
        <v>111</v>
      </c>
      <c r="R14" s="770" t="s">
        <v>17</v>
      </c>
      <c r="S14" s="771">
        <f t="shared" si="0"/>
        <v>100</v>
      </c>
      <c r="T14" s="770" t="s">
        <v>17</v>
      </c>
      <c r="U14" s="771">
        <f t="shared" si="1"/>
        <v>100</v>
      </c>
      <c r="V14" s="770" t="s">
        <v>17</v>
      </c>
      <c r="W14" s="771">
        <f t="shared" si="2"/>
        <v>100</v>
      </c>
      <c r="X14" s="772"/>
      <c r="Y14" s="3095"/>
      <c r="Z14" s="2939">
        <f t="shared" si="7"/>
        <v>111</v>
      </c>
      <c r="AA14" s="773">
        <f t="shared" si="3"/>
        <v>1</v>
      </c>
      <c r="AB14" s="773">
        <f t="shared" si="4"/>
        <v>1</v>
      </c>
      <c r="AC14" s="773">
        <f t="shared" si="5"/>
        <v>1</v>
      </c>
    </row>
    <row r="15" spans="1:29" ht="71.25">
      <c r="A15" s="440" t="s">
        <v>2559</v>
      </c>
      <c r="B15" s="69" t="s">
        <v>2653</v>
      </c>
      <c r="C15" s="2598" t="str">
        <f>估价对象房地状况!C4</f>
        <v>估价对象位于丰台科技园，周边商业氛围一般，人流量一般，商业繁华度一般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6"/>
      <c r="M15" s="1127"/>
      <c r="N15" s="1127"/>
      <c r="O15" s="1127"/>
      <c r="P15" s="3248" t="s">
        <v>2560</v>
      </c>
      <c r="Q15" s="2962" t="str">
        <f t="shared" si="6"/>
        <v>商业繁华度</v>
      </c>
      <c r="R15" s="774" t="s">
        <v>17</v>
      </c>
      <c r="S15" s="775">
        <f t="shared" si="0"/>
        <v>100</v>
      </c>
      <c r="T15" s="774" t="s">
        <v>17</v>
      </c>
      <c r="U15" s="775">
        <f t="shared" si="1"/>
        <v>100</v>
      </c>
      <c r="V15" s="774" t="s">
        <v>17</v>
      </c>
      <c r="W15" s="775">
        <f t="shared" si="2"/>
        <v>100</v>
      </c>
      <c r="X15" s="2959"/>
      <c r="Y15" s="3250" t="s">
        <v>2560</v>
      </c>
      <c r="Z15" s="2960" t="str">
        <f t="shared" si="7"/>
        <v>商业繁华度</v>
      </c>
      <c r="AA15" s="2963">
        <f t="shared" si="3"/>
        <v>1</v>
      </c>
      <c r="AB15" s="2963">
        <f t="shared" si="4"/>
        <v>1</v>
      </c>
      <c r="AC15" s="2963">
        <f t="shared" si="5"/>
        <v>1</v>
      </c>
    </row>
    <row r="16" spans="1:29" ht="15">
      <c r="A16" s="428"/>
      <c r="B16" s="446"/>
      <c r="C16" s="447" t="s">
        <v>3727</v>
      </c>
      <c r="D16" s="448"/>
      <c r="E16" s="447" t="s">
        <v>3727</v>
      </c>
      <c r="F16" s="449"/>
      <c r="G16" s="447" t="s">
        <v>3727</v>
      </c>
      <c r="H16" s="450"/>
      <c r="I16" s="447" t="s">
        <v>3727</v>
      </c>
      <c r="J16" s="448"/>
      <c r="K16" s="615"/>
      <c r="L16" s="1136"/>
      <c r="M16" s="1127"/>
      <c r="N16" s="1127"/>
      <c r="O16" s="1127"/>
      <c r="P16" s="3249"/>
      <c r="Q16" s="2962"/>
      <c r="R16" s="774"/>
      <c r="S16" s="775"/>
      <c r="T16" s="774"/>
      <c r="U16" s="775"/>
      <c r="V16" s="774"/>
      <c r="W16" s="775"/>
      <c r="X16" s="2959"/>
      <c r="Y16" s="3251"/>
      <c r="Z16" s="2960"/>
      <c r="AA16" s="2963">
        <v>1</v>
      </c>
      <c r="AB16" s="2963">
        <v>1</v>
      </c>
      <c r="AC16" s="2963">
        <v>1</v>
      </c>
    </row>
    <row r="17" spans="1:29" ht="99.75">
      <c r="A17" s="428"/>
      <c r="B17" s="451" t="s">
        <v>2096</v>
      </c>
      <c r="C17" s="2602"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6"/>
      <c r="M17" s="1127"/>
      <c r="N17" s="1127"/>
      <c r="O17" s="1127"/>
      <c r="P17" s="3249"/>
      <c r="Q17" s="2962" t="str">
        <f>B17</f>
        <v>交通便捷度</v>
      </c>
      <c r="R17" s="774" t="s">
        <v>17</v>
      </c>
      <c r="S17" s="775">
        <f>F17</f>
        <v>100</v>
      </c>
      <c r="T17" s="774" t="s">
        <v>17</v>
      </c>
      <c r="U17" s="775">
        <f>H17</f>
        <v>100</v>
      </c>
      <c r="V17" s="774" t="s">
        <v>17</v>
      </c>
      <c r="W17" s="775">
        <f>J17</f>
        <v>100</v>
      </c>
      <c r="X17" s="2959"/>
      <c r="Y17" s="3251"/>
      <c r="Z17" s="2960" t="str">
        <f>Q17</f>
        <v>交通便捷度</v>
      </c>
      <c r="AA17" s="2963">
        <f t="shared" si="3"/>
        <v>1</v>
      </c>
      <c r="AB17" s="2963">
        <f t="shared" si="4"/>
        <v>1</v>
      </c>
      <c r="AC17" s="2963">
        <f t="shared" si="5"/>
        <v>1</v>
      </c>
    </row>
    <row r="18" spans="1:29" ht="15">
      <c r="A18" s="428"/>
      <c r="B18" s="456"/>
      <c r="C18" s="2603" t="s">
        <v>3728</v>
      </c>
      <c r="D18" s="450"/>
      <c r="E18" s="2603" t="s">
        <v>3728</v>
      </c>
      <c r="F18" s="453"/>
      <c r="G18" s="2603" t="s">
        <v>3728</v>
      </c>
      <c r="H18" s="448"/>
      <c r="I18" s="2603" t="s">
        <v>3728</v>
      </c>
      <c r="J18" s="448"/>
      <c r="K18" s="615"/>
      <c r="L18" s="1136"/>
      <c r="M18" s="1127"/>
      <c r="N18" s="1127"/>
      <c r="O18" s="1127"/>
      <c r="P18" s="3249"/>
      <c r="Q18" s="2962"/>
      <c r="R18" s="774"/>
      <c r="S18" s="775"/>
      <c r="T18" s="774"/>
      <c r="U18" s="775"/>
      <c r="V18" s="774"/>
      <c r="W18" s="775"/>
      <c r="X18" s="2959"/>
      <c r="Y18" s="3251"/>
      <c r="Z18" s="2960"/>
      <c r="AA18" s="2963">
        <v>1</v>
      </c>
      <c r="AB18" s="2963">
        <v>1</v>
      </c>
      <c r="AC18" s="2963">
        <v>1</v>
      </c>
    </row>
    <row r="19" spans="1:29" ht="42.75">
      <c r="A19" s="428"/>
      <c r="B19" s="451" t="s">
        <v>2654</v>
      </c>
      <c r="C19" s="260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49"/>
      <c r="Q19" s="2962" t="str">
        <f>B19</f>
        <v>公共配套设施</v>
      </c>
      <c r="R19" s="774" t="s">
        <v>17</v>
      </c>
      <c r="S19" s="775">
        <f>F19</f>
        <v>100</v>
      </c>
      <c r="T19" s="774" t="s">
        <v>17</v>
      </c>
      <c r="U19" s="775">
        <f>H19</f>
        <v>100</v>
      </c>
      <c r="V19" s="774" t="s">
        <v>17</v>
      </c>
      <c r="W19" s="775">
        <f>J19</f>
        <v>100</v>
      </c>
      <c r="X19" s="2959"/>
      <c r="Y19" s="3251"/>
      <c r="Z19" s="2960" t="str">
        <f>Q19</f>
        <v>公共配套设施</v>
      </c>
      <c r="AA19" s="2963">
        <f t="shared" si="3"/>
        <v>1</v>
      </c>
      <c r="AB19" s="2963">
        <f t="shared" si="4"/>
        <v>1</v>
      </c>
      <c r="AC19" s="2963">
        <f t="shared" si="5"/>
        <v>1</v>
      </c>
    </row>
    <row r="20" spans="1:29" ht="15">
      <c r="A20" s="428"/>
      <c r="B20" s="456"/>
      <c r="C20" s="447" t="s">
        <v>3728</v>
      </c>
      <c r="D20" s="448"/>
      <c r="E20" s="447" t="s">
        <v>3728</v>
      </c>
      <c r="F20" s="449"/>
      <c r="G20" s="447" t="s">
        <v>3728</v>
      </c>
      <c r="H20" s="448"/>
      <c r="I20" s="447" t="s">
        <v>3728</v>
      </c>
      <c r="J20" s="448"/>
      <c r="K20" s="615"/>
      <c r="L20" s="1136"/>
      <c r="M20" s="1127"/>
      <c r="N20" s="1127"/>
      <c r="O20" s="1127"/>
      <c r="P20" s="3249"/>
      <c r="Q20" s="2962"/>
      <c r="R20" s="774"/>
      <c r="S20" s="775"/>
      <c r="T20" s="774"/>
      <c r="U20" s="775"/>
      <c r="V20" s="774"/>
      <c r="W20" s="775"/>
      <c r="X20" s="2959"/>
      <c r="Y20" s="3251"/>
      <c r="Z20" s="2960"/>
      <c r="AA20" s="2963">
        <v>1</v>
      </c>
      <c r="AB20" s="2963">
        <v>1</v>
      </c>
      <c r="AC20" s="2963">
        <v>1</v>
      </c>
    </row>
    <row r="21" spans="1:29" ht="28.5">
      <c r="A21" s="428"/>
      <c r="B21" s="1380" t="s">
        <v>2655</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249"/>
      <c r="Q21" s="2962" t="str">
        <f>B21</f>
        <v>基础设施水平</v>
      </c>
      <c r="R21" s="774" t="s">
        <v>17</v>
      </c>
      <c r="S21" s="775">
        <f>F21</f>
        <v>100</v>
      </c>
      <c r="T21" s="774" t="s">
        <v>17</v>
      </c>
      <c r="U21" s="775">
        <f>H21</f>
        <v>100</v>
      </c>
      <c r="V21" s="774" t="s">
        <v>17</v>
      </c>
      <c r="W21" s="775">
        <f>J21</f>
        <v>100</v>
      </c>
      <c r="X21" s="2959"/>
      <c r="Y21" s="3251"/>
      <c r="Z21" s="2960" t="str">
        <f>Q21</f>
        <v>基础设施水平</v>
      </c>
      <c r="AA21" s="2963">
        <f t="shared" ref="AA21" si="8">D21/F21</f>
        <v>1</v>
      </c>
      <c r="AB21" s="2963">
        <f t="shared" ref="AB21" si="9">D21/H21</f>
        <v>1</v>
      </c>
      <c r="AC21" s="2963">
        <f t="shared" ref="AC21" si="10">D21/J21</f>
        <v>1</v>
      </c>
    </row>
    <row r="22" spans="1:29" ht="15">
      <c r="A22" s="428"/>
      <c r="B22" s="1380"/>
      <c r="C22" s="2603" t="s">
        <v>3731</v>
      </c>
      <c r="D22" s="448"/>
      <c r="E22" s="2603" t="s">
        <v>3731</v>
      </c>
      <c r="F22" s="449"/>
      <c r="G22" s="2603" t="s">
        <v>3731</v>
      </c>
      <c r="H22" s="448"/>
      <c r="I22" s="2603" t="s">
        <v>3731</v>
      </c>
      <c r="J22" s="448"/>
      <c r="K22" s="1379"/>
      <c r="L22" s="1136"/>
      <c r="M22" s="1127"/>
      <c r="N22" s="1127"/>
      <c r="O22" s="1127"/>
      <c r="P22" s="3249"/>
      <c r="Q22" s="2962"/>
      <c r="R22" s="774"/>
      <c r="S22" s="775"/>
      <c r="T22" s="774"/>
      <c r="U22" s="775"/>
      <c r="V22" s="774"/>
      <c r="W22" s="775"/>
      <c r="X22" s="2959"/>
      <c r="Y22" s="3251"/>
      <c r="Z22" s="2960"/>
      <c r="AA22" s="2963">
        <v>1</v>
      </c>
      <c r="AB22" s="2963">
        <v>1</v>
      </c>
      <c r="AC22" s="2963">
        <v>1</v>
      </c>
    </row>
    <row r="23" spans="1:29" ht="57">
      <c r="A23" s="428"/>
      <c r="B23" s="451" t="s">
        <v>2101</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9"/>
      <c r="Q23" s="2962" t="str">
        <f>B23</f>
        <v>自然及人文环境</v>
      </c>
      <c r="R23" s="774" t="s">
        <v>17</v>
      </c>
      <c r="S23" s="775">
        <f>F23</f>
        <v>100</v>
      </c>
      <c r="T23" s="774" t="s">
        <v>17</v>
      </c>
      <c r="U23" s="775">
        <f>H23</f>
        <v>100</v>
      </c>
      <c r="V23" s="774" t="s">
        <v>17</v>
      </c>
      <c r="W23" s="775">
        <f>J23</f>
        <v>100</v>
      </c>
      <c r="X23" s="2959"/>
      <c r="Y23" s="3251"/>
      <c r="Z23" s="2960" t="str">
        <f>Q23</f>
        <v>自然及人文环境</v>
      </c>
      <c r="AA23" s="2963">
        <f t="shared" si="3"/>
        <v>1</v>
      </c>
      <c r="AB23" s="2963">
        <f t="shared" si="4"/>
        <v>1</v>
      </c>
      <c r="AC23" s="2963">
        <f t="shared" si="5"/>
        <v>1</v>
      </c>
    </row>
    <row r="24" spans="1:29" ht="15">
      <c r="A24" s="428"/>
      <c r="B24" s="456"/>
      <c r="C24" s="447" t="s">
        <v>3727</v>
      </c>
      <c r="D24" s="448"/>
      <c r="E24" s="447" t="s">
        <v>3727</v>
      </c>
      <c r="F24" s="449"/>
      <c r="G24" s="447" t="s">
        <v>3727</v>
      </c>
      <c r="H24" s="448"/>
      <c r="I24" s="447" t="s">
        <v>3727</v>
      </c>
      <c r="J24" s="448"/>
      <c r="K24" s="615"/>
      <c r="L24" s="1136"/>
      <c r="M24" s="1127"/>
      <c r="N24" s="1127"/>
      <c r="O24" s="1127"/>
      <c r="P24" s="3249"/>
      <c r="Q24" s="2962"/>
      <c r="R24" s="774"/>
      <c r="S24" s="775"/>
      <c r="T24" s="774"/>
      <c r="U24" s="775"/>
      <c r="V24" s="774"/>
      <c r="W24" s="775"/>
      <c r="X24" s="2959"/>
      <c r="Y24" s="3251"/>
      <c r="Z24" s="2960"/>
      <c r="AA24" s="2963">
        <v>1</v>
      </c>
      <c r="AB24" s="2963">
        <v>1</v>
      </c>
      <c r="AC24" s="2963">
        <v>1</v>
      </c>
    </row>
    <row r="25" spans="1:29" ht="15">
      <c r="A25" s="428"/>
      <c r="B25" s="2956" t="s">
        <v>2656</v>
      </c>
      <c r="C25" s="616" t="s">
        <v>3732</v>
      </c>
      <c r="D25" s="435">
        <v>100</v>
      </c>
      <c r="E25" s="616" t="s">
        <v>3732</v>
      </c>
      <c r="F25" s="461">
        <f>SUMIF(86:86,E25,87:87)-SUMIF(86:86,C25,87:87)+100</f>
        <v>100</v>
      </c>
      <c r="G25" s="616" t="s">
        <v>3732</v>
      </c>
      <c r="H25" s="435">
        <f>SUMIF(86:86,G25,87:87)-SUMIF(86:86,C25,87:87)+100</f>
        <v>100</v>
      </c>
      <c r="I25" s="616" t="s">
        <v>3732</v>
      </c>
      <c r="J25" s="435">
        <f>SUMIF(86:86,I25,87:87)-SUMIF(86:86,C25,87:87)+100</f>
        <v>100</v>
      </c>
      <c r="K25" s="612">
        <v>3</v>
      </c>
      <c r="L25" s="1136"/>
      <c r="M25" s="1127"/>
      <c r="N25" s="1127"/>
      <c r="O25" s="1127"/>
      <c r="P25" s="3249"/>
      <c r="Q25" s="2962" t="str">
        <f t="shared" ref="Q25:Q46" si="11">B25</f>
        <v>临街状况</v>
      </c>
      <c r="R25" s="774" t="s">
        <v>17</v>
      </c>
      <c r="S25" s="775">
        <f>F25</f>
        <v>100</v>
      </c>
      <c r="T25" s="774" t="s">
        <v>17</v>
      </c>
      <c r="U25" s="775">
        <f>H25</f>
        <v>100</v>
      </c>
      <c r="V25" s="774" t="s">
        <v>17</v>
      </c>
      <c r="W25" s="775">
        <f>J25</f>
        <v>100</v>
      </c>
      <c r="X25" s="2959"/>
      <c r="Y25" s="3251"/>
      <c r="Z25" s="2960" t="str">
        <f>Q25</f>
        <v>临街状况</v>
      </c>
      <c r="AA25" s="2963">
        <f t="shared" si="3"/>
        <v>1</v>
      </c>
      <c r="AB25" s="2963">
        <f t="shared" si="4"/>
        <v>1</v>
      </c>
      <c r="AC25" s="2963">
        <f t="shared" si="5"/>
        <v>1</v>
      </c>
    </row>
    <row r="26" spans="1:29" ht="15">
      <c r="A26" s="428"/>
      <c r="B26" s="1382" t="s">
        <v>2657</v>
      </c>
      <c r="C26" s="2974" t="s">
        <v>3734</v>
      </c>
      <c r="D26" s="435">
        <v>100</v>
      </c>
      <c r="E26" s="2974" t="s">
        <v>3734</v>
      </c>
      <c r="F26" s="461">
        <f>SUMIF(88:88,E26,89:89)-SUMIF(88:88,C26,89:89)+100</f>
        <v>100</v>
      </c>
      <c r="G26" s="2974" t="s">
        <v>3734</v>
      </c>
      <c r="H26" s="435">
        <f>SUMIF(88:88,G26,89:89)-SUMIF(88:88,C26,89:89)+100</f>
        <v>100</v>
      </c>
      <c r="I26" s="2974" t="s">
        <v>3734</v>
      </c>
      <c r="J26" s="435">
        <f>SUMIF(88:88,I26,89:89)-SUMIF(88:88,C26,89:89)+100</f>
        <v>100</v>
      </c>
      <c r="K26" s="613"/>
      <c r="L26" s="1136"/>
      <c r="M26" s="1127"/>
      <c r="N26" s="1127"/>
      <c r="O26" s="1127"/>
      <c r="P26" s="3249"/>
      <c r="Q26" s="2962" t="str">
        <f t="shared" si="11"/>
        <v>平面位置/可视性</v>
      </c>
      <c r="R26" s="774" t="s">
        <v>17</v>
      </c>
      <c r="S26" s="775">
        <f>F26</f>
        <v>100</v>
      </c>
      <c r="T26" s="774" t="s">
        <v>17</v>
      </c>
      <c r="U26" s="775">
        <f>H26</f>
        <v>100</v>
      </c>
      <c r="V26" s="774" t="s">
        <v>17</v>
      </c>
      <c r="W26" s="775">
        <f>J26</f>
        <v>100</v>
      </c>
      <c r="X26" s="2959"/>
      <c r="Y26" s="3251"/>
      <c r="Z26" s="2960" t="str">
        <f>Q26</f>
        <v>平面位置/可视性</v>
      </c>
      <c r="AA26" s="2963">
        <f t="shared" si="3"/>
        <v>1</v>
      </c>
      <c r="AB26" s="2963">
        <f t="shared" si="4"/>
        <v>1</v>
      </c>
      <c r="AC26" s="2963">
        <f t="shared" si="5"/>
        <v>1</v>
      </c>
    </row>
    <row r="27" spans="1:29" s="117" customFormat="1" ht="15">
      <c r="A27" s="431"/>
      <c r="B27" s="451" t="s">
        <v>2658</v>
      </c>
      <c r="C27" s="2660" t="s">
        <v>3727</v>
      </c>
      <c r="D27" s="462">
        <v>100</v>
      </c>
      <c r="E27" s="2660" t="s">
        <v>3727</v>
      </c>
      <c r="F27" s="464">
        <f>SUMIF(90:90,E27,91:91)-SUMIF(90:90,C27,91:91)+100</f>
        <v>100</v>
      </c>
      <c r="G27" s="2660" t="s">
        <v>3727</v>
      </c>
      <c r="H27" s="462">
        <f>SUMIF(90:90,G27,91:91)-SUMIF(90:90,C27,91:91)+100</f>
        <v>100</v>
      </c>
      <c r="I27" s="2660" t="s">
        <v>3727</v>
      </c>
      <c r="J27" s="462">
        <f>SUMIF(90:90,I27,91:91)-SUMIF(90:90,C27,91:91)+100</f>
        <v>100</v>
      </c>
      <c r="K27" s="612">
        <v>2</v>
      </c>
      <c r="L27" s="1128"/>
      <c r="M27" s="1129"/>
      <c r="N27" s="1129"/>
      <c r="O27" s="1129"/>
      <c r="P27" s="3249"/>
      <c r="Q27" s="2938" t="str">
        <f t="shared" si="11"/>
        <v>人流量</v>
      </c>
      <c r="R27" s="770" t="s">
        <v>17</v>
      </c>
      <c r="S27" s="771">
        <f>F27</f>
        <v>100</v>
      </c>
      <c r="T27" s="770" t="s">
        <v>17</v>
      </c>
      <c r="U27" s="771">
        <f>H27</f>
        <v>100</v>
      </c>
      <c r="V27" s="770" t="s">
        <v>17</v>
      </c>
      <c r="W27" s="771">
        <f>J27</f>
        <v>100</v>
      </c>
      <c r="X27" s="772"/>
      <c r="Y27" s="3251"/>
      <c r="Z27" s="2939" t="str">
        <f>Q27</f>
        <v>人流量</v>
      </c>
      <c r="AA27" s="2963">
        <f>D27/F27</f>
        <v>1</v>
      </c>
      <c r="AB27" s="2963">
        <f>D27/H27</f>
        <v>1</v>
      </c>
      <c r="AC27" s="2963">
        <f>D27/J27</f>
        <v>1</v>
      </c>
    </row>
    <row r="28" spans="1:29" ht="15.75" thickBot="1">
      <c r="A28" s="428"/>
      <c r="B28" s="2956" t="s">
        <v>2659</v>
      </c>
      <c r="C28" s="616" t="s">
        <v>3745</v>
      </c>
      <c r="D28" s="435">
        <v>100</v>
      </c>
      <c r="E28" s="616" t="s">
        <v>3745</v>
      </c>
      <c r="F28" s="461">
        <f>SUMIF(92:92,E28,93:93)-SUMIF(92:92,C28,93:93)+100</f>
        <v>100</v>
      </c>
      <c r="G28" s="616" t="s">
        <v>3745</v>
      </c>
      <c r="H28" s="435">
        <f>SUMIF(92:92,G28,93:93)-SUMIF(92:92,C28,93:93)+100</f>
        <v>100</v>
      </c>
      <c r="I28" s="616" t="s">
        <v>3745</v>
      </c>
      <c r="J28" s="435">
        <f>SUMIF(92:92,I28,93:93)-SUMIF(92:92,C28,93:93)+100</f>
        <v>100</v>
      </c>
      <c r="K28" s="613"/>
      <c r="L28" s="1136"/>
      <c r="M28" s="1127"/>
      <c r="N28" s="1127"/>
      <c r="O28" s="1127"/>
      <c r="P28" s="3249"/>
      <c r="Q28" s="2962" t="str">
        <f t="shared" si="11"/>
        <v>楼层</v>
      </c>
      <c r="R28" s="774" t="s">
        <v>17</v>
      </c>
      <c r="S28" s="775">
        <f t="shared" ref="S28:S46" si="12">F28</f>
        <v>100</v>
      </c>
      <c r="T28" s="774" t="s">
        <v>17</v>
      </c>
      <c r="U28" s="775">
        <f t="shared" ref="U28:U46" si="13">H28</f>
        <v>100</v>
      </c>
      <c r="V28" s="774" t="s">
        <v>17</v>
      </c>
      <c r="W28" s="775">
        <f t="shared" ref="W28:W46" si="14">J28</f>
        <v>100</v>
      </c>
      <c r="X28" s="2959"/>
      <c r="Y28" s="3251"/>
      <c r="Z28" s="2960" t="str">
        <f t="shared" ref="Z28:Z46" si="15">Q28</f>
        <v>楼层</v>
      </c>
      <c r="AA28" s="2963">
        <f t="shared" si="3"/>
        <v>1</v>
      </c>
      <c r="AB28" s="2963">
        <f t="shared" si="4"/>
        <v>1</v>
      </c>
      <c r="AC28" s="2963">
        <f t="shared" si="5"/>
        <v>1</v>
      </c>
    </row>
    <row r="29" spans="1:29" ht="15.75" hidden="1" thickBot="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9"/>
      <c r="Q29" s="2962">
        <f t="shared" si="11"/>
        <v>111</v>
      </c>
      <c r="R29" s="774" t="s">
        <v>17</v>
      </c>
      <c r="S29" s="775">
        <f t="shared" si="12"/>
        <v>100</v>
      </c>
      <c r="T29" s="774" t="s">
        <v>17</v>
      </c>
      <c r="U29" s="775">
        <f t="shared" si="13"/>
        <v>100</v>
      </c>
      <c r="V29" s="774" t="s">
        <v>17</v>
      </c>
      <c r="W29" s="775">
        <f t="shared" si="14"/>
        <v>100</v>
      </c>
      <c r="X29" s="2959"/>
      <c r="Y29" s="3251"/>
      <c r="Z29" s="2960">
        <f t="shared" si="15"/>
        <v>111</v>
      </c>
      <c r="AA29" s="2963">
        <f t="shared" si="3"/>
        <v>1</v>
      </c>
      <c r="AB29" s="2963">
        <f t="shared" si="4"/>
        <v>1</v>
      </c>
      <c r="AC29" s="2963">
        <f t="shared" si="5"/>
        <v>1</v>
      </c>
    </row>
    <row r="30" spans="1:29" ht="15.75" hidden="1" thickBot="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9"/>
      <c r="Q30" s="2962">
        <f t="shared" si="11"/>
        <v>111</v>
      </c>
      <c r="R30" s="774" t="s">
        <v>17</v>
      </c>
      <c r="S30" s="775">
        <f t="shared" si="12"/>
        <v>100</v>
      </c>
      <c r="T30" s="774" t="s">
        <v>17</v>
      </c>
      <c r="U30" s="775">
        <f t="shared" si="13"/>
        <v>100</v>
      </c>
      <c r="V30" s="774" t="s">
        <v>17</v>
      </c>
      <c r="W30" s="775">
        <f t="shared" si="14"/>
        <v>100</v>
      </c>
      <c r="X30" s="2959"/>
      <c r="Y30" s="3251"/>
      <c r="Z30" s="2960">
        <f t="shared" si="15"/>
        <v>111</v>
      </c>
      <c r="AA30" s="2963">
        <f t="shared" si="3"/>
        <v>1</v>
      </c>
      <c r="AB30" s="2963">
        <f t="shared" si="4"/>
        <v>1</v>
      </c>
      <c r="AC30" s="2963">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9"/>
      <c r="Q31" s="2962">
        <f t="shared" si="11"/>
        <v>111</v>
      </c>
      <c r="R31" s="774" t="s">
        <v>17</v>
      </c>
      <c r="S31" s="775">
        <f t="shared" si="12"/>
        <v>100</v>
      </c>
      <c r="T31" s="774" t="s">
        <v>17</v>
      </c>
      <c r="U31" s="775">
        <f t="shared" si="13"/>
        <v>100</v>
      </c>
      <c r="V31" s="774" t="s">
        <v>17</v>
      </c>
      <c r="W31" s="775">
        <f t="shared" si="14"/>
        <v>100</v>
      </c>
      <c r="X31" s="2959"/>
      <c r="Y31" s="3251"/>
      <c r="Z31" s="2960">
        <f t="shared" si="15"/>
        <v>111</v>
      </c>
      <c r="AA31" s="2963">
        <f t="shared" si="3"/>
        <v>1</v>
      </c>
      <c r="AB31" s="2963">
        <f t="shared" si="4"/>
        <v>1</v>
      </c>
      <c r="AC31" s="2963">
        <f t="shared" si="5"/>
        <v>1</v>
      </c>
    </row>
    <row r="32" spans="1:29" ht="15">
      <c r="A32" s="440" t="s">
        <v>2563</v>
      </c>
      <c r="B32" s="71" t="s">
        <v>2660</v>
      </c>
      <c r="C32" s="2612" t="s">
        <v>3750</v>
      </c>
      <c r="D32" s="467">
        <v>100</v>
      </c>
      <c r="E32" s="2612" t="s">
        <v>3750</v>
      </c>
      <c r="F32" s="461">
        <f>SUMIF(100:100,E32,101:101)-SUMIF(100:100,C32,101:101)+100</f>
        <v>100</v>
      </c>
      <c r="G32" s="2612" t="s">
        <v>3750</v>
      </c>
      <c r="H32" s="435">
        <f>SUMIF(100:100,G32,101:101)-SUMIF(100:100,C32,101:101)+100</f>
        <v>100</v>
      </c>
      <c r="I32" s="2612" t="s">
        <v>3782</v>
      </c>
      <c r="J32" s="467">
        <f>SUMIF(100:100,I32,101:101)-SUMIF(100:100,C32,101:101)+100</f>
        <v>112</v>
      </c>
      <c r="K32" s="612">
        <v>4</v>
      </c>
      <c r="L32" s="1136"/>
      <c r="M32" s="1127"/>
      <c r="N32" s="1127"/>
      <c r="O32" s="1127"/>
      <c r="P32" s="3252" t="s">
        <v>2565</v>
      </c>
      <c r="Q32" s="2962" t="str">
        <f t="shared" si="11"/>
        <v>商业类型</v>
      </c>
      <c r="R32" s="774" t="s">
        <v>17</v>
      </c>
      <c r="S32" s="775">
        <f t="shared" si="12"/>
        <v>100</v>
      </c>
      <c r="T32" s="774" t="s">
        <v>17</v>
      </c>
      <c r="U32" s="775">
        <f t="shared" si="13"/>
        <v>100</v>
      </c>
      <c r="V32" s="774" t="s">
        <v>17</v>
      </c>
      <c r="W32" s="775">
        <f t="shared" si="14"/>
        <v>112</v>
      </c>
      <c r="X32" s="2959"/>
      <c r="Y32" s="3255" t="s">
        <v>2565</v>
      </c>
      <c r="Z32" s="2960" t="str">
        <f t="shared" si="15"/>
        <v>商业类型</v>
      </c>
      <c r="AA32" s="2963">
        <f t="shared" si="3"/>
        <v>1</v>
      </c>
      <c r="AB32" s="2963">
        <f t="shared" si="4"/>
        <v>1</v>
      </c>
      <c r="AC32" s="2963">
        <f t="shared" si="5"/>
        <v>0.8928571428571429</v>
      </c>
    </row>
    <row r="33" spans="1:29" s="471" customFormat="1" ht="15" hidden="1">
      <c r="A33" s="468"/>
      <c r="B33" s="2956" t="s">
        <v>2566</v>
      </c>
      <c r="C33" s="469">
        <f>面积表!M9</f>
        <v>90617.120000000083</v>
      </c>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3"/>
      <c r="Q33" s="776" t="str">
        <f t="shared" si="11"/>
        <v>项目建筑规模</v>
      </c>
      <c r="R33" s="777" t="s">
        <v>17</v>
      </c>
      <c r="S33" s="778">
        <f t="shared" si="12"/>
        <v>100</v>
      </c>
      <c r="T33" s="777" t="s">
        <v>17</v>
      </c>
      <c r="U33" s="778">
        <f t="shared" si="13"/>
        <v>100</v>
      </c>
      <c r="V33" s="777" t="s">
        <v>17</v>
      </c>
      <c r="W33" s="778">
        <f t="shared" si="14"/>
        <v>100</v>
      </c>
      <c r="X33" s="779"/>
      <c r="Y33" s="3255"/>
      <c r="Z33" s="780" t="str">
        <f t="shared" si="15"/>
        <v>项目建筑规模</v>
      </c>
      <c r="AA33" s="2963">
        <f t="shared" si="3"/>
        <v>1</v>
      </c>
      <c r="AB33" s="2963">
        <f t="shared" si="4"/>
        <v>1</v>
      </c>
      <c r="AC33" s="2963">
        <f t="shared" si="5"/>
        <v>1</v>
      </c>
    </row>
    <row r="34" spans="1:29" ht="15">
      <c r="A34" s="472"/>
      <c r="B34" s="2956" t="s">
        <v>2567</v>
      </c>
      <c r="C34" s="2614" t="s">
        <v>3765</v>
      </c>
      <c r="D34" s="435">
        <v>100</v>
      </c>
      <c r="E34" s="2614" t="s">
        <v>3765</v>
      </c>
      <c r="F34" s="461">
        <f>SUMIF(105:105,E34,106:106)-SUMIF(105:105,C34,106:106)+100</f>
        <v>100</v>
      </c>
      <c r="G34" s="2614" t="s">
        <v>3765</v>
      </c>
      <c r="H34" s="435">
        <f>SUMIF(105:105,G34,106:106)-SUMIF(105:105,C34,106:106)+100</f>
        <v>100</v>
      </c>
      <c r="I34" s="2614" t="s">
        <v>3765</v>
      </c>
      <c r="J34" s="435">
        <f>SUMIF(105:105,I34,106:106)-SUMIF(105:105,C34,106:106)+100</f>
        <v>100</v>
      </c>
      <c r="K34" s="612">
        <v>2</v>
      </c>
      <c r="L34" s="1136"/>
      <c r="M34" s="1127"/>
      <c r="N34" s="1127"/>
      <c r="O34" s="1127"/>
      <c r="P34" s="3253"/>
      <c r="Q34" s="2962" t="str">
        <f t="shared" si="11"/>
        <v>建筑结构</v>
      </c>
      <c r="R34" s="774" t="s">
        <v>17</v>
      </c>
      <c r="S34" s="775">
        <f t="shared" si="12"/>
        <v>100</v>
      </c>
      <c r="T34" s="774" t="s">
        <v>17</v>
      </c>
      <c r="U34" s="775">
        <f t="shared" si="13"/>
        <v>100</v>
      </c>
      <c r="V34" s="774" t="s">
        <v>17</v>
      </c>
      <c r="W34" s="775">
        <f t="shared" si="14"/>
        <v>100</v>
      </c>
      <c r="X34" s="2959"/>
      <c r="Y34" s="3255"/>
      <c r="Z34" s="2960" t="str">
        <f t="shared" si="15"/>
        <v>建筑结构</v>
      </c>
      <c r="AA34" s="2963">
        <f t="shared" si="3"/>
        <v>1</v>
      </c>
      <c r="AB34" s="2963">
        <f t="shared" si="4"/>
        <v>1</v>
      </c>
      <c r="AC34" s="2963">
        <f t="shared" si="5"/>
        <v>1</v>
      </c>
    </row>
    <row r="35" spans="1:29" ht="15">
      <c r="A35" s="472"/>
      <c r="B35" s="2956" t="s">
        <v>2661</v>
      </c>
      <c r="C35" s="2608" t="s">
        <v>3767</v>
      </c>
      <c r="D35" s="435">
        <v>100</v>
      </c>
      <c r="E35" s="2608" t="s">
        <v>3767</v>
      </c>
      <c r="F35" s="461">
        <f>SUMIF(107:107,E35,108:108)-SUMIF(107:107,C35,108:108)+100</f>
        <v>100</v>
      </c>
      <c r="G35" s="2608" t="s">
        <v>3767</v>
      </c>
      <c r="H35" s="435">
        <f>SUMIF(107:107,G35,108:108)-SUMIF(107:107,C35,108:108)+100</f>
        <v>100</v>
      </c>
      <c r="I35" s="2979" t="s">
        <v>3767</v>
      </c>
      <c r="J35" s="435">
        <f>SUMIF(107:107,I35,108:108)-SUMIF(107:107,C35,108:108)+100</f>
        <v>100</v>
      </c>
      <c r="K35" s="612">
        <v>2</v>
      </c>
      <c r="L35" s="1136"/>
      <c r="M35" s="1127"/>
      <c r="N35" s="1127"/>
      <c r="O35" s="1127"/>
      <c r="P35" s="3253"/>
      <c r="Q35" s="2962" t="str">
        <f t="shared" si="11"/>
        <v>公共部分装修</v>
      </c>
      <c r="R35" s="774" t="s">
        <v>17</v>
      </c>
      <c r="S35" s="775">
        <f t="shared" si="12"/>
        <v>100</v>
      </c>
      <c r="T35" s="774" t="s">
        <v>17</v>
      </c>
      <c r="U35" s="775">
        <f t="shared" si="13"/>
        <v>100</v>
      </c>
      <c r="V35" s="774" t="s">
        <v>17</v>
      </c>
      <c r="W35" s="775">
        <f t="shared" si="14"/>
        <v>100</v>
      </c>
      <c r="X35" s="2959"/>
      <c r="Y35" s="3255"/>
      <c r="Z35" s="2960" t="str">
        <f t="shared" si="15"/>
        <v>公共部分装修</v>
      </c>
      <c r="AA35" s="2963">
        <f t="shared" si="3"/>
        <v>1</v>
      </c>
      <c r="AB35" s="2963">
        <f t="shared" si="4"/>
        <v>1</v>
      </c>
      <c r="AC35" s="2963">
        <f t="shared" si="5"/>
        <v>1</v>
      </c>
    </row>
    <row r="36" spans="1:29" ht="15">
      <c r="A36" s="472"/>
      <c r="B36" s="2956" t="s">
        <v>2662</v>
      </c>
      <c r="C36" s="474">
        <f>'数据-取费表'!N6</f>
        <v>0.97</v>
      </c>
      <c r="D36" s="435">
        <v>100</v>
      </c>
      <c r="E36" s="474">
        <f>ROUND(1-(2018-2016)/60,2)</f>
        <v>0.97</v>
      </c>
      <c r="F36" s="461">
        <f>LOOKUP(E36,110:110,111:111)-LOOKUP(C36,110:110,111:111)+100</f>
        <v>100</v>
      </c>
      <c r="G36" s="474">
        <f>ROUND(1-(2018-2016)/60,2)</f>
        <v>0.97</v>
      </c>
      <c r="H36" s="461">
        <f>LOOKUP(G36,110:110,111:111)-LOOKUP(C36,110:110,111:111)+100</f>
        <v>100</v>
      </c>
      <c r="I36" s="474">
        <f>ROUND(1-(2018-2015)/60,2)</f>
        <v>0.95</v>
      </c>
      <c r="J36" s="435">
        <f>LOOKUP(I36,110:110,111:111)-LOOKUP(C36,110:110,111:111)+100</f>
        <v>100</v>
      </c>
      <c r="K36" s="612">
        <v>2</v>
      </c>
      <c r="L36" s="1136"/>
      <c r="M36" s="1127"/>
      <c r="N36" s="1127"/>
      <c r="O36" s="1127"/>
      <c r="P36" s="3253"/>
      <c r="Q36" s="2962" t="str">
        <f t="shared" si="11"/>
        <v>成新度</v>
      </c>
      <c r="R36" s="774" t="s">
        <v>17</v>
      </c>
      <c r="S36" s="775">
        <f t="shared" si="12"/>
        <v>100</v>
      </c>
      <c r="T36" s="774" t="s">
        <v>17</v>
      </c>
      <c r="U36" s="775">
        <f t="shared" si="13"/>
        <v>100</v>
      </c>
      <c r="V36" s="774" t="s">
        <v>17</v>
      </c>
      <c r="W36" s="775">
        <f t="shared" si="14"/>
        <v>100</v>
      </c>
      <c r="X36" s="2959"/>
      <c r="Y36" s="3255"/>
      <c r="Z36" s="2960" t="str">
        <f t="shared" si="15"/>
        <v>成新度</v>
      </c>
      <c r="AA36" s="2963">
        <f t="shared" si="3"/>
        <v>1</v>
      </c>
      <c r="AB36" s="2963">
        <f t="shared" si="4"/>
        <v>1</v>
      </c>
      <c r="AC36" s="2963">
        <f t="shared" si="5"/>
        <v>1</v>
      </c>
    </row>
    <row r="37" spans="1:29" s="117" customFormat="1" ht="15">
      <c r="A37" s="473"/>
      <c r="B37" s="2956" t="s">
        <v>2663</v>
      </c>
      <c r="C37" s="2608" t="s">
        <v>3768</v>
      </c>
      <c r="D37" s="136">
        <v>100</v>
      </c>
      <c r="E37" s="2608" t="s">
        <v>3768</v>
      </c>
      <c r="F37" s="461">
        <f>SUMIF(112:112,E37,113:113)-SUMIF(112:112,C37,113:113)+100</f>
        <v>100</v>
      </c>
      <c r="G37" s="2608" t="s">
        <v>3768</v>
      </c>
      <c r="H37" s="435">
        <f>SUMIF(112:112,G37,113:113)-SUMIF(112:112,C37,113:113)+100</f>
        <v>100</v>
      </c>
      <c r="I37" s="2608" t="s">
        <v>3768</v>
      </c>
      <c r="J37" s="435">
        <f>SUMIF(112:112,I37,113:113)-SUMIF(112:112,C37,113:113)+100</f>
        <v>100</v>
      </c>
      <c r="K37" s="612">
        <v>1</v>
      </c>
      <c r="L37" s="1128"/>
      <c r="M37" s="1129"/>
      <c r="N37" s="1129"/>
      <c r="O37" s="1129"/>
      <c r="P37" s="3253"/>
      <c r="Q37" s="2938" t="str">
        <f t="shared" si="11"/>
        <v>市政基础设施</v>
      </c>
      <c r="R37" s="770" t="s">
        <v>17</v>
      </c>
      <c r="S37" s="771">
        <f t="shared" si="12"/>
        <v>100</v>
      </c>
      <c r="T37" s="770" t="s">
        <v>17</v>
      </c>
      <c r="U37" s="771">
        <f t="shared" si="13"/>
        <v>100</v>
      </c>
      <c r="V37" s="770" t="s">
        <v>17</v>
      </c>
      <c r="W37" s="771">
        <f t="shared" si="14"/>
        <v>100</v>
      </c>
      <c r="X37" s="772"/>
      <c r="Y37" s="3255"/>
      <c r="Z37" s="2939" t="str">
        <f t="shared" si="15"/>
        <v>市政基础设施</v>
      </c>
      <c r="AA37" s="773">
        <f t="shared" si="3"/>
        <v>1</v>
      </c>
      <c r="AB37" s="773">
        <f t="shared" si="4"/>
        <v>1</v>
      </c>
      <c r="AC37" s="773">
        <f t="shared" si="5"/>
        <v>1</v>
      </c>
    </row>
    <row r="38" spans="1:29" ht="15">
      <c r="A38" s="472"/>
      <c r="B38" s="2956" t="s">
        <v>2664</v>
      </c>
      <c r="C38" s="2608" t="s">
        <v>3769</v>
      </c>
      <c r="D38" s="435">
        <v>100</v>
      </c>
      <c r="E38" s="2608" t="s">
        <v>3769</v>
      </c>
      <c r="F38" s="461">
        <f>SUMIF(114:114,E38,115:115)-SUMIF(114:114,C38,115:115)+100</f>
        <v>100</v>
      </c>
      <c r="G38" s="2608" t="s">
        <v>3769</v>
      </c>
      <c r="H38" s="435">
        <f>SUMIF(114:114,G38,115:115)-SUMIF(114:114,C38,115:115)+100</f>
        <v>100</v>
      </c>
      <c r="I38" s="2608" t="s">
        <v>3769</v>
      </c>
      <c r="J38" s="435">
        <f>SUMIF(114:114,I38,115:115)-SUMIF(114:114,C38,115:115)+100</f>
        <v>100</v>
      </c>
      <c r="K38" s="612">
        <v>10</v>
      </c>
      <c r="L38" s="1136"/>
      <c r="M38" s="1127"/>
      <c r="N38" s="1127"/>
      <c r="O38" s="1127"/>
      <c r="P38" s="3253" t="s">
        <v>2565</v>
      </c>
      <c r="Q38" s="2962" t="str">
        <f t="shared" si="11"/>
        <v>业态</v>
      </c>
      <c r="R38" s="774" t="s">
        <v>17</v>
      </c>
      <c r="S38" s="775">
        <f t="shared" si="12"/>
        <v>100</v>
      </c>
      <c r="T38" s="774" t="s">
        <v>17</v>
      </c>
      <c r="U38" s="775">
        <f t="shared" si="13"/>
        <v>100</v>
      </c>
      <c r="V38" s="774" t="s">
        <v>17</v>
      </c>
      <c r="W38" s="775">
        <f t="shared" si="14"/>
        <v>100</v>
      </c>
      <c r="X38" s="2959"/>
      <c r="Y38" s="3255" t="s">
        <v>2565</v>
      </c>
      <c r="Z38" s="2960" t="str">
        <f t="shared" si="15"/>
        <v>业态</v>
      </c>
      <c r="AA38" s="2963">
        <f t="shared" si="3"/>
        <v>1</v>
      </c>
      <c r="AB38" s="2963">
        <f t="shared" si="4"/>
        <v>1</v>
      </c>
      <c r="AC38" s="2963">
        <f t="shared" si="5"/>
        <v>1</v>
      </c>
    </row>
    <row r="39" spans="1:29" ht="15">
      <c r="A39" s="472"/>
      <c r="B39" s="2956" t="s">
        <v>2665</v>
      </c>
      <c r="C39" s="2608" t="s">
        <v>3770</v>
      </c>
      <c r="D39" s="435">
        <v>100</v>
      </c>
      <c r="E39" s="2608" t="s">
        <v>3770</v>
      </c>
      <c r="F39" s="461">
        <f>SUMIF(116:116,E39,117:117)-SUMIF(116:116,C39,117:117)+100</f>
        <v>100</v>
      </c>
      <c r="G39" s="2608" t="s">
        <v>3770</v>
      </c>
      <c r="H39" s="435">
        <f>SUMIF(116:116,G39,117:117)-SUMIF(116:116,C39,117:117)+100</f>
        <v>100</v>
      </c>
      <c r="I39" s="2608" t="s">
        <v>3770</v>
      </c>
      <c r="J39" s="435">
        <f>SUMIF(116:116,I39,117:117)-SUMIF(116:116,C39,117:117)+100</f>
        <v>100</v>
      </c>
      <c r="K39" s="612">
        <v>15</v>
      </c>
      <c r="L39" s="1136"/>
      <c r="M39" s="1127"/>
      <c r="N39" s="1127"/>
      <c r="O39" s="1127"/>
      <c r="P39" s="3253"/>
      <c r="Q39" s="2962" t="str">
        <f t="shared" si="11"/>
        <v>层高</v>
      </c>
      <c r="R39" s="774" t="s">
        <v>17</v>
      </c>
      <c r="S39" s="775">
        <f t="shared" si="12"/>
        <v>100</v>
      </c>
      <c r="T39" s="774" t="s">
        <v>17</v>
      </c>
      <c r="U39" s="775">
        <f t="shared" si="13"/>
        <v>100</v>
      </c>
      <c r="V39" s="774" t="s">
        <v>17</v>
      </c>
      <c r="W39" s="775">
        <f t="shared" si="14"/>
        <v>100</v>
      </c>
      <c r="X39" s="2959"/>
      <c r="Y39" s="3255"/>
      <c r="Z39" s="2960" t="str">
        <f t="shared" si="15"/>
        <v>层高</v>
      </c>
      <c r="AA39" s="2963">
        <f t="shared" si="3"/>
        <v>1</v>
      </c>
      <c r="AB39" s="2963">
        <f t="shared" si="4"/>
        <v>1</v>
      </c>
      <c r="AC39" s="2963">
        <f t="shared" si="5"/>
        <v>1</v>
      </c>
    </row>
    <row r="40" spans="1:29" ht="15">
      <c r="A40" s="472"/>
      <c r="B40" s="2956" t="s">
        <v>2666</v>
      </c>
      <c r="C40" s="617" t="s">
        <v>3780</v>
      </c>
      <c r="D40" s="435">
        <v>100</v>
      </c>
      <c r="E40" s="618">
        <v>118</v>
      </c>
      <c r="F40" s="461">
        <f>SUMIF(118:118,E40,119:119)-SUMIF(118:118,C40,119:119)+100</f>
        <v>100</v>
      </c>
      <c r="G40" s="618">
        <v>50</v>
      </c>
      <c r="H40" s="435">
        <f>SUMIF(118:118,G40,119:119)-SUMIF(118:118,C40,119:119)+100</f>
        <v>100</v>
      </c>
      <c r="I40" s="618">
        <v>92</v>
      </c>
      <c r="J40" s="435">
        <f>SUMIF(118:118,I40,119:119)-SUMIF(118:118,C40,119:119)+100</f>
        <v>100</v>
      </c>
      <c r="K40" s="613"/>
      <c r="L40" s="1136"/>
      <c r="M40" s="1127"/>
      <c r="N40" s="1127"/>
      <c r="O40" s="1127"/>
      <c r="P40" s="3253"/>
      <c r="Q40" s="2962" t="str">
        <f t="shared" si="11"/>
        <v>单套建筑面积</v>
      </c>
      <c r="R40" s="774" t="s">
        <v>17</v>
      </c>
      <c r="S40" s="775">
        <f t="shared" si="12"/>
        <v>100</v>
      </c>
      <c r="T40" s="774" t="s">
        <v>17</v>
      </c>
      <c r="U40" s="775">
        <f t="shared" si="13"/>
        <v>100</v>
      </c>
      <c r="V40" s="774" t="s">
        <v>17</v>
      </c>
      <c r="W40" s="775">
        <f t="shared" si="14"/>
        <v>100</v>
      </c>
      <c r="X40" s="2959"/>
      <c r="Y40" s="3255"/>
      <c r="Z40" s="2960" t="str">
        <f t="shared" si="15"/>
        <v>单套建筑面积</v>
      </c>
      <c r="AA40" s="2963">
        <f t="shared" si="3"/>
        <v>1</v>
      </c>
      <c r="AB40" s="2963">
        <f t="shared" si="4"/>
        <v>1</v>
      </c>
      <c r="AC40" s="2963">
        <f t="shared" si="5"/>
        <v>1</v>
      </c>
    </row>
    <row r="41" spans="1:29" s="471" customFormat="1" ht="15" hidden="1">
      <c r="A41" s="468"/>
      <c r="B41" s="296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53"/>
      <c r="Q41" s="776" t="str">
        <f t="shared" si="11"/>
        <v>进深比</v>
      </c>
      <c r="R41" s="777" t="s">
        <v>17</v>
      </c>
      <c r="S41" s="778">
        <f t="shared" si="12"/>
        <v>100</v>
      </c>
      <c r="T41" s="777" t="s">
        <v>17</v>
      </c>
      <c r="U41" s="778">
        <f t="shared" si="13"/>
        <v>100</v>
      </c>
      <c r="V41" s="777" t="s">
        <v>17</v>
      </c>
      <c r="W41" s="778">
        <f t="shared" si="14"/>
        <v>100</v>
      </c>
      <c r="X41" s="779"/>
      <c r="Y41" s="3255"/>
      <c r="Z41" s="780" t="str">
        <f t="shared" si="15"/>
        <v>进深比</v>
      </c>
      <c r="AA41" s="2963">
        <f t="shared" si="3"/>
        <v>1</v>
      </c>
      <c r="AB41" s="2963">
        <f t="shared" si="4"/>
        <v>1</v>
      </c>
      <c r="AC41" s="2963">
        <f t="shared" si="5"/>
        <v>1</v>
      </c>
    </row>
    <row r="42" spans="1:29" ht="15">
      <c r="A42" s="472"/>
      <c r="B42" s="2956" t="s">
        <v>2668</v>
      </c>
      <c r="C42" s="2608" t="s">
        <v>3771</v>
      </c>
      <c r="D42" s="435">
        <v>100</v>
      </c>
      <c r="E42" s="2608" t="s">
        <v>3771</v>
      </c>
      <c r="F42" s="461">
        <f>SUMIF(122:122,E42,123:123)-SUMIF(122:122,C42,123:123)+100</f>
        <v>100</v>
      </c>
      <c r="G42" s="2608" t="s">
        <v>3771</v>
      </c>
      <c r="H42" s="435">
        <f>SUMIF(122:122,G42,123:123)-SUMIF(122:122,C42,123:123)+100</f>
        <v>100</v>
      </c>
      <c r="I42" s="2608" t="s">
        <v>3771</v>
      </c>
      <c r="J42" s="435">
        <f>SUMIF(122:122,I42,123:123)-SUMIF(122:122,C42,123:123)+100</f>
        <v>100</v>
      </c>
      <c r="K42" s="612">
        <v>1</v>
      </c>
      <c r="L42" s="1136"/>
      <c r="M42" s="1127"/>
      <c r="N42" s="1127"/>
      <c r="O42" s="1127"/>
      <c r="P42" s="3253"/>
      <c r="Q42" s="2962" t="str">
        <f t="shared" si="11"/>
        <v>内部装修</v>
      </c>
      <c r="R42" s="774" t="s">
        <v>17</v>
      </c>
      <c r="S42" s="775">
        <f t="shared" si="12"/>
        <v>100</v>
      </c>
      <c r="T42" s="774" t="s">
        <v>17</v>
      </c>
      <c r="U42" s="775">
        <f t="shared" si="13"/>
        <v>100</v>
      </c>
      <c r="V42" s="774" t="s">
        <v>17</v>
      </c>
      <c r="W42" s="775">
        <f t="shared" si="14"/>
        <v>100</v>
      </c>
      <c r="X42" s="2959"/>
      <c r="Y42" s="3255"/>
      <c r="Z42" s="2960" t="str">
        <f t="shared" si="15"/>
        <v>内部装修</v>
      </c>
      <c r="AA42" s="2963">
        <f t="shared" si="3"/>
        <v>1</v>
      </c>
      <c r="AB42" s="2963">
        <f t="shared" si="4"/>
        <v>1</v>
      </c>
      <c r="AC42" s="2963">
        <f t="shared" si="5"/>
        <v>1</v>
      </c>
    </row>
    <row r="43" spans="1:29" ht="15.75" thickBot="1">
      <c r="A43" s="472"/>
      <c r="B43" s="2956" t="s">
        <v>2576</v>
      </c>
      <c r="C43" s="2608" t="s">
        <v>3728</v>
      </c>
      <c r="D43" s="435">
        <v>100</v>
      </c>
      <c r="E43" s="2608" t="s">
        <v>3728</v>
      </c>
      <c r="F43" s="461">
        <f>SUMIF(124:124,E43,125:125)-SUMIF(124:124,C43,125:125)+100</f>
        <v>100</v>
      </c>
      <c r="G43" s="2608" t="s">
        <v>3728</v>
      </c>
      <c r="H43" s="435">
        <f>SUMIF(124:124,G43,125:125)-SUMIF(124:124,C43,125:125)+100</f>
        <v>100</v>
      </c>
      <c r="I43" s="2608" t="s">
        <v>3728</v>
      </c>
      <c r="J43" s="435">
        <f>SUMIF(124:124,I43,125:125)-SUMIF(124:124,C43,125:125)+100</f>
        <v>100</v>
      </c>
      <c r="K43" s="612">
        <v>2</v>
      </c>
      <c r="L43" s="1136"/>
      <c r="M43" s="1127"/>
      <c r="N43" s="1127"/>
      <c r="O43" s="1127"/>
      <c r="P43" s="3253"/>
      <c r="Q43" s="2962" t="str">
        <f t="shared" si="11"/>
        <v>内部装修维护情况</v>
      </c>
      <c r="R43" s="774" t="s">
        <v>17</v>
      </c>
      <c r="S43" s="775">
        <f t="shared" si="12"/>
        <v>100</v>
      </c>
      <c r="T43" s="774" t="s">
        <v>17</v>
      </c>
      <c r="U43" s="775">
        <f t="shared" si="13"/>
        <v>100</v>
      </c>
      <c r="V43" s="774" t="s">
        <v>17</v>
      </c>
      <c r="W43" s="775">
        <f t="shared" si="14"/>
        <v>100</v>
      </c>
      <c r="X43" s="2959"/>
      <c r="Y43" s="3255"/>
      <c r="Z43" s="2960" t="str">
        <f t="shared" si="15"/>
        <v>内部装修维护情况</v>
      </c>
      <c r="AA43" s="2963">
        <f t="shared" si="3"/>
        <v>1</v>
      </c>
      <c r="AB43" s="2963">
        <f t="shared" si="4"/>
        <v>1</v>
      </c>
      <c r="AC43" s="2963">
        <f t="shared" si="5"/>
        <v>1</v>
      </c>
    </row>
    <row r="44" spans="1:29" s="117" customFormat="1" ht="15.75"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3"/>
      <c r="Q44" s="2938">
        <f t="shared" si="11"/>
        <v>111</v>
      </c>
      <c r="R44" s="770" t="s">
        <v>17</v>
      </c>
      <c r="S44" s="771">
        <f t="shared" si="12"/>
        <v>100</v>
      </c>
      <c r="T44" s="770" t="s">
        <v>17</v>
      </c>
      <c r="U44" s="771">
        <f t="shared" si="13"/>
        <v>100</v>
      </c>
      <c r="V44" s="770" t="s">
        <v>17</v>
      </c>
      <c r="W44" s="771">
        <f t="shared" si="14"/>
        <v>100</v>
      </c>
      <c r="X44" s="772"/>
      <c r="Y44" s="3255"/>
      <c r="Z44" s="2939">
        <f t="shared" si="15"/>
        <v>111</v>
      </c>
      <c r="AA44" s="773">
        <f t="shared" si="3"/>
        <v>1</v>
      </c>
      <c r="AB44" s="773">
        <f t="shared" si="4"/>
        <v>1</v>
      </c>
      <c r="AC44" s="773">
        <f t="shared" si="5"/>
        <v>1</v>
      </c>
    </row>
    <row r="45" spans="1:29" ht="15.75"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3"/>
      <c r="Q45" s="2962">
        <f t="shared" si="11"/>
        <v>111</v>
      </c>
      <c r="R45" s="774" t="s">
        <v>17</v>
      </c>
      <c r="S45" s="775">
        <f t="shared" si="12"/>
        <v>100</v>
      </c>
      <c r="T45" s="774" t="s">
        <v>17</v>
      </c>
      <c r="U45" s="775">
        <f t="shared" si="13"/>
        <v>100</v>
      </c>
      <c r="V45" s="774" t="s">
        <v>17</v>
      </c>
      <c r="W45" s="775">
        <f t="shared" si="14"/>
        <v>100</v>
      </c>
      <c r="X45" s="2959"/>
      <c r="Y45" s="3255"/>
      <c r="Z45" s="2960">
        <f t="shared" si="15"/>
        <v>111</v>
      </c>
      <c r="AA45" s="2963">
        <f t="shared" si="3"/>
        <v>1</v>
      </c>
      <c r="AB45" s="2963">
        <f t="shared" si="4"/>
        <v>1</v>
      </c>
      <c r="AC45" s="2963">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4"/>
      <c r="Q46" s="2962">
        <f t="shared" si="11"/>
        <v>111</v>
      </c>
      <c r="R46" s="774" t="s">
        <v>17</v>
      </c>
      <c r="S46" s="775">
        <f t="shared" si="12"/>
        <v>100</v>
      </c>
      <c r="T46" s="774" t="s">
        <v>17</v>
      </c>
      <c r="U46" s="775">
        <f t="shared" si="13"/>
        <v>100</v>
      </c>
      <c r="V46" s="774" t="s">
        <v>17</v>
      </c>
      <c r="W46" s="775">
        <f t="shared" si="14"/>
        <v>100</v>
      </c>
      <c r="X46" s="2959"/>
      <c r="Y46" s="3256"/>
      <c r="Z46" s="2960">
        <f t="shared" si="15"/>
        <v>111</v>
      </c>
      <c r="AA46" s="2963">
        <f t="shared" si="3"/>
        <v>1</v>
      </c>
      <c r="AB46" s="2963">
        <f t="shared" si="4"/>
        <v>1</v>
      </c>
      <c r="AC46" s="2963">
        <f t="shared" si="5"/>
        <v>1</v>
      </c>
    </row>
    <row r="47" spans="1:29" ht="15">
      <c r="A47" s="479" t="s">
        <v>2577</v>
      </c>
      <c r="B47" s="480"/>
      <c r="C47" s="1403" t="s">
        <v>1</v>
      </c>
      <c r="D47" s="1404"/>
      <c r="E47" s="1405">
        <f>ROUND(28320/E40/30,2)</f>
        <v>8</v>
      </c>
      <c r="F47" s="1406"/>
      <c r="G47" s="1405">
        <f>ROUND(12600/G40/30,2)</f>
        <v>8.4</v>
      </c>
      <c r="H47" s="1408"/>
      <c r="I47" s="2988">
        <f>ROUND(28000/I40/30,1)</f>
        <v>10.1</v>
      </c>
      <c r="J47" s="1408"/>
      <c r="K47" s="783"/>
      <c r="L47" s="1139"/>
      <c r="M47" s="1140"/>
      <c r="N47" s="1127"/>
      <c r="O47" s="1140"/>
      <c r="P47" s="3257" t="str">
        <f>A47</f>
        <v>成交单价（元/平方米）</v>
      </c>
      <c r="Q47" s="3257"/>
      <c r="R47" s="3218">
        <f>E47</f>
        <v>8</v>
      </c>
      <c r="S47" s="3218"/>
      <c r="T47" s="3218">
        <f>G47</f>
        <v>8.4</v>
      </c>
      <c r="U47" s="3218"/>
      <c r="V47" s="3218">
        <f>I47</f>
        <v>10.1</v>
      </c>
      <c r="W47" s="3218"/>
      <c r="X47" s="759"/>
      <c r="Y47" s="781"/>
      <c r="Z47" s="759"/>
      <c r="AA47" s="759"/>
      <c r="AB47" s="759"/>
      <c r="AC47" s="759"/>
    </row>
    <row r="48" spans="1:29" ht="15.75" thickBot="1">
      <c r="A48" s="486" t="s">
        <v>2578</v>
      </c>
      <c r="B48" s="487"/>
      <c r="C48" s="1409">
        <f>R49</f>
        <v>8.5</v>
      </c>
      <c r="D48" s="1410"/>
      <c r="E48" s="1411">
        <f>R48</f>
        <v>8</v>
      </c>
      <c r="F48" s="1411"/>
      <c r="G48" s="1409">
        <f>T48</f>
        <v>8.4</v>
      </c>
      <c r="H48" s="1410"/>
      <c r="I48" s="1411">
        <f>V48</f>
        <v>9</v>
      </c>
      <c r="J48" s="1410"/>
      <c r="K48" s="784"/>
      <c r="L48" s="1139"/>
      <c r="M48" s="1140"/>
      <c r="N48" s="1127"/>
      <c r="O48" s="1140"/>
      <c r="P48" s="3257" t="str">
        <f>A48</f>
        <v>比较价值（元/平方米）</v>
      </c>
      <c r="Q48" s="3257"/>
      <c r="R48" s="3258">
        <f>IF(F1="售价",ROUND(PRODUCT(R47,AA7:AA46),0),ROUND(PRODUCT(R47,AA7:AA46),1))</f>
        <v>8</v>
      </c>
      <c r="S48" s="3258"/>
      <c r="T48" s="3258">
        <f>IF(F1="售价",ROUND(PRODUCT(T47,AB7:AB46),0),ROUND(PRODUCT(T47,AB7:AB46),1))</f>
        <v>8.4</v>
      </c>
      <c r="U48" s="3258"/>
      <c r="V48" s="3258">
        <f>IF(F1="售价",ROUND(PRODUCT(V47,AC7:AC46),0),ROUND(PRODUCT(V47,AC7:AC46),1))</f>
        <v>9</v>
      </c>
      <c r="W48" s="3258"/>
      <c r="X48" s="759"/>
      <c r="Y48" s="759"/>
      <c r="Z48" s="759"/>
      <c r="AA48" s="759"/>
      <c r="AB48" s="759"/>
      <c r="AC48" s="759"/>
    </row>
    <row r="49" spans="1:29" ht="15.75" thickBot="1">
      <c r="A49" s="492" t="s">
        <v>2579</v>
      </c>
      <c r="B49" s="493"/>
      <c r="C49" s="1413">
        <f>R49</f>
        <v>8.5</v>
      </c>
      <c r="D49" s="1413"/>
      <c r="E49" s="1413"/>
      <c r="F49" s="1413"/>
      <c r="G49" s="1413"/>
      <c r="H49" s="1413"/>
      <c r="I49" s="1413"/>
      <c r="J49" s="1413"/>
      <c r="K49" s="785"/>
      <c r="L49" s="1139"/>
      <c r="M49" s="1140"/>
      <c r="N49" s="1127"/>
      <c r="O49" s="1140"/>
      <c r="P49" s="3259" t="str">
        <f>A49</f>
        <v>估价对象XX用房的比较价值（楼面单价，元/平方米）</v>
      </c>
      <c r="Q49" s="3260"/>
      <c r="R49" s="3261">
        <f>IF(F1="售价",ROUND(AVERAGE(R48:V48),0),ROUND(AVERAGE(R48:V48),1))</f>
        <v>8.5</v>
      </c>
      <c r="S49" s="3261"/>
      <c r="T49" s="3261"/>
      <c r="U49" s="3261"/>
      <c r="V49" s="3261"/>
      <c r="W49" s="326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3"/>
      <c r="L51" s="1104"/>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2580</v>
      </c>
      <c r="D52" s="498"/>
      <c r="E52" s="499">
        <f>IF(E47&lt;E48,E48/E47-1,E47/E48-1)</f>
        <v>0</v>
      </c>
      <c r="F52" s="500" t="str">
        <f>IF(OR(E52&gt;=0.3,E52&lt;=-0.3),"超过30%","")</f>
        <v/>
      </c>
      <c r="G52" s="499">
        <f>IF(G47&lt;G48,G48/G47-1,G47/G48-1)</f>
        <v>0</v>
      </c>
      <c r="H52" s="500" t="str">
        <f>IF(OR(G52&gt;=0.3,G52&lt;=-0.3),"超过30%","")</f>
        <v/>
      </c>
      <c r="I52" s="499">
        <f>IF(I47&lt;I48,I48/I47-1,I47/I48-1)</f>
        <v>0.12222222222222223</v>
      </c>
      <c r="J52" s="500" t="str">
        <f>IF(OR(I52&gt;=0.3,I52&lt;=-0.3),"超过30%","")</f>
        <v/>
      </c>
      <c r="K52" s="1103"/>
      <c r="L52" s="1104"/>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2581</v>
      </c>
      <c r="D53" s="501"/>
      <c r="E53" s="499">
        <f>IF(E48&lt;G48,G48/E48-1,E48/G48-1)</f>
        <v>5.0000000000000044E-2</v>
      </c>
      <c r="F53" s="500" t="str">
        <f>IF(OR(E53&gt;=0.2,E53&lt;=-0.2),"超过20%","")</f>
        <v/>
      </c>
      <c r="G53" s="499">
        <f>IF(G48&lt;I48,I48/G48-1,G48/I48-1)</f>
        <v>7.1428571428571397E-2</v>
      </c>
      <c r="H53" s="500" t="str">
        <f>IF(OR(G53&gt;=0.2,G53&lt;=-0.2),"超过20%","")</f>
        <v/>
      </c>
      <c r="I53" s="499">
        <f>IF(I48&lt;E48,E48/I48-1,I48/E48-1)</f>
        <v>0.125</v>
      </c>
      <c r="J53" s="500" t="str">
        <f>IF(OR(I53&gt;=0.2,I53&lt;=-0.2),"超过20%","")</f>
        <v/>
      </c>
      <c r="K53" s="1103"/>
      <c r="L53" s="1104"/>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2582</v>
      </c>
      <c r="D54" s="501"/>
      <c r="E54" s="499">
        <f>IF(E47&lt;G47,G47/E47-1,E47/G47-1)</f>
        <v>5.0000000000000044E-2</v>
      </c>
      <c r="F54" s="500" t="str">
        <f>IF(OR(E54&gt;=0.3,E54&lt;=-0.3),"超过30%","")</f>
        <v/>
      </c>
      <c r="G54" s="499">
        <f>IF(G47&lt;I47,I47/G47-1,G47/I47-1)</f>
        <v>0.20238095238095233</v>
      </c>
      <c r="H54" s="500" t="str">
        <f>IF(OR(G54&gt;=0.3,G54&lt;=-0.3),"超过30%","")</f>
        <v/>
      </c>
      <c r="I54" s="499">
        <f>IF(I47&lt;E47,E47/I47-1,I47/E47-1)</f>
        <v>0.26249999999999996</v>
      </c>
      <c r="J54" s="500" t="str">
        <f>IF(OR(I54&gt;=0.3,I54&lt;=-0.3),"超过30%","")</f>
        <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3"/>
      <c r="L56" s="1104"/>
      <c r="M56" s="1140"/>
      <c r="N56" s="1140"/>
      <c r="O56" s="1140"/>
      <c r="P56" s="675"/>
      <c r="Q56" s="759"/>
      <c r="R56" s="759"/>
      <c r="S56" s="759"/>
      <c r="T56" s="759"/>
      <c r="U56" s="759"/>
      <c r="V56" s="759"/>
      <c r="W56" s="759"/>
      <c r="X56" s="759"/>
      <c r="Y56" s="759"/>
      <c r="Z56" s="759"/>
      <c r="AA56" s="759"/>
      <c r="AB56" s="759"/>
      <c r="AC56" s="759"/>
    </row>
    <row r="57" spans="1:29" ht="21.75" thickBot="1">
      <c r="A57" s="763" t="s">
        <v>2583</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2548</v>
      </c>
      <c r="B58" s="506"/>
      <c r="C58" s="1570" t="str">
        <f>YEAR(C7)&amp;"-"&amp;MONTH(C7)</f>
        <v>2018-8</v>
      </c>
      <c r="D58" s="1571">
        <f>EDATE(C58,-1)</f>
        <v>43282</v>
      </c>
      <c r="E58" s="1571">
        <f t="shared" ref="E58:N58" si="16">EDATE(D58,-1)</f>
        <v>43252</v>
      </c>
      <c r="F58" s="1571">
        <f t="shared" si="16"/>
        <v>43221</v>
      </c>
      <c r="G58" s="1571">
        <f t="shared" si="16"/>
        <v>43191</v>
      </c>
      <c r="H58" s="1571">
        <f t="shared" si="16"/>
        <v>43160</v>
      </c>
      <c r="I58" s="1571">
        <f t="shared" si="16"/>
        <v>43132</v>
      </c>
      <c r="J58" s="1571">
        <f t="shared" si="16"/>
        <v>43101</v>
      </c>
      <c r="K58" s="1571">
        <f t="shared" si="16"/>
        <v>43070</v>
      </c>
      <c r="L58" s="1571">
        <f t="shared" si="16"/>
        <v>43040</v>
      </c>
      <c r="M58" s="1571">
        <f t="shared" si="16"/>
        <v>43009</v>
      </c>
      <c r="N58" s="1571">
        <f t="shared" si="16"/>
        <v>42979</v>
      </c>
      <c r="O58" s="1571">
        <f>EDATE(N58,-1)</f>
        <v>42948</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2550</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2558</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v>1</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2655</v>
      </c>
      <c r="C82" s="660" t="s">
        <v>2675</v>
      </c>
      <c r="D82" s="660" t="s">
        <v>2676</v>
      </c>
      <c r="E82" s="660" t="s">
        <v>2677</v>
      </c>
      <c r="F82" s="660" t="s">
        <v>2678</v>
      </c>
      <c r="G82" s="660" t="s">
        <v>2679</v>
      </c>
      <c r="H82" s="539"/>
      <c r="I82" s="539"/>
      <c r="J82" s="539"/>
      <c r="K82" s="539"/>
      <c r="L82" s="539"/>
      <c r="M82" s="1378"/>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2680</v>
      </c>
      <c r="C86" s="2973" t="s">
        <v>3733</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75" t="s">
        <v>3735</v>
      </c>
      <c r="D88" s="2975" t="s">
        <v>3736</v>
      </c>
      <c r="E88" s="2975" t="s">
        <v>3737</v>
      </c>
      <c r="F88" s="2976" t="s">
        <v>3738</v>
      </c>
      <c r="G88" s="2975" t="s">
        <v>3739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2975" t="s">
        <v>3740</v>
      </c>
      <c r="D90" s="2975" t="s">
        <v>3741</v>
      </c>
      <c r="E90" s="2975" t="s">
        <v>3737</v>
      </c>
      <c r="F90" s="2975" t="s">
        <v>3742</v>
      </c>
      <c r="G90" s="2975" t="s">
        <v>3743</v>
      </c>
      <c r="H90" s="555"/>
      <c r="I90" s="555"/>
      <c r="J90" s="555"/>
      <c r="K90" s="555"/>
      <c r="L90" s="556"/>
      <c r="M90" s="557"/>
      <c r="N90" s="1150"/>
      <c r="O90" s="1150"/>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6"/>
      <c r="Q91" s="559"/>
    </row>
    <row r="92" spans="1:17" ht="15.75" thickTop="1">
      <c r="A92" s="534"/>
      <c r="B92" s="538" t="str">
        <f>B28</f>
        <v>楼层</v>
      </c>
      <c r="C92" s="554" t="s">
        <v>3744</v>
      </c>
      <c r="D92" s="554" t="s">
        <v>3773</v>
      </c>
      <c r="E92" s="554"/>
      <c r="F92" s="554"/>
      <c r="G92" s="554"/>
      <c r="H92" s="554"/>
      <c r="I92" s="554"/>
      <c r="J92" s="554"/>
      <c r="K92" s="554"/>
      <c r="L92" s="580"/>
      <c r="M92" s="581"/>
      <c r="N92" s="1148"/>
      <c r="O92" s="1148"/>
      <c r="P92" s="2625"/>
      <c r="Q92" s="504"/>
    </row>
    <row r="93" spans="1:17" ht="15.75" thickBot="1">
      <c r="A93" s="534"/>
      <c r="B93" s="543"/>
      <c r="C93" s="536">
        <v>100</v>
      </c>
      <c r="D93" s="536">
        <v>90</v>
      </c>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2563</v>
      </c>
      <c r="B100" s="528" t="s">
        <v>2681</v>
      </c>
      <c r="C100" s="2980" t="s">
        <v>3783</v>
      </c>
      <c r="D100" s="2977" t="s">
        <v>3746</v>
      </c>
      <c r="E100" s="2977" t="s">
        <v>3747</v>
      </c>
      <c r="F100" s="2977" t="s">
        <v>3748</v>
      </c>
      <c r="G100" s="2977" t="s">
        <v>3749</v>
      </c>
      <c r="H100" s="530"/>
      <c r="I100" s="530"/>
      <c r="J100" s="530"/>
      <c r="K100" s="531"/>
      <c r="L100" s="532"/>
      <c r="M100" s="533"/>
      <c r="N100" s="1148"/>
      <c r="O100" s="1148"/>
      <c r="P100" s="2625"/>
      <c r="Q100" s="504"/>
    </row>
    <row r="101" spans="1:17" ht="15.75" thickBot="1">
      <c r="A101" s="534"/>
      <c r="B101" s="543"/>
      <c r="C101" s="544">
        <v>100</v>
      </c>
      <c r="D101" s="544">
        <f t="shared" ref="D101:M101" si="22">C101-$K32</f>
        <v>96</v>
      </c>
      <c r="E101" s="544">
        <f t="shared" si="22"/>
        <v>92</v>
      </c>
      <c r="F101" s="544">
        <f t="shared" si="22"/>
        <v>88</v>
      </c>
      <c r="G101" s="544">
        <f t="shared" si="22"/>
        <v>84</v>
      </c>
      <c r="H101" s="544">
        <f t="shared" si="22"/>
        <v>80</v>
      </c>
      <c r="I101" s="544">
        <f t="shared" si="22"/>
        <v>76</v>
      </c>
      <c r="J101" s="544">
        <f t="shared" si="22"/>
        <v>72</v>
      </c>
      <c r="K101" s="544">
        <f t="shared" si="22"/>
        <v>68</v>
      </c>
      <c r="L101" s="544">
        <f t="shared" si="22"/>
        <v>64</v>
      </c>
      <c r="M101" s="545">
        <f t="shared" si="22"/>
        <v>60</v>
      </c>
      <c r="N101" s="1149"/>
      <c r="O101" s="1149"/>
      <c r="P101" s="2625"/>
      <c r="Q101" s="504"/>
    </row>
    <row r="102" spans="1:17" ht="29.25" thickTop="1">
      <c r="A102" s="534"/>
      <c r="B102" s="538" t="s">
        <v>2613</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0"/>
      <c r="O103" s="1150"/>
      <c r="P103" s="2626"/>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7"/>
      <c r="N104" s="1149"/>
      <c r="O104" s="1149"/>
      <c r="P104" s="2626"/>
      <c r="Q104" s="559"/>
    </row>
    <row r="105" spans="1:17" ht="15" thickTop="1">
      <c r="A105" s="599"/>
      <c r="B105" s="538" t="s">
        <v>2614</v>
      </c>
      <c r="C105" s="2975" t="s">
        <v>3751</v>
      </c>
      <c r="D105" s="2975" t="s">
        <v>3752</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2616</v>
      </c>
      <c r="C107" s="2975" t="s">
        <v>3753</v>
      </c>
      <c r="D107" s="2975" t="s">
        <v>3754</v>
      </c>
      <c r="E107" s="2975" t="s">
        <v>3755</v>
      </c>
      <c r="F107" s="2978" t="s">
        <v>3756</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2618</v>
      </c>
      <c r="C112" s="2975" t="s">
        <v>3757</v>
      </c>
      <c r="D112" s="2975" t="s">
        <v>3758</v>
      </c>
      <c r="E112" s="2975" t="s">
        <v>3759</v>
      </c>
      <c r="F112" s="2975" t="s">
        <v>3760</v>
      </c>
      <c r="G112" s="2975" t="s">
        <v>3761</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2682</v>
      </c>
      <c r="C114" s="2975" t="s">
        <v>3762</v>
      </c>
      <c r="D114" s="2975" t="s">
        <v>3763</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90</v>
      </c>
      <c r="E115" s="544">
        <f t="shared" si="28"/>
        <v>80</v>
      </c>
      <c r="F115" s="544">
        <f t="shared" si="28"/>
        <v>70</v>
      </c>
      <c r="G115" s="544">
        <f t="shared" si="28"/>
        <v>60</v>
      </c>
      <c r="H115" s="544">
        <f t="shared" si="28"/>
        <v>50</v>
      </c>
      <c r="I115" s="544">
        <f t="shared" si="28"/>
        <v>40</v>
      </c>
      <c r="J115" s="544">
        <f t="shared" si="28"/>
        <v>30</v>
      </c>
      <c r="K115" s="544">
        <f t="shared" si="28"/>
        <v>20</v>
      </c>
      <c r="L115" s="544">
        <f t="shared" si="28"/>
        <v>10</v>
      </c>
      <c r="M115" s="545">
        <f t="shared" si="28"/>
        <v>0</v>
      </c>
      <c r="N115" s="1149"/>
      <c r="O115" s="1149"/>
      <c r="P115" s="2625"/>
      <c r="Q115" s="504"/>
    </row>
    <row r="116" spans="1:17" ht="15" thickTop="1">
      <c r="A116" s="599"/>
      <c r="B116" s="538" t="s">
        <v>2683</v>
      </c>
      <c r="C116" s="2975" t="s">
        <v>3785</v>
      </c>
      <c r="D116" s="2973" t="s">
        <v>3784</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85</v>
      </c>
      <c r="E117" s="544">
        <f>D117-$K39</f>
        <v>70</v>
      </c>
      <c r="F117" s="544">
        <f>E117-$K39</f>
        <v>55</v>
      </c>
      <c r="G117" s="544">
        <f>F117-$K39</f>
        <v>40</v>
      </c>
      <c r="H117" s="544"/>
      <c r="I117" s="544"/>
      <c r="J117" s="544"/>
      <c r="K117" s="544"/>
      <c r="L117" s="544"/>
      <c r="M117" s="545"/>
      <c r="N117" s="1149"/>
      <c r="O117" s="1149"/>
      <c r="P117" s="2625"/>
      <c r="Q117" s="504"/>
    </row>
    <row r="118" spans="1:17" ht="15" thickTop="1">
      <c r="A118" s="599"/>
      <c r="B118" s="538" t="s">
        <v>2684</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2685</v>
      </c>
      <c r="C120" s="2978" t="s">
        <v>3735</v>
      </c>
      <c r="D120" s="2978" t="s">
        <v>3736</v>
      </c>
      <c r="E120" s="2978" t="s">
        <v>3737</v>
      </c>
      <c r="F120" s="2978" t="s">
        <v>3738</v>
      </c>
      <c r="G120" s="2978" t="s">
        <v>3739</v>
      </c>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2620</v>
      </c>
      <c r="C122" s="2975" t="s">
        <v>3753</v>
      </c>
      <c r="D122" s="2975" t="s">
        <v>3754</v>
      </c>
      <c r="E122" s="2975" t="s">
        <v>3755</v>
      </c>
      <c r="F122" s="2978" t="s">
        <v>3756</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4" zoomScale="85" zoomScaleNormal="85" zoomScaleSheetLayoutView="90" workbookViewId="0">
      <selection activeCell="J58" sqref="J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3714</v>
      </c>
      <c r="D1" s="1815" t="s">
        <v>70</v>
      </c>
      <c r="E1" s="1816" t="s">
        <v>1387</v>
      </c>
      <c r="F1" s="1279">
        <f ca="1">J53</f>
        <v>32.950000000000003</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19627</v>
      </c>
      <c r="C2" s="1840" t="s">
        <v>1516</v>
      </c>
      <c r="D2" s="1840"/>
      <c r="E2" s="1841"/>
      <c r="F2" s="1842"/>
      <c r="G2" s="1843"/>
      <c r="H2" s="1835"/>
      <c r="I2" s="1835"/>
      <c r="J2" s="1835"/>
      <c r="K2" s="1836"/>
      <c r="L2" s="1835"/>
      <c r="M2" s="1835"/>
    </row>
    <row r="3" spans="1:37" ht="18" customHeight="1" thickBot="1">
      <c r="A3" s="1844" t="s">
        <v>1517</v>
      </c>
      <c r="B3" s="1845">
        <f ca="1">IF(ISERROR(B2*10000/F43),0,ROUND(B2*10000/F43,0))</f>
        <v>44730</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1227</v>
      </c>
      <c r="D5" s="1817" t="s">
        <v>1402</v>
      </c>
      <c r="E5" s="1289"/>
      <c r="F5" s="1290"/>
      <c r="G5" s="1846"/>
      <c r="H5" s="344">
        <v>1</v>
      </c>
      <c r="I5" s="345" t="s">
        <v>1401</v>
      </c>
      <c r="J5" s="1288">
        <f ca="1">J6+J10+J12</f>
        <v>0</v>
      </c>
      <c r="K5" s="1817" t="s">
        <v>1402</v>
      </c>
      <c r="L5" s="1289"/>
      <c r="M5" s="1290"/>
    </row>
    <row r="6" spans="1:37" ht="18" customHeight="1">
      <c r="A6" s="1287" t="s">
        <v>1035</v>
      </c>
      <c r="B6" s="3264" t="s">
        <v>1403</v>
      </c>
      <c r="C6" s="1292">
        <f ca="1">ROUND(F6*F8*F7*(1-F9)/10000,0)</f>
        <v>1225</v>
      </c>
      <c r="D6" s="164" t="s">
        <v>3023</v>
      </c>
      <c r="E6" s="347" t="s">
        <v>1405</v>
      </c>
      <c r="F6" s="348">
        <f ca="1">INDIRECT("'数据-取费表'!u"&amp;$G$1)</f>
        <v>8.5</v>
      </c>
      <c r="G6" s="1846"/>
      <c r="H6" s="1287" t="s">
        <v>1035</v>
      </c>
      <c r="I6" s="3264" t="s">
        <v>1403</v>
      </c>
      <c r="J6" s="346">
        <f ca="1">ROUND(M6*M8*M7*(1-M9)/10000,0)</f>
        <v>0</v>
      </c>
      <c r="K6" s="164" t="s">
        <v>3022</v>
      </c>
      <c r="L6" s="347" t="s">
        <v>1405</v>
      </c>
      <c r="M6" s="348">
        <f ca="1">INDIRECT("'数据-取费表'!z"&amp;$G$1)</f>
        <v>0</v>
      </c>
    </row>
    <row r="7" spans="1:37" ht="18" customHeight="1">
      <c r="A7" s="1291"/>
      <c r="B7" s="3265"/>
      <c r="C7" s="1293"/>
      <c r="D7" s="352"/>
      <c r="E7" s="1294" t="s">
        <v>1406</v>
      </c>
      <c r="F7" s="348">
        <f ca="1">IF(INDIRECT("'数据-取费表'!ah"&amp;$G$1)="",INDIRECT("'数据-取费表'!k"&amp;$G$1),INDIRECT("'数据-取费表'!ah"&amp;$G$1))</f>
        <v>4387.92</v>
      </c>
      <c r="G7" s="1846"/>
      <c r="H7" s="349"/>
      <c r="I7" s="3265"/>
      <c r="J7" s="351"/>
      <c r="K7" s="352"/>
      <c r="L7" s="347" t="s">
        <v>1406</v>
      </c>
      <c r="M7" s="348">
        <f ca="1">F7</f>
        <v>4387.92</v>
      </c>
    </row>
    <row r="8" spans="1:37" ht="18" customHeight="1">
      <c r="A8" s="349"/>
      <c r="B8" s="3265"/>
      <c r="C8" s="351"/>
      <c r="D8" s="352"/>
      <c r="E8" s="347" t="s">
        <v>1407</v>
      </c>
      <c r="F8" s="348">
        <f ca="1">INDIRECT("'数据-取费表'!ai"&amp;$G$1)</f>
        <v>365</v>
      </c>
      <c r="G8" s="1846"/>
      <c r="H8" s="349"/>
      <c r="I8" s="3265"/>
      <c r="J8" s="351"/>
      <c r="K8" s="352"/>
      <c r="L8" s="347" t="s">
        <v>1407</v>
      </c>
      <c r="M8" s="348">
        <f ca="1">INDIRECT("'数据-取费表'!ai"&amp;$G$1)</f>
        <v>365</v>
      </c>
    </row>
    <row r="9" spans="1:37" ht="18" customHeight="1">
      <c r="A9" s="349"/>
      <c r="B9" s="3266"/>
      <c r="C9" s="351"/>
      <c r="D9" s="352"/>
      <c r="E9" s="347" t="s">
        <v>1408</v>
      </c>
      <c r="F9" s="357">
        <f ca="1">INDIRECT("'数据-取费表'!w"&amp;$G$1)</f>
        <v>0.1</v>
      </c>
      <c r="G9" s="1846"/>
      <c r="H9" s="349"/>
      <c r="I9" s="3266"/>
      <c r="J9" s="351"/>
      <c r="K9" s="352"/>
      <c r="L9" s="358" t="s">
        <v>1408</v>
      </c>
      <c r="M9" s="359">
        <f ca="1">INDIRECT("'数据-取费表'!ab"&amp;$G$1)</f>
        <v>0</v>
      </c>
    </row>
    <row r="10" spans="1:37" ht="18" customHeight="1">
      <c r="A10" s="1287" t="s">
        <v>1039</v>
      </c>
      <c r="B10" s="1818" t="s">
        <v>1409</v>
      </c>
      <c r="C10" s="361">
        <f ca="1">ROUND(IF(F10="押一",C6/12*F11,IF(F10="押二",C6/12*2*F11,IF(F10="押三",C6/12*3*F11,C11*F11))),0)</f>
        <v>2</v>
      </c>
      <c r="D10" s="1819" t="s">
        <v>3032</v>
      </c>
      <c r="E10" s="358" t="s">
        <v>1410</v>
      </c>
      <c r="F10" s="2999"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2082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1404</v>
      </c>
      <c r="D14" s="1795" t="s">
        <v>1418</v>
      </c>
      <c r="E14" s="1789"/>
      <c r="F14" s="364"/>
      <c r="G14" s="1846"/>
      <c r="H14" s="1197" t="s">
        <v>1035</v>
      </c>
      <c r="I14" s="347" t="s">
        <v>1419</v>
      </c>
      <c r="J14" s="24">
        <f ca="1">C29</f>
        <v>2146</v>
      </c>
      <c r="K14" s="15"/>
      <c r="L14" s="977"/>
      <c r="M14" s="978"/>
    </row>
    <row r="15" spans="1:37" s="1853" customFormat="1" ht="18" customHeight="1" thickBot="1">
      <c r="A15" s="1197" t="s">
        <v>1036</v>
      </c>
      <c r="B15" s="347" t="s">
        <v>1420</v>
      </c>
      <c r="C15" s="24">
        <f ca="1">ROUND(C14*F15,0)</f>
        <v>42</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51</v>
      </c>
      <c r="K16" s="1333" t="s">
        <v>1425</v>
      </c>
      <c r="L16" s="1334"/>
      <c r="M16" s="1290"/>
    </row>
    <row r="17" spans="1:37" s="1853" customFormat="1" ht="18" customHeight="1">
      <c r="A17" s="1197" t="s">
        <v>1390</v>
      </c>
      <c r="B17" s="347" t="s">
        <v>1426</v>
      </c>
      <c r="C17" s="24">
        <f ca="1">ROUND(F17*(F43+INDIRECT("'数据-取费表'!S"&amp;$G$1))/10000,0)</f>
        <v>88</v>
      </c>
      <c r="D17" s="347" t="s">
        <v>1427</v>
      </c>
      <c r="E17" s="347" t="s">
        <v>1428</v>
      </c>
      <c r="F17" s="26">
        <f>'数据-取费表'!B35</f>
        <v>200</v>
      </c>
      <c r="G17" s="1849"/>
      <c r="H17" s="1197" t="s">
        <v>1035</v>
      </c>
      <c r="I17" s="347" t="s">
        <v>1429</v>
      </c>
      <c r="J17" s="24">
        <f ca="1">ROUND(IF(项目基本情况!B11="自然人",J5*M17,J18+J19+J20),1)</f>
        <v>18.3</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21</v>
      </c>
      <c r="D18" s="347" t="s">
        <v>1421</v>
      </c>
      <c r="E18" s="347" t="s">
        <v>1422</v>
      </c>
      <c r="F18" s="367">
        <f>'数据-取费表'!B36</f>
        <v>1.4999999999999999E-2</v>
      </c>
      <c r="G18" s="1849"/>
      <c r="H18" s="1197" t="s">
        <v>1034</v>
      </c>
      <c r="I18" s="347" t="s">
        <v>1433</v>
      </c>
      <c r="J18" s="24">
        <f ca="1">ROUND(J5*M18/(1+'数据-取费表'!C42),2)</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1555</v>
      </c>
      <c r="D19" s="140" t="s">
        <v>1436</v>
      </c>
      <c r="E19" s="1813"/>
      <c r="F19" s="26"/>
      <c r="G19" s="1846"/>
      <c r="H19" s="1197" t="s">
        <v>1036</v>
      </c>
      <c r="I19" s="347" t="s">
        <v>1437</v>
      </c>
      <c r="J19" s="24">
        <f ca="1">IF(K19="按租金收入计税",ROUND(J5*M19,2),ROUND(C29*M19*0.7,2))</f>
        <v>18.03</v>
      </c>
      <c r="K19" s="1823" t="s">
        <v>1438</v>
      </c>
      <c r="L19" s="347" t="s">
        <v>1422</v>
      </c>
      <c r="M19" s="367">
        <f>IF(K19="按租金收入计税",'数据-取费表'!B51,'数据-取费表'!B50)</f>
        <v>1.2E-2</v>
      </c>
    </row>
    <row r="20" spans="1:37" s="1853" customFormat="1" ht="18" customHeight="1">
      <c r="A20" s="1197" t="s">
        <v>1039</v>
      </c>
      <c r="B20" s="347" t="s">
        <v>1439</v>
      </c>
      <c r="C20" s="24">
        <f ca="1">ROUND(C19*F20,0)</f>
        <v>31</v>
      </c>
      <c r="D20" s="369" t="s">
        <v>1440</v>
      </c>
      <c r="E20" s="347" t="s">
        <v>1422</v>
      </c>
      <c r="F20" s="367">
        <f>'数据-取费表'!B37</f>
        <v>0.02</v>
      </c>
      <c r="G20" s="1849"/>
      <c r="H20" s="1197" t="s">
        <v>1389</v>
      </c>
      <c r="I20" s="164" t="s">
        <v>1441</v>
      </c>
      <c r="J20" s="25">
        <f ca="1">ROUND(M20*M21/10000,2)</f>
        <v>0.23</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774.5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ROUND(J14*M22,1)</f>
        <v>32.200000000000003</v>
      </c>
      <c r="K22" s="1793"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1793" t="s">
        <v>1454</v>
      </c>
      <c r="L23" s="347" t="s">
        <v>1455</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ROUND(J5*M24,1)</f>
        <v>0</v>
      </c>
      <c r="K24" s="1338" t="s">
        <v>1459</v>
      </c>
      <c r="L24" s="1336" t="s">
        <v>1455</v>
      </c>
      <c r="M24" s="1332">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1813"/>
      <c r="F25" s="26"/>
      <c r="G25" s="1846"/>
      <c r="H25" s="1325" t="s">
        <v>1031</v>
      </c>
      <c r="I25" s="1340" t="s">
        <v>1463</v>
      </c>
      <c r="J25" s="355">
        <f ca="1">J5-J16</f>
        <v>-51</v>
      </c>
      <c r="K25" s="1341" t="s">
        <v>1464</v>
      </c>
      <c r="L25" s="1342"/>
      <c r="M25" s="1343"/>
    </row>
    <row r="26" spans="1:37">
      <c r="A26" s="1197" t="s">
        <v>1034</v>
      </c>
      <c r="B26" s="347" t="s">
        <v>1465</v>
      </c>
      <c r="C26" s="24">
        <f ca="1">ROUND((C19+C20)*F26,0)</f>
        <v>317</v>
      </c>
      <c r="D26" s="369" t="s">
        <v>1466</v>
      </c>
      <c r="E26" s="358" t="s">
        <v>1467</v>
      </c>
      <c r="F26" s="357">
        <f ca="1">INDIRECT("'数据-取费表'!q"&amp;$G$1)</f>
        <v>0.2</v>
      </c>
      <c r="G26" s="1846"/>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4.0000000000000001E-3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2146</v>
      </c>
      <c r="D29" s="1338"/>
      <c r="E29" s="1336"/>
      <c r="F29" s="1339"/>
      <c r="G29" s="1849"/>
      <c r="H29" s="380" t="s">
        <v>1033</v>
      </c>
      <c r="I29" s="381" t="s">
        <v>1479</v>
      </c>
      <c r="J29" s="382">
        <f ca="1">ROUND(J26/(1+F40)^F41,0)</f>
        <v>0</v>
      </c>
      <c r="K29" s="383" t="s">
        <v>1480</v>
      </c>
      <c r="L29" s="384"/>
      <c r="M29" s="385">
        <f ca="1">INDIRECT("'数据-取费表'!k"&amp;$G$1)</f>
        <v>4387.92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267</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ROUND(IF(项目基本情况!B11="自然人",C5*F31,C32+C33+C34),1)</f>
        <v>212.9</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65.44</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147.24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0.23</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774.5</v>
      </c>
      <c r="G35" s="1846"/>
      <c r="H35" s="745"/>
      <c r="I35" s="1855"/>
      <c r="J35" s="1856"/>
      <c r="K35" s="1857"/>
      <c r="L35" s="1854"/>
      <c r="M35" s="1854"/>
    </row>
    <row r="36" spans="1:18" ht="18" customHeight="1">
      <c r="A36" s="1348" t="s">
        <v>1039</v>
      </c>
      <c r="B36" s="347" t="s">
        <v>1449</v>
      </c>
      <c r="C36" s="24">
        <f ca="1">ROUND(C29*F36,1)</f>
        <v>32.200000000000003</v>
      </c>
      <c r="D36" s="1793"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3.1</v>
      </c>
      <c r="D37" s="1793" t="s">
        <v>1454</v>
      </c>
      <c r="E37" s="347" t="s">
        <v>1455</v>
      </c>
      <c r="F37" s="376">
        <f ca="1">INDIRECT("'数据-取费表'!Al"&amp;$G$1)</f>
        <v>1.5E-3</v>
      </c>
      <c r="G37" s="1846"/>
      <c r="H37" s="1854"/>
      <c r="I37" s="1855"/>
      <c r="J37" s="1856"/>
      <c r="K37" s="751"/>
      <c r="L37" s="1854"/>
      <c r="M37" s="1854"/>
    </row>
    <row r="38" spans="1:18" ht="18" customHeight="1" thickBot="1">
      <c r="A38" s="1335" t="s">
        <v>1393</v>
      </c>
      <c r="B38" s="1336" t="s">
        <v>1439</v>
      </c>
      <c r="C38" s="1337">
        <f ca="1">ROUND(C5*F38,1)</f>
        <v>18.399999999999999</v>
      </c>
      <c r="D38" s="1338" t="s">
        <v>1459</v>
      </c>
      <c r="E38" s="1336" t="s">
        <v>1455</v>
      </c>
      <c r="F38" s="1332">
        <f ca="1">INDIRECT("'数据-取费表'!Am"&amp;$G$1)</f>
        <v>1.4999999999999999E-2</v>
      </c>
      <c r="G38" s="1846"/>
      <c r="H38" s="1854"/>
      <c r="I38" s="1855"/>
      <c r="J38" s="1856"/>
      <c r="K38" s="1860"/>
      <c r="L38" s="1854"/>
      <c r="M38" s="1854"/>
    </row>
    <row r="39" spans="1:18" ht="24.6" customHeight="1" thickTop="1">
      <c r="A39" s="1325" t="s">
        <v>1031</v>
      </c>
      <c r="B39" s="1340" t="s">
        <v>1483</v>
      </c>
      <c r="C39" s="355">
        <f ca="1">C5-C30</f>
        <v>960</v>
      </c>
      <c r="D39" s="1341" t="s">
        <v>1484</v>
      </c>
      <c r="E39" s="1342"/>
      <c r="F39" s="1343"/>
      <c r="G39" s="1846"/>
      <c r="H39" s="1854"/>
      <c r="I39" s="1855"/>
      <c r="J39" s="1856"/>
      <c r="K39" s="1860"/>
      <c r="L39" s="1854"/>
      <c r="M39" s="1854"/>
    </row>
    <row r="40" spans="1:18" ht="18" customHeight="1">
      <c r="A40" s="344" t="s">
        <v>1032</v>
      </c>
      <c r="B40" s="345" t="s">
        <v>1485</v>
      </c>
      <c r="C40" s="346">
        <f ca="1">ROUND(C39*(1-((1+F42)/(1+F40))^F41)/(F40-F42),0)</f>
        <v>19575</v>
      </c>
      <c r="D40" s="370" t="s">
        <v>1469</v>
      </c>
      <c r="E40" s="347" t="s">
        <v>1470</v>
      </c>
      <c r="F40" s="357">
        <f ca="1">INDIRECT("'数据-取费表'!I"&amp;$G$1)</f>
        <v>0.06</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32.950000000000003</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44611</v>
      </c>
      <c r="D43" s="383" t="s">
        <v>1488</v>
      </c>
      <c r="E43" s="384" t="s">
        <v>1489</v>
      </c>
      <c r="F43" s="385">
        <f ca="1">INDIRECT("'数据-取费表'!k"&amp;$G$1)</f>
        <v>4387.92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-22647</v>
      </c>
      <c r="D46" s="1867" t="str">
        <f>C2</f>
        <v>万元</v>
      </c>
      <c r="E46" s="1861"/>
      <c r="F46" s="1861"/>
      <c r="I46" s="1868" t="s">
        <v>1521</v>
      </c>
      <c r="J46" s="1869"/>
      <c r="K46" s="1870"/>
      <c r="L46" s="1871">
        <f ca="1">IF(M47="住宅",0,IF(L48&gt;J51,L60,J60))</f>
        <v>52</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40</v>
      </c>
      <c r="M47" s="1833" t="str">
        <f>IF(ISNUMBER(FIND("住宅",C1)),"住宅","非住宅")</f>
        <v>非住宅</v>
      </c>
      <c r="O47" s="1879" t="s">
        <v>1040</v>
      </c>
      <c r="P47" s="1880" t="s">
        <v>1528</v>
      </c>
      <c r="Q47" s="1881">
        <f ca="1">C40+J29</f>
        <v>19575</v>
      </c>
      <c r="R47" s="1881" t="s">
        <v>1529</v>
      </c>
    </row>
    <row r="48" spans="1:18" s="1837" customFormat="1" ht="28.5" thickBot="1">
      <c r="A48" s="1356" t="s">
        <v>1135</v>
      </c>
      <c r="B48" s="345" t="s">
        <v>1401</v>
      </c>
      <c r="C48" s="1812">
        <f ca="1">C49+C53+C55</f>
        <v>0</v>
      </c>
      <c r="D48" s="1358"/>
      <c r="E48" s="1359"/>
      <c r="F48" s="1177"/>
      <c r="G48" s="792"/>
      <c r="H48" s="793"/>
      <c r="I48" s="1882" t="s">
        <v>1530</v>
      </c>
      <c r="J48" s="1883" t="s">
        <v>3790</v>
      </c>
      <c r="K48" s="1884" t="s">
        <v>1531</v>
      </c>
      <c r="L48" s="1885">
        <f ca="1">INDIRECT("'数据-取费表'!f"&amp;$G$1)</f>
        <v>32.950000000000003</v>
      </c>
      <c r="O48" s="1879" t="s">
        <v>1041</v>
      </c>
      <c r="P48" s="1880" t="s">
        <v>1532</v>
      </c>
      <c r="Q48" s="1881">
        <f ca="1">J60</f>
        <v>52</v>
      </c>
      <c r="R48" s="1881" t="s">
        <v>1533</v>
      </c>
    </row>
    <row r="49" spans="1:18" s="1837" customFormat="1" ht="13.5" thickBot="1">
      <c r="A49" s="1190" t="s">
        <v>1136</v>
      </c>
      <c r="B49" s="1824" t="s">
        <v>1490</v>
      </c>
      <c r="C49" s="1360">
        <f ca="1">ROUND(F49*F51*F50*(1-F52)/10000,0)</f>
        <v>0</v>
      </c>
      <c r="D49" s="1272" t="s">
        <v>3024</v>
      </c>
      <c r="E49" s="1825" t="s">
        <v>1491</v>
      </c>
      <c r="F49" s="1277"/>
      <c r="G49" s="1886"/>
      <c r="H49" s="793"/>
      <c r="I49" s="1882" t="s">
        <v>1534</v>
      </c>
      <c r="J49" s="1887">
        <v>2016</v>
      </c>
      <c r="K49" s="1884" t="s">
        <v>1535</v>
      </c>
      <c r="L49" s="1888"/>
      <c r="O49" s="1889" t="s">
        <v>1042</v>
      </c>
      <c r="P49" s="1880" t="s">
        <v>1536</v>
      </c>
      <c r="Q49" s="1881">
        <f ca="1">C29</f>
        <v>2146</v>
      </c>
      <c r="R49" s="1881" t="s">
        <v>1529</v>
      </c>
    </row>
    <row r="50" spans="1:18" s="1837" customFormat="1" ht="13.5" thickBot="1">
      <c r="A50" s="1191"/>
      <c r="B50" s="1194"/>
      <c r="C50" s="1364"/>
      <c r="D50" s="1168"/>
      <c r="E50" s="1273" t="s">
        <v>1406</v>
      </c>
      <c r="F50" s="1274">
        <f ca="1">F7</f>
        <v>4387.92</v>
      </c>
      <c r="H50" s="793"/>
      <c r="I50" s="1882" t="s">
        <v>1537</v>
      </c>
      <c r="J50" s="1890">
        <f>SUMPRODUCT((I63:I65=J47)*(J62:L62=J48)*(J63:L65))</f>
        <v>60</v>
      </c>
      <c r="K50" s="1884" t="s">
        <v>1538</v>
      </c>
      <c r="L50" s="1888"/>
      <c r="M50" s="1891"/>
      <c r="O50" s="1889" t="s">
        <v>1043</v>
      </c>
      <c r="P50" s="1880" t="s">
        <v>1539</v>
      </c>
      <c r="Q50" s="1892">
        <f ca="1">J58</f>
        <v>0.41799999999999998</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12523</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32.950000000000003</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32.950000000000003</v>
      </c>
      <c r="K53" s="3262" t="s">
        <v>1548</v>
      </c>
      <c r="L53" s="3263"/>
      <c r="O53" s="1879" t="s">
        <v>1046</v>
      </c>
      <c r="P53" s="1880" t="s">
        <v>1549</v>
      </c>
      <c r="Q53" s="1881">
        <f ca="1">Q47+Q48</f>
        <v>19627</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f ca="1">ROUND(IF(J47="钢混",J57/J50,1-(1-2%)*(J50-J57)/J50),3)</f>
        <v>0.41799999999999998</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2082</v>
      </c>
      <c r="D56" s="1909"/>
      <c r="E56" s="1910"/>
      <c r="F56" s="1902"/>
      <c r="I56" s="1911" t="s">
        <v>1554</v>
      </c>
      <c r="J56" s="1912" t="s">
        <v>3049</v>
      </c>
      <c r="K56" s="1882" t="s">
        <v>1555</v>
      </c>
      <c r="L56" s="1885" t="str">
        <f ca="1">IF(L48&lt;J51,"——",L48-J53)</f>
        <v>——</v>
      </c>
      <c r="O56" s="1879" t="s">
        <v>1040</v>
      </c>
      <c r="P56" s="1880" t="s">
        <v>1528</v>
      </c>
      <c r="Q56" s="1881">
        <f ca="1">C40+J29</f>
        <v>19575</v>
      </c>
      <c r="R56" s="1881" t="s">
        <v>1529</v>
      </c>
    </row>
    <row r="57" spans="1:18" s="1837" customFormat="1" ht="24.75" thickBot="1">
      <c r="A57" s="1913"/>
      <c r="B57" s="1165" t="s">
        <v>1478</v>
      </c>
      <c r="C57" s="282">
        <f ca="1">C29</f>
        <v>2146</v>
      </c>
      <c r="D57" s="1914"/>
      <c r="E57" s="1915"/>
      <c r="F57" s="1916"/>
      <c r="I57" s="1917" t="s">
        <v>1556</v>
      </c>
      <c r="J57" s="1918">
        <f ca="1">IF(OR(M47="住宅",J51&lt;L48,J56="是"),"——",J51-L48)</f>
        <v>25.049999999999997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216</v>
      </c>
      <c r="D58" s="1175" t="s">
        <v>1425</v>
      </c>
      <c r="E58" s="1176"/>
      <c r="F58" s="1177"/>
      <c r="I58" s="1917" t="s">
        <v>1560</v>
      </c>
      <c r="J58" s="1919">
        <f ca="1">IF(J55&lt;0.4,0.4,J55)</f>
        <v>0.41799999999999998</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180.5</v>
      </c>
      <c r="D59" s="1178" t="s">
        <v>1430</v>
      </c>
      <c r="E59" s="1179" t="s">
        <v>1431</v>
      </c>
      <c r="F59" s="368" t="str">
        <f ca="1">IF(项目基本情况!B11="企业","",IF(INDIRECT("'数据-取费表'!c"&amp;$G$1)="住宅",5%,IF(F49*F50*F51/12/(1+'数据-取费表'!C42)&gt;20000,12%,7%)))</f>
        <v/>
      </c>
      <c r="I59" s="1917" t="s">
        <v>1563</v>
      </c>
      <c r="J59" s="1918">
        <f ca="1">IF(OR(M47="住宅",J51&lt;L48,J56="是"),"——",ROUND(C29*J58,0))</f>
        <v>897</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52</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180.26</v>
      </c>
      <c r="D61" s="1823" t="s">
        <v>1438</v>
      </c>
      <c r="E61" s="1165" t="s">
        <v>1494</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0.23</v>
      </c>
      <c r="D62" s="1180" t="s">
        <v>1497</v>
      </c>
      <c r="E62" s="1165" t="s">
        <v>1498</v>
      </c>
      <c r="F62" s="371">
        <f t="shared" si="0"/>
        <v>3</v>
      </c>
      <c r="I62" s="1924" t="s">
        <v>1570</v>
      </c>
      <c r="J62" s="1925" t="s">
        <v>1571</v>
      </c>
      <c r="K62" s="1925" t="s">
        <v>1572</v>
      </c>
      <c r="L62" s="1925" t="s">
        <v>1573</v>
      </c>
      <c r="M62" s="1926" t="s">
        <v>1574</v>
      </c>
      <c r="O62" s="1879" t="s">
        <v>1046</v>
      </c>
      <c r="P62" s="1880" t="s">
        <v>1575</v>
      </c>
      <c r="Q62" s="1881">
        <f ca="1">Q56+Q57</f>
        <v>19575</v>
      </c>
      <c r="R62" s="1881" t="s">
        <v>1047</v>
      </c>
    </row>
    <row r="63" spans="1:18" s="1837" customFormat="1" ht="13.5" thickBot="1">
      <c r="A63" s="372"/>
      <c r="B63" s="1171"/>
      <c r="C63" s="29"/>
      <c r="D63" s="1181"/>
      <c r="E63" s="1165" t="s">
        <v>1499</v>
      </c>
      <c r="F63" s="348">
        <f t="shared" ca="1" si="0"/>
        <v>774.5</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32.200000000000003</v>
      </c>
      <c r="D64" s="1179" t="s">
        <v>1502</v>
      </c>
      <c r="E64" s="1165" t="s">
        <v>1494</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3.1</v>
      </c>
      <c r="D65" s="1179" t="s">
        <v>1454</v>
      </c>
      <c r="E65" s="1165" t="s">
        <v>1455</v>
      </c>
      <c r="F65" s="376">
        <f t="shared" ca="1" si="0"/>
        <v>1.5E-3</v>
      </c>
      <c r="I65" s="1924" t="s">
        <v>1579</v>
      </c>
      <c r="J65" s="1925">
        <v>40</v>
      </c>
      <c r="K65" s="1925">
        <v>30</v>
      </c>
      <c r="L65" s="1925">
        <v>50</v>
      </c>
      <c r="M65" s="1927">
        <v>0.02</v>
      </c>
      <c r="O65" s="1879" t="s">
        <v>1040</v>
      </c>
      <c r="P65" s="1880" t="s">
        <v>1580</v>
      </c>
      <c r="Q65" s="1881">
        <f ca="1">C40+J29</f>
        <v>19575</v>
      </c>
      <c r="R65" s="1881" t="s">
        <v>1529</v>
      </c>
    </row>
    <row r="66" spans="1:18" s="1837" customFormat="1" ht="16.5" thickBot="1">
      <c r="A66" s="1197" t="s">
        <v>1504</v>
      </c>
      <c r="B66" s="1165" t="s">
        <v>1439</v>
      </c>
      <c r="C66" s="24">
        <f ca="1">ROUND(C48*F66,1)</f>
        <v>0</v>
      </c>
      <c r="D66" s="1179" t="s">
        <v>1505</v>
      </c>
      <c r="E66" s="1165" t="s">
        <v>1422</v>
      </c>
      <c r="F66" s="357">
        <f t="shared" ca="1" si="0"/>
        <v>1.4999999999999999E-2</v>
      </c>
      <c r="O66" s="1879" t="s">
        <v>1041</v>
      </c>
      <c r="P66" s="1880" t="s">
        <v>1558</v>
      </c>
      <c r="Q66" s="1881">
        <f ca="1">L60</f>
        <v>0</v>
      </c>
      <c r="R66" s="1881" t="s">
        <v>1581</v>
      </c>
    </row>
    <row r="67" spans="1:18" s="1837" customFormat="1" ht="16.5" thickBot="1">
      <c r="A67" s="1172" t="s">
        <v>1031</v>
      </c>
      <c r="B67" s="1182" t="s">
        <v>1463</v>
      </c>
      <c r="C67" s="361">
        <f ca="1">C48-C58</f>
        <v>-216</v>
      </c>
      <c r="D67" s="1178" t="s">
        <v>1464</v>
      </c>
      <c r="E67" s="1183"/>
      <c r="F67" s="1184"/>
      <c r="O67" s="1889" t="s">
        <v>1042</v>
      </c>
      <c r="P67" s="1880" t="s">
        <v>1562</v>
      </c>
      <c r="Q67" s="1928">
        <f ca="1">L51</f>
        <v>12523</v>
      </c>
      <c r="R67" s="1881" t="s">
        <v>1582</v>
      </c>
    </row>
    <row r="68" spans="1:18" s="1837" customFormat="1" ht="16.5" thickBot="1">
      <c r="A68" s="1162" t="s">
        <v>1032</v>
      </c>
      <c r="B68" s="1163" t="s">
        <v>1485</v>
      </c>
      <c r="C68" s="346">
        <f ca="1">ROUND(C67*(1-((1+F70)/(1+F68))^F69)/(F68-F70),0)</f>
        <v>-3072</v>
      </c>
      <c r="D68" s="1180" t="s">
        <v>1469</v>
      </c>
      <c r="E68" s="1165" t="s">
        <v>1470</v>
      </c>
      <c r="F68" s="357">
        <f ca="1">F40</f>
        <v>0.06</v>
      </c>
      <c r="O68" s="1889" t="s">
        <v>1043</v>
      </c>
      <c r="P68" s="1929" t="s">
        <v>1583</v>
      </c>
      <c r="Q68" s="1881">
        <f ca="1">ROUND(Q69-Q70*Q71,0)</f>
        <v>783</v>
      </c>
      <c r="R68" s="1881" t="s">
        <v>1051</v>
      </c>
    </row>
    <row r="69" spans="1:18" s="1837" customFormat="1" ht="13.5" thickBot="1">
      <c r="A69" s="1166"/>
      <c r="B69" s="1167"/>
      <c r="C69" s="351"/>
      <c r="D69" s="1185" t="s">
        <v>1473</v>
      </c>
      <c r="E69" s="1165" t="s">
        <v>1474</v>
      </c>
      <c r="F69" s="379">
        <f ca="1">F41</f>
        <v>32.950000000000003</v>
      </c>
      <c r="O69" s="1889" t="s">
        <v>1048</v>
      </c>
      <c r="P69" s="1929" t="s">
        <v>1584</v>
      </c>
      <c r="Q69" s="1881">
        <f ca="1">C39</f>
        <v>960</v>
      </c>
      <c r="R69" s="1881" t="s">
        <v>1529</v>
      </c>
    </row>
    <row r="70" spans="1:18" s="1837" customFormat="1" ht="13.5" thickBot="1">
      <c r="A70" s="1169"/>
      <c r="B70" s="1170"/>
      <c r="C70" s="355"/>
      <c r="D70" s="1181"/>
      <c r="E70" s="1165" t="s">
        <v>1477</v>
      </c>
      <c r="F70" s="1271"/>
      <c r="O70" s="1889" t="s">
        <v>1049</v>
      </c>
      <c r="P70" s="1929" t="s">
        <v>1585</v>
      </c>
      <c r="Q70" s="1881">
        <f ca="1">C13</f>
        <v>2082</v>
      </c>
      <c r="R70" s="1881" t="s">
        <v>1529</v>
      </c>
    </row>
    <row r="71" spans="1:18" s="1837" customFormat="1" ht="13.5" thickBot="1">
      <c r="A71" s="1186" t="s">
        <v>1033</v>
      </c>
      <c r="B71" s="1187" t="s">
        <v>1487</v>
      </c>
      <c r="C71" s="382">
        <f ca="1">ROUND(C68*10000/F71,0)</f>
        <v>-7001</v>
      </c>
      <c r="D71" s="1188" t="s">
        <v>1488</v>
      </c>
      <c r="E71" s="1189" t="s">
        <v>1489</v>
      </c>
      <c r="F71" s="385">
        <f ca="1">F43</f>
        <v>4387.92</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177</v>
      </c>
      <c r="D75" s="1837"/>
      <c r="E75" s="1837"/>
      <c r="F75" s="1837"/>
      <c r="K75" s="1863"/>
      <c r="L75" s="1837"/>
      <c r="O75" s="1879" t="s">
        <v>1046</v>
      </c>
      <c r="P75" s="1880" t="s">
        <v>1549</v>
      </c>
      <c r="Q75" s="1881">
        <f ca="1">Q65+Q66</f>
        <v>19575</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0.81600000000000006</v>
      </c>
    </row>
    <row r="80" spans="1:18">
      <c r="B80" s="386" t="s">
        <v>1511</v>
      </c>
      <c r="C80" s="318">
        <f ca="1">ROUND(C75/C39,3)</f>
        <v>0.184</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3003</v>
      </c>
      <c r="C1" s="3268" t="s">
        <v>3004</v>
      </c>
      <c r="D1" s="3269"/>
      <c r="E1" s="3269"/>
      <c r="F1" s="3269"/>
      <c r="G1" s="3269"/>
      <c r="H1" s="3269"/>
      <c r="I1" s="3269"/>
      <c r="J1" s="3269"/>
      <c r="K1" s="3269"/>
      <c r="L1" s="3269"/>
      <c r="M1" s="3269"/>
      <c r="N1" s="3269"/>
      <c r="O1" s="3269"/>
      <c r="P1" s="3269"/>
      <c r="Q1" s="3269"/>
      <c r="R1" s="3269"/>
      <c r="S1" s="3270"/>
      <c r="T1" s="1200" t="s">
        <v>3005</v>
      </c>
    </row>
    <row r="2" spans="1:45" s="707" customFormat="1">
      <c r="A2" s="1201"/>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2989" t="s">
        <v>3841</v>
      </c>
      <c r="C5" s="3000" t="s">
        <v>3847</v>
      </c>
      <c r="D5" s="3001" t="s">
        <v>3849</v>
      </c>
      <c r="E5" s="1213"/>
      <c r="F5" s="1707"/>
      <c r="G5" s="1707"/>
      <c r="H5" s="1707"/>
      <c r="I5" s="1707"/>
      <c r="J5" s="1707"/>
      <c r="K5" s="1707"/>
      <c r="L5" s="1708"/>
      <c r="M5" s="1709"/>
      <c r="N5" s="1709"/>
      <c r="O5" s="1707"/>
      <c r="P5" s="1707"/>
      <c r="Q5" s="1707"/>
      <c r="R5" s="1707"/>
      <c r="S5" s="1710"/>
      <c r="T5" s="1215">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2990"/>
      <c r="C6" s="1118">
        <v>100</v>
      </c>
      <c r="D6" s="1116">
        <f>C6-$T5</f>
        <v>97</v>
      </c>
      <c r="E6" s="1116">
        <f t="shared" ref="E6:S6" si="7">D6-$T5</f>
        <v>94</v>
      </c>
      <c r="F6" s="1711">
        <f t="shared" si="7"/>
        <v>91</v>
      </c>
      <c r="G6" s="1711">
        <f t="shared" si="7"/>
        <v>88</v>
      </c>
      <c r="H6" s="1711">
        <f t="shared" si="7"/>
        <v>85</v>
      </c>
      <c r="I6" s="1711">
        <f t="shared" si="7"/>
        <v>82</v>
      </c>
      <c r="J6" s="1711">
        <f t="shared" si="7"/>
        <v>79</v>
      </c>
      <c r="K6" s="1711">
        <f t="shared" si="7"/>
        <v>76</v>
      </c>
      <c r="L6" s="1711">
        <f t="shared" si="7"/>
        <v>73</v>
      </c>
      <c r="M6" s="1711">
        <f t="shared" si="7"/>
        <v>70</v>
      </c>
      <c r="N6" s="1711">
        <f t="shared" si="7"/>
        <v>67</v>
      </c>
      <c r="O6" s="1711">
        <f t="shared" si="7"/>
        <v>64</v>
      </c>
      <c r="P6" s="1711">
        <f t="shared" si="7"/>
        <v>61</v>
      </c>
      <c r="Q6" s="1711">
        <f t="shared" si="7"/>
        <v>58</v>
      </c>
      <c r="R6" s="1711">
        <f t="shared" si="7"/>
        <v>55</v>
      </c>
      <c r="S6" s="1711">
        <f t="shared" si="7"/>
        <v>52</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2991" t="s">
        <v>3842</v>
      </c>
      <c r="C7" s="3002" t="s">
        <v>3850</v>
      </c>
      <c r="D7" s="3003" t="s">
        <v>3851</v>
      </c>
      <c r="E7" s="3003" t="s">
        <v>3852</v>
      </c>
      <c r="F7" s="3004" t="s">
        <v>3854</v>
      </c>
      <c r="G7" s="3004" t="s">
        <v>3856</v>
      </c>
      <c r="H7" s="1712"/>
      <c r="I7" s="1712"/>
      <c r="J7" s="1712"/>
      <c r="K7" s="1712"/>
      <c r="L7" s="1712"/>
      <c r="M7" s="1713"/>
      <c r="N7" s="1714"/>
      <c r="O7" s="1715"/>
      <c r="P7" s="1716"/>
      <c r="Q7" s="1717"/>
      <c r="R7" s="1718"/>
      <c r="S7" s="1719"/>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2990"/>
      <c r="C8" s="1118">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2991" t="s">
        <v>3843</v>
      </c>
      <c r="C9" s="3002" t="s">
        <v>3857</v>
      </c>
      <c r="D9" s="3003" t="s">
        <v>3859</v>
      </c>
      <c r="E9" s="3003" t="s">
        <v>3852</v>
      </c>
      <c r="F9" s="3004" t="s">
        <v>3861</v>
      </c>
      <c r="G9" s="3004" t="s">
        <v>3863</v>
      </c>
      <c r="H9" s="1712"/>
      <c r="I9" s="1712"/>
      <c r="J9" s="1712"/>
      <c r="K9" s="1712"/>
      <c r="L9" s="1720"/>
      <c r="M9" s="1713"/>
      <c r="N9" s="1714"/>
      <c r="O9" s="1715"/>
      <c r="P9" s="1716"/>
      <c r="Q9" s="1717"/>
      <c r="R9" s="1718"/>
      <c r="S9" s="1719"/>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2992"/>
      <c r="C10" s="1216">
        <v>100</v>
      </c>
      <c r="D10" s="1217">
        <f>C10-$T9</f>
        <v>98</v>
      </c>
      <c r="E10" s="1217">
        <f t="shared" ref="E10:S10" si="9">D10-$T9</f>
        <v>96</v>
      </c>
      <c r="F10" s="1721">
        <f t="shared" si="9"/>
        <v>94</v>
      </c>
      <c r="G10" s="1721">
        <f t="shared" si="9"/>
        <v>92</v>
      </c>
      <c r="H10" s="1721">
        <f t="shared" si="9"/>
        <v>90</v>
      </c>
      <c r="I10" s="1721">
        <f t="shared" si="9"/>
        <v>88</v>
      </c>
      <c r="J10" s="1721">
        <f t="shared" si="9"/>
        <v>86</v>
      </c>
      <c r="K10" s="1721">
        <f t="shared" si="9"/>
        <v>84</v>
      </c>
      <c r="L10" s="1721">
        <f t="shared" si="9"/>
        <v>82</v>
      </c>
      <c r="M10" s="1721">
        <f t="shared" si="9"/>
        <v>80</v>
      </c>
      <c r="N10" s="1721">
        <f t="shared" si="9"/>
        <v>78</v>
      </c>
      <c r="O10" s="1721">
        <f t="shared" si="9"/>
        <v>76</v>
      </c>
      <c r="P10" s="1721">
        <f t="shared" si="9"/>
        <v>74</v>
      </c>
      <c r="Q10" s="1721">
        <f t="shared" si="9"/>
        <v>72</v>
      </c>
      <c r="R10" s="1721">
        <f t="shared" si="9"/>
        <v>70</v>
      </c>
      <c r="S10" s="1721">
        <f t="shared" si="9"/>
        <v>68</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2989" t="s">
        <v>3844</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3"/>
      <c r="C12" s="1118">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2989" t="s">
        <v>3845</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3"/>
      <c r="C14" s="1117"/>
      <c r="D14" s="1114"/>
      <c r="E14" s="1114"/>
      <c r="F14" s="1114"/>
      <c r="G14" s="1114"/>
      <c r="H14" s="1114"/>
      <c r="I14" s="1114"/>
      <c r="J14" s="1114"/>
      <c r="K14" s="1114"/>
      <c r="L14" s="1114"/>
      <c r="M14" s="1225"/>
      <c r="N14" s="1225"/>
      <c r="O14" s="1114"/>
      <c r="P14" s="1114"/>
      <c r="Q14" s="1114"/>
      <c r="R14" s="1114"/>
      <c r="S14" s="1226"/>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24">
      <c r="A17" s="2911" t="s">
        <v>3008</v>
      </c>
      <c r="B17" s="2912" t="s">
        <v>3009</v>
      </c>
      <c r="C17" s="1227" t="s">
        <v>3791</v>
      </c>
      <c r="D17" s="1228" t="s">
        <v>3792</v>
      </c>
      <c r="E17" s="2981" t="s">
        <v>3794</v>
      </c>
      <c r="F17" s="2981" t="s">
        <v>3796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75</v>
      </c>
      <c r="E18" s="1240">
        <v>65</v>
      </c>
      <c r="F18" s="1240">
        <v>35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13" t="s">
        <v>3010</v>
      </c>
      <c r="E19" s="1787"/>
      <c r="F19" s="1787"/>
      <c r="G19" s="1787"/>
      <c r="H19" s="1276"/>
      <c r="I19" s="168"/>
      <c r="J19" s="168"/>
      <c r="K19" s="168"/>
      <c r="L19" s="168"/>
      <c r="M19" s="168"/>
      <c r="N19" s="168"/>
      <c r="O19" s="168"/>
      <c r="P19" s="168"/>
      <c r="Q19" s="168"/>
      <c r="R19" s="788"/>
      <c r="S19" s="138"/>
    </row>
    <row r="20" spans="1:45" ht="16.5" thickBot="1">
      <c r="A20" s="715" t="s">
        <v>3011</v>
      </c>
      <c r="B20" s="338">
        <f ca="1">IF(D20="——",S22,S22-F20)</f>
        <v>59487</v>
      </c>
      <c r="C20" s="168"/>
      <c r="D20" s="2914" t="s">
        <v>70</v>
      </c>
      <c r="E20" s="1788"/>
      <c r="F20" s="1200" t="e">
        <f ca="1">SUMIF(INDIRECT("'"&amp;H20&amp;"'"&amp;"!A:A"),"承租人权益价值",INDIRECT("'"&amp;H20&amp;"'"&amp;"!c:c"))</f>
        <v>#REF!</v>
      </c>
      <c r="G20" s="1200" t="s">
        <v>3012</v>
      </c>
      <c r="H20" s="2915"/>
      <c r="I20" s="168"/>
      <c r="J20" s="168"/>
      <c r="K20" s="168"/>
      <c r="L20" s="168"/>
      <c r="M20" s="168"/>
      <c r="N20" s="168"/>
      <c r="O20" s="168"/>
      <c r="P20" s="168"/>
      <c r="Q20" s="168"/>
      <c r="R20" s="788"/>
      <c r="S20" s="138"/>
    </row>
    <row r="21" spans="1:45" ht="15.75">
      <c r="A21" s="715" t="s">
        <v>3013</v>
      </c>
      <c r="B21" s="338">
        <f ca="1">R22</f>
        <v>35271</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16865.57</v>
      </c>
      <c r="C22" s="3130" t="s">
        <v>33</v>
      </c>
      <c r="D22" s="3131"/>
      <c r="E22" s="3131"/>
      <c r="F22" s="3131"/>
      <c r="G22" s="3131"/>
      <c r="H22" s="3131"/>
      <c r="I22" s="3131"/>
      <c r="J22" s="3131"/>
      <c r="K22" s="3131"/>
      <c r="L22" s="3131"/>
      <c r="M22" s="3131"/>
      <c r="N22" s="3131"/>
      <c r="O22" s="3131"/>
      <c r="P22" s="3131"/>
      <c r="Q22" s="3267"/>
      <c r="R22" s="716">
        <f ca="1">ROUND(S22*10000/B22,0)</f>
        <v>35271</v>
      </c>
      <c r="S22" s="24">
        <f ca="1">SUM(S24:S10000)</f>
        <v>59487</v>
      </c>
    </row>
    <row r="23" spans="1:45" s="12" customFormat="1" ht="24">
      <c r="A23" s="11" t="s">
        <v>3015</v>
      </c>
      <c r="B23" s="11" t="s">
        <v>3016</v>
      </c>
      <c r="C23" s="11" t="s">
        <v>3017</v>
      </c>
      <c r="D23" s="11" t="str">
        <f>B5</f>
        <v>临街</v>
      </c>
      <c r="E23" s="11" t="s">
        <v>3017</v>
      </c>
      <c r="F23" s="11" t="str">
        <f>B7</f>
        <v>可视性</v>
      </c>
      <c r="G23" s="11" t="s">
        <v>3017</v>
      </c>
      <c r="H23" s="11" t="str">
        <f>B9</f>
        <v>人流量</v>
      </c>
      <c r="I23" s="11" t="s">
        <v>3017</v>
      </c>
      <c r="J23" s="11" t="str">
        <f>B11</f>
        <v>装修</v>
      </c>
      <c r="K23" s="11" t="s">
        <v>3017</v>
      </c>
      <c r="L23" s="11" t="str">
        <f>B13</f>
        <v>面积</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2" t="s">
        <v>3797</v>
      </c>
      <c r="B24" s="718">
        <f>'数据-汇总表'!F19</f>
        <v>4387.92</v>
      </c>
      <c r="C24" s="719">
        <v>1</v>
      </c>
      <c r="D24" s="720" t="s">
        <v>3846</v>
      </c>
      <c r="E24" s="719">
        <v>1</v>
      </c>
      <c r="F24" s="720" t="s">
        <v>3728</v>
      </c>
      <c r="G24" s="719">
        <v>1</v>
      </c>
      <c r="H24" s="720" t="s">
        <v>3858</v>
      </c>
      <c r="I24" s="719">
        <v>1</v>
      </c>
      <c r="J24" s="720"/>
      <c r="K24" s="719">
        <v>1</v>
      </c>
      <c r="L24" s="720"/>
      <c r="M24" s="719">
        <v>1</v>
      </c>
      <c r="N24" s="720"/>
      <c r="O24" s="719">
        <v>1</v>
      </c>
      <c r="P24" s="720" t="s">
        <v>3745</v>
      </c>
      <c r="Q24" s="719">
        <v>1</v>
      </c>
      <c r="R24" s="721">
        <f ca="1">'结果表 (1层商业)'!C32</f>
        <v>48903</v>
      </c>
      <c r="S24" s="719">
        <f t="shared" ref="S24:S54" ca="1" si="11">ROUND(R24*B24/10000,0)</f>
        <v>21458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3798</v>
      </c>
      <c r="B25" s="59">
        <f>'数据-汇总表'!F20</f>
        <v>6126.51</v>
      </c>
      <c r="C25" s="24">
        <f>IF(B25="",1,(LOOKUP(B25,$3:$3,$4:$4)-LOOKUP($B$24,$3:$3,$4:$4)+100)/100)</f>
        <v>1</v>
      </c>
      <c r="D25" s="720" t="s">
        <v>3846</v>
      </c>
      <c r="E25" s="24">
        <f>(SUMIF($5:$5,D25,$6:$6)-SUMIF($5:$5,$D$24,$6:$6)+100)/100</f>
        <v>1</v>
      </c>
      <c r="F25" s="720" t="s">
        <v>3727</v>
      </c>
      <c r="G25" s="24">
        <f>(SUMIF($7:$7,F25,$8:$8)-SUMIF($7:$7,$F$24,$8:$8)+100)/100</f>
        <v>0.98</v>
      </c>
      <c r="H25" s="720" t="s">
        <v>3727</v>
      </c>
      <c r="I25" s="24">
        <f>(SUMIF($9:$9,H25,$10:$10)-SUMIF($9:$9,$H$24,$10:$10)+100)/100</f>
        <v>0.98</v>
      </c>
      <c r="J25" s="720"/>
      <c r="K25" s="24">
        <f>(SUMIF($11:$11,J25,$12:$12)-SUMIF($11:$11,$J$24,$12:$12)+100)/100</f>
        <v>1</v>
      </c>
      <c r="L25" s="720"/>
      <c r="M25" s="24">
        <f>(SUMIF($13:$13,L25,$14:$14)-SUMIF($13:$13,$L$24,$14:$14)+100)/100</f>
        <v>1</v>
      </c>
      <c r="N25" s="720"/>
      <c r="O25" s="24">
        <f>(SUMIF($15:$15,N25,$16:$16)-SUMIF($15:$15,$N$24,$16:$16)+100)/100</f>
        <v>1</v>
      </c>
      <c r="P25" s="720" t="s">
        <v>3801</v>
      </c>
      <c r="Q25" s="24">
        <f>(SUMIF($17:$17,P25,$18:$18)-SUMIF($17:$17,$P$24,$18:$18)+100)/100</f>
        <v>0.75</v>
      </c>
      <c r="R25" s="716">
        <f ca="1">IF(B25="",0,ROUND($R$24*C25*E25*G25*I25*K25*M25*O25*Q25,0))</f>
        <v>35225</v>
      </c>
      <c r="S25" s="361">
        <f t="shared" ca="1" si="11"/>
        <v>21581</v>
      </c>
    </row>
    <row r="26" spans="1:45">
      <c r="A26" s="2983" t="s">
        <v>3799</v>
      </c>
      <c r="B26" s="59">
        <f>'数据-汇总表'!G21</f>
        <v>5187.51</v>
      </c>
      <c r="C26" s="24">
        <f t="shared" ref="C26:C89" si="12">IF(B26="",1,(LOOKUP(B26,$3:$3,$4:$4)-LOOKUP($B$24,$3:$3,$4:$4)+100)/100)</f>
        <v>1</v>
      </c>
      <c r="D26" s="720" t="s">
        <v>3848</v>
      </c>
      <c r="E26" s="24">
        <f t="shared" ref="E26:E89" si="13">(SUMIF($5:$5,D26,$6:$6)-SUMIF($5:$5,$D$24,$6:$6)+100)/100</f>
        <v>0.97</v>
      </c>
      <c r="F26" s="720" t="s">
        <v>3853</v>
      </c>
      <c r="G26" s="24">
        <f t="shared" ref="G26:G89" si="14">(SUMIF($7:$7,F26,$8:$8)-SUMIF($7:$7,$F$24,$8:$8)+100)/100</f>
        <v>0.96</v>
      </c>
      <c r="H26" s="720" t="s">
        <v>3860</v>
      </c>
      <c r="I26" s="24">
        <f t="shared" ref="I26:I89" si="15">(SUMIF($9:$9,H26,$10:$10)-SUMIF($9:$9,$H$24,$10:$10)+100)/100</f>
        <v>0.96</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3793</v>
      </c>
      <c r="Q26" s="24">
        <f t="shared" ref="Q26:Q89" si="19">(SUMIF($17:$17,P26,$18:$18)-SUMIF($17:$17,$P$24,$18:$18)+100)/100</f>
        <v>0.65</v>
      </c>
      <c r="R26" s="716">
        <f t="shared" ref="R26:R89" ca="1" si="20">IF(B26="",0,ROUND($R$24*C26*E26*G26*I26*K26*M26*O26*Q26,0))</f>
        <v>28416</v>
      </c>
      <c r="S26" s="361">
        <f t="shared" ca="1" si="11"/>
        <v>14741</v>
      </c>
    </row>
    <row r="27" spans="1:45">
      <c r="A27" s="159" t="s">
        <v>3800</v>
      </c>
      <c r="B27" s="59">
        <f>'数据-汇总表'!G22</f>
        <v>1163.6300000000001</v>
      </c>
      <c r="C27" s="24">
        <f t="shared" si="12"/>
        <v>1</v>
      </c>
      <c r="D27" s="720" t="s">
        <v>3848</v>
      </c>
      <c r="E27" s="24">
        <f t="shared" si="13"/>
        <v>0.97</v>
      </c>
      <c r="F27" s="720" t="s">
        <v>3855</v>
      </c>
      <c r="G27" s="24">
        <f t="shared" si="14"/>
        <v>0.94</v>
      </c>
      <c r="H27" s="720" t="s">
        <v>3862</v>
      </c>
      <c r="I27" s="24">
        <f t="shared" si="15"/>
        <v>0.94</v>
      </c>
      <c r="J27" s="720"/>
      <c r="K27" s="24">
        <f t="shared" si="16"/>
        <v>1</v>
      </c>
      <c r="L27" s="720"/>
      <c r="M27" s="24">
        <f t="shared" si="17"/>
        <v>1</v>
      </c>
      <c r="N27" s="720"/>
      <c r="O27" s="24">
        <f t="shared" si="18"/>
        <v>1</v>
      </c>
      <c r="P27" s="720" t="s">
        <v>3795</v>
      </c>
      <c r="Q27" s="24">
        <f t="shared" si="19"/>
        <v>0.35</v>
      </c>
      <c r="R27" s="716">
        <f t="shared" ca="1" si="20"/>
        <v>14670</v>
      </c>
      <c r="S27" s="361">
        <f t="shared" ca="1" si="11"/>
        <v>1707</v>
      </c>
    </row>
    <row r="28" spans="1:45">
      <c r="A28" s="159"/>
      <c r="B28" s="59"/>
      <c r="C28" s="24">
        <f t="shared" si="12"/>
        <v>1</v>
      </c>
      <c r="D28" s="720"/>
      <c r="E28" s="24">
        <f t="shared" si="13"/>
        <v>0</v>
      </c>
      <c r="F28" s="720"/>
      <c r="G28" s="24">
        <f t="shared" si="14"/>
        <v>0.02</v>
      </c>
      <c r="H28" s="720"/>
      <c r="I28" s="24">
        <f t="shared" si="15"/>
        <v>0.02</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v>
      </c>
      <c r="F29" s="720"/>
      <c r="G29" s="24">
        <f t="shared" si="14"/>
        <v>0.02</v>
      </c>
      <c r="H29" s="720"/>
      <c r="I29" s="24">
        <f t="shared" si="15"/>
        <v>0.02</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0.02</v>
      </c>
      <c r="H30" s="720"/>
      <c r="I30" s="24">
        <f t="shared" si="15"/>
        <v>0.02</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0.02</v>
      </c>
      <c r="H31" s="720"/>
      <c r="I31" s="24">
        <f t="shared" si="15"/>
        <v>0.02</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0.02</v>
      </c>
      <c r="H32" s="720"/>
      <c r="I32" s="24">
        <f t="shared" si="15"/>
        <v>0.02</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0.02</v>
      </c>
      <c r="H33" s="720"/>
      <c r="I33" s="24">
        <f t="shared" si="15"/>
        <v>0.02</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0.02</v>
      </c>
      <c r="H34" s="720"/>
      <c r="I34" s="24">
        <f t="shared" si="15"/>
        <v>0.02</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0.02</v>
      </c>
      <c r="H35" s="720"/>
      <c r="I35" s="24">
        <f t="shared" si="15"/>
        <v>0.02</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0.02</v>
      </c>
      <c r="H36" s="720"/>
      <c r="I36" s="24">
        <f t="shared" si="15"/>
        <v>0.02</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0.02</v>
      </c>
      <c r="H37" s="720"/>
      <c r="I37" s="24">
        <f t="shared" si="15"/>
        <v>0.02</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0.02</v>
      </c>
      <c r="H38" s="720"/>
      <c r="I38" s="24">
        <f t="shared" si="15"/>
        <v>0.02</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0.02</v>
      </c>
      <c r="H39" s="720"/>
      <c r="I39" s="24">
        <f t="shared" si="15"/>
        <v>0.02</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0.02</v>
      </c>
      <c r="H40" s="720"/>
      <c r="I40" s="24">
        <f t="shared" si="15"/>
        <v>0.02</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0.02</v>
      </c>
      <c r="H41" s="720"/>
      <c r="I41" s="24">
        <f t="shared" si="15"/>
        <v>0.02</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0.02</v>
      </c>
      <c r="H42" s="720"/>
      <c r="I42" s="24">
        <f t="shared" si="15"/>
        <v>0.02</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0.02</v>
      </c>
      <c r="H43" s="720"/>
      <c r="I43" s="24">
        <f t="shared" si="15"/>
        <v>0.02</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0.02</v>
      </c>
      <c r="H44" s="720"/>
      <c r="I44" s="24">
        <f t="shared" si="15"/>
        <v>0.02</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0.02</v>
      </c>
      <c r="H45" s="720"/>
      <c r="I45" s="24">
        <f t="shared" si="15"/>
        <v>0.02</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0.02</v>
      </c>
      <c r="H46" s="720"/>
      <c r="I46" s="24">
        <f t="shared" si="15"/>
        <v>0.02</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0.02</v>
      </c>
      <c r="H47" s="720"/>
      <c r="I47" s="24">
        <f t="shared" si="15"/>
        <v>0.02</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0.02</v>
      </c>
      <c r="H48" s="720"/>
      <c r="I48" s="24">
        <f t="shared" si="15"/>
        <v>0.02</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0.02</v>
      </c>
      <c r="H49" s="720"/>
      <c r="I49" s="24">
        <f t="shared" si="15"/>
        <v>0.02</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0.02</v>
      </c>
      <c r="H50" s="720"/>
      <c r="I50" s="24">
        <f t="shared" si="15"/>
        <v>0.02</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0.02</v>
      </c>
      <c r="H51" s="720"/>
      <c r="I51" s="24">
        <f t="shared" si="15"/>
        <v>0.02</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0.02</v>
      </c>
      <c r="H52" s="720"/>
      <c r="I52" s="24">
        <f t="shared" si="15"/>
        <v>0.02</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0.02</v>
      </c>
      <c r="H53" s="720"/>
      <c r="I53" s="24">
        <f t="shared" si="15"/>
        <v>0.02</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0.02</v>
      </c>
      <c r="H54" s="720"/>
      <c r="I54" s="24">
        <f t="shared" si="15"/>
        <v>0.02</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0.02</v>
      </c>
      <c r="H55" s="720"/>
      <c r="I55" s="24">
        <f t="shared" si="15"/>
        <v>0.02</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0.02</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0.02</v>
      </c>
      <c r="H57" s="720"/>
      <c r="I57" s="24">
        <f t="shared" si="15"/>
        <v>0.02</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0.02</v>
      </c>
      <c r="H58" s="720"/>
      <c r="I58" s="24">
        <f t="shared" si="15"/>
        <v>0.02</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0.02</v>
      </c>
      <c r="H59" s="720"/>
      <c r="I59" s="24">
        <f t="shared" si="15"/>
        <v>0.02</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0.02</v>
      </c>
      <c r="H60" s="720"/>
      <c r="I60" s="24">
        <f t="shared" si="15"/>
        <v>0.02</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0.02</v>
      </c>
      <c r="H61" s="720"/>
      <c r="I61" s="24">
        <f t="shared" si="15"/>
        <v>0.02</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0.02</v>
      </c>
      <c r="H62" s="720"/>
      <c r="I62" s="24">
        <f t="shared" si="15"/>
        <v>0.02</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0.02</v>
      </c>
      <c r="H63" s="720"/>
      <c r="I63" s="24">
        <f t="shared" si="15"/>
        <v>0.02</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0.02</v>
      </c>
      <c r="H64" s="720"/>
      <c r="I64" s="24">
        <f t="shared" si="15"/>
        <v>0.02</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0.02</v>
      </c>
      <c r="H65" s="720"/>
      <c r="I65" s="24">
        <f t="shared" si="15"/>
        <v>0.02</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0.02</v>
      </c>
      <c r="H66" s="720"/>
      <c r="I66" s="24">
        <f t="shared" si="15"/>
        <v>0.02</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0.02</v>
      </c>
      <c r="H67" s="720"/>
      <c r="I67" s="24">
        <f t="shared" si="15"/>
        <v>0.02</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0.02</v>
      </c>
      <c r="H68" s="720"/>
      <c r="I68" s="24">
        <f t="shared" si="15"/>
        <v>0.02</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0.02</v>
      </c>
      <c r="H69" s="720"/>
      <c r="I69" s="24">
        <f t="shared" si="15"/>
        <v>0.02</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0.02</v>
      </c>
      <c r="H70" s="720"/>
      <c r="I70" s="24">
        <f t="shared" si="15"/>
        <v>0.02</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0.02</v>
      </c>
      <c r="H71" s="720"/>
      <c r="I71" s="24">
        <f t="shared" si="15"/>
        <v>0.02</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0.02</v>
      </c>
      <c r="H72" s="720"/>
      <c r="I72" s="24">
        <f t="shared" si="15"/>
        <v>0.02</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0.02</v>
      </c>
      <c r="H73" s="720"/>
      <c r="I73" s="24">
        <f t="shared" si="15"/>
        <v>0.02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0.02</v>
      </c>
      <c r="H74" s="720"/>
      <c r="I74" s="24">
        <f t="shared" si="15"/>
        <v>0.02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0.02</v>
      </c>
      <c r="H75" s="720"/>
      <c r="I75" s="24">
        <f t="shared" si="15"/>
        <v>0.02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0.02</v>
      </c>
      <c r="H76" s="720"/>
      <c r="I76" s="24">
        <f t="shared" si="15"/>
        <v>0.02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0.02</v>
      </c>
      <c r="H77" s="720"/>
      <c r="I77" s="24">
        <f t="shared" si="15"/>
        <v>0.02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0.02</v>
      </c>
      <c r="H78" s="720"/>
      <c r="I78" s="24">
        <f t="shared" si="15"/>
        <v>0.02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0.02</v>
      </c>
      <c r="H80" s="720"/>
      <c r="I80" s="24">
        <f t="shared" si="15"/>
        <v>0.02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0.02</v>
      </c>
      <c r="H81" s="720"/>
      <c r="I81" s="24">
        <f t="shared" si="15"/>
        <v>0.02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0.02</v>
      </c>
      <c r="H82" s="720"/>
      <c r="I82" s="24">
        <f t="shared" si="15"/>
        <v>0.02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0.02</v>
      </c>
      <c r="H83" s="720"/>
      <c r="I83" s="24">
        <f t="shared" si="15"/>
        <v>0.02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0.02</v>
      </c>
      <c r="H84" s="720"/>
      <c r="I84" s="24">
        <f t="shared" si="15"/>
        <v>0.02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0.02</v>
      </c>
      <c r="H85" s="720"/>
      <c r="I85" s="24">
        <f t="shared" si="15"/>
        <v>0.02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0.02</v>
      </c>
      <c r="H86" s="720"/>
      <c r="I86" s="24">
        <f t="shared" si="15"/>
        <v>0.02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0.02</v>
      </c>
      <c r="H87" s="720"/>
      <c r="I87" s="24">
        <f t="shared" si="15"/>
        <v>0.02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0.02</v>
      </c>
      <c r="H88" s="720"/>
      <c r="I88" s="24">
        <f t="shared" si="15"/>
        <v>0.02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0.02</v>
      </c>
      <c r="H89" s="720"/>
      <c r="I89" s="24">
        <f t="shared" si="15"/>
        <v>0.02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0.02</v>
      </c>
      <c r="H92" s="720"/>
      <c r="I92" s="24">
        <f t="shared" si="26"/>
        <v>0.02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0.02</v>
      </c>
      <c r="H93" s="720"/>
      <c r="I93" s="24">
        <f t="shared" si="26"/>
        <v>0.02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0.02</v>
      </c>
      <c r="H94" s="720"/>
      <c r="I94" s="24">
        <f t="shared" si="26"/>
        <v>0.02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0.02</v>
      </c>
      <c r="H95" s="720"/>
      <c r="I95" s="24">
        <f t="shared" si="26"/>
        <v>0.02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0.02</v>
      </c>
      <c r="H96" s="720"/>
      <c r="I96" s="24">
        <f t="shared" si="26"/>
        <v>0.02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0.02</v>
      </c>
      <c r="H97" s="720"/>
      <c r="I97" s="24">
        <f t="shared" si="26"/>
        <v>0.02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0.02</v>
      </c>
      <c r="H98" s="720"/>
      <c r="I98" s="24">
        <f t="shared" si="26"/>
        <v>0.02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0.02</v>
      </c>
      <c r="H99" s="720"/>
      <c r="I99" s="24">
        <f t="shared" si="26"/>
        <v>0.02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46" sqref="E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t="s">
        <v>3437</v>
      </c>
      <c r="C1" s="242"/>
      <c r="D1" s="242"/>
      <c r="E1" s="242"/>
      <c r="F1" s="242"/>
      <c r="G1" s="1375">
        <f>MATCH(B1,'数据-取费表'!A6:A16,0)+5</f>
        <v>11</v>
      </c>
    </row>
    <row r="2" spans="1:9" s="244" customFormat="1" ht="18" customHeight="1">
      <c r="A2" s="245" t="s">
        <v>2327</v>
      </c>
      <c r="B2" s="246">
        <f ca="1">IF(D2="——",C52,C52-E2)</f>
        <v>1788</v>
      </c>
      <c r="C2" s="243" t="s">
        <v>2328</v>
      </c>
      <c r="D2" s="2542" t="s">
        <v>70</v>
      </c>
      <c r="E2" s="1436" t="e">
        <f ca="1">SUMIF(INDIRECT("'"&amp;G2&amp;"'"&amp;"!A:A"),"承租人权益价值",INDIRECT("'"&amp;G2&amp;"'"&amp;"!c:c"))</f>
        <v>#REF!</v>
      </c>
      <c r="F2" s="2543" t="s">
        <v>2328</v>
      </c>
      <c r="G2" s="2544"/>
    </row>
    <row r="3" spans="1:9" s="244" customFormat="1" ht="18" customHeight="1" thickBot="1">
      <c r="A3" s="247" t="s">
        <v>2329</v>
      </c>
      <c r="B3" s="248">
        <f ca="1">ROUND(B2*10000/(IF(B1="",'数据-汇总表'!E3,INDIRECT("'数据-取费表'!k"&amp;$G$1))),0)</f>
        <v>8736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819</v>
      </c>
      <c r="D5" s="255" t="s">
        <v>2334</v>
      </c>
      <c r="E5" s="256" t="s">
        <v>2335</v>
      </c>
      <c r="F5" s="256" t="s">
        <v>2336</v>
      </c>
      <c r="G5" s="257"/>
    </row>
    <row r="6" spans="1:9" s="258" customFormat="1" ht="13.5" customHeight="1">
      <c r="A6" s="947" t="s">
        <v>2337</v>
      </c>
      <c r="B6" s="259" t="s">
        <v>2338</v>
      </c>
      <c r="C6" s="260">
        <f ca="1">基准地价修正!B2</f>
        <v>755</v>
      </c>
      <c r="D6" s="261"/>
      <c r="E6" s="262"/>
      <c r="F6" s="262"/>
      <c r="G6" s="263"/>
    </row>
    <row r="7" spans="1:9" s="258" customFormat="1" ht="13.5" customHeight="1">
      <c r="A7" s="947" t="s">
        <v>2339</v>
      </c>
      <c r="B7" s="259" t="s">
        <v>2340</v>
      </c>
      <c r="C7" s="264">
        <f ca="1">ROUND(C6*F7,0)</f>
        <v>23</v>
      </c>
      <c r="D7" s="264"/>
      <c r="E7" s="262"/>
      <c r="F7" s="265">
        <f>'数据-取费表'!B48+'数据-取费表'!B49</f>
        <v>3.0499999999999999E-2</v>
      </c>
      <c r="G7" s="263"/>
    </row>
    <row r="8" spans="1:9" s="267" customFormat="1">
      <c r="A8" s="947" t="s">
        <v>2341</v>
      </c>
      <c r="B8" s="259" t="s">
        <v>2342</v>
      </c>
      <c r="C8" s="264">
        <f ca="1">IF(G8="已包含在土地购买价格中","0",IF(B1="",'数据-取费表'!B29,IF(G9="全部缴纳",C9+C10,H9)))</f>
        <v>41</v>
      </c>
      <c r="D8" s="266"/>
      <c r="E8" s="264"/>
      <c r="F8" s="265"/>
      <c r="G8" s="2545" t="s">
        <v>3815</v>
      </c>
    </row>
    <row r="9" spans="1:9" s="258" customFormat="1" ht="13.5" customHeight="1">
      <c r="A9" s="948" t="s">
        <v>800</v>
      </c>
      <c r="B9" s="268" t="s">
        <v>2343</v>
      </c>
      <c r="C9" s="269">
        <f ca="1">ROUND(D9*E9/10000,0)</f>
        <v>0</v>
      </c>
      <c r="D9" s="1030">
        <f ca="1">IF(B1="",'数据-汇总表'!E5,IF(INDIRECT("'数据-取费表'!c"&amp;$G$1)="住宅",INDIRECT("'数据-取费表'!k"&amp;$G$1),0))</f>
        <v>0</v>
      </c>
      <c r="E9" s="269">
        <f>'数据-取费表'!B27</f>
        <v>0</v>
      </c>
      <c r="F9" s="265"/>
      <c r="G9" s="2546" t="s">
        <v>3813</v>
      </c>
      <c r="H9" s="1386"/>
      <c r="I9" s="2547" t="s">
        <v>2344</v>
      </c>
    </row>
    <row r="10" spans="1:9" s="258" customFormat="1" ht="13.5" customHeight="1">
      <c r="A10" s="948" t="s">
        <v>801</v>
      </c>
      <c r="B10" s="268" t="s">
        <v>2345</v>
      </c>
      <c r="C10" s="269">
        <f ca="1">ROUND(D10*E10/10000,0)</f>
        <v>41</v>
      </c>
      <c r="D10" s="1030">
        <f ca="1">IF(B1="",'数据-汇总表'!E6,IF(INDIRECT("'数据-取费表'!c"&amp;$G$1)="住宅",INDIRECT("'数据-取费表'!s"&amp;$G$1),INDIRECT("'数据-取费表'!k"&amp;$G$1)+INDIRECT("'数据-取费表'!s"&amp;$G$1)))</f>
        <v>2046.64</v>
      </c>
      <c r="E10" s="269">
        <f>'数据-取费表'!B28</f>
        <v>200</v>
      </c>
      <c r="F10" s="265"/>
      <c r="G10" s="270"/>
    </row>
    <row r="11" spans="1:9" s="258" customFormat="1" ht="13.5" hidden="1" customHeight="1">
      <c r="A11" s="271" t="s">
        <v>7</v>
      </c>
      <c r="B11" s="259" t="s">
        <v>2346</v>
      </c>
      <c r="C11" s="255"/>
      <c r="D11" s="1032"/>
      <c r="E11" s="262"/>
      <c r="F11" s="262"/>
      <c r="G11" s="263"/>
    </row>
    <row r="12" spans="1:9" s="258" customFormat="1" ht="13.5" hidden="1" customHeight="1">
      <c r="A12" s="271" t="s">
        <v>8</v>
      </c>
      <c r="B12" s="259" t="s">
        <v>2347</v>
      </c>
      <c r="C12" s="255">
        <v>0</v>
      </c>
      <c r="D12" s="1032"/>
      <c r="E12" s="272"/>
      <c r="F12" s="265">
        <v>3.0499999999999999E-2</v>
      </c>
      <c r="G12" s="263"/>
    </row>
    <row r="13" spans="1:9" s="258" customFormat="1" ht="13.5" hidden="1" customHeight="1">
      <c r="A13" s="271" t="s">
        <v>9</v>
      </c>
      <c r="B13" s="259" t="s">
        <v>2348</v>
      </c>
      <c r="C13" s="255"/>
      <c r="D13" s="1032"/>
      <c r="E13" s="262"/>
      <c r="F13" s="262"/>
      <c r="G13" s="263"/>
    </row>
    <row r="14" spans="1:9" s="258" customFormat="1" ht="13.5" hidden="1" customHeight="1">
      <c r="A14" s="271" t="s">
        <v>10</v>
      </c>
      <c r="B14" s="259" t="s">
        <v>2349</v>
      </c>
      <c r="C14" s="255"/>
      <c r="D14" s="1032"/>
      <c r="E14" s="262"/>
      <c r="F14" s="262"/>
      <c r="G14" s="263" t="s">
        <v>2350</v>
      </c>
    </row>
    <row r="15" spans="1:9" s="258" customFormat="1" ht="13.5" hidden="1" customHeight="1">
      <c r="A15" s="271" t="s">
        <v>11</v>
      </c>
      <c r="B15" s="259" t="s">
        <v>2351</v>
      </c>
      <c r="C15" s="264"/>
      <c r="D15" s="1032"/>
      <c r="E15" s="262"/>
      <c r="F15" s="262"/>
      <c r="G15" s="263" t="s">
        <v>2352</v>
      </c>
    </row>
    <row r="16" spans="1:9" s="258" customFormat="1" ht="13.5" hidden="1" customHeight="1">
      <c r="A16" s="271" t="s">
        <v>12</v>
      </c>
      <c r="B16" s="259" t="s">
        <v>2349</v>
      </c>
      <c r="C16" s="264"/>
      <c r="D16" s="1032"/>
      <c r="E16" s="262"/>
      <c r="F16" s="262"/>
      <c r="G16" s="263"/>
    </row>
    <row r="17" spans="1:7" s="258" customFormat="1" ht="13.5" hidden="1" customHeight="1">
      <c r="A17" s="271" t="s">
        <v>13</v>
      </c>
      <c r="B17" s="259" t="s">
        <v>2353</v>
      </c>
      <c r="C17" s="273"/>
      <c r="D17" s="1033"/>
      <c r="E17" s="273"/>
      <c r="F17" s="273"/>
      <c r="G17" s="263" t="s">
        <v>2352</v>
      </c>
    </row>
    <row r="18" spans="1:7" s="258" customFormat="1" ht="13.5" hidden="1" customHeight="1">
      <c r="A18" s="271" t="s">
        <v>14</v>
      </c>
      <c r="B18" s="259" t="s">
        <v>2354</v>
      </c>
      <c r="C18" s="264">
        <v>0</v>
      </c>
      <c r="D18" s="1032"/>
      <c r="E18" s="262"/>
      <c r="F18" s="265">
        <v>3.0499999999999999E-2</v>
      </c>
      <c r="G18" s="263" t="s">
        <v>2355</v>
      </c>
    </row>
    <row r="19" spans="1:7" s="267" customFormat="1" ht="13.5" customHeight="1">
      <c r="A19" s="299" t="s">
        <v>2356</v>
      </c>
      <c r="B19" s="254" t="s">
        <v>2357</v>
      </c>
      <c r="C19" s="255" t="str">
        <f>IF(G19="已包含在土地取得成本中","0",ROUND(D19*E19/10000,0))</f>
        <v>0</v>
      </c>
      <c r="D19" s="1034">
        <f ca="1">D9+D10</f>
        <v>2046.64</v>
      </c>
      <c r="E19" s="255">
        <f>'数据-取费表'!B31</f>
        <v>200</v>
      </c>
      <c r="F19" s="275"/>
      <c r="G19" s="2545" t="s">
        <v>3814</v>
      </c>
    </row>
    <row r="20" spans="1:7" s="258" customFormat="1" ht="13.5" customHeight="1">
      <c r="A20" s="299" t="s">
        <v>2358</v>
      </c>
      <c r="B20" s="254" t="s">
        <v>2359</v>
      </c>
      <c r="C20" s="276">
        <f ca="1">ROUND((C5+C19)*F20,0)</f>
        <v>16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0">
        <f ca="1">ROUND(SUM(C23:C25),0)</f>
        <v>81</v>
      </c>
      <c r="D22" s="279">
        <f ca="1">C26</f>
        <v>1E-3</v>
      </c>
      <c r="E22" s="280" t="s">
        <v>2363</v>
      </c>
      <c r="F22" s="281">
        <f ca="1">'数据-取费表'!B40</f>
        <v>4.7500000000000001E-2</v>
      </c>
      <c r="G22" s="278" t="str">
        <f>IF('数据-取费表'!B22&lt;=1,"单利计息","复利计息")</f>
        <v>复利计息</v>
      </c>
    </row>
    <row r="23" spans="1:7" s="258" customFormat="1" ht="13.5" customHeight="1">
      <c r="A23" s="949" t="s">
        <v>2367</v>
      </c>
      <c r="B23" s="259" t="s">
        <v>2368</v>
      </c>
      <c r="C23" s="1351">
        <f ca="1">ROUND(IF('数据-取费表'!B22&lt;=1,C5*F22*'数据-取费表'!B23,C5*(POWER((1+F22),'数据-取费表'!B23)-1)),0)</f>
        <v>80</v>
      </c>
      <c r="D23" s="282"/>
      <c r="E23" s="282"/>
      <c r="F23" s="283"/>
      <c r="G23" s="284" t="s">
        <v>2369</v>
      </c>
    </row>
    <row r="24" spans="1:7" s="258" customFormat="1" ht="13.5" customHeight="1">
      <c r="A24" s="949" t="s">
        <v>2370</v>
      </c>
      <c r="B24" s="259" t="s">
        <v>2371</v>
      </c>
      <c r="C24" s="1351">
        <f ca="1">ROUND(IF('数据-取费表'!B22&lt;=1,C19*F22*('数据-取费表'!B19/2+'数据-取费表'!B21),C19*(POWER((1+F22),('数据-取费表'!B19/2+'数据-取费表'!B21))-1)),0)</f>
        <v>0</v>
      </c>
      <c r="D24" s="282"/>
      <c r="E24" s="282"/>
      <c r="F24" s="283"/>
      <c r="G24" s="284" t="s">
        <v>2372</v>
      </c>
    </row>
    <row r="25" spans="1:7" s="258" customFormat="1" ht="24">
      <c r="A25" s="949" t="s">
        <v>2373</v>
      </c>
      <c r="B25" s="259" t="s">
        <v>2374</v>
      </c>
      <c r="C25" s="1351">
        <f ca="1">ROUND(IF('数据-取费表'!B22&lt;=1,C20*F22*'数据-取费表'!B23/2,C20*(POWER((1+F22),'数据-取费表'!B23/2)-1)),0)</f>
        <v>1</v>
      </c>
      <c r="D25" s="282"/>
      <c r="E25" s="285"/>
      <c r="F25" s="283"/>
      <c r="G25" s="286" t="s">
        <v>2375</v>
      </c>
    </row>
    <row r="26" spans="1:7" s="258" customFormat="1">
      <c r="A26" s="949"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42</v>
      </c>
      <c r="D27" s="279">
        <f ca="1">C29</f>
        <v>1E-3</v>
      </c>
      <c r="E27" s="280" t="s">
        <v>2379</v>
      </c>
      <c r="F27" s="290">
        <f ca="1">IF(B1="",'数据-取费表'!Q16,INDIRECT("'数据-取费表'!q"&amp;$G$1))</f>
        <v>0.05</v>
      </c>
      <c r="G27" s="291" t="s">
        <v>2380</v>
      </c>
    </row>
    <row r="28" spans="1:7" s="258" customFormat="1" ht="13.5" customHeight="1">
      <c r="A28" s="949" t="s">
        <v>791</v>
      </c>
      <c r="B28" s="292" t="s">
        <v>2381</v>
      </c>
      <c r="C28" s="293">
        <f ca="1">ROUND((C5+C19+C20)*F27*'数据-取费表'!B21/'数据-取费表'!B20,0)</f>
        <v>42</v>
      </c>
      <c r="D28" s="279"/>
      <c r="E28" s="280"/>
      <c r="F28" s="290"/>
      <c r="G28" s="291"/>
    </row>
    <row r="29" spans="1:7" s="258" customFormat="1" ht="13.5" customHeight="1">
      <c r="A29" s="949"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640</v>
      </c>
      <c r="D33" s="276"/>
      <c r="E33" s="256"/>
      <c r="F33" s="285"/>
      <c r="G33" s="278"/>
    </row>
    <row r="34" spans="1:7" s="302" customFormat="1" ht="13.5" customHeight="1">
      <c r="A34" s="949" t="s">
        <v>791</v>
      </c>
      <c r="B34" s="259" t="s">
        <v>2390</v>
      </c>
      <c r="C34" s="264">
        <f ca="1">IF(B1="",IF(F34=100%,'数据-取费表'!M16,'数据-取费表'!O16),IF(F34=100%,INDIRECT("'数据-取费表'!m"&amp;$G$1)+INDIRECT("'数据-取费表'!t"&amp;$G$1),INDIRECT("'数据-取费表'!o"&amp;$G$1)+INDIRECT("'数据-取费表'!aq"&amp;$G$1)))</f>
        <v>573</v>
      </c>
      <c r="D34" s="261"/>
      <c r="E34" s="264"/>
      <c r="F34" s="301">
        <f ca="1">IF('数据-取费表'!B24=0,1,IF(B1="",'数据-取费表'!N16,INDIRECT("'数据-取费表'!n"&amp;$G$1)))</f>
        <v>1</v>
      </c>
      <c r="G34" s="263" t="s">
        <v>2391</v>
      </c>
    </row>
    <row r="35" spans="1:7" ht="13.5" customHeight="1">
      <c r="A35" s="949" t="s">
        <v>796</v>
      </c>
      <c r="B35" s="259" t="s">
        <v>2392</v>
      </c>
      <c r="C35" s="264">
        <f ca="1">ROUND(C34*F35,0)</f>
        <v>17</v>
      </c>
      <c r="D35" s="264"/>
      <c r="E35" s="264"/>
      <c r="F35" s="303">
        <f>'数据-取费表'!B33</f>
        <v>0.03</v>
      </c>
      <c r="G35" s="263" t="s">
        <v>2393</v>
      </c>
    </row>
    <row r="36" spans="1:7" ht="24">
      <c r="A36" s="949"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9" t="s">
        <v>798</v>
      </c>
      <c r="B37" s="259" t="s">
        <v>2396</v>
      </c>
      <c r="C37" s="293">
        <f ca="1">ROUND(E37*D37*F34/10000,0)</f>
        <v>41</v>
      </c>
      <c r="D37" s="261">
        <f ca="1">D19</f>
        <v>2046.64</v>
      </c>
      <c r="E37" s="293">
        <f>'数据-取费表'!B35</f>
        <v>200</v>
      </c>
      <c r="F37" s="303"/>
      <c r="G37" s="305" t="s">
        <v>2397</v>
      </c>
    </row>
    <row r="38" spans="1:7" ht="13.5" customHeight="1">
      <c r="A38" s="949" t="s">
        <v>799</v>
      </c>
      <c r="B38" s="259" t="s">
        <v>2398</v>
      </c>
      <c r="C38" s="264">
        <f ca="1">ROUND(C34*F38,0)</f>
        <v>9</v>
      </c>
      <c r="D38" s="264"/>
      <c r="E38" s="264"/>
      <c r="F38" s="303">
        <f>'数据-取费表'!B36</f>
        <v>1.4999999999999999E-2</v>
      </c>
      <c r="G38" s="263" t="s">
        <v>2393</v>
      </c>
    </row>
    <row r="39" spans="1:7" s="258" customFormat="1" ht="13.5" customHeight="1">
      <c r="A39" s="299" t="s">
        <v>2399</v>
      </c>
      <c r="B39" s="254" t="s">
        <v>2400</v>
      </c>
      <c r="C39" s="276">
        <f ca="1">ROUND(C33*F20,0)</f>
        <v>13</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31</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ROUND(IF('数据-取费表'!B22&lt;=1,C33*F22*'数据-取费表'!B21/2,C33*(POWER((1+F22),'数据-取费表'!B21/2)-1)),0)</f>
        <v>30</v>
      </c>
      <c r="D42" s="282"/>
      <c r="E42" s="282"/>
      <c r="F42" s="283"/>
      <c r="G42" s="3271" t="s">
        <v>2409</v>
      </c>
    </row>
    <row r="43" spans="1:7" ht="13.5" customHeight="1">
      <c r="A43" s="949" t="s">
        <v>792</v>
      </c>
      <c r="B43" s="259" t="s">
        <v>2410</v>
      </c>
      <c r="C43" s="282">
        <f ca="1">ROUND(IF('数据-取费表'!B22&lt;=1,C39*F22*'数据-取费表'!B21/2,C39*(POWER((1+F22),'数据-取费表'!B21/2)-1)),0)</f>
        <v>1</v>
      </c>
      <c r="D43" s="282"/>
      <c r="E43" s="282"/>
      <c r="F43" s="283"/>
      <c r="G43" s="3272"/>
    </row>
    <row r="44" spans="1:7" ht="13.5" customHeight="1">
      <c r="A44" s="949" t="s">
        <v>793</v>
      </c>
      <c r="B44" s="259" t="s">
        <v>2411</v>
      </c>
      <c r="C44" s="282">
        <f ca="1">ROUND(IF('数据-取费表'!B22&lt;=1,C40*F22*'数据-取费表'!B21/2,C40*(POWER((1+F22),'数据-取费表'!B21/2)-1)),4)</f>
        <v>1E-3</v>
      </c>
      <c r="D44" s="282"/>
      <c r="E44" s="282"/>
      <c r="F44" s="283"/>
      <c r="G44" s="3273"/>
    </row>
    <row r="45" spans="1:7" s="258" customFormat="1" ht="13.5" customHeight="1">
      <c r="A45" s="299" t="s">
        <v>2412</v>
      </c>
      <c r="B45" s="288" t="s">
        <v>2378</v>
      </c>
      <c r="C45" s="289">
        <f ca="1">C46</f>
        <v>33</v>
      </c>
      <c r="D45" s="279">
        <f ca="1">C47</f>
        <v>1E-3</v>
      </c>
      <c r="E45" s="280" t="s">
        <v>2404</v>
      </c>
      <c r="F45" s="290"/>
      <c r="G45" s="291" t="s">
        <v>2413</v>
      </c>
    </row>
    <row r="46" spans="1:7" s="258" customFormat="1" ht="13.5" customHeight="1">
      <c r="A46" s="949" t="s">
        <v>791</v>
      </c>
      <c r="B46" s="292" t="s">
        <v>2414</v>
      </c>
      <c r="C46" s="293">
        <f ca="1">ROUND((C33+C39)*F27,0)</f>
        <v>33</v>
      </c>
      <c r="D46" s="307"/>
      <c r="E46" s="280"/>
      <c r="F46" s="290"/>
      <c r="G46" s="291"/>
    </row>
    <row r="47" spans="1:7" s="258" customFormat="1" ht="13.5" customHeight="1">
      <c r="A47" s="949" t="s">
        <v>792</v>
      </c>
      <c r="B47" s="292" t="s">
        <v>2415</v>
      </c>
      <c r="C47" s="282">
        <f ca="1">ROUND(C40*F27,4)</f>
        <v>1E-3</v>
      </c>
      <c r="D47" s="307"/>
      <c r="E47" s="280"/>
      <c r="F47" s="290"/>
      <c r="G47" s="291"/>
    </row>
    <row r="48" spans="1:7" s="258" customFormat="1" ht="13.5" customHeight="1">
      <c r="A48" s="299" t="s">
        <v>2377</v>
      </c>
      <c r="B48" s="254" t="s">
        <v>2416</v>
      </c>
      <c r="C48" s="1724">
        <f>ROUND(F30/(1+'数据-取费表'!C42),4)</f>
        <v>5.33E-2</v>
      </c>
      <c r="D48" s="280" t="s">
        <v>2404</v>
      </c>
      <c r="E48" s="276"/>
      <c r="F48" s="281"/>
      <c r="G48" s="278" t="s">
        <v>2417</v>
      </c>
    </row>
    <row r="49" spans="1:7" ht="16.5" customHeight="1">
      <c r="A49" s="299" t="s">
        <v>2383</v>
      </c>
      <c r="B49" s="254" t="s">
        <v>2418</v>
      </c>
      <c r="C49" s="276">
        <f ca="1">ROUND((C33+C39+C41+C45)/(1-C40-D41-D45-C48),0)</f>
        <v>775</v>
      </c>
      <c r="D49" s="276"/>
      <c r="E49" s="276"/>
      <c r="F49" s="308"/>
      <c r="G49" s="278" t="s">
        <v>2419</v>
      </c>
    </row>
    <row r="50" spans="1:7" s="302" customFormat="1" ht="24">
      <c r="A50" s="299" t="s">
        <v>2420</v>
      </c>
      <c r="B50" s="254" t="s">
        <v>2421</v>
      </c>
      <c r="C50" s="276"/>
      <c r="D50" s="276"/>
      <c r="E50" s="276"/>
      <c r="F50" s="308">
        <f>IF('数据-取费表'!B24=0,'数据-取费表'!N16,1)</f>
        <v>0.97</v>
      </c>
      <c r="G50" s="291" t="s">
        <v>2422</v>
      </c>
    </row>
    <row r="51" spans="1:7" ht="16.5" customHeight="1">
      <c r="A51" s="299" t="s">
        <v>2423</v>
      </c>
      <c r="B51" s="254" t="s">
        <v>2424</v>
      </c>
      <c r="C51" s="276">
        <f ca="1">ROUND(C49*F50,0)</f>
        <v>752</v>
      </c>
      <c r="D51" s="276"/>
      <c r="E51" s="276"/>
      <c r="F51" s="308"/>
      <c r="G51" s="278" t="s">
        <v>2425</v>
      </c>
    </row>
    <row r="52" spans="1:7" s="252" customFormat="1" ht="16.5" thickBot="1">
      <c r="A52" s="309" t="s">
        <v>2426</v>
      </c>
      <c r="B52" s="310"/>
      <c r="C52" s="311">
        <f ca="1">C31+C51</f>
        <v>1788</v>
      </c>
      <c r="D52" s="310"/>
      <c r="E52" s="310"/>
      <c r="F52" s="310"/>
      <c r="G52" s="312"/>
    </row>
    <row r="55" spans="1:7" ht="15">
      <c r="B55" s="314" t="s">
        <v>2427</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48" t="s">
        <v>2428</v>
      </c>
      <c r="D1" s="242"/>
      <c r="E1" s="242"/>
      <c r="F1" s="242"/>
      <c r="G1" s="1375">
        <f>MATCH(B1,'数据-取费表'!A6:A16,0)+5</f>
        <v>12</v>
      </c>
      <c r="H1" s="1278" t="str">
        <f>IF(ISERROR(FIND("住宅",B1)),"非住宅","住宅")</f>
        <v>非住宅</v>
      </c>
    </row>
    <row r="2" spans="1:8" s="244" customFormat="1" ht="18" customHeight="1">
      <c r="A2" s="245" t="s">
        <v>2327</v>
      </c>
      <c r="B2" s="246">
        <f ca="1">ROUND(IF(D2="——",C52/10000,C52/10000-E2),0)</f>
        <v>15940</v>
      </c>
      <c r="C2" s="243" t="s">
        <v>2328</v>
      </c>
      <c r="D2" s="2542" t="s">
        <v>70</v>
      </c>
      <c r="E2" s="1436" t="e">
        <f ca="1">SUMIF(INDIRECT("'"&amp;G2&amp;"'"&amp;"!A:A"),"承租人权益价值",INDIRECT("'"&amp;G2&amp;"'"&amp;"!c:c"))</f>
        <v>#REF!</v>
      </c>
      <c r="F2" s="2543" t="s">
        <v>2328</v>
      </c>
      <c r="G2" s="2544"/>
    </row>
    <row r="3" spans="1:8" s="244" customFormat="1" ht="18" customHeight="1" thickBot="1">
      <c r="A3" s="247" t="s">
        <v>2329</v>
      </c>
      <c r="B3" s="248">
        <f ca="1">ROUND(B2*10000/(IF(B1="",'数据-汇总表'!E3,INDIRECT("'数据-取费表'!k"&amp;$G$1))),0)</f>
        <v>4665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6833246</v>
      </c>
      <c r="D5" s="255" t="s">
        <v>2334</v>
      </c>
      <c r="E5" s="256" t="s">
        <v>2335</v>
      </c>
      <c r="F5" s="256" t="s">
        <v>2336</v>
      </c>
      <c r="G5" s="257"/>
    </row>
    <row r="6" spans="1:8" s="258" customFormat="1" ht="13.5" customHeight="1">
      <c r="A6" s="947" t="s">
        <v>2337</v>
      </c>
      <c r="B6" s="259" t="s">
        <v>2338</v>
      </c>
      <c r="C6" s="260"/>
      <c r="D6" s="261"/>
      <c r="E6" s="262"/>
      <c r="F6" s="262"/>
      <c r="G6" s="263"/>
    </row>
    <row r="7" spans="1:8" s="258" customFormat="1" ht="13.5" customHeight="1">
      <c r="A7" s="947" t="s">
        <v>2339</v>
      </c>
      <c r="B7" s="259" t="s">
        <v>2340</v>
      </c>
      <c r="C7" s="264">
        <f>ROUND(C6*F7,0)</f>
        <v>0</v>
      </c>
      <c r="D7" s="264"/>
      <c r="E7" s="262"/>
      <c r="F7" s="265">
        <f>'数据-取费表'!B48+'数据-取费表'!B49</f>
        <v>3.0499999999999999E-2</v>
      </c>
      <c r="G7" s="263"/>
    </row>
    <row r="8" spans="1:8" s="267" customFormat="1">
      <c r="A8" s="947" t="s">
        <v>2341</v>
      </c>
      <c r="B8" s="259" t="s">
        <v>2342</v>
      </c>
      <c r="C8" s="264">
        <f ca="1">IF(G8="已包含在土地购买价格中",0,C9+C10)</f>
        <v>6833246</v>
      </c>
      <c r="D8" s="266"/>
      <c r="E8" s="264"/>
      <c r="F8" s="265"/>
      <c r="G8" s="2545"/>
    </row>
    <row r="9" spans="1:8" s="258" customFormat="1" ht="13.5" customHeight="1">
      <c r="A9" s="948" t="s">
        <v>800</v>
      </c>
      <c r="B9" s="268" t="s">
        <v>2343</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2345</v>
      </c>
      <c r="C10" s="269">
        <f ca="1">ROUND(D10*E10,0)</f>
        <v>6833246</v>
      </c>
      <c r="D10" s="1030">
        <f ca="1">IF(B1="",'数据-汇总表'!E6,IF(INDIRECT("'数据-取费表'!c"&amp;$G$1)="住宅",INDIRECT("'数据-取费表'!s"&amp;$G$1),INDIRECT("'数据-取费表'!k"&amp;$G$1)+INDIRECT("'数据-取费表'!s"&amp;$G$1)))</f>
        <v>34166.230000000018</v>
      </c>
      <c r="E10" s="269">
        <f>'数据-取费表'!B28</f>
        <v>200</v>
      </c>
      <c r="F10" s="265"/>
      <c r="G10" s="270"/>
    </row>
    <row r="11" spans="1:8" s="258" customFormat="1" ht="13.5" hidden="1" customHeight="1">
      <c r="A11" s="271" t="s">
        <v>7</v>
      </c>
      <c r="B11" s="259" t="s">
        <v>2346</v>
      </c>
      <c r="C11" s="255"/>
      <c r="D11" s="1032"/>
      <c r="E11" s="262"/>
      <c r="F11" s="262"/>
      <c r="G11" s="263"/>
    </row>
    <row r="12" spans="1:8" s="258" customFormat="1" ht="13.5" hidden="1" customHeight="1">
      <c r="A12" s="271" t="s">
        <v>8</v>
      </c>
      <c r="B12" s="259" t="s">
        <v>2429</v>
      </c>
      <c r="C12" s="255">
        <v>0</v>
      </c>
      <c r="D12" s="1032"/>
      <c r="E12" s="272"/>
      <c r="F12" s="265">
        <v>3.0499999999999999E-2</v>
      </c>
      <c r="G12" s="263"/>
    </row>
    <row r="13" spans="1:8" s="258" customFormat="1" ht="13.5" hidden="1" customHeight="1">
      <c r="A13" s="271" t="s">
        <v>9</v>
      </c>
      <c r="B13" s="259" t="s">
        <v>2430</v>
      </c>
      <c r="C13" s="255"/>
      <c r="D13" s="1032"/>
      <c r="E13" s="262"/>
      <c r="F13" s="262"/>
      <c r="G13" s="263"/>
    </row>
    <row r="14" spans="1:8" s="258" customFormat="1" ht="13.5" hidden="1" customHeight="1">
      <c r="A14" s="271" t="s">
        <v>10</v>
      </c>
      <c r="B14" s="259" t="s">
        <v>2342</v>
      </c>
      <c r="C14" s="255"/>
      <c r="D14" s="1032"/>
      <c r="E14" s="262"/>
      <c r="F14" s="262"/>
      <c r="G14" s="263" t="s">
        <v>2431</v>
      </c>
    </row>
    <row r="15" spans="1:8" s="258" customFormat="1" ht="13.5" hidden="1" customHeight="1">
      <c r="A15" s="271" t="s">
        <v>11</v>
      </c>
      <c r="B15" s="259" t="s">
        <v>2432</v>
      </c>
      <c r="C15" s="264"/>
      <c r="D15" s="1032"/>
      <c r="E15" s="262"/>
      <c r="F15" s="262"/>
      <c r="G15" s="263" t="s">
        <v>2433</v>
      </c>
    </row>
    <row r="16" spans="1:8" s="258" customFormat="1" ht="13.5" hidden="1" customHeight="1">
      <c r="A16" s="271" t="s">
        <v>12</v>
      </c>
      <c r="B16" s="259" t="s">
        <v>2342</v>
      </c>
      <c r="C16" s="264"/>
      <c r="D16" s="1032"/>
      <c r="E16" s="262"/>
      <c r="F16" s="262"/>
      <c r="G16" s="263"/>
    </row>
    <row r="17" spans="1:7" s="258" customFormat="1" ht="13.5" hidden="1" customHeight="1">
      <c r="A17" s="271" t="s">
        <v>13</v>
      </c>
      <c r="B17" s="259" t="s">
        <v>2434</v>
      </c>
      <c r="C17" s="273"/>
      <c r="D17" s="1033"/>
      <c r="E17" s="273"/>
      <c r="F17" s="273"/>
      <c r="G17" s="263" t="s">
        <v>2433</v>
      </c>
    </row>
    <row r="18" spans="1:7" s="258" customFormat="1" ht="13.5" hidden="1" customHeight="1">
      <c r="A18" s="271" t="s">
        <v>14</v>
      </c>
      <c r="B18" s="259" t="s">
        <v>2435</v>
      </c>
      <c r="C18" s="264">
        <v>0</v>
      </c>
      <c r="D18" s="1032"/>
      <c r="E18" s="262"/>
      <c r="F18" s="265">
        <v>3.0499999999999999E-2</v>
      </c>
      <c r="G18" s="263" t="s">
        <v>2436</v>
      </c>
    </row>
    <row r="19" spans="1:7" s="267" customFormat="1" ht="13.5" customHeight="1">
      <c r="A19" s="299" t="s">
        <v>2437</v>
      </c>
      <c r="B19" s="254" t="s">
        <v>2438</v>
      </c>
      <c r="C19" s="255">
        <f ca="1">IF(G19="已包含在土地取得成本中","0",ROUND(D19*E19,0))</f>
        <v>6833246</v>
      </c>
      <c r="D19" s="1034">
        <f ca="1">D9+D10</f>
        <v>34166.230000000018</v>
      </c>
      <c r="E19" s="255">
        <f>'数据-取费表'!B31</f>
        <v>200</v>
      </c>
      <c r="F19" s="275"/>
      <c r="G19" s="2545"/>
    </row>
    <row r="20" spans="1:7" s="258" customFormat="1" ht="13.5" customHeight="1">
      <c r="A20" s="299" t="s">
        <v>2439</v>
      </c>
      <c r="B20" s="254" t="s">
        <v>2440</v>
      </c>
      <c r="C20" s="276">
        <f ca="1">ROUND((C5+C19)*F20,0)</f>
        <v>273330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6">
        <f ca="1">ROUND(SUM(C23:C25),0)</f>
        <v>1342135</v>
      </c>
      <c r="D22" s="279">
        <f ca="1">C26</f>
        <v>1E-3</v>
      </c>
      <c r="E22" s="280" t="s">
        <v>2444</v>
      </c>
      <c r="F22" s="281">
        <f ca="1">'数据-取费表'!B40</f>
        <v>4.7500000000000001E-2</v>
      </c>
      <c r="G22" s="278" t="str">
        <f>IF('数据-取费表'!B22&lt;=1,"单利计息","复利计息")</f>
        <v>复利计息</v>
      </c>
    </row>
    <row r="23" spans="1:7" s="258" customFormat="1" ht="13.5" customHeight="1">
      <c r="A23" s="949" t="s">
        <v>2337</v>
      </c>
      <c r="B23" s="259" t="s">
        <v>2448</v>
      </c>
      <c r="C23" s="1377">
        <f ca="1">ROUND(IF('数据-取费表'!B22&lt;=1,C5*F22*'数据-取费表'!B22,C5*(POWER((1+F22),'数据-取费表'!B22)-1)),0)</f>
        <v>664576</v>
      </c>
      <c r="D23" s="282"/>
      <c r="E23" s="282"/>
      <c r="F23" s="283"/>
      <c r="G23" s="284" t="s">
        <v>2449</v>
      </c>
    </row>
    <row r="24" spans="1:7" s="258" customFormat="1" ht="13.5" customHeight="1">
      <c r="A24" s="949" t="s">
        <v>2339</v>
      </c>
      <c r="B24" s="259" t="s">
        <v>2450</v>
      </c>
      <c r="C24" s="1377">
        <f ca="1">ROUND(IF('数据-取费表'!B22&lt;=1,C19*F22*('数据-取费表'!B19/2+'数据-取费表'!B20),C19*(POWER((1+F22),('数据-取费表'!B19/2+'数据-取费表'!B20))-1)),0)</f>
        <v>664576</v>
      </c>
      <c r="D24" s="282"/>
      <c r="E24" s="282"/>
      <c r="F24" s="283"/>
      <c r="G24" s="284" t="s">
        <v>2451</v>
      </c>
    </row>
    <row r="25" spans="1:7" s="258" customFormat="1" ht="24">
      <c r="A25" s="949" t="s">
        <v>2341</v>
      </c>
      <c r="B25" s="259" t="s">
        <v>2452</v>
      </c>
      <c r="C25" s="1377">
        <f ca="1">ROUND(IF('数据-取费表'!B22&lt;=1,C20*F22*'数据-取费表'!B22/2,C20*(POWER((1+F22),'数据-取费表'!B22/2)-1)),0)</f>
        <v>12983</v>
      </c>
      <c r="D25" s="282"/>
      <c r="E25" s="285"/>
      <c r="F25" s="283"/>
      <c r="G25" s="286" t="s">
        <v>2453</v>
      </c>
    </row>
    <row r="26" spans="1:7" s="258" customFormat="1">
      <c r="A26" s="949"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1533380</v>
      </c>
      <c r="D27" s="279">
        <f ca="1">C29</f>
        <v>2.2000000000000001E-3</v>
      </c>
      <c r="E27" s="280" t="s">
        <v>2379</v>
      </c>
      <c r="F27" s="290">
        <f ca="1">IF(B1="",'数据-取费表'!Q16,INDIRECT("'数据-取费表'!q"&amp;$G$1))</f>
        <v>0.11</v>
      </c>
      <c r="G27" s="291" t="s">
        <v>2380</v>
      </c>
    </row>
    <row r="28" spans="1:7" s="258" customFormat="1" ht="13.5" customHeight="1">
      <c r="A28" s="949" t="s">
        <v>791</v>
      </c>
      <c r="B28" s="292" t="s">
        <v>2381</v>
      </c>
      <c r="C28" s="293">
        <f ca="1">ROUND((C5+C19+C20)*F27,0)</f>
        <v>1533380</v>
      </c>
      <c r="D28" s="279"/>
      <c r="E28" s="280"/>
      <c r="F28" s="290"/>
      <c r="G28" s="291"/>
    </row>
    <row r="29" spans="1:7" s="258" customFormat="1" ht="13.5" customHeight="1">
      <c r="A29" s="949" t="s">
        <v>792</v>
      </c>
      <c r="B29" s="292" t="s">
        <v>2382</v>
      </c>
      <c r="C29" s="282">
        <f ca="1">ROUND(C21*F27,4)</f>
        <v>2.2000000000000001E-3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18208270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113853443</v>
      </c>
      <c r="D33" s="276"/>
      <c r="E33" s="256"/>
      <c r="F33" s="285"/>
      <c r="G33" s="278"/>
    </row>
    <row r="34" spans="1:7" s="302" customFormat="1" ht="13.5" customHeight="1">
      <c r="A34" s="949" t="s">
        <v>791</v>
      </c>
      <c r="B34" s="259" t="s">
        <v>2390</v>
      </c>
      <c r="C34" s="264">
        <f ca="1">ROUND(IF(B1="",SUMPRODUCT('数据-取费表'!K6:K14,'数据-取费表'!L6:L14),INDIRECT("'数据-取费表'!l"&amp;$G$1)*INDIRECT("'数据-取费表'!k"&amp;$G$1)+'数据-取费表'!L14*INDIRECT("'数据-取费表'!S"&amp;$G$1)),0)</f>
        <v>102411672</v>
      </c>
      <c r="D34" s="261"/>
      <c r="E34" s="264"/>
      <c r="F34" s="301"/>
      <c r="G34" s="263"/>
    </row>
    <row r="35" spans="1:7" ht="13.5" customHeight="1">
      <c r="A35" s="949" t="s">
        <v>796</v>
      </c>
      <c r="B35" s="259" t="s">
        <v>2392</v>
      </c>
      <c r="C35" s="264">
        <f ca="1">ROUND(C34*F35,0)</f>
        <v>3072350</v>
      </c>
      <c r="D35" s="264"/>
      <c r="E35" s="264"/>
      <c r="F35" s="303">
        <f>'数据-取费表'!B33</f>
        <v>0.03</v>
      </c>
      <c r="G35" s="263" t="s">
        <v>2393</v>
      </c>
    </row>
    <row r="36" spans="1:7" ht="24">
      <c r="A36" s="949"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9" t="s">
        <v>798</v>
      </c>
      <c r="B37" s="259" t="s">
        <v>2396</v>
      </c>
      <c r="C37" s="293">
        <f ca="1">ROUND(E37*D37,0)</f>
        <v>6833246</v>
      </c>
      <c r="D37" s="261">
        <f ca="1">D19</f>
        <v>34166.230000000018</v>
      </c>
      <c r="E37" s="293">
        <f>'数据-取费表'!B35</f>
        <v>200</v>
      </c>
      <c r="F37" s="303"/>
      <c r="G37" s="305"/>
    </row>
    <row r="38" spans="1:7" ht="13.5" customHeight="1">
      <c r="A38" s="949" t="s">
        <v>799</v>
      </c>
      <c r="B38" s="259" t="s">
        <v>2398</v>
      </c>
      <c r="C38" s="264">
        <f ca="1">ROUND(C34*F38,0)</f>
        <v>1536175</v>
      </c>
      <c r="D38" s="264"/>
      <c r="E38" s="264"/>
      <c r="F38" s="303">
        <f>'数据-取费表'!B36</f>
        <v>1.4999999999999999E-2</v>
      </c>
      <c r="G38" s="263" t="s">
        <v>2393</v>
      </c>
    </row>
    <row r="39" spans="1:7" s="258" customFormat="1" ht="13.5" customHeight="1">
      <c r="A39" s="299" t="s">
        <v>2399</v>
      </c>
      <c r="B39" s="254" t="s">
        <v>2400</v>
      </c>
      <c r="C39" s="276">
        <f ca="1">ROUND(C33*F20,0)</f>
        <v>2277069</v>
      </c>
      <c r="D39" s="276"/>
      <c r="E39" s="276"/>
      <c r="F39" s="277"/>
      <c r="G39" s="278" t="s">
        <v>2401</v>
      </c>
    </row>
    <row r="40" spans="1:7" s="258" customFormat="1" ht="13.5" customHeight="1">
      <c r="A40" s="299" t="s">
        <v>2402</v>
      </c>
      <c r="B40" s="254" t="s">
        <v>2403</v>
      </c>
      <c r="C40" s="1724">
        <f>F21</f>
        <v>0.02</v>
      </c>
      <c r="D40" s="280" t="s">
        <v>2404</v>
      </c>
      <c r="E40" s="276"/>
      <c r="F40" s="277"/>
      <c r="G40" s="278" t="s">
        <v>2405</v>
      </c>
    </row>
    <row r="41" spans="1:7" s="258" customFormat="1" ht="13.5" customHeight="1">
      <c r="A41" s="299" t="s">
        <v>2406</v>
      </c>
      <c r="B41" s="254" t="s">
        <v>2407</v>
      </c>
      <c r="C41" s="276">
        <f ca="1">ROUND(SUM(C42:C43),0)</f>
        <v>5516200</v>
      </c>
      <c r="D41" s="279">
        <f ca="1">C44</f>
        <v>1E-3</v>
      </c>
      <c r="E41" s="280" t="s">
        <v>2404</v>
      </c>
      <c r="F41" s="281"/>
      <c r="G41" s="278" t="str">
        <f>IF('数据-取费表'!B22&lt;=1,"单利计息","复利计息")</f>
        <v>复利计息</v>
      </c>
    </row>
    <row r="42" spans="1:7" ht="13.5" customHeight="1">
      <c r="A42" s="949" t="s">
        <v>791</v>
      </c>
      <c r="B42" s="259" t="s">
        <v>2408</v>
      </c>
      <c r="C42" s="282">
        <f ca="1">ROUND(IF('数据-取费表'!B22&lt;=1,C33*F22*'数据-取费表'!B20/2,C33*(POWER((1+F22),'数据-取费表'!B20/2)-1)),0)</f>
        <v>5408039</v>
      </c>
      <c r="D42" s="282"/>
      <c r="E42" s="282"/>
      <c r="F42" s="283"/>
      <c r="G42" s="3271" t="s">
        <v>2456</v>
      </c>
    </row>
    <row r="43" spans="1:7" ht="13.5" customHeight="1">
      <c r="A43" s="949" t="s">
        <v>792</v>
      </c>
      <c r="B43" s="259" t="s">
        <v>2410</v>
      </c>
      <c r="C43" s="282">
        <f ca="1">ROUND(IF('数据-取费表'!B22&lt;=1,C39*F22*'数据-取费表'!B20/2,C39*(POWER((1+F22),'数据-取费表'!B20/2)-1)),0)</f>
        <v>108161</v>
      </c>
      <c r="D43" s="282"/>
      <c r="E43" s="282"/>
      <c r="F43" s="283"/>
      <c r="G43" s="3272"/>
    </row>
    <row r="44" spans="1:7" ht="13.5" customHeight="1">
      <c r="A44" s="949" t="s">
        <v>793</v>
      </c>
      <c r="B44" s="259" t="s">
        <v>2411</v>
      </c>
      <c r="C44" s="282">
        <f ca="1">ROUND(IF('数据-取费表'!B22&lt;=1,C40*F22*'数据-取费表'!B20/2,C40*(POWER((1+F22),'数据-取费表'!B20/2)-1)),4)</f>
        <v>1E-3</v>
      </c>
      <c r="D44" s="282"/>
      <c r="E44" s="282"/>
      <c r="F44" s="283"/>
      <c r="G44" s="3273"/>
    </row>
    <row r="45" spans="1:7" s="258" customFormat="1" ht="13.5" customHeight="1">
      <c r="A45" s="299" t="s">
        <v>2412</v>
      </c>
      <c r="B45" s="288" t="s">
        <v>2378</v>
      </c>
      <c r="C45" s="289">
        <f ca="1">C46</f>
        <v>12774356</v>
      </c>
      <c r="D45" s="279">
        <f ca="1">C47</f>
        <v>2.2000000000000001E-3</v>
      </c>
      <c r="E45" s="280" t="s">
        <v>2404</v>
      </c>
      <c r="F45" s="290"/>
      <c r="G45" s="291" t="s">
        <v>2413</v>
      </c>
    </row>
    <row r="46" spans="1:7" s="258" customFormat="1" ht="13.5" customHeight="1">
      <c r="A46" s="949" t="s">
        <v>791</v>
      </c>
      <c r="B46" s="292" t="s">
        <v>2414</v>
      </c>
      <c r="C46" s="293">
        <f ca="1">ROUND((C33+C39)*F27,0)</f>
        <v>12774356</v>
      </c>
      <c r="D46" s="307"/>
      <c r="E46" s="280"/>
      <c r="F46" s="290"/>
      <c r="G46" s="291"/>
    </row>
    <row r="47" spans="1:7" s="258" customFormat="1" ht="13.5" customHeight="1">
      <c r="A47" s="949" t="s">
        <v>792</v>
      </c>
      <c r="B47" s="292" t="s">
        <v>2415</v>
      </c>
      <c r="C47" s="282">
        <f ca="1">ROUND(C40*F27,4)</f>
        <v>2.2000000000000001E-3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145556110</v>
      </c>
      <c r="D49" s="276"/>
      <c r="E49" s="276"/>
      <c r="F49" s="308"/>
      <c r="G49" s="278" t="s">
        <v>2419</v>
      </c>
    </row>
    <row r="50" spans="1:7" s="302" customFormat="1">
      <c r="A50" s="299" t="s">
        <v>2420</v>
      </c>
      <c r="B50" s="254" t="s">
        <v>2421</v>
      </c>
      <c r="C50" s="276"/>
      <c r="D50" s="276"/>
      <c r="E50" s="276"/>
      <c r="F50" s="308">
        <f>IF('数据-取费表'!B24=0,'数据-取费表'!N16,1)</f>
        <v>0.97</v>
      </c>
      <c r="G50" s="291"/>
    </row>
    <row r="51" spans="1:7" ht="16.5" customHeight="1">
      <c r="A51" s="299" t="s">
        <v>2423</v>
      </c>
      <c r="B51" s="254" t="s">
        <v>2458</v>
      </c>
      <c r="C51" s="276">
        <f ca="1">ROUND(C49*F50,0)</f>
        <v>141189427</v>
      </c>
      <c r="D51" s="276"/>
      <c r="E51" s="276"/>
      <c r="F51" s="308"/>
      <c r="G51" s="278" t="s">
        <v>2425</v>
      </c>
    </row>
    <row r="52" spans="1:7" s="252" customFormat="1" ht="16.5" thickBot="1">
      <c r="A52" s="309" t="s">
        <v>2426</v>
      </c>
      <c r="B52" s="310"/>
      <c r="C52" s="311">
        <f ca="1">C31+C51</f>
        <v>159397697</v>
      </c>
      <c r="D52" s="310"/>
      <c r="E52" s="310"/>
      <c r="F52" s="310"/>
      <c r="G52" s="312"/>
    </row>
    <row r="55" spans="1:7" ht="15">
      <c r="B55" s="314" t="s">
        <v>2427</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2459</v>
      </c>
      <c r="B1" s="1577"/>
      <c r="C1" s="1578"/>
      <c r="D1" s="1576"/>
      <c r="E1" s="320"/>
      <c r="F1" s="320"/>
      <c r="G1" s="1577"/>
      <c r="H1" s="320"/>
      <c r="I1" s="320"/>
      <c r="J1" s="320"/>
      <c r="K1" s="320">
        <f>MATCH(C1,'数据-取费表'!A6:A16,0)+5</f>
        <v>12</v>
      </c>
    </row>
    <row r="2" spans="1:33" ht="18" customHeight="1">
      <c r="A2" s="245" t="s">
        <v>2327</v>
      </c>
      <c r="B2" s="248">
        <f ca="1">C32</f>
        <v>-752</v>
      </c>
      <c r="C2" s="320" t="s">
        <v>2460</v>
      </c>
      <c r="D2" s="320"/>
      <c r="E2" s="320"/>
      <c r="F2" s="320"/>
      <c r="G2" s="320"/>
      <c r="H2" s="320"/>
      <c r="I2" s="320"/>
      <c r="J2" s="320"/>
      <c r="K2" s="320"/>
    </row>
    <row r="3" spans="1:33" ht="18" customHeight="1" thickBot="1">
      <c r="A3" s="247" t="s">
        <v>2329</v>
      </c>
      <c r="B3" s="248">
        <f ca="1">ROUND(B2*10000/IF(C1="",'数据-汇总表'!E3,INDIRECT("'数据-取费表'!K"&amp;$K$1)),0)</f>
        <v>-220</v>
      </c>
      <c r="C3" s="320" t="s">
        <v>2461</v>
      </c>
      <c r="D3" s="320"/>
      <c r="E3" s="320"/>
      <c r="F3" s="320"/>
      <c r="G3" s="320"/>
      <c r="H3" s="320"/>
      <c r="I3" s="320"/>
      <c r="J3" s="320"/>
      <c r="K3" s="320"/>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49" t="s">
        <v>2465</v>
      </c>
      <c r="D5" s="2549" t="s">
        <v>2466</v>
      </c>
      <c r="E5" s="2549" t="s">
        <v>2467</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15254.020000000017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2471</v>
      </c>
      <c r="B8" s="177"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5"/>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5"/>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34166.230000000018</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40"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40"/>
      <c r="H16" s="1574"/>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34166.230000000018</v>
      </c>
      <c r="E17" s="24">
        <f>'数据-取费表'!B32</f>
        <v>0</v>
      </c>
      <c r="F17" s="976"/>
      <c r="G17" s="140" t="s">
        <v>2491</v>
      </c>
      <c r="H17" s="1574"/>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683</v>
      </c>
      <c r="D18" s="1031"/>
      <c r="E18" s="24"/>
      <c r="F18" s="974"/>
      <c r="G18" s="2551"/>
      <c r="H18" s="1573"/>
      <c r="I18" s="2552"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5"/>
      <c r="I19" s="979"/>
      <c r="J19" s="979"/>
      <c r="K19" s="980"/>
    </row>
    <row r="20" spans="1:33" s="973" customFormat="1" ht="13.5" customHeight="1">
      <c r="A20" s="969" t="s">
        <v>806</v>
      </c>
      <c r="B20" s="970" t="s">
        <v>2495</v>
      </c>
      <c r="C20" s="24">
        <f ca="1">ROUND(D20*E20/10000,0)</f>
        <v>683</v>
      </c>
      <c r="D20" s="1031">
        <f ca="1">IF(C1="",'数据-汇总表'!E6,IF(INDIRECT("'数据-取费表'!c"&amp;$K$1)="住宅",INDIRECT("'数据-取费表'!s"&amp;$K$1),INDIRECT("'数据-取费表'!k"&amp;$K$1)+INDIRECT("'数据-取费表'!s"&amp;$K$1)))</f>
        <v>34166.230000000018</v>
      </c>
      <c r="E20" s="24">
        <f>'数据-取费表'!B28</f>
        <v>200</v>
      </c>
      <c r="F20" s="974"/>
      <c r="G20" s="15"/>
      <c r="H20" s="979"/>
      <c r="I20" s="979"/>
      <c r="J20" s="979"/>
      <c r="K20" s="980"/>
    </row>
    <row r="21" spans="1:33" s="973" customFormat="1" ht="13.5" customHeight="1">
      <c r="A21" s="959" t="s">
        <v>802</v>
      </c>
      <c r="B21" s="983" t="s">
        <v>2496</v>
      </c>
      <c r="C21" s="984">
        <f ca="1">C16+C17+C18</f>
        <v>683</v>
      </c>
      <c r="D21" s="985"/>
      <c r="E21" s="325"/>
      <c r="F21" s="325"/>
      <c r="G21" s="140" t="s">
        <v>2497</v>
      </c>
      <c r="H21" s="977"/>
      <c r="I21" s="977"/>
      <c r="J21" s="977"/>
      <c r="K21" s="978"/>
    </row>
    <row r="22" spans="1:33" s="973" customFormat="1" ht="13.5" customHeight="1">
      <c r="A22" s="959" t="s">
        <v>2469</v>
      </c>
      <c r="B22" s="983" t="s">
        <v>2498</v>
      </c>
      <c r="C22" s="984">
        <f ca="1">ROUND(C21*F22,0)</f>
        <v>14</v>
      </c>
      <c r="D22" s="325"/>
      <c r="E22" s="325"/>
      <c r="F22" s="986">
        <f>'数据-取费表'!B37</f>
        <v>0.02</v>
      </c>
      <c r="G22" s="8" t="s">
        <v>2499</v>
      </c>
      <c r="H22" s="966"/>
      <c r="I22" s="966"/>
      <c r="J22" s="966"/>
      <c r="K22" s="967"/>
    </row>
    <row r="23" spans="1:33" s="973" customFormat="1" ht="13.5" customHeight="1">
      <c r="A23" s="959" t="s">
        <v>2471</v>
      </c>
      <c r="B23" s="983" t="s">
        <v>2500</v>
      </c>
      <c r="C23" s="984">
        <f ca="1">ROUND(C4*F23*F11,0)</f>
        <v>0</v>
      </c>
      <c r="D23" s="325"/>
      <c r="E23" s="325"/>
      <c r="F23" s="986">
        <f>'数据-取费表'!B38</f>
        <v>0.02</v>
      </c>
      <c r="G23" s="8" t="s">
        <v>2501</v>
      </c>
      <c r="H23" s="966"/>
      <c r="I23" s="966"/>
      <c r="J23" s="966"/>
      <c r="K23" s="967"/>
    </row>
    <row r="24" spans="1:33" s="973" customFormat="1" ht="13.5" customHeight="1">
      <c r="A24" s="959" t="s">
        <v>2502</v>
      </c>
      <c r="B24" s="983" t="s">
        <v>2503</v>
      </c>
      <c r="C24" s="324">
        <f>ROUND(F24/(1+'数据-取费表'!C42),4)</f>
        <v>2.9000000000000001E-2</v>
      </c>
      <c r="D24" s="325" t="s">
        <v>15</v>
      </c>
      <c r="E24" s="325"/>
      <c r="F24" s="986">
        <f>'数据-取费表'!B48+'数据-取费表'!B49</f>
        <v>3.0499999999999999E-2</v>
      </c>
      <c r="G24" s="8" t="s">
        <v>2504</v>
      </c>
      <c r="H24" s="988"/>
      <c r="I24" s="988"/>
      <c r="J24" s="988"/>
      <c r="K24" s="989"/>
    </row>
    <row r="25" spans="1:33" s="973" customFormat="1" ht="13.5" customHeight="1">
      <c r="A25" s="959" t="s">
        <v>2505</v>
      </c>
      <c r="B25" s="985" t="s">
        <v>2506</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7"/>
      <c r="I27" s="977"/>
      <c r="J27" s="977"/>
      <c r="K27" s="978"/>
    </row>
    <row r="28" spans="1:33" s="333" customFormat="1" ht="13.5" customHeight="1">
      <c r="A28" s="959" t="s">
        <v>2509</v>
      </c>
      <c r="B28" s="2554" t="s">
        <v>2510</v>
      </c>
      <c r="C28" s="331">
        <f ca="1">C30</f>
        <v>77</v>
      </c>
      <c r="D28" s="324">
        <f ca="1">C29</f>
        <v>0</v>
      </c>
      <c r="E28" s="326" t="s">
        <v>15</v>
      </c>
      <c r="F28" s="332">
        <f ca="1">IF(C1="",'数据-取费表'!Q16,INDIRECT("'数据-取费表'!q"&amp;$K$1))</f>
        <v>0.11</v>
      </c>
      <c r="G28" s="987"/>
      <c r="H28" s="988"/>
      <c r="I28" s="988"/>
      <c r="J28" s="988"/>
      <c r="K28" s="989"/>
    </row>
    <row r="29" spans="1:33" s="335" customFormat="1" ht="13.5" customHeight="1">
      <c r="A29" s="969" t="s">
        <v>803</v>
      </c>
      <c r="B29" s="992" t="s">
        <v>2511</v>
      </c>
      <c r="C29" s="328">
        <f ca="1">ROUND((1+C24)*F28*'数据-取费表'!B24/'数据-取费表'!B20,4)</f>
        <v>0</v>
      </c>
      <c r="D29" s="328"/>
      <c r="E29" s="329"/>
      <c r="F29" s="334"/>
      <c r="G29" s="140" t="s">
        <v>2512</v>
      </c>
      <c r="H29" s="977"/>
      <c r="I29" s="977"/>
      <c r="J29" s="977"/>
      <c r="K29" s="978"/>
    </row>
    <row r="30" spans="1:33" s="335" customFormat="1" ht="13.5" customHeight="1">
      <c r="A30" s="969" t="s">
        <v>804</v>
      </c>
      <c r="B30" s="992" t="s">
        <v>2513</v>
      </c>
      <c r="C30" s="336">
        <f ca="1">ROUND((C21+C22+C23)*F28,0)</f>
        <v>77</v>
      </c>
      <c r="D30" s="328"/>
      <c r="E30" s="329"/>
      <c r="F30" s="334"/>
      <c r="G30" s="140"/>
      <c r="H30" s="977"/>
      <c r="I30" s="977"/>
      <c r="J30" s="977"/>
      <c r="K30" s="978"/>
    </row>
    <row r="31" spans="1:33" s="973" customFormat="1" ht="13.5" customHeight="1" thickBot="1">
      <c r="A31" s="2555"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-752</v>
      </c>
      <c r="D32" s="999"/>
      <c r="E32" s="999"/>
      <c r="F32" s="999"/>
      <c r="G32" s="1001" t="s">
        <v>2518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1611</v>
      </c>
    </row>
    <row r="2" spans="1:1">
      <c r="A2" s="1941"/>
    </row>
    <row r="3" spans="1:1" ht="18">
      <c r="A3" s="1942" t="str">
        <f>项目基本情况!B5&amp;"："</f>
        <v>大业信托有限责任公司：</v>
      </c>
    </row>
    <row r="4" spans="1:1" ht="36">
      <c r="A4" s="1943" t="str">
        <f>"受贵公司委托，我公司对"&amp;项目基本情况!S1&amp;"进行了预评估。"</f>
        <v>受贵公司委托，我公司对北京市丰台区汽车博物馆西路8号院1、2、3号楼、4幢房地产抵押价值进行了预评估。</v>
      </c>
    </row>
    <row r="5" spans="1:1" ht="18.75">
      <c r="A5" s="1944" t="s">
        <v>1612</v>
      </c>
    </row>
    <row r="6" spans="1:1" ht="18.75">
      <c r="A6" s="1945" t="s">
        <v>1613</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4幢房地产，为所有。根据《不动产权证书》[京（2017）丰不动产权第0057397、0026058、0026063号，估价对象（分摊）出让国有建设用地使用权面积为6030.62平方米，建筑面积为34166.23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4幢房地产,属开发建设的综合项目（商业、办公），该项目尚在开发建设中。根据《不动产权证书》[京（2017）丰不动产权第0057397、0026058、0026063号，估价对象（分摊）出让国有建设用地使用权面积为6030.62平方米，规划建筑面积为34166.23平方米。</v>
      </c>
    </row>
    <row r="11" spans="1:1" ht="76.5">
      <c r="A11" s="1946" t="s">
        <v>1616</v>
      </c>
    </row>
    <row r="12" spans="1:1" ht="18.75">
      <c r="A12" s="1944" t="s">
        <v>1617</v>
      </c>
    </row>
    <row r="13" spans="1:1" ht="38.25" customHeight="1">
      <c r="A13" s="1947" t="str">
        <f>IF(项目基本情况!B8="抵押",IF(项目基本情况!B5=项目基本情况!B6,定义!C51,定义!B51),定义!D51)</f>
        <v>北京丰科建房地产开发有限公司拟使用北京市丰台区汽车博物馆西路8号院1、2、3号楼、4幢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2018年8月30日（评估专业人员实地查勘之日）</v>
      </c>
    </row>
    <row r="16" spans="1:1" ht="18.75">
      <c r="A16" s="1948" t="s">
        <v>1619</v>
      </c>
    </row>
    <row r="17" spans="1:1" ht="75">
      <c r="A17" s="1943" t="s">
        <v>1620</v>
      </c>
    </row>
    <row r="18" spans="1:1" ht="90">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商业、地下商业、地下车库，土地取得方式为出让，出让国有建设用地使用权剩余土地使用年限为商业及地下商业32.95年、地下车库42.95年、地下仓储42.95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电、通上水、通下水、燃气）、红线内场地平整条件下，剩余土地使用年限为商业及地下商业32.95年、地下车库42.95年、地下仓储42.95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本次评估采用的主估价方法为基准地价系数修正法和基准地价系数修正法。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c r="D1" s="1815"/>
      <c r="E1" s="1816" t="s">
        <v>1387</v>
      </c>
      <c r="F1" s="1279" t="b">
        <f>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4" t="s">
        <v>1588</v>
      </c>
      <c r="I3" s="1835"/>
      <c r="J3" s="1835"/>
      <c r="K3" s="1836"/>
      <c r="L3" s="1835"/>
      <c r="M3" s="1835"/>
    </row>
    <row r="4" spans="1:37" ht="18" customHeight="1">
      <c r="A4" s="340" t="s">
        <v>1595</v>
      </c>
      <c r="B4" s="341" t="s">
        <v>1596</v>
      </c>
      <c r="C4" s="341" t="s">
        <v>1597</v>
      </c>
      <c r="D4" s="341" t="s">
        <v>1598</v>
      </c>
      <c r="E4" s="342" t="s">
        <v>1599</v>
      </c>
      <c r="F4" s="343"/>
      <c r="G4" s="1846"/>
      <c r="H4" s="340" t="s">
        <v>1595</v>
      </c>
      <c r="I4" s="341" t="s">
        <v>1596</v>
      </c>
      <c r="J4" s="341" t="s">
        <v>1597</v>
      </c>
      <c r="K4" s="341" t="s">
        <v>1598</v>
      </c>
      <c r="L4" s="342" t="s">
        <v>1599</v>
      </c>
      <c r="M4" s="343"/>
    </row>
    <row r="5" spans="1:37" ht="18" customHeight="1">
      <c r="A5" s="344">
        <v>1</v>
      </c>
      <c r="B5" s="345" t="s">
        <v>1600</v>
      </c>
      <c r="C5" s="1288">
        <f ca="1">C6+C10+C12</f>
        <v>0</v>
      </c>
      <c r="D5" s="1817" t="s">
        <v>1601</v>
      </c>
      <c r="E5" s="1289"/>
      <c r="F5" s="1290"/>
      <c r="G5" s="1846"/>
      <c r="H5" s="344">
        <v>1</v>
      </c>
      <c r="I5" s="345" t="s">
        <v>1600</v>
      </c>
      <c r="J5" s="1288">
        <f ca="1">J6+J10+J12</f>
        <v>0</v>
      </c>
      <c r="K5" s="1817" t="s">
        <v>1601</v>
      </c>
      <c r="L5" s="1289"/>
      <c r="M5" s="1290"/>
    </row>
    <row r="6" spans="1:37" ht="18" customHeight="1">
      <c r="A6" s="1287" t="s">
        <v>1035</v>
      </c>
      <c r="B6" s="3264" t="s">
        <v>1403</v>
      </c>
      <c r="C6" s="1292">
        <f ca="1">ROUND(F6*F8*F7*(1-F9),0)</f>
        <v>0</v>
      </c>
      <c r="D6" s="164" t="s">
        <v>3020</v>
      </c>
      <c r="E6" s="347" t="s">
        <v>1405</v>
      </c>
      <c r="F6" s="348">
        <f ca="1">INDIRECT("'数据-取费表'!u"&amp;$G$1)</f>
        <v>0</v>
      </c>
      <c r="G6" s="1846"/>
      <c r="H6" s="1287" t="s">
        <v>1035</v>
      </c>
      <c r="I6" s="3264" t="s">
        <v>1403</v>
      </c>
      <c r="J6" s="346">
        <f ca="1">ROUND(M6*M8*M7*(1-M9),0)</f>
        <v>0</v>
      </c>
      <c r="K6" s="1829" t="s">
        <v>3021</v>
      </c>
      <c r="L6" s="347" t="s">
        <v>1405</v>
      </c>
      <c r="M6" s="348">
        <f ca="1">INDIRECT("'数据-取费表'!z"&amp;$G$1)</f>
        <v>0</v>
      </c>
    </row>
    <row r="7" spans="1:37" ht="18" customHeight="1">
      <c r="A7" s="1291"/>
      <c r="B7" s="3265"/>
      <c r="C7" s="1293"/>
      <c r="D7" s="352"/>
      <c r="E7" s="1294" t="s">
        <v>1406</v>
      </c>
      <c r="F7" s="348">
        <f ca="1">IF(INDIRECT("'数据-取费表'!ah"&amp;$G$1)="",INDIRECT("'数据-取费表'!k"&amp;$G$1),INDIRECT("'数据-取费表'!ah"&amp;$G$1))</f>
        <v>0</v>
      </c>
      <c r="G7" s="1846"/>
      <c r="H7" s="349"/>
      <c r="I7" s="3265"/>
      <c r="J7" s="351"/>
      <c r="K7" s="352"/>
      <c r="L7" s="347" t="s">
        <v>1406</v>
      </c>
      <c r="M7" s="348">
        <f ca="1">F7</f>
        <v>0</v>
      </c>
    </row>
    <row r="8" spans="1:37" ht="18" customHeight="1">
      <c r="A8" s="349"/>
      <c r="B8" s="3265"/>
      <c r="C8" s="351"/>
      <c r="D8" s="352"/>
      <c r="E8" s="347" t="s">
        <v>1407</v>
      </c>
      <c r="F8" s="348">
        <f ca="1">INDIRECT("'数据-取费表'!ai"&amp;$G$1)</f>
        <v>0</v>
      </c>
      <c r="G8" s="1846"/>
      <c r="H8" s="349"/>
      <c r="I8" s="3265"/>
      <c r="J8" s="351"/>
      <c r="K8" s="352"/>
      <c r="L8" s="347" t="s">
        <v>1407</v>
      </c>
      <c r="M8" s="348">
        <f ca="1">INDIRECT("'数据-取费表'!ai"&amp;$G$1)</f>
        <v>0</v>
      </c>
    </row>
    <row r="9" spans="1:37" ht="18" customHeight="1">
      <c r="A9" s="349"/>
      <c r="B9" s="3266"/>
      <c r="C9" s="351"/>
      <c r="D9" s="352"/>
      <c r="E9" s="347" t="s">
        <v>1408</v>
      </c>
      <c r="F9" s="357">
        <f ca="1">INDIRECT("'数据-取费表'!w"&amp;$G$1)</f>
        <v>0</v>
      </c>
      <c r="G9" s="1846"/>
      <c r="H9" s="349"/>
      <c r="I9" s="3266"/>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c r="G10" s="1846"/>
      <c r="H10" s="1287" t="s">
        <v>1039</v>
      </c>
      <c r="I10" s="1818" t="s">
        <v>1409</v>
      </c>
      <c r="J10" s="346">
        <f ca="1">ROUND(IF(M10="押一",J6/12*M11,IF(M10="押二",J6/12*2*M11,IF(M10="押三",J6/12*3*M11,J11*M11))),0)</f>
        <v>0</v>
      </c>
      <c r="K10" s="1830" t="s">
        <v>3033</v>
      </c>
      <c r="L10" s="358" t="s">
        <v>1410</v>
      </c>
      <c r="M10" s="1362"/>
    </row>
    <row r="11" spans="1:37" ht="18" customHeight="1">
      <c r="A11" s="353"/>
      <c r="B11" s="1820" t="s">
        <v>1602</v>
      </c>
      <c r="C11" s="1174"/>
      <c r="D11" s="352"/>
      <c r="E11" s="358" t="s">
        <v>1412</v>
      </c>
      <c r="F11" s="359">
        <f ca="1">'数据-取费表'!B39</f>
        <v>1.4999999999999999E-2</v>
      </c>
      <c r="G11" s="1846"/>
      <c r="H11" s="1295"/>
      <c r="I11" s="1820" t="s">
        <v>1603</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7" t="s">
        <v>1417</v>
      </c>
      <c r="C14" s="363">
        <f ca="1">ROUND(INDIRECT("'数据-取费表'!l"&amp;$G$1)*F43+'数据-取费表'!L14*INDIRECT("'数据-取费表'!S"&amp;$G$1),0)</f>
        <v>0</v>
      </c>
      <c r="D14" s="1795" t="s">
        <v>1418</v>
      </c>
      <c r="E14" s="1789"/>
      <c r="F14" s="364"/>
      <c r="G14" s="1846"/>
      <c r="H14" s="1197" t="s">
        <v>1035</v>
      </c>
      <c r="I14" s="347" t="s">
        <v>1419</v>
      </c>
      <c r="J14" s="24">
        <f ca="1">C29</f>
        <v>0</v>
      </c>
      <c r="K14" s="15"/>
      <c r="L14" s="977"/>
      <c r="M14" s="978"/>
    </row>
    <row r="15" spans="1:37" s="1853" customFormat="1" ht="18" customHeight="1" thickBot="1">
      <c r="A15" s="1197" t="s">
        <v>1036</v>
      </c>
      <c r="B15" s="347" t="s">
        <v>1420</v>
      </c>
      <c r="C15" s="24">
        <f ca="1">ROUND(C14*F15,0)</f>
        <v>0</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6"/>
      <c r="H16" s="1325" t="s">
        <v>1030</v>
      </c>
      <c r="I16" s="1326" t="s">
        <v>1424</v>
      </c>
      <c r="J16" s="355">
        <f ca="1">ROUND(J17+J22+J23+J24,0)</f>
        <v>0</v>
      </c>
      <c r="K16" s="1333" t="s">
        <v>1425</v>
      </c>
      <c r="L16" s="1334"/>
      <c r="M16" s="1290"/>
    </row>
    <row r="17" spans="1:37" s="1853" customFormat="1" ht="18" customHeight="1">
      <c r="A17" s="1197" t="s">
        <v>1390</v>
      </c>
      <c r="B17" s="347" t="s">
        <v>1426</v>
      </c>
      <c r="C17" s="24">
        <f ca="1">ROUND(F17*(F43+INDIRECT("'数据-取费表'!S"&amp;$G$1)),0)</f>
        <v>0</v>
      </c>
      <c r="D17" s="347" t="s">
        <v>1427</v>
      </c>
      <c r="E17" s="347" t="s">
        <v>1428</v>
      </c>
      <c r="F17" s="26">
        <f>'数据-取费表'!B35</f>
        <v>200</v>
      </c>
      <c r="G17" s="1849"/>
      <c r="H17" s="1197" t="s">
        <v>1035</v>
      </c>
      <c r="I17" s="347" t="s">
        <v>1429</v>
      </c>
      <c r="J17" s="24">
        <f ca="1">ROUND(IF(项目基本情况!B11="自然人",J5*M17,J18+J19+J20),0)</f>
        <v>0</v>
      </c>
      <c r="K17" s="1795" t="s">
        <v>1430</v>
      </c>
      <c r="L17" s="1793"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0</v>
      </c>
      <c r="D18" s="347" t="s">
        <v>1421</v>
      </c>
      <c r="E18" s="347" t="s">
        <v>1422</v>
      </c>
      <c r="F18" s="367">
        <f>'数据-取费表'!B36</f>
        <v>1.4999999999999999E-2</v>
      </c>
      <c r="G18" s="1849"/>
      <c r="H18" s="1197" t="s">
        <v>1034</v>
      </c>
      <c r="I18" s="347" t="s">
        <v>1433</v>
      </c>
      <c r="J18" s="24">
        <f ca="1">ROUND(J5*M18/(1+'数据-取费表'!C42),0)</f>
        <v>0</v>
      </c>
      <c r="K18" s="1793"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0</v>
      </c>
      <c r="D19" s="140" t="s">
        <v>1436</v>
      </c>
      <c r="E19" s="1813"/>
      <c r="F19" s="26"/>
      <c r="G19" s="1846"/>
      <c r="H19" s="1197" t="s">
        <v>1036</v>
      </c>
      <c r="I19" s="347" t="s">
        <v>1437</v>
      </c>
      <c r="J19" s="24">
        <f ca="1">IF(K19="按租金收入计税",ROUND(J5*M19,0),ROUND(C29*M19*0.7,0))</f>
        <v>0</v>
      </c>
      <c r="K19" s="1823" t="s">
        <v>1438</v>
      </c>
      <c r="L19" s="347" t="s">
        <v>1422</v>
      </c>
      <c r="M19" s="367">
        <f>IF(K19="按租金收入计税",'数据-取费表'!B51,'数据-取费表'!B50)</f>
        <v>1.2E-2</v>
      </c>
    </row>
    <row r="20" spans="1:37" s="1853" customFormat="1" ht="18" customHeight="1">
      <c r="A20" s="1197" t="s">
        <v>1039</v>
      </c>
      <c r="B20" s="347" t="s">
        <v>1439</v>
      </c>
      <c r="C20" s="24">
        <f ca="1">ROUND(C19*F20,0)</f>
        <v>0</v>
      </c>
      <c r="D20" s="369" t="s">
        <v>1440</v>
      </c>
      <c r="E20" s="347" t="s">
        <v>1422</v>
      </c>
      <c r="F20" s="367">
        <f>'数据-取费表'!B37</f>
        <v>0.02</v>
      </c>
      <c r="G20" s="1849"/>
      <c r="H20" s="1197" t="s">
        <v>1389</v>
      </c>
      <c r="I20" s="164" t="s">
        <v>1441</v>
      </c>
      <c r="J20" s="25">
        <f ca="1">ROUND(M20*M21,0)</f>
        <v>0</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v>
      </c>
      <c r="D21" s="369" t="s">
        <v>1445</v>
      </c>
      <c r="E21" s="347" t="s">
        <v>1446</v>
      </c>
      <c r="F21" s="367">
        <f>'数据-取费表'!B38</f>
        <v>0.02</v>
      </c>
      <c r="G21" s="1849"/>
      <c r="H21" s="372"/>
      <c r="I21" s="356"/>
      <c r="J21" s="29"/>
      <c r="K21" s="373"/>
      <c r="L21" s="347" t="s">
        <v>1447</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3"/>
      <c r="F22" s="26"/>
      <c r="G22" s="1846"/>
      <c r="H22" s="1197" t="s">
        <v>1039</v>
      </c>
      <c r="I22" s="347" t="s">
        <v>1449</v>
      </c>
      <c r="J22" s="24">
        <f ca="1">ROUND(J14*M22,0)</f>
        <v>0</v>
      </c>
      <c r="K22" s="1793" t="s">
        <v>1450</v>
      </c>
      <c r="L22" s="347" t="s">
        <v>1422</v>
      </c>
      <c r="M22" s="374">
        <f ca="1">INDIRECT("'数据-取费表'!Ak"&amp;$G$1)</f>
        <v>0</v>
      </c>
    </row>
    <row r="23" spans="1:37" s="1853"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ROUND(J13*M23,0)</f>
        <v>0</v>
      </c>
      <c r="K23" s="1793" t="s">
        <v>1454</v>
      </c>
      <c r="L23" s="347" t="s">
        <v>1455</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7" t="s">
        <v>1461</v>
      </c>
      <c r="C25" s="24"/>
      <c r="D25" s="140" t="s">
        <v>1462</v>
      </c>
      <c r="E25" s="1813"/>
      <c r="F25" s="26"/>
      <c r="G25" s="1846"/>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6"/>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80" t="s">
        <v>1033</v>
      </c>
      <c r="I29" s="381" t="s">
        <v>1479</v>
      </c>
      <c r="J29" s="382">
        <f ca="1">ROUND(J26/(1+F40)^F41,0)</f>
        <v>0</v>
      </c>
      <c r="K29" s="383" t="s">
        <v>1480</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0</v>
      </c>
      <c r="D30" s="1333" t="s">
        <v>1425</v>
      </c>
      <c r="E30" s="1334"/>
      <c r="F30" s="1290"/>
      <c r="G30" s="1846"/>
      <c r="H30" s="745"/>
      <c r="I30" s="746"/>
      <c r="J30" s="747"/>
      <c r="K30" s="748"/>
      <c r="L30" s="749"/>
      <c r="M30" s="750"/>
    </row>
    <row r="31" spans="1:37" ht="18" customHeight="1">
      <c r="A31" s="1197" t="s">
        <v>1035</v>
      </c>
      <c r="B31" s="347" t="s">
        <v>1429</v>
      </c>
      <c r="C31" s="24">
        <f ca="1">ROUND(IF(项目基本情况!B11="自然人",C5*F31,C32+C33+C34),0)</f>
        <v>0</v>
      </c>
      <c r="D31" s="1795" t="s">
        <v>1430</v>
      </c>
      <c r="E31" s="1793"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IF(项目基本情况!B11="自然人","——",ROUND(C5*F32/(1+'数据-取费表'!C42),0))</f>
        <v>0</v>
      </c>
      <c r="D32" s="1793"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IF(项目基本情况!B11="自然人","——",IF(D33="按租金收入计税",ROUND(C5*F33,0),IF(D33="按房产原值计税",ROUND(C29*F33*0.7,0),INDIRECT("'数据-取费表'!Aj"&amp;$G$1))))</f>
        <v>0</v>
      </c>
      <c r="D33" s="1823" t="s">
        <v>1438</v>
      </c>
      <c r="E33" s="347" t="s">
        <v>1422</v>
      </c>
      <c r="F33" s="367">
        <f>IF(D33="按票据","——",IF(D33="按租金收入计税",'数据-取费表'!B51,'数据-取费表'!B50))</f>
        <v>1.2E-2</v>
      </c>
      <c r="G33" s="1846"/>
      <c r="H33" s="1854"/>
      <c r="I33" s="1855"/>
      <c r="J33" s="1856"/>
      <c r="K33" s="1857"/>
      <c r="L33" s="1854"/>
      <c r="M33" s="1854"/>
    </row>
    <row r="34" spans="1:18" ht="18" customHeight="1">
      <c r="A34" s="1287" t="s">
        <v>1389</v>
      </c>
      <c r="B34" s="164" t="s">
        <v>1441</v>
      </c>
      <c r="C34" s="25">
        <f ca="1">IF(项目基本情况!B11="自然人","——",ROUND(F34*F35,))</f>
        <v>0</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0</v>
      </c>
      <c r="G35" s="1846"/>
      <c r="H35" s="745"/>
      <c r="I35" s="1855"/>
      <c r="J35" s="1856"/>
      <c r="K35" s="1857"/>
      <c r="L35" s="1854"/>
      <c r="M35" s="1854"/>
    </row>
    <row r="36" spans="1:18" ht="18" customHeight="1">
      <c r="A36" s="1348" t="s">
        <v>1039</v>
      </c>
      <c r="B36" s="347" t="s">
        <v>1449</v>
      </c>
      <c r="C36" s="24">
        <f ca="1">ROUND(C29*F36,0)</f>
        <v>0</v>
      </c>
      <c r="D36" s="1793" t="s">
        <v>1482</v>
      </c>
      <c r="E36" s="347" t="s">
        <v>1422</v>
      </c>
      <c r="F36" s="374">
        <f ca="1">INDIRECT("'数据-取费表'!Ak"&amp;$G$1)</f>
        <v>0</v>
      </c>
      <c r="G36" s="1846"/>
      <c r="H36" s="1854"/>
      <c r="I36" s="1855"/>
      <c r="J36" s="1856"/>
      <c r="K36" s="751"/>
      <c r="L36" s="1854"/>
      <c r="M36" s="1854"/>
    </row>
    <row r="37" spans="1:18" ht="18" customHeight="1">
      <c r="A37" s="1197" t="s">
        <v>1075</v>
      </c>
      <c r="B37" s="347" t="s">
        <v>1453</v>
      </c>
      <c r="C37" s="24">
        <f ca="1">ROUND(C13*F37,0)</f>
        <v>0</v>
      </c>
      <c r="D37" s="1793" t="s">
        <v>1454</v>
      </c>
      <c r="E37" s="347" t="s">
        <v>1455</v>
      </c>
      <c r="F37" s="376">
        <f ca="1">INDIRECT("'数据-取费表'!Al"&amp;$G$1)</f>
        <v>0</v>
      </c>
      <c r="G37" s="1846"/>
      <c r="H37" s="1854"/>
      <c r="I37" s="1855"/>
      <c r="J37" s="1856"/>
      <c r="K37" s="751"/>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5">
        <f ca="1">C5-C30</f>
        <v>0</v>
      </c>
      <c r="D39" s="1341" t="s">
        <v>1484</v>
      </c>
      <c r="E39" s="1342"/>
      <c r="F39" s="1343"/>
      <c r="G39" s="1846"/>
      <c r="H39" s="1854"/>
      <c r="I39" s="1855"/>
      <c r="J39" s="1856"/>
      <c r="K39" s="1860"/>
      <c r="L39" s="1854"/>
      <c r="M39" s="1854"/>
    </row>
    <row r="40" spans="1:18" ht="18" customHeight="1">
      <c r="A40" s="344" t="s">
        <v>1032</v>
      </c>
      <c r="B40" s="345" t="s">
        <v>1485</v>
      </c>
      <c r="C40" s="346" t="e">
        <f ca="1">ROUND(C39*(1-((1+F42)/(1+F40))^F41)/(F40-F42),0)</f>
        <v>#DIV/0!</v>
      </c>
      <c r="D40" s="370" t="s">
        <v>1469</v>
      </c>
      <c r="E40" s="347" t="s">
        <v>1470</v>
      </c>
      <c r="F40" s="357">
        <f ca="1">INDIRECT("'数据-取费表'!I"&amp;$G$1)</f>
        <v>0</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1477</v>
      </c>
      <c r="F42" s="357">
        <f ca="1">INDIRECT("'数据-取费表'!v"&amp;$G$1)</f>
        <v>0</v>
      </c>
      <c r="G42" s="1846"/>
      <c r="H42" s="732"/>
      <c r="I42" s="1855"/>
      <c r="J42" s="1856"/>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92"/>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5" t="s">
        <v>1401</v>
      </c>
      <c r="C48" s="1812">
        <f ca="1">C49+C53+C55</f>
        <v>0</v>
      </c>
      <c r="D48" s="1358"/>
      <c r="E48" s="1359"/>
      <c r="F48" s="1177"/>
      <c r="G48" s="792"/>
      <c r="H48" s="793"/>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3"/>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3"/>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8">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9" t="s">
        <v>1409</v>
      </c>
      <c r="C53" s="361">
        <f ca="1">ROUND(IF(F53="押一",C49/12*F11,IF(F53="押二",C49/12*2*F11,IF(F53="押三",C49/12*3*F11,C54*F11))),0)</f>
        <v>0</v>
      </c>
      <c r="D53" s="1819" t="s">
        <v>3034</v>
      </c>
      <c r="E53" s="358"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62" t="s">
        <v>1548</v>
      </c>
      <c r="L53" s="3263"/>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6">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82">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60" t="s">
        <v>1030</v>
      </c>
      <c r="B58" s="1173" t="s">
        <v>1424</v>
      </c>
      <c r="C58" s="361">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7">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71">
        <f t="shared" si="0"/>
        <v>3</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72"/>
      <c r="B63" s="1171"/>
      <c r="C63" s="29"/>
      <c r="D63" s="1181"/>
      <c r="E63" s="1165" t="s">
        <v>1499</v>
      </c>
      <c r="F63" s="348">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4">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6">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7">
        <f t="shared" ca="1" si="0"/>
        <v>0</v>
      </c>
      <c r="O66" s="1879" t="s">
        <v>1041</v>
      </c>
      <c r="P66" s="1880" t="s">
        <v>1558</v>
      </c>
      <c r="Q66" s="1881" t="e">
        <f ca="1">L60</f>
        <v>#DIV/0!</v>
      </c>
      <c r="R66" s="1881" t="s">
        <v>1581</v>
      </c>
    </row>
    <row r="67" spans="1:18" s="1837" customFormat="1" ht="16.5" thickBot="1">
      <c r="A67" s="1172" t="s">
        <v>1031</v>
      </c>
      <c r="B67" s="1182" t="s">
        <v>1463</v>
      </c>
      <c r="C67" s="361">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6" t="e">
        <f ca="1">ROUND(C67*(1-((1+F70)/(1+F68))^F69)/(F68-F70),0)</f>
        <v>#DIV/0!</v>
      </c>
      <c r="D68" s="1180" t="s">
        <v>1469</v>
      </c>
      <c r="E68" s="1165" t="s">
        <v>1470</v>
      </c>
      <c r="F68" s="357">
        <f ca="1">F40</f>
        <v>0</v>
      </c>
      <c r="O68" s="1889" t="s">
        <v>1043</v>
      </c>
      <c r="P68" s="1929" t="s">
        <v>1583</v>
      </c>
      <c r="Q68" s="1881">
        <f ca="1">ROUND(Q69-Q70*Q71,0)</f>
        <v>0</v>
      </c>
      <c r="R68" s="1881" t="s">
        <v>1051</v>
      </c>
    </row>
    <row r="69" spans="1:18" s="1837" customFormat="1" ht="13.5" thickBot="1">
      <c r="A69" s="1166"/>
      <c r="B69" s="1167"/>
      <c r="C69" s="351"/>
      <c r="D69" s="1185" t="s">
        <v>1473</v>
      </c>
      <c r="E69" s="1165" t="s">
        <v>1474</v>
      </c>
      <c r="F69" s="379">
        <f ca="1">F41</f>
        <v>0</v>
      </c>
      <c r="O69" s="1889" t="s">
        <v>1048</v>
      </c>
      <c r="P69" s="1929" t="s">
        <v>1584</v>
      </c>
      <c r="Q69" s="1881">
        <f ca="1">C39</f>
        <v>0</v>
      </c>
      <c r="R69" s="1881" t="s">
        <v>1529</v>
      </c>
    </row>
    <row r="70" spans="1:18" s="1837" customFormat="1" ht="13.5" thickBot="1">
      <c r="A70" s="1169"/>
      <c r="B70" s="1170"/>
      <c r="C70" s="355"/>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82" t="e">
        <f ca="1">ROUND(C68/F71,0)</f>
        <v>#DIV/0!</v>
      </c>
      <c r="D71" s="1188" t="s">
        <v>1488</v>
      </c>
      <c r="E71" s="1189" t="s">
        <v>1489</v>
      </c>
      <c r="F71" s="385">
        <f ca="1">F43</f>
        <v>0</v>
      </c>
      <c r="O71" s="1889" t="s">
        <v>1050</v>
      </c>
      <c r="P71" s="1929" t="s">
        <v>1586</v>
      </c>
      <c r="Q71" s="1892">
        <f ca="1">C76</f>
        <v>0</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6" t="s">
        <v>1506</v>
      </c>
      <c r="C75" s="387">
        <f ca="1">ROUND(C13*C76,0)</f>
        <v>0</v>
      </c>
      <c r="D75" s="1837"/>
      <c r="E75" s="1837"/>
      <c r="F75" s="1837"/>
      <c r="K75" s="1863"/>
      <c r="L75" s="1837"/>
      <c r="O75" s="1879" t="s">
        <v>1046</v>
      </c>
      <c r="P75" s="1880" t="s">
        <v>1549</v>
      </c>
      <c r="Q75" s="1881" t="e">
        <f ca="1">Q65+Q66</f>
        <v>#DIV/0!</v>
      </c>
      <c r="R75" s="1881" t="s">
        <v>1047</v>
      </c>
    </row>
    <row r="76" spans="1:18">
      <c r="B76" s="388" t="s">
        <v>1507</v>
      </c>
      <c r="C76" s="389">
        <f ca="1">INDIRECT("'数据-取费表'!j"&amp;$G$1)</f>
        <v>0</v>
      </c>
      <c r="I76" s="1837"/>
      <c r="J76" s="1837"/>
      <c r="K76" s="1863"/>
      <c r="L76" s="1837"/>
    </row>
    <row r="77" spans="1:18">
      <c r="B77" s="390" t="s">
        <v>1508</v>
      </c>
      <c r="C77" s="391"/>
      <c r="I77" s="1837"/>
      <c r="J77" s="1837"/>
      <c r="K77" s="1863"/>
      <c r="L77" s="1837"/>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5" zoomScale="80" zoomScaleNormal="80" zoomScaleSheetLayoutView="96" workbookViewId="0">
      <selection activeCell="F64" sqref="F64"/>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2803</v>
      </c>
      <c r="B1" s="241"/>
      <c r="C1" s="245" t="s">
        <v>2804</v>
      </c>
      <c r="D1" s="388">
        <f>SUM(D29:D30,D33:D39)</f>
        <v>2046.64</v>
      </c>
      <c r="E1" s="2712"/>
      <c r="F1" s="2712"/>
      <c r="G1" s="2712"/>
      <c r="H1" s="2712"/>
      <c r="I1" s="2712"/>
      <c r="J1" s="2712"/>
      <c r="K1" s="1366"/>
      <c r="L1" s="2713" t="s">
        <v>2805</v>
      </c>
      <c r="M1" s="1078">
        <f>SUMPRODUCT((区片价!B5:B9=I2)*(区片价!C3:F3=E2)*(区片价!C5:F9))</f>
        <v>0</v>
      </c>
      <c r="N1" s="1081">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5" t="s">
        <v>2811</v>
      </c>
      <c r="B2" s="248">
        <f ca="1">C26</f>
        <v>755</v>
      </c>
      <c r="C2" s="2716" t="s">
        <v>2812</v>
      </c>
      <c r="D2" s="2717" t="s">
        <v>2813</v>
      </c>
      <c r="E2" s="2718" t="s">
        <v>27</v>
      </c>
      <c r="F2" s="2717" t="s">
        <v>2814</v>
      </c>
      <c r="G2" s="2719" t="str">
        <f>IF(E2="商业",项目基本情况!B37,IF(E2="办公",项目基本情况!C37,IF(E2="住宅",项目基本情况!D37,项目基本情况!E37)))</f>
        <v>五级</v>
      </c>
      <c r="H2" s="2717" t="s">
        <v>2815</v>
      </c>
      <c r="I2" s="2719" t="str">
        <f>IF(E2="商业",项目基本情况!B38,IF(E2="办公",项目基本情况!C38,IF(E2="住宅",项目基本情况!D38,项目基本情况!E38)))</f>
        <v>Ⅴ-16</v>
      </c>
      <c r="J2" s="2720"/>
      <c r="K2" s="1366"/>
      <c r="L2" s="2721" t="s">
        <v>2816</v>
      </c>
      <c r="M2" s="1079">
        <f>SUMPRODUCT((区片价!B10:B28=I2)*(区片价!C3:F3=E2)*(区片价!C10:F28))</f>
        <v>0</v>
      </c>
      <c r="N2" s="1081">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27491</v>
      </c>
      <c r="U2" s="1599"/>
      <c r="V2" s="1598">
        <f ca="1">ROUND(T2*U2/10000,0)</f>
        <v>0</v>
      </c>
      <c r="W2" s="1602"/>
      <c r="X2" s="1602"/>
      <c r="Y2" s="1602"/>
      <c r="Z2" s="1602"/>
      <c r="AA2" s="1602"/>
      <c r="AB2" s="1602"/>
      <c r="AC2" s="1603"/>
      <c r="AD2" s="1604"/>
      <c r="AE2" s="1604"/>
      <c r="AF2" s="1604"/>
      <c r="AG2" s="1604"/>
      <c r="AH2" s="1604"/>
      <c r="AI2" s="1604"/>
      <c r="AJ2" s="1605"/>
    </row>
    <row r="3" spans="1:36" ht="25.5">
      <c r="A3" s="247" t="s">
        <v>2817</v>
      </c>
      <c r="B3" s="248">
        <f ca="1">ROUND(B2*10000/D1,0)</f>
        <v>3689</v>
      </c>
      <c r="C3" s="2716" t="s">
        <v>2818</v>
      </c>
      <c r="D3" s="2717" t="s">
        <v>2819</v>
      </c>
      <c r="E3" s="2722" t="s">
        <v>3802</v>
      </c>
      <c r="F3" s="2723" t="s">
        <v>3803</v>
      </c>
      <c r="G3" s="912">
        <f>IF(F3="宗地容积率",'数据-汇总表'!I4,IF(F3="估价对象容积率",'数据-汇总表'!I6,'数据-汇总表'!I7))</f>
        <v>4.1900000000000004</v>
      </c>
      <c r="H3" s="198" t="s">
        <v>2820</v>
      </c>
      <c r="I3" s="942"/>
      <c r="J3" s="2720" t="s">
        <v>2821</v>
      </c>
      <c r="K3" s="1366"/>
      <c r="L3" s="2721" t="s">
        <v>2822</v>
      </c>
      <c r="M3" s="1079">
        <f>SUMPRODUCT((区片价!B29:B48=I2)*(区片价!C3:F3=E2)*(区片价!C29:F48))</f>
        <v>0</v>
      </c>
      <c r="N3" s="1081">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19733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88"/>
      <c r="B4" s="3289"/>
      <c r="C4" s="3289"/>
      <c r="D4" s="3290"/>
      <c r="E4" s="3290"/>
      <c r="F4" s="3290"/>
      <c r="G4" s="3290"/>
      <c r="H4" s="3290"/>
      <c r="I4" s="3290"/>
      <c r="J4" s="3291"/>
      <c r="K4" s="1366"/>
      <c r="L4" s="2721" t="s">
        <v>2823</v>
      </c>
      <c r="M4" s="1079">
        <f>SUMPRODUCT((区片价!B49:B75=I2)*(区片价!C3:F3=E2)*(区片价!C49:F75))</f>
        <v>0</v>
      </c>
      <c r="N4" s="1081">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15920</v>
      </c>
      <c r="U4" s="1599"/>
      <c r="V4" s="1598">
        <f t="shared" ca="1" si="1"/>
        <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3">
        <f>ROUND(IF(E2="商业",IF(F16="增加",C6*C7+C16,C6*C7-C16),IF(E2="住宅",IF(F16="增加",C6*C12+C16,C6*C12-C16),IF(F16="增加",C6+C16,C6-C16))),0)</f>
        <v>11340</v>
      </c>
      <c r="D5" s="1782">
        <f>ROUND(IF(E2="商业",IF(F16="增加",C6+C16,C6-C16)),0)</f>
        <v>0</v>
      </c>
      <c r="E5" s="2726"/>
      <c r="F5" s="2726"/>
      <c r="G5" s="2727"/>
      <c r="H5" s="2727"/>
      <c r="I5" s="2727"/>
      <c r="J5" s="2728"/>
      <c r="K5" s="2729"/>
      <c r="L5" s="2721" t="s">
        <v>2825</v>
      </c>
      <c r="M5" s="1079">
        <f>SUMPRODUCT((区片价!B76:B109=I2)*(区片价!C3:F3=E2)*(区片价!C76:F109))</f>
        <v>11360</v>
      </c>
      <c r="N5" s="1081">
        <f>SUMPRODUCT((因素修正幅度!B76:B109=I2)*(因素修正幅度!C3:F3=E2)*(因素修正幅度!C76:F109))</f>
        <v>9.9000000000000005E-2</v>
      </c>
      <c r="O5" s="1366"/>
      <c r="P5" s="1366"/>
      <c r="Q5" s="1366"/>
      <c r="R5" s="1598">
        <v>4</v>
      </c>
      <c r="S5" s="1598">
        <f>ROUND(IF(G3&gt;1,IF(R5&lt;7,SUMPRODUCT((B93:B98=R5)*(C92:N92=G2)*(C93:N98)),SUMIF(C92:N92,G2,C100:N100)),IF(R5&lt;7,SUMPRODUCT((B102:B107=R5)*(C92:N92=G2)*(C102:N107)),SUMIF(C92:N92,G2,C109:N109))),4)</f>
        <v>0.86560000000000004</v>
      </c>
      <c r="T5" s="1598">
        <f t="shared" ca="1" si="0"/>
        <v>12774</v>
      </c>
      <c r="U5" s="1599"/>
      <c r="V5" s="1598">
        <f t="shared" ca="1" si="1"/>
        <v>0</v>
      </c>
      <c r="W5" s="1602"/>
      <c r="X5" s="1602"/>
      <c r="Y5" s="1602"/>
      <c r="Z5" s="1602"/>
      <c r="AA5" s="1602"/>
      <c r="AB5" s="1602"/>
      <c r="AC5" s="2730"/>
      <c r="AD5" s="2731"/>
      <c r="AE5" s="2731"/>
      <c r="AF5" s="2731"/>
      <c r="AG5" s="2731"/>
      <c r="AH5" s="2731"/>
      <c r="AI5" s="2731"/>
      <c r="AJ5" s="2732"/>
    </row>
    <row r="6" spans="1:36" ht="15.75" thickBot="1">
      <c r="A6" s="2734" t="s">
        <v>2826</v>
      </c>
      <c r="B6" s="2735" t="s">
        <v>2827</v>
      </c>
      <c r="C6" s="914">
        <f>SUMIF(L1:L12,G2,M1:M12)</f>
        <v>11360</v>
      </c>
      <c r="D6" s="2736" t="s">
        <v>2828</v>
      </c>
      <c r="E6" s="2737"/>
      <c r="F6" s="2737"/>
      <c r="G6" s="2738"/>
      <c r="H6" s="2738"/>
      <c r="I6" s="2738"/>
      <c r="J6" s="2739"/>
      <c r="K6" s="1837"/>
      <c r="L6" s="2721" t="s">
        <v>2829</v>
      </c>
      <c r="M6" s="1079">
        <f>SUMPRODUCT((区片价!B110:B157=I2)*(区片价!C3:F3=E2)*(区片价!C110:F157))</f>
        <v>0</v>
      </c>
      <c r="N6" s="1081">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10878</v>
      </c>
      <c r="U6" s="1599"/>
      <c r="V6" s="1598">
        <f t="shared" ca="1" si="1"/>
        <v>0</v>
      </c>
      <c r="W6" s="1602"/>
      <c r="X6" s="1602"/>
      <c r="Y6" s="1602"/>
      <c r="Z6" s="1602"/>
      <c r="AA6" s="1602"/>
      <c r="AB6" s="1602"/>
      <c r="AC6" s="2730"/>
      <c r="AD6" s="2731"/>
      <c r="AE6" s="2731"/>
      <c r="AF6" s="2731"/>
      <c r="AG6" s="2731"/>
      <c r="AH6" s="2731"/>
      <c r="AI6" s="2731"/>
      <c r="AJ6" s="2732"/>
    </row>
    <row r="7" spans="1:36" ht="24">
      <c r="A7" s="3274" t="str">
        <f>IF(E2="商业",IF(C8="不临58条商业街","",2),"")</f>
        <v/>
      </c>
      <c r="B7" s="2740" t="s">
        <v>2830</v>
      </c>
      <c r="C7" s="915">
        <f>IF(C8="不临58条商业街",1,ROUND(1+(1.6*E8+1.2*E9+0.8*E10+0.4*E11)*C9,4))</f>
        <v>1</v>
      </c>
      <c r="D7" s="2741" t="s">
        <v>2831</v>
      </c>
      <c r="E7" s="943"/>
      <c r="F7" s="2742"/>
      <c r="G7" s="2743"/>
      <c r="H7" s="2743"/>
      <c r="I7" s="2743"/>
      <c r="J7" s="2744"/>
      <c r="K7" s="1837"/>
      <c r="L7" s="2721" t="s">
        <v>2832</v>
      </c>
      <c r="M7" s="1079">
        <f>SUMPRODUCT((区片价!B158:B205=I2)*(区片价!C3:F3=E2)*(区片价!C158:F205))</f>
        <v>0</v>
      </c>
      <c r="N7" s="1081">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9566</v>
      </c>
      <c r="U7" s="1599"/>
      <c r="V7" s="1598">
        <f t="shared" ca="1" si="1"/>
        <v>0</v>
      </c>
      <c r="W7" s="1811" t="s">
        <v>2833</v>
      </c>
      <c r="X7" s="1600" t="str">
        <f>G2</f>
        <v>五级</v>
      </c>
      <c r="Y7" s="1600" t="s">
        <v>2834</v>
      </c>
      <c r="Z7" s="1601">
        <f>G3</f>
        <v>4.1900000000000004</v>
      </c>
      <c r="AA7" s="1602"/>
      <c r="AB7" s="1602"/>
      <c r="AC7" s="1603"/>
      <c r="AD7" s="1604"/>
      <c r="AE7" s="1604"/>
      <c r="AF7" s="1604"/>
      <c r="AG7" s="1604"/>
      <c r="AH7" s="1604"/>
      <c r="AI7" s="1604"/>
      <c r="AJ7" s="1605"/>
    </row>
    <row r="8" spans="1:36" ht="25.5">
      <c r="A8" s="3275"/>
      <c r="B8" s="198" t="s">
        <v>2835</v>
      </c>
      <c r="C8" s="2745" t="s">
        <v>3806</v>
      </c>
      <c r="D8" s="916" t="s">
        <v>139</v>
      </c>
      <c r="E8" s="917" t="e">
        <f>ROUND(C11/E7,4)</f>
        <v>#DIV/0!</v>
      </c>
      <c r="F8" s="2746" t="s">
        <v>2836</v>
      </c>
      <c r="G8" s="2747"/>
      <c r="H8" s="2747"/>
      <c r="I8" s="2747"/>
      <c r="J8" s="2748"/>
      <c r="K8" s="1366"/>
      <c r="L8" s="2721" t="s">
        <v>2837</v>
      </c>
      <c r="M8" s="1079">
        <f>SUMPRODUCT((区片价!B206:B244=I2)*(区片价!C3:F3=E2)*(区片价!C206:F244))</f>
        <v>0</v>
      </c>
      <c r="N8" s="1081">
        <f>SUMPRODUCT((因素修正幅度!B206:B244=I2)*(因素修正幅度!C3:F3=E2)*(因素修正幅度!C206:F244))</f>
        <v>0</v>
      </c>
      <c r="O8" s="1366"/>
      <c r="P8" s="1366"/>
      <c r="Q8" s="1366"/>
      <c r="R8" s="1598">
        <v>7</v>
      </c>
      <c r="S8" s="1599"/>
      <c r="T8" s="1598">
        <f t="shared" ca="1" si="0"/>
        <v>0</v>
      </c>
      <c r="U8" s="1599"/>
      <c r="V8" s="1598">
        <f t="shared" ca="1" si="1"/>
        <v>0</v>
      </c>
      <c r="W8" s="3285" t="s">
        <v>2838</v>
      </c>
      <c r="X8" s="3286"/>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75"/>
      <c r="B9" s="198" t="s">
        <v>2851</v>
      </c>
      <c r="C9" s="918">
        <f>SUMIF(修正!C59:C119,C8,修正!E59:E119)</f>
        <v>0</v>
      </c>
      <c r="D9" s="200" t="s">
        <v>140</v>
      </c>
      <c r="E9" s="200" t="e">
        <f>ROUND(C11/E7,4)</f>
        <v>#DIV/0!</v>
      </c>
      <c r="F9" s="2746" t="s">
        <v>2852</v>
      </c>
      <c r="G9" s="2747"/>
      <c r="H9" s="2747"/>
      <c r="I9" s="2747"/>
      <c r="J9" s="2748"/>
      <c r="K9" s="1366"/>
      <c r="L9" s="2721" t="s">
        <v>2853</v>
      </c>
      <c r="M9" s="1079">
        <f>SUMPRODUCT((区片价!B245:B289=I2)*(区片价!C3:F3=E2)*(区片价!C245:F289))</f>
        <v>0</v>
      </c>
      <c r="N9" s="1081">
        <f>SUMPRODUCT((因素修正幅度!B245:B289=I2)*(因素修正幅度!C3:F3=E2)*(因素修正幅度!C245:F289))</f>
        <v>0</v>
      </c>
      <c r="O9" s="1366"/>
      <c r="P9" s="1366"/>
      <c r="Q9" s="1366"/>
      <c r="R9" s="1598">
        <v>8</v>
      </c>
      <c r="S9" s="1599"/>
      <c r="T9" s="1598">
        <f t="shared" ca="1" si="0"/>
        <v>0</v>
      </c>
      <c r="U9" s="1599"/>
      <c r="V9" s="1598">
        <f t="shared" ca="1" si="1"/>
        <v>0</v>
      </c>
      <c r="W9" s="3287" t="s">
        <v>2854</v>
      </c>
      <c r="X9" s="1607" t="s">
        <v>2855</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5"/>
      <c r="B10" s="198" t="s">
        <v>2856</v>
      </c>
      <c r="C10" s="200">
        <f>SUMIF(修正!C59:C119,C8,修正!F59:F119)</f>
        <v>0</v>
      </c>
      <c r="D10" s="200" t="s">
        <v>141</v>
      </c>
      <c r="E10" s="200" t="e">
        <f>ROUND(C11/E7,4)</f>
        <v>#DIV/0!</v>
      </c>
      <c r="F10" s="2746" t="s">
        <v>2857</v>
      </c>
      <c r="G10" s="2747"/>
      <c r="H10" s="2747"/>
      <c r="I10" s="2747"/>
      <c r="J10" s="2748"/>
      <c r="K10" s="1366"/>
      <c r="L10" s="2721" t="s">
        <v>2858</v>
      </c>
      <c r="M10" s="1079">
        <f>SUMPRODUCT((区片价!B290:B316=I2)*(区片价!C3:F3=E2)*(区片价!C290:F316))</f>
        <v>0</v>
      </c>
      <c r="N10" s="1081">
        <f>SUMPRODUCT((因素修正幅度!B290:B316=I2)*(因素修正幅度!C3:F3=E2)*(因素修正幅度!C290:F316))</f>
        <v>0</v>
      </c>
      <c r="O10" s="1366"/>
      <c r="P10" s="1366"/>
      <c r="Q10" s="1366"/>
      <c r="R10" s="1598">
        <v>9</v>
      </c>
      <c r="S10" s="1599"/>
      <c r="T10" s="1598">
        <f t="shared" ca="1" si="0"/>
        <v>0</v>
      </c>
      <c r="U10" s="1599"/>
      <c r="V10" s="1598">
        <f t="shared" ca="1" si="1"/>
        <v>0</v>
      </c>
      <c r="W10" s="3287"/>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5"/>
      <c r="B11" s="2749" t="s">
        <v>2859</v>
      </c>
      <c r="C11" s="919">
        <f>C10/4</f>
        <v>0</v>
      </c>
      <c r="D11" s="919" t="s">
        <v>142</v>
      </c>
      <c r="E11" s="919" t="e">
        <f>ROUND(C11/E7,4)</f>
        <v>#DIV/0!</v>
      </c>
      <c r="F11" s="2750" t="s">
        <v>2860</v>
      </c>
      <c r="G11" s="2751"/>
      <c r="H11" s="2751"/>
      <c r="I11" s="2751"/>
      <c r="J11" s="2752"/>
      <c r="K11" s="1366"/>
      <c r="L11" s="2721" t="s">
        <v>2861</v>
      </c>
      <c r="M11" s="1079">
        <f>SUMPRODUCT((区片价!B317:B337=I2)*(区片价!C3:F3=E2)*(区片价!C317:F337))</f>
        <v>0</v>
      </c>
      <c r="N11" s="1081">
        <f>SUMPRODUCT((因素修正幅度!B317:B337=I2)*(因素修正幅度!C3:F3=E2)*(因素修正幅度!C317:F337))</f>
        <v>0</v>
      </c>
      <c r="O11" s="1366"/>
      <c r="P11" s="1366"/>
      <c r="Q11" s="1366"/>
      <c r="R11" s="1598">
        <v>10</v>
      </c>
      <c r="S11" s="1599"/>
      <c r="T11" s="1598">
        <f t="shared" ca="1" si="0"/>
        <v>0</v>
      </c>
      <c r="U11" s="1599"/>
      <c r="V11" s="1598">
        <f t="shared" ca="1" si="1"/>
        <v>0</v>
      </c>
      <c r="W11" s="3287" t="s">
        <v>2862</v>
      </c>
      <c r="X11" s="1610" t="s">
        <v>2863</v>
      </c>
      <c r="Y11" s="1611">
        <f>$G$3</f>
        <v>4.1900000000000004</v>
      </c>
      <c r="Z11" s="1611">
        <f t="shared" ref="Z11:AJ11" si="3">$G$3</f>
        <v>4.1900000000000004</v>
      </c>
      <c r="AA11" s="1611">
        <f t="shared" si="3"/>
        <v>4.1900000000000004</v>
      </c>
      <c r="AB11" s="1611">
        <f t="shared" si="3"/>
        <v>4.1900000000000004</v>
      </c>
      <c r="AC11" s="1611">
        <f t="shared" si="3"/>
        <v>4.1900000000000004</v>
      </c>
      <c r="AD11" s="1611">
        <f t="shared" si="3"/>
        <v>4.1900000000000004</v>
      </c>
      <c r="AE11" s="1611">
        <f t="shared" si="3"/>
        <v>4.1900000000000004</v>
      </c>
      <c r="AF11" s="1611">
        <f t="shared" si="3"/>
        <v>4.1900000000000004</v>
      </c>
      <c r="AG11" s="1611">
        <f t="shared" si="3"/>
        <v>4.1900000000000004</v>
      </c>
      <c r="AH11" s="1611">
        <f t="shared" si="3"/>
        <v>4.1900000000000004</v>
      </c>
      <c r="AI11" s="1611">
        <f t="shared" si="3"/>
        <v>4.1900000000000004</v>
      </c>
      <c r="AJ11" s="1611">
        <f t="shared" si="3"/>
        <v>4.1900000000000004</v>
      </c>
    </row>
    <row r="12" spans="1:36" ht="25.5" thickBot="1">
      <c r="A12" s="3274" t="s">
        <v>2864</v>
      </c>
      <c r="B12" s="2753" t="s">
        <v>2865</v>
      </c>
      <c r="C12" s="915">
        <f>ROUND(C15*D15*E15*F15*G15*H15*I15*J15,4)</f>
        <v>1</v>
      </c>
      <c r="D12" s="2754" t="s">
        <v>2866</v>
      </c>
      <c r="E12" s="2755"/>
      <c r="F12" s="2755"/>
      <c r="G12" s="2756"/>
      <c r="H12" s="2756"/>
      <c r="I12" s="2756"/>
      <c r="J12" s="2757"/>
      <c r="K12" s="1366"/>
      <c r="L12" s="2758" t="s">
        <v>2867</v>
      </c>
      <c r="M12" s="1080">
        <f>SUMPRODUCT((区片价!B338:B344=I2)*(区片价!C3:F3=E2)*(区片价!C338:F344))</f>
        <v>0</v>
      </c>
      <c r="N12" s="1081">
        <f>SUMPRODUCT((因素修正幅度!B338:B344=I2)*(因素修正幅度!C3:F3=E2)*(因素修正幅度!C338:F344))</f>
        <v>0</v>
      </c>
      <c r="O12" s="1366"/>
      <c r="P12" s="1366"/>
      <c r="Q12" s="1366"/>
      <c r="R12" s="1598">
        <v>11</v>
      </c>
      <c r="S12" s="1599"/>
      <c r="T12" s="1598">
        <f t="shared" ca="1" si="0"/>
        <v>0</v>
      </c>
      <c r="U12" s="1599"/>
      <c r="V12" s="1598">
        <f t="shared" ca="1" si="1"/>
        <v>0</v>
      </c>
      <c r="W12" s="3287"/>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2"/>
      <c r="B13" s="2759" t="s">
        <v>2869</v>
      </c>
      <c r="C13" s="2760" t="s">
        <v>2870</v>
      </c>
      <c r="D13" s="1803" t="s">
        <v>2871</v>
      </c>
      <c r="E13" s="1803" t="s">
        <v>2872</v>
      </c>
      <c r="F13" s="30" t="s">
        <v>2873</v>
      </c>
      <c r="G13" s="2761" t="s">
        <v>2874</v>
      </c>
      <c r="H13" s="2761" t="s">
        <v>2874</v>
      </c>
      <c r="I13" s="2761" t="s">
        <v>2874</v>
      </c>
      <c r="J13" s="2762" t="s">
        <v>2874</v>
      </c>
      <c r="K13" s="1366"/>
      <c r="L13" s="1366"/>
      <c r="M13" s="1366"/>
      <c r="N13" s="1366"/>
      <c r="O13" s="1366"/>
      <c r="P13" s="1366"/>
      <c r="Q13" s="1366"/>
      <c r="R13" s="1598">
        <v>12</v>
      </c>
      <c r="S13" s="1599"/>
      <c r="T13" s="1598">
        <f t="shared" ca="1" si="0"/>
        <v>0</v>
      </c>
      <c r="U13" s="1599"/>
      <c r="V13" s="1598">
        <f t="shared" ca="1" si="1"/>
        <v>0</v>
      </c>
      <c r="W13" s="3287"/>
      <c r="X13" s="1612"/>
      <c r="Y13" s="1609">
        <f>(-0.163*(Y12^2)-0.59*Y12+7617)*(10^(-4))/Y11</f>
        <v>0.18178997613365155</v>
      </c>
      <c r="Z13" s="1609">
        <f t="shared" ref="Z13:AJ13" si="5">(-0.163*(Z12^2)-0.59*Z12+7617)*(10^(-4))/Z11</f>
        <v>0.18178997613365155</v>
      </c>
      <c r="AA13" s="1609">
        <f t="shared" si="5"/>
        <v>0.18178997613365155</v>
      </c>
      <c r="AB13" s="1609">
        <f t="shared" si="5"/>
        <v>0.18178997613365155</v>
      </c>
      <c r="AC13" s="1609">
        <f t="shared" si="5"/>
        <v>0.18178997613365155</v>
      </c>
      <c r="AD13" s="1609">
        <f t="shared" si="5"/>
        <v>0.18178997613365155</v>
      </c>
      <c r="AE13" s="1609">
        <f t="shared" si="5"/>
        <v>0.18178997613365155</v>
      </c>
      <c r="AF13" s="1609">
        <f t="shared" si="5"/>
        <v>0.18178997613365155</v>
      </c>
      <c r="AG13" s="1609">
        <f t="shared" si="5"/>
        <v>0.18178997613365155</v>
      </c>
      <c r="AH13" s="1609">
        <f t="shared" si="5"/>
        <v>0.18178997613365155</v>
      </c>
      <c r="AI13" s="1609">
        <f t="shared" si="5"/>
        <v>0.18178997613365155</v>
      </c>
      <c r="AJ13" s="1609">
        <f t="shared" si="5"/>
        <v>0.18178997613365155</v>
      </c>
    </row>
    <row r="14" spans="1:36" ht="15">
      <c r="A14" s="3292"/>
      <c r="B14" s="2763"/>
      <c r="C14" s="2764"/>
      <c r="D14" s="2765"/>
      <c r="E14" s="2765"/>
      <c r="F14" s="2766"/>
      <c r="G14" s="2767" t="s">
        <v>2875</v>
      </c>
      <c r="H14" s="2768"/>
      <c r="I14" s="2769"/>
      <c r="J14" s="2770"/>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93"/>
      <c r="B15" s="2771" t="s">
        <v>2876</v>
      </c>
      <c r="C15" s="229">
        <f>IF(C14="有",1.1,1)</f>
        <v>1</v>
      </c>
      <c r="D15" s="229">
        <f>IF(D14="有",1.1,1)</f>
        <v>1</v>
      </c>
      <c r="E15" s="229">
        <f>IF(E14="有",1.1,1)</f>
        <v>1</v>
      </c>
      <c r="F15" s="229">
        <f>IF(F14="500米范围内",1.2,IF(F14="500-1000米",1.1,1))</f>
        <v>1</v>
      </c>
      <c r="G15" s="944">
        <v>1</v>
      </c>
      <c r="H15" s="944">
        <v>1</v>
      </c>
      <c r="I15" s="944">
        <v>1</v>
      </c>
      <c r="J15" s="945">
        <v>1</v>
      </c>
      <c r="K15" s="1366"/>
      <c r="L15" s="2772" t="s">
        <v>2813</v>
      </c>
      <c r="M15" s="916" t="s">
        <v>2877</v>
      </c>
      <c r="N15" s="916" t="s">
        <v>2878</v>
      </c>
      <c r="O15" s="916" t="s">
        <v>2879</v>
      </c>
      <c r="P15" s="2773" t="s">
        <v>2880</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274" t="s">
        <v>2881</v>
      </c>
      <c r="B16" s="2740" t="s">
        <v>2882</v>
      </c>
      <c r="C16" s="1796">
        <f>ROUND(SUM(G17:J17)/C17,0)</f>
        <v>20</v>
      </c>
      <c r="D16" s="2774" t="s">
        <v>2883</v>
      </c>
      <c r="E16" s="2775" t="s">
        <v>3807</v>
      </c>
      <c r="F16" s="2776" t="s">
        <v>3808</v>
      </c>
      <c r="G16" s="2777" t="s">
        <v>3809</v>
      </c>
      <c r="H16" s="2777"/>
      <c r="I16" s="2777"/>
      <c r="J16" s="2778"/>
      <c r="K16" s="1366"/>
      <c r="L16" s="2779" t="s">
        <v>2884</v>
      </c>
      <c r="M16" s="918">
        <v>0.25</v>
      </c>
      <c r="N16" s="918">
        <v>0.2</v>
      </c>
      <c r="O16" s="918">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275"/>
      <c r="B17" s="2780" t="s">
        <v>2885</v>
      </c>
      <c r="C17" s="920">
        <f>SUMPRODUCT((修正!A2:A5=E2)*(修正!B1:M1=G2)*(修正!B2:M5))</f>
        <v>2.5</v>
      </c>
      <c r="D17" s="2781" t="s">
        <v>2886</v>
      </c>
      <c r="E17" s="919" t="str">
        <f>IF(OR(G2="八级",G2="九级",G2="十级",G2="十一级",G2="十二级"),"五通一平","七通一平")</f>
        <v>七通一平</v>
      </c>
      <c r="F17" s="920" t="s">
        <v>2887</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22">
        <f>SUMIF(修正!C18:C39,E3,修正!E18:E39)</f>
        <v>1</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9.25" thickBot="1">
      <c r="A19" s="2784" t="s">
        <v>809</v>
      </c>
      <c r="B19" s="2785" t="s">
        <v>2890</v>
      </c>
      <c r="C19" s="923">
        <f>ROUND(IF(H19="按公示增长率计算",SUMPRODUCT((地价!A3:A23=YEAR(G19)&amp;"-"&amp;ROUNDUP(MONTH(G19)/3,0))*(地价!X2:AB2=E2)*(地价!X3:AB23)),IF(H19="地价指数",M20/M19,(1+I19)^O19)),4)</f>
        <v>1.2928999999999999</v>
      </c>
      <c r="D19" s="2792" t="s">
        <v>2891</v>
      </c>
      <c r="E19" s="924">
        <v>41640</v>
      </c>
      <c r="F19" s="2792" t="s">
        <v>2892</v>
      </c>
      <c r="G19" s="925">
        <f>'数据-取费表'!B2</f>
        <v>43342</v>
      </c>
      <c r="H19" s="2793" t="s">
        <v>3804</v>
      </c>
      <c r="I19" s="926" t="str">
        <f>IF(H19="季度增幅（自定义）",SUMIF(N21:N24,E2,O21:O24),"")</f>
        <v/>
      </c>
      <c r="J19" s="2790"/>
      <c r="K19" s="1373"/>
      <c r="L19" s="2794" t="s">
        <v>2893</v>
      </c>
      <c r="M19" s="1730">
        <f>ROUND(SUMIF(地价!B2:F2,E2,地价!B23:F23),0)</f>
        <v>258</v>
      </c>
      <c r="N19" s="2795" t="s">
        <v>2894</v>
      </c>
      <c r="O19" s="927">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2895</v>
      </c>
      <c r="C20" s="928">
        <f ca="1">ROUND(POWER(1+G20,J20-I20)*(POWER(1+G20,I20)-1)/(POWER(1+G20,J20)-1),4)</f>
        <v>0.96299999999999997</v>
      </c>
      <c r="D20" s="2801" t="s">
        <v>2896</v>
      </c>
      <c r="E20" s="1764">
        <f ca="1">存贷款利率!D4/100</f>
        <v>4.3499999999999997E-2</v>
      </c>
      <c r="F20" s="2801" t="s">
        <v>2888</v>
      </c>
      <c r="G20" s="933">
        <f ca="1">SUMIF(M15:P15,E2,M17:P17)</f>
        <v>5.1999999999999998E-2</v>
      </c>
      <c r="H20" s="2801" t="s">
        <v>2897</v>
      </c>
      <c r="I20" s="934">
        <f>SUMIF('数据-取费表'!C6:C15,E2,'数据-取费表'!F6:F15)/COUNTIF('数据-取费表'!C6:C15,E2)</f>
        <v>42.95</v>
      </c>
      <c r="J20" s="935">
        <f>IF(E2="住宅",70,IF(E2="商业",40,50))</f>
        <v>50</v>
      </c>
      <c r="K20" s="1373"/>
      <c r="L20" s="2802" t="s">
        <v>2898</v>
      </c>
      <c r="M20" s="1731">
        <f>ROUND(SUMPRODUCT((地价!A4:A23=YEAR(G19)&amp;"-"&amp;ROUNDUP(MONTH(G19)/3,0))*(地价!B2:F2=E2)*(地价!B4:F23)),0)</f>
        <v>333</v>
      </c>
      <c r="N20" s="2803" t="s">
        <v>2899</v>
      </c>
      <c r="O20" s="2804" t="s">
        <v>2900</v>
      </c>
      <c r="P20" s="2805" t="s">
        <v>2901</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3805</v>
      </c>
      <c r="C21" s="3005">
        <f>IF(B21="容积率修正",IF(G3&lt;=10,D22,J22),C23)</f>
        <v>0.85519999999999996</v>
      </c>
      <c r="D21" s="2808"/>
      <c r="E21" s="2808"/>
      <c r="F21" s="2808"/>
      <c r="G21" s="2808"/>
      <c r="H21" s="2808"/>
      <c r="I21" s="2808"/>
      <c r="J21" s="2809"/>
      <c r="K21" s="1373"/>
      <c r="N21" s="2810" t="s">
        <v>2902</v>
      </c>
      <c r="O21" s="1557"/>
      <c r="P21" s="1558">
        <f>SUMPRODUCT((地价!A3:A23=YEAR(G19)&amp;"-"&amp;ROUNDUP(MONTH(G19)/3,0))*(地价!AD2:AH2=N21)*(地价!AD3:AH23))</f>
        <v>1.49E-2</v>
      </c>
      <c r="R21" s="1372"/>
      <c r="S21" s="1372"/>
      <c r="T21" s="1367"/>
      <c r="U21" s="1367"/>
      <c r="V21" s="1367"/>
      <c r="W21" s="1366"/>
      <c r="X21" s="1366"/>
      <c r="Y21" s="1366"/>
      <c r="Z21" s="1373"/>
      <c r="AA21" s="1374"/>
      <c r="AB21" s="1374"/>
      <c r="AC21" s="1374"/>
      <c r="AD21" s="1374"/>
      <c r="AE21" s="1374"/>
      <c r="AF21" s="1374"/>
    </row>
    <row r="22" spans="1:37" s="2733" customFormat="1" ht="14.25">
      <c r="A22" s="2659" t="s">
        <v>2903</v>
      </c>
      <c r="B22" s="2811" t="s">
        <v>2904</v>
      </c>
      <c r="C22" s="1805" t="s">
        <v>2905</v>
      </c>
      <c r="D22" s="1805">
        <f>IF(E22=G22,F22,IF(G3&lt;=10,ROUND(F22+(H22-F22)*(G3-E22)/(G22-E22),4),"——"))</f>
        <v>0.85519999999999996</v>
      </c>
      <c r="E22" s="912">
        <f>ROUNDDOWN(G3,1)</f>
        <v>4.0999999999999996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912">
        <f>ROUNDUP(G3,1)</f>
        <v>4.1999999999999993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805" t="s">
        <v>155</v>
      </c>
      <c r="J22" s="936" t="str">
        <f>IF(G3&gt;10,D113,"——")</f>
        <v>——</v>
      </c>
      <c r="K22" s="1373"/>
      <c r="N22" s="2810" t="s">
        <v>2906</v>
      </c>
      <c r="O22" s="1557"/>
      <c r="P22" s="1558">
        <f>SUMPRODUCT((地价!A3:A23=YEAR(G19)&amp;"-"&amp;ROUNDUP(MONTH(G19)/3,0))*(地价!AD2:AH2=N22)*(地价!AD3:AH23))</f>
        <v>1.49E-2</v>
      </c>
      <c r="R22" s="1372"/>
      <c r="S22" s="1372"/>
      <c r="T22" s="1367"/>
      <c r="U22" s="1367"/>
      <c r="V22" s="1367"/>
      <c r="W22" s="1366"/>
      <c r="X22" s="1366"/>
      <c r="Y22" s="1366"/>
      <c r="Z22" s="1373"/>
      <c r="AA22" s="1374"/>
      <c r="AB22" s="1374"/>
      <c r="AC22" s="1374"/>
      <c r="AD22" s="1374"/>
      <c r="AE22" s="1374"/>
      <c r="AF22" s="1374"/>
    </row>
    <row r="23" spans="1:37" ht="27.75" thickBot="1">
      <c r="A23" s="2659" t="s">
        <v>2907</v>
      </c>
      <c r="B23" s="2812" t="s">
        <v>2908</v>
      </c>
      <c r="C23" s="1011">
        <f>ROUND(IF(G3&gt;1,IF(I3&lt;7,SUMPRODUCT((B93:B98=I3)*(C92:N92=G2)*(C93:N98)),SUMIF(C92:N92,G2,C100:N100)),IF(I3&lt;7,SUMPRODUCT((B102:B107=I3)*(C92:N92=G2)*(C102:N107)),SUMIF(C92:N92,G2,C109:N109))),4)</f>
        <v>0</v>
      </c>
      <c r="D23" s="2768"/>
      <c r="E23" s="2768"/>
      <c r="F23" s="2813"/>
      <c r="G23" s="2814"/>
      <c r="H23" s="2815"/>
      <c r="I23" s="2816"/>
      <c r="J23" s="2817"/>
      <c r="K23" s="1366"/>
      <c r="N23" s="2810" t="s">
        <v>2909</v>
      </c>
      <c r="O23" s="1557"/>
      <c r="P23" s="1558">
        <f>SUMPRODUCT((地价!A3:A23=YEAR(G19)&amp;"-"&amp;ROUNDUP(MONTH(G19)/3,0))*(地价!AD2:AH2=N23)*(地价!AD3:AH23))</f>
        <v>2.3699999999999999E-2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2910</v>
      </c>
      <c r="C24" s="923">
        <f>SUMIF(A45:A88,E2,B45:B88)</f>
        <v>1.0451999999999999</v>
      </c>
      <c r="D24" s="2788"/>
      <c r="E24" s="2818"/>
      <c r="F24" s="2818"/>
      <c r="G24" s="2818"/>
      <c r="H24" s="2818"/>
      <c r="I24" s="2818"/>
      <c r="J24" s="2819"/>
      <c r="K24" s="1373"/>
      <c r="N24" s="2820" t="s">
        <v>2911</v>
      </c>
      <c r="O24" s="1559"/>
      <c r="P24" s="1560">
        <f>SUMPRODUCT((地价!A3:A23=YEAR(G19)&amp;"-"&amp;ROUNDUP(MONTH(G19)/3,0))*(地价!AD2:AH2=N24)*(地价!AD3:AH23))</f>
        <v>1.2800000000000001E-2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2912</v>
      </c>
      <c r="C25" s="929"/>
      <c r="D25" s="2743"/>
      <c r="E25" s="2743"/>
      <c r="F25" s="2822"/>
      <c r="G25" s="2743"/>
      <c r="H25" s="2743"/>
      <c r="I25" s="2743"/>
      <c r="J25" s="2744"/>
      <c r="K25" s="1366"/>
      <c r="N25" s="2823" t="s">
        <v>2913</v>
      </c>
      <c r="O25" s="1561"/>
      <c r="P25" s="1560">
        <f>SUMPRODUCT((地价!A3:A23=YEAR(G19)&amp;"-"&amp;ROUNDUP(MONTH(G19)/3,0))*(地价!AD2:AH2=N25)*(地价!AD3:AH23))</f>
        <v>2.1499999999999998E-2</v>
      </c>
      <c r="R25" s="1372"/>
      <c r="S25" s="1372"/>
      <c r="T25" s="1367"/>
      <c r="U25" s="1367"/>
      <c r="V25" s="1367"/>
      <c r="W25" s="1366"/>
      <c r="X25" s="1366"/>
      <c r="Y25" s="1366"/>
      <c r="Z25" s="1373"/>
      <c r="AA25" s="1374"/>
      <c r="AB25" s="1374"/>
      <c r="AC25" s="1374"/>
      <c r="AD25" s="1374"/>
    </row>
    <row r="26" spans="1:37" ht="15">
      <c r="A26" s="2824"/>
      <c r="B26" s="2811" t="s">
        <v>2914</v>
      </c>
      <c r="C26" s="206">
        <f ca="1">E29+SUM(E33:E39)</f>
        <v>755</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2915</v>
      </c>
      <c r="C27" s="930">
        <f ca="1">E30+SUM(I33:I39)</f>
        <v>189</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2916</v>
      </c>
      <c r="C28" s="2835" t="s">
        <v>2917</v>
      </c>
      <c r="D28" s="2835" t="s">
        <v>2918</v>
      </c>
      <c r="E28" s="2836" t="s">
        <v>2919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2920</v>
      </c>
      <c r="C29" s="206">
        <f ca="1">ROUND(C5*C18*C19*C20*C21*C24,0)</f>
        <v>12620</v>
      </c>
      <c r="D29" s="2840"/>
      <c r="E29" s="940">
        <f ca="1">ROUND(C29*D29/10000,0)</f>
        <v>0</v>
      </c>
      <c r="F29" s="2841" t="s">
        <v>2921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2922</v>
      </c>
      <c r="C30" s="229">
        <f ca="1">ROUND(IF(E2="工业",C29*M39,C29*M38),0)</f>
        <v>3155</v>
      </c>
      <c r="D30" s="2846"/>
      <c r="E30" s="940">
        <f ca="1">ROUND(C30*D30/10000,0)</f>
        <v>0</v>
      </c>
      <c r="F30" s="2847" t="s">
        <v>2923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2924</v>
      </c>
      <c r="C31" s="2852" t="s">
        <v>2925</v>
      </c>
      <c r="D31" s="2756"/>
      <c r="E31" s="2852"/>
      <c r="F31" s="2852"/>
      <c r="G31" s="2754" t="s">
        <v>2926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2917</v>
      </c>
      <c r="D32" s="498" t="s">
        <v>2918</v>
      </c>
      <c r="E32" s="498" t="s">
        <v>2919</v>
      </c>
      <c r="F32" s="388" t="s">
        <v>2927</v>
      </c>
      <c r="G32" s="2855" t="s">
        <v>2917</v>
      </c>
      <c r="H32" s="2855" t="s">
        <v>2918</v>
      </c>
      <c r="I32" s="2855" t="s">
        <v>2919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82" t="s">
        <v>2928</v>
      </c>
      <c r="B33" s="2856" t="s">
        <v>2929</v>
      </c>
      <c r="C33" s="206">
        <f ca="1">ROUND(D5*C19*C20*C24*F33,0)</f>
        <v>0</v>
      </c>
      <c r="D33" s="2840"/>
      <c r="E33" s="200">
        <f ca="1">ROUND(C33*D33/10000,0)</f>
        <v>0</v>
      </c>
      <c r="F33" s="200">
        <f>SUMIF(修正!A45:A56,G2,修正!B45:B56)</f>
        <v>0.7</v>
      </c>
      <c r="G33" s="200">
        <f t="shared" ref="G33" ca="1" si="6">ROUND(IF(E2="工业",C33*$M$39,C33*$M$38),0)</f>
        <v>0</v>
      </c>
      <c r="H33" s="200">
        <f>D33</f>
        <v>0</v>
      </c>
      <c r="I33" s="200">
        <f ca="1">ROUND(G33*H33/10000,0)</f>
        <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3"/>
      <c r="B34" s="2760" t="s">
        <v>2930</v>
      </c>
      <c r="C34" s="206">
        <f ca="1">ROUND(D5*C19*C20*C24*F34,0)</f>
        <v>0</v>
      </c>
      <c r="D34" s="284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3"/>
      <c r="B35" s="2760" t="s">
        <v>2931</v>
      </c>
      <c r="C35" s="206">
        <f ca="1">ROUND(D5*C19*C20*C24*F35,0)</f>
        <v>0</v>
      </c>
      <c r="D35" s="2840"/>
      <c r="E35" s="200">
        <f t="shared" ca="1" si="7"/>
        <v>0</v>
      </c>
      <c r="F35" s="200">
        <f>SUMIF(修正!A45:A56,G2,修正!D45:D56)</f>
        <v>0.28000000000000003</v>
      </c>
      <c r="G35" s="200">
        <f ca="1">ROUND(IF(E2="工业",C35*$M$39,C35*$M$38),0)</f>
        <v>0</v>
      </c>
      <c r="H35" s="200">
        <f t="shared" si="8"/>
        <v>0</v>
      </c>
      <c r="I35" s="200">
        <f t="shared" ca="1" si="9"/>
        <v>0</v>
      </c>
      <c r="J35" s="2857"/>
      <c r="K35" s="1366"/>
      <c r="L35" s="1366"/>
      <c r="M35" s="1366"/>
      <c r="N35" s="1366"/>
      <c r="O35" s="1366"/>
      <c r="P35" s="1366"/>
      <c r="Q35" s="1366"/>
      <c r="R35" s="1366"/>
      <c r="S35" s="1366"/>
      <c r="T35" s="1366"/>
      <c r="U35" s="1366"/>
      <c r="V35" s="1366"/>
      <c r="W35" s="1366"/>
      <c r="X35" s="1366"/>
      <c r="Y35" s="1366"/>
      <c r="Z35" s="1367"/>
    </row>
    <row r="36" spans="1:37" ht="13.5" thickBot="1">
      <c r="A36" s="3284"/>
      <c r="B36" s="2760" t="s">
        <v>2932</v>
      </c>
      <c r="C36" s="206">
        <f ca="1">ROUND(D5*C19*C20*C24*F36,0)</f>
        <v>0</v>
      </c>
      <c r="D36" s="2840"/>
      <c r="E36" s="200">
        <f t="shared" ca="1" si="7"/>
        <v>0</v>
      </c>
      <c r="F36" s="200">
        <f>SUMIF(修正!A45:A56,G2,修正!E45:E56)</f>
        <v>0.25</v>
      </c>
      <c r="G36" s="200">
        <f ca="1">ROUND(IF(E2="工业",C36*$M$39,C36*$M$38),0)</f>
        <v>0</v>
      </c>
      <c r="H36" s="200">
        <f t="shared" si="8"/>
        <v>0</v>
      </c>
      <c r="I36" s="200">
        <f t="shared" ca="1" si="9"/>
        <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2933</v>
      </c>
      <c r="C37" s="200">
        <f ca="1">ROUND(C5*C19*C20*C24*F37,0)</f>
        <v>3689</v>
      </c>
      <c r="D37" s="2840"/>
      <c r="E37" s="200">
        <f t="shared" ca="1" si="7"/>
        <v>0</v>
      </c>
      <c r="F37" s="206">
        <f>SUMIF(修正!A45:A56,G2,修正!F45:F56)</f>
        <v>0.25</v>
      </c>
      <c r="G37" s="200">
        <f ca="1">ROUND(IF(E2="工业",C37*$M$39,C37*$M$38),0)</f>
        <v>922</v>
      </c>
      <c r="H37" s="200">
        <f t="shared" si="8"/>
        <v>0</v>
      </c>
      <c r="I37" s="200">
        <f t="shared" ca="1" si="9"/>
        <v>0</v>
      </c>
      <c r="J37" s="2857"/>
      <c r="K37" s="1366"/>
      <c r="L37" s="2859" t="s">
        <v>2934</v>
      </c>
      <c r="M37" s="2860"/>
      <c r="N37" s="1366"/>
      <c r="O37" s="1366"/>
      <c r="P37" s="1366"/>
      <c r="Q37" s="1366"/>
      <c r="R37" s="1366"/>
      <c r="S37" s="1366"/>
      <c r="T37" s="1366"/>
      <c r="U37" s="1366"/>
      <c r="V37" s="1366"/>
      <c r="W37" s="1366"/>
      <c r="X37" s="1366"/>
      <c r="Y37" s="1366"/>
      <c r="Z37" s="1367"/>
    </row>
    <row r="38" spans="1:37">
      <c r="A38" s="2858"/>
      <c r="B38" s="2760" t="s">
        <v>2935</v>
      </c>
      <c r="C38" s="200">
        <f ca="1">ROUND(C5*C19*C20*C24*F38,0)</f>
        <v>3689</v>
      </c>
      <c r="D38" s="2840">
        <f>'数据-汇总表'!G24</f>
        <v>2046.64</v>
      </c>
      <c r="E38" s="200">
        <f t="shared" ca="1" si="7"/>
        <v>755</v>
      </c>
      <c r="F38" s="206">
        <f>SUMIF(修正!A45:A56,G2,修正!G45:G56)</f>
        <v>0.25</v>
      </c>
      <c r="G38" s="200">
        <f ca="1">ROUND(IF(E2="工业",C38*$M$39,C38*$M$38),0)</f>
        <v>922</v>
      </c>
      <c r="H38" s="200">
        <f t="shared" si="8"/>
        <v>2046.64</v>
      </c>
      <c r="I38" s="200">
        <f t="shared" ca="1" si="9"/>
        <v>189</v>
      </c>
      <c r="J38" s="2857"/>
      <c r="K38" s="1366"/>
      <c r="L38" s="1882" t="s">
        <v>2936</v>
      </c>
      <c r="M38" s="2861">
        <v>0.25</v>
      </c>
      <c r="N38" s="1366"/>
      <c r="O38" s="1366"/>
      <c r="P38" s="1366"/>
      <c r="Q38" s="1366"/>
      <c r="R38" s="1366"/>
      <c r="S38" s="1366"/>
      <c r="T38" s="1366"/>
      <c r="U38" s="1366"/>
      <c r="V38" s="1366"/>
      <c r="W38" s="1366"/>
      <c r="X38" s="1366"/>
      <c r="Y38" s="1366"/>
      <c r="Z38" s="1367"/>
    </row>
    <row r="39" spans="1:37" ht="13.5" thickBot="1">
      <c r="A39" s="2844"/>
      <c r="B39" s="2862" t="s">
        <v>2937</v>
      </c>
      <c r="C39" s="229">
        <f ca="1">ROUND(C5*C19*C20*C24*F39,0)</f>
        <v>2951</v>
      </c>
      <c r="D39" s="2846"/>
      <c r="E39" s="229">
        <f t="shared" ca="1" si="7"/>
        <v>0</v>
      </c>
      <c r="F39" s="931">
        <f>SUMIF(修正!A45:A56,G2,修正!H45:H56)</f>
        <v>0.2</v>
      </c>
      <c r="G39" s="229">
        <f ca="1">ROUND(IF(E2="工业",C39*$M$39,C39*$M$38),0)</f>
        <v>738</v>
      </c>
      <c r="H39" s="229">
        <f t="shared" si="8"/>
        <v>0</v>
      </c>
      <c r="I39" s="229">
        <f t="shared" ca="1" si="9"/>
        <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2938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2939</v>
      </c>
      <c r="B46" s="2870">
        <f>1+E48</f>
        <v>1</v>
      </c>
      <c r="C46" s="2871"/>
      <c r="D46" s="810"/>
      <c r="E46" s="811"/>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2940</v>
      </c>
      <c r="B47" s="1804" t="s">
        <v>2941</v>
      </c>
      <c r="C47" s="1804" t="s">
        <v>2942</v>
      </c>
      <c r="D47" s="1804" t="s">
        <v>2943</v>
      </c>
      <c r="E47" s="815" t="s">
        <v>2944</v>
      </c>
      <c r="F47" s="2874" t="s">
        <v>2945</v>
      </c>
      <c r="G47" s="1804" t="s">
        <v>754</v>
      </c>
      <c r="H47" s="2875" t="s">
        <v>2946</v>
      </c>
      <c r="I47" s="1804" t="s">
        <v>2947</v>
      </c>
      <c r="J47" s="603" t="s">
        <v>2597</v>
      </c>
      <c r="K47" s="603" t="s">
        <v>2598</v>
      </c>
      <c r="L47" s="603" t="s">
        <v>2599</v>
      </c>
      <c r="M47" s="603" t="s">
        <v>2600</v>
      </c>
      <c r="N47" s="603" t="s">
        <v>2601</v>
      </c>
      <c r="AA47" s="1367"/>
      <c r="AB47" s="1367"/>
      <c r="AC47" s="1367"/>
      <c r="AD47" s="1367"/>
      <c r="AE47" s="1367"/>
      <c r="AF47" s="1367"/>
      <c r="AG47" s="1367"/>
      <c r="AH47" s="1367"/>
      <c r="AI47" s="1367"/>
      <c r="AJ47" s="1367"/>
      <c r="AK47" s="1367"/>
    </row>
    <row r="48" spans="1:37" s="1366" customFormat="1" ht="51">
      <c r="A48" s="2873" t="s">
        <v>2948</v>
      </c>
      <c r="B48" s="2876" t="str">
        <f>估价对象房地状况!C4</f>
        <v>估价对象位于丰台科技园，周边商业氛围一般，人流量一般，商业繁华度一般</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2949</v>
      </c>
      <c r="B49" s="2877" t="str">
        <f>估价对象房地状况!C18</f>
        <v>估价对象周边道路状况较好、公共交通通达情况较好、停车便捷程度较好，综合评价交通便捷度较好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2950</v>
      </c>
      <c r="B50" s="2877" t="str">
        <f>估价对象房地状况!C19</f>
        <v>一致</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2951</v>
      </c>
      <c r="B51" s="2878" t="s">
        <v>2952</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2953</v>
      </c>
      <c r="B52" s="2877" t="str">
        <f>估价对象房地状况!C24</f>
        <v>次干道</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2954</v>
      </c>
      <c r="B53" s="2879" t="s">
        <v>2955</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2956</v>
      </c>
      <c r="B54" s="1721" t="str">
        <f>估价对象房地状况!C21</f>
        <v>估价对象所在区域公共配套设施齐备情况一般</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2957</v>
      </c>
      <c r="B55" s="2877"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2958</v>
      </c>
      <c r="B56" s="2882"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2959</v>
      </c>
      <c r="B57" s="2870">
        <f>1+E59</f>
        <v>1.0451999999999999</v>
      </c>
      <c r="C57" s="810"/>
      <c r="D57" s="810"/>
      <c r="E57" s="811"/>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2940</v>
      </c>
      <c r="B58" s="1804"/>
      <c r="C58" s="1804" t="s">
        <v>2942</v>
      </c>
      <c r="D58" s="1804" t="s">
        <v>2943</v>
      </c>
      <c r="E58" s="815" t="s">
        <v>2944</v>
      </c>
      <c r="F58" s="2874" t="s">
        <v>2960</v>
      </c>
      <c r="G58" s="1804" t="s">
        <v>754</v>
      </c>
      <c r="H58" s="2875" t="s">
        <v>2946</v>
      </c>
      <c r="I58" s="1804" t="s">
        <v>2947</v>
      </c>
      <c r="J58" s="603" t="s">
        <v>2597</v>
      </c>
      <c r="K58" s="603" t="s">
        <v>2598</v>
      </c>
      <c r="L58" s="603" t="s">
        <v>2599</v>
      </c>
      <c r="M58" s="603" t="s">
        <v>2600</v>
      </c>
      <c r="N58" s="603" t="s">
        <v>2601</v>
      </c>
      <c r="AA58" s="1367"/>
      <c r="AB58" s="1367"/>
      <c r="AC58" s="1367"/>
      <c r="AD58" s="1367"/>
      <c r="AE58" s="1367"/>
      <c r="AF58" s="1367"/>
      <c r="AG58" s="1367"/>
      <c r="AH58" s="1367"/>
      <c r="AI58" s="1367"/>
      <c r="AJ58" s="1367"/>
      <c r="AK58" s="1367"/>
    </row>
    <row r="59" spans="1:37" s="1366" customFormat="1" ht="38.25">
      <c r="A59" s="2873" t="s">
        <v>2961</v>
      </c>
      <c r="B59" s="2876" t="str">
        <f>估价对象房地状况!C17</f>
        <v>估价对象位于XX商圈，周边办公楼项目较多，入驻率高，办公集聚程度较好</v>
      </c>
      <c r="C59" s="2765" t="s">
        <v>3728</v>
      </c>
      <c r="D59" s="1282">
        <f t="shared" ref="D59:D67" si="15">SUMIF($J$58:$N$58,C59,J59:N59)</f>
        <v>1.18E-2</v>
      </c>
      <c r="E59" s="817">
        <f>ROUND(SUM(D59:D67),4)</f>
        <v>4.5199999999999997E-2</v>
      </c>
      <c r="F59" s="2496">
        <f>IF(E2="办公",SUMIF(L1:L12,G2,N1:N12),"——")</f>
        <v>9.9000000000000005E-2</v>
      </c>
      <c r="G59" s="1280">
        <f>H59</f>
        <v>1.18E-2</v>
      </c>
      <c r="H59" s="1284">
        <f t="shared" ref="H59:H67" si="16">IFERROR(ROUNDDOWN($F$59*I59/2,4),"——")</f>
        <v>1.18E-2</v>
      </c>
      <c r="I59" s="816">
        <v>0.24</v>
      </c>
      <c r="J59" s="1281">
        <f t="shared" ref="J59:J67" si="17">K59+$G59</f>
        <v>2.3599999999999999E-2</v>
      </c>
      <c r="K59" s="1281">
        <f t="shared" ref="K59:K67" si="18">$L59+$G59</f>
        <v>1.18E-2</v>
      </c>
      <c r="L59" s="1281">
        <v>0</v>
      </c>
      <c r="M59" s="1281">
        <f t="shared" ref="M59:N67" si="19">L59-$G59</f>
        <v>-1.18E-2</v>
      </c>
      <c r="N59" s="1281">
        <f t="shared" si="19"/>
        <v>-2.3599999999999999E-2</v>
      </c>
      <c r="AA59" s="1367"/>
      <c r="AB59" s="1367"/>
      <c r="AC59" s="1367"/>
      <c r="AD59" s="1367"/>
      <c r="AE59" s="1367"/>
      <c r="AF59" s="1367"/>
      <c r="AG59" s="1367"/>
      <c r="AH59" s="1367"/>
      <c r="AI59" s="1367"/>
      <c r="AJ59" s="1367"/>
      <c r="AK59" s="1367"/>
    </row>
    <row r="60" spans="1:37" s="1366" customFormat="1" ht="51">
      <c r="A60" s="2873" t="s">
        <v>2949</v>
      </c>
      <c r="B60" s="2877" t="str">
        <f>估价对象房地状况!C18</f>
        <v>估价对象周边道路状况较好、公共交通通达情况较好、停车便捷程度较好，综合评价交通便捷度较好</v>
      </c>
      <c r="C60" s="2765" t="s">
        <v>3728</v>
      </c>
      <c r="D60" s="1282">
        <f t="shared" si="15"/>
        <v>1.4800000000000001E-2</v>
      </c>
      <c r="E60" s="818"/>
      <c r="F60" s="2496"/>
      <c r="G60" s="1280">
        <f t="shared" ref="G60:G67" si="20">H60</f>
        <v>1.4800000000000001E-2</v>
      </c>
      <c r="H60" s="1284">
        <f t="shared" si="16"/>
        <v>1.4800000000000001E-2</v>
      </c>
      <c r="I60" s="816">
        <v>0.3</v>
      </c>
      <c r="J60" s="1281">
        <f t="shared" si="17"/>
        <v>2.9600000000000001E-2</v>
      </c>
      <c r="K60" s="1281">
        <f t="shared" si="18"/>
        <v>1.4800000000000001E-2</v>
      </c>
      <c r="L60" s="1281">
        <v>0</v>
      </c>
      <c r="M60" s="1281">
        <f t="shared" si="19"/>
        <v>-1.4800000000000001E-2</v>
      </c>
      <c r="N60" s="1281">
        <f t="shared" si="19"/>
        <v>-2.9600000000000001E-2</v>
      </c>
      <c r="AA60" s="1367"/>
      <c r="AB60" s="1367"/>
      <c r="AC60" s="1367"/>
      <c r="AD60" s="1367"/>
      <c r="AE60" s="1367"/>
      <c r="AF60" s="1367"/>
      <c r="AG60" s="1367"/>
      <c r="AH60" s="1367"/>
      <c r="AI60" s="1367"/>
      <c r="AJ60" s="1367"/>
      <c r="AK60" s="1367"/>
    </row>
    <row r="61" spans="1:37" s="1366" customFormat="1" ht="24">
      <c r="A61" s="2873" t="s">
        <v>2950</v>
      </c>
      <c r="B61" s="2877" t="str">
        <f>估价对象房地状况!C19</f>
        <v>一致</v>
      </c>
      <c r="C61" s="2765" t="s">
        <v>3728</v>
      </c>
      <c r="D61" s="1282">
        <f t="shared" si="15"/>
        <v>3.8999999999999998E-3</v>
      </c>
      <c r="E61" s="818"/>
      <c r="F61" s="2496"/>
      <c r="G61" s="1280">
        <f t="shared" si="20"/>
        <v>3.8999999999999998E-3</v>
      </c>
      <c r="H61" s="1284">
        <f t="shared" si="16"/>
        <v>3.8999999999999998E-3</v>
      </c>
      <c r="I61" s="816">
        <v>0.08</v>
      </c>
      <c r="J61" s="1281">
        <f t="shared" si="17"/>
        <v>7.7999999999999996E-3</v>
      </c>
      <c r="K61" s="1281">
        <f t="shared" si="18"/>
        <v>3.8999999999999998E-3</v>
      </c>
      <c r="L61" s="1281">
        <v>0</v>
      </c>
      <c r="M61" s="1281">
        <f t="shared" si="19"/>
        <v>-3.8999999999999998E-3</v>
      </c>
      <c r="N61" s="1281">
        <f t="shared" si="19"/>
        <v>-7.7999999999999996E-3</v>
      </c>
      <c r="AA61" s="1367"/>
      <c r="AB61" s="1367"/>
      <c r="AC61" s="1367"/>
      <c r="AD61" s="1367"/>
      <c r="AE61" s="1367"/>
      <c r="AF61" s="1367"/>
      <c r="AG61" s="1367"/>
      <c r="AH61" s="1367"/>
      <c r="AI61" s="1367"/>
      <c r="AJ61" s="1367"/>
      <c r="AK61" s="1367"/>
    </row>
    <row r="62" spans="1:37" s="1366" customFormat="1" ht="36.75">
      <c r="A62" s="2873" t="s">
        <v>2951</v>
      </c>
      <c r="B62" s="2878" t="s">
        <v>2952</v>
      </c>
      <c r="C62" s="2765" t="s">
        <v>3727</v>
      </c>
      <c r="D62" s="1282">
        <f t="shared" si="15"/>
        <v>0</v>
      </c>
      <c r="E62" s="818"/>
      <c r="F62" s="2496"/>
      <c r="G62" s="1280">
        <f t="shared" si="20"/>
        <v>1.9E-3</v>
      </c>
      <c r="H62" s="1284">
        <f t="shared" si="16"/>
        <v>1.9E-3</v>
      </c>
      <c r="I62" s="816">
        <v>0.04</v>
      </c>
      <c r="J62" s="1281">
        <f t="shared" si="17"/>
        <v>3.8E-3</v>
      </c>
      <c r="K62" s="1281">
        <f t="shared" si="18"/>
        <v>1.9E-3</v>
      </c>
      <c r="L62" s="1281">
        <v>0</v>
      </c>
      <c r="M62" s="1281">
        <f t="shared" si="19"/>
        <v>-1.9E-3</v>
      </c>
      <c r="N62" s="1281">
        <f t="shared" si="19"/>
        <v>-3.8E-3</v>
      </c>
      <c r="AA62" s="1367"/>
      <c r="AB62" s="1367"/>
      <c r="AC62" s="1367"/>
      <c r="AD62" s="1367"/>
      <c r="AE62" s="1367"/>
      <c r="AF62" s="1367"/>
      <c r="AG62" s="1367"/>
      <c r="AH62" s="1367"/>
      <c r="AI62" s="1367"/>
      <c r="AJ62" s="1367"/>
      <c r="AK62" s="1367"/>
    </row>
    <row r="63" spans="1:37" s="1366" customFormat="1" ht="24">
      <c r="A63" s="2873" t="s">
        <v>2953</v>
      </c>
      <c r="B63" s="2877" t="str">
        <f>估价对象房地状况!C24</f>
        <v>次干道</v>
      </c>
      <c r="C63" s="2765" t="s">
        <v>3727</v>
      </c>
      <c r="D63" s="1282">
        <f t="shared" si="15"/>
        <v>0</v>
      </c>
      <c r="E63" s="818"/>
      <c r="F63" s="2496"/>
      <c r="G63" s="1280">
        <f t="shared" si="20"/>
        <v>2.3999999999999998E-3</v>
      </c>
      <c r="H63" s="1284">
        <f t="shared" si="16"/>
        <v>2.3999999999999998E-3</v>
      </c>
      <c r="I63" s="816">
        <v>0.05</v>
      </c>
      <c r="J63" s="1281">
        <f t="shared" si="17"/>
        <v>4.7999999999999996E-3</v>
      </c>
      <c r="K63" s="1281">
        <f t="shared" si="18"/>
        <v>2.3999999999999998E-3</v>
      </c>
      <c r="L63" s="1281">
        <v>0</v>
      </c>
      <c r="M63" s="1281">
        <f t="shared" si="19"/>
        <v>-2.3999999999999998E-3</v>
      </c>
      <c r="N63" s="1281">
        <f t="shared" si="19"/>
        <v>-4.7999999999999996E-3</v>
      </c>
      <c r="AA63" s="1367"/>
      <c r="AB63" s="1367"/>
      <c r="AC63" s="1367"/>
      <c r="AD63" s="1367"/>
      <c r="AE63" s="1367"/>
      <c r="AF63" s="1367"/>
      <c r="AG63" s="1367"/>
      <c r="AH63" s="1367"/>
      <c r="AI63" s="1367"/>
      <c r="AJ63" s="1367"/>
      <c r="AK63" s="1367"/>
    </row>
    <row r="64" spans="1:37" s="1366" customFormat="1" ht="24">
      <c r="A64" s="2873" t="s">
        <v>2954</v>
      </c>
      <c r="B64" s="2879" t="s">
        <v>2955</v>
      </c>
      <c r="C64" s="2765" t="s">
        <v>3727</v>
      </c>
      <c r="D64" s="1282">
        <f t="shared" si="15"/>
        <v>0</v>
      </c>
      <c r="E64" s="818"/>
      <c r="F64" s="2496"/>
      <c r="G64" s="1280">
        <f t="shared" si="20"/>
        <v>2.3999999999999998E-3</v>
      </c>
      <c r="H64" s="1284">
        <f t="shared" si="16"/>
        <v>2.3999999999999998E-3</v>
      </c>
      <c r="I64" s="816">
        <v>0.05</v>
      </c>
      <c r="J64" s="1281">
        <f t="shared" si="17"/>
        <v>4.7999999999999996E-3</v>
      </c>
      <c r="K64" s="1281">
        <f t="shared" si="18"/>
        <v>2.3999999999999998E-3</v>
      </c>
      <c r="L64" s="1281">
        <v>0</v>
      </c>
      <c r="M64" s="1281">
        <f t="shared" si="19"/>
        <v>-2.3999999999999998E-3</v>
      </c>
      <c r="N64" s="1281">
        <f t="shared" si="19"/>
        <v>-4.7999999999999996E-3</v>
      </c>
      <c r="AA64" s="1367"/>
      <c r="AB64" s="1367"/>
      <c r="AC64" s="1367"/>
      <c r="AD64" s="1367"/>
      <c r="AE64" s="1367"/>
      <c r="AF64" s="1367"/>
      <c r="AG64" s="1367"/>
      <c r="AH64" s="1367"/>
      <c r="AI64" s="1367"/>
      <c r="AJ64" s="1367"/>
      <c r="AK64" s="1367"/>
    </row>
    <row r="65" spans="1:37" s="1366" customFormat="1" ht="25.5">
      <c r="A65" s="2873" t="s">
        <v>2956</v>
      </c>
      <c r="B65" s="1721" t="str">
        <f>估价对象房地状况!C21</f>
        <v>估价对象所在区域公共配套设施齐备情况一般</v>
      </c>
      <c r="C65" s="2765" t="s">
        <v>3728</v>
      </c>
      <c r="D65" s="1282">
        <f t="shared" si="15"/>
        <v>2.8999999999999998E-3</v>
      </c>
      <c r="E65" s="818"/>
      <c r="F65" s="2496"/>
      <c r="G65" s="1280">
        <f t="shared" si="20"/>
        <v>2.8999999999999998E-3</v>
      </c>
      <c r="H65" s="1284">
        <f t="shared" si="16"/>
        <v>2.8999999999999998E-3</v>
      </c>
      <c r="I65" s="816">
        <v>0.06</v>
      </c>
      <c r="J65" s="1281">
        <f t="shared" si="17"/>
        <v>5.7999999999999996E-3</v>
      </c>
      <c r="K65" s="1281">
        <f t="shared" si="18"/>
        <v>2.8999999999999998E-3</v>
      </c>
      <c r="L65" s="1281">
        <v>0</v>
      </c>
      <c r="M65" s="1281">
        <f t="shared" si="19"/>
        <v>-2.8999999999999998E-3</v>
      </c>
      <c r="N65" s="1281">
        <f t="shared" si="19"/>
        <v>-5.7999999999999996E-3</v>
      </c>
      <c r="AA65" s="1367"/>
      <c r="AB65" s="1367"/>
      <c r="AC65" s="1367"/>
      <c r="AD65" s="1367"/>
      <c r="AE65" s="1367"/>
      <c r="AF65" s="1367"/>
      <c r="AG65" s="1367"/>
      <c r="AH65" s="1367"/>
      <c r="AI65" s="1367"/>
      <c r="AJ65" s="1367"/>
      <c r="AK65" s="1367"/>
    </row>
    <row r="66" spans="1:37" s="1366" customFormat="1" ht="25.5">
      <c r="A66" s="2873" t="s">
        <v>2957</v>
      </c>
      <c r="B66" s="1721" t="str">
        <f>估价对象房地状况!C22</f>
        <v>估价对象所在区域基础设施水平</v>
      </c>
      <c r="C66" s="2765" t="s">
        <v>3812</v>
      </c>
      <c r="D66" s="1282">
        <f t="shared" si="15"/>
        <v>1.18E-2</v>
      </c>
      <c r="E66" s="818"/>
      <c r="F66" s="2496"/>
      <c r="G66" s="1280">
        <f t="shared" si="20"/>
        <v>5.8999999999999999E-3</v>
      </c>
      <c r="H66" s="1284">
        <f t="shared" si="16"/>
        <v>5.8999999999999999E-3</v>
      </c>
      <c r="I66" s="816">
        <v>0.12</v>
      </c>
      <c r="J66" s="1281">
        <f t="shared" si="17"/>
        <v>1.18E-2</v>
      </c>
      <c r="K66" s="1281">
        <f t="shared" si="18"/>
        <v>5.8999999999999999E-3</v>
      </c>
      <c r="L66" s="1281">
        <v>0</v>
      </c>
      <c r="M66" s="1281">
        <f t="shared" si="19"/>
        <v>-5.8999999999999999E-3</v>
      </c>
      <c r="N66" s="1281">
        <f t="shared" si="19"/>
        <v>-1.18E-2</v>
      </c>
      <c r="AA66" s="1367"/>
      <c r="AB66" s="1367"/>
      <c r="AC66" s="1367"/>
      <c r="AD66" s="1367"/>
      <c r="AE66" s="1367"/>
      <c r="AF66" s="1367"/>
      <c r="AG66" s="1367"/>
      <c r="AH66" s="1367"/>
      <c r="AI66" s="1367"/>
      <c r="AJ66" s="1367"/>
      <c r="AK66" s="1367"/>
    </row>
    <row r="67" spans="1:37" s="1366" customFormat="1" ht="39" thickBot="1">
      <c r="A67" s="2881" t="s">
        <v>2958</v>
      </c>
      <c r="B67" s="2883" t="str">
        <f>估价对象房地状况!C20</f>
        <v>区域自然环境：；人文环境；综合评价环境状况一般</v>
      </c>
      <c r="C67" s="2765" t="s">
        <v>3727</v>
      </c>
      <c r="D67" s="1282">
        <f t="shared" si="15"/>
        <v>0</v>
      </c>
      <c r="E67" s="821"/>
      <c r="F67" s="2496"/>
      <c r="G67" s="1280">
        <f t="shared" si="20"/>
        <v>2.8999999999999998E-3</v>
      </c>
      <c r="H67" s="1284">
        <f t="shared" si="16"/>
        <v>2.8999999999999998E-3</v>
      </c>
      <c r="I67" s="820">
        <v>0.06</v>
      </c>
      <c r="J67" s="1281">
        <f t="shared" si="17"/>
        <v>5.7999999999999996E-3</v>
      </c>
      <c r="K67" s="1281">
        <f t="shared" si="18"/>
        <v>2.8999999999999998E-3</v>
      </c>
      <c r="L67" s="1281">
        <v>0</v>
      </c>
      <c r="M67" s="1281">
        <f t="shared" si="19"/>
        <v>-2.8999999999999998E-3</v>
      </c>
      <c r="N67" s="1281">
        <f t="shared" si="19"/>
        <v>-5.7999999999999996E-3</v>
      </c>
      <c r="AA67" s="1367"/>
      <c r="AB67" s="1367"/>
      <c r="AC67" s="1367"/>
      <c r="AD67" s="1367"/>
      <c r="AE67" s="1367"/>
      <c r="AF67" s="1367"/>
      <c r="AG67" s="1367"/>
      <c r="AH67" s="1367"/>
      <c r="AI67" s="1367"/>
      <c r="AJ67" s="1367"/>
      <c r="AK67" s="1367"/>
    </row>
    <row r="68" spans="1:37" s="1366" customFormat="1" ht="15">
      <c r="A68" s="2869" t="s">
        <v>2962</v>
      </c>
      <c r="B68" s="2870">
        <f>1+E70</f>
        <v>1</v>
      </c>
      <c r="C68" s="810"/>
      <c r="D68" s="810"/>
      <c r="E68" s="811"/>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2940</v>
      </c>
      <c r="B69" s="1804"/>
      <c r="C69" s="1804" t="s">
        <v>2942</v>
      </c>
      <c r="D69" s="1804" t="s">
        <v>2943</v>
      </c>
      <c r="E69" s="815" t="s">
        <v>2944</v>
      </c>
      <c r="F69" s="2874" t="s">
        <v>2960</v>
      </c>
      <c r="G69" s="1804" t="s">
        <v>754</v>
      </c>
      <c r="H69" s="2875" t="s">
        <v>2946</v>
      </c>
      <c r="I69" s="1804" t="s">
        <v>2947</v>
      </c>
      <c r="J69" s="603" t="s">
        <v>2597</v>
      </c>
      <c r="K69" s="603" t="s">
        <v>2598</v>
      </c>
      <c r="L69" s="603" t="s">
        <v>2599</v>
      </c>
      <c r="M69" s="603" t="s">
        <v>2600</v>
      </c>
      <c r="N69" s="603" t="s">
        <v>2601</v>
      </c>
      <c r="AA69" s="1367"/>
      <c r="AB69" s="1367"/>
      <c r="AC69" s="1367"/>
      <c r="AD69" s="1367"/>
      <c r="AE69" s="1367"/>
      <c r="AF69" s="1367"/>
      <c r="AG69" s="1367"/>
      <c r="AH69" s="1367"/>
      <c r="AI69" s="1367"/>
      <c r="AJ69" s="1367"/>
      <c r="AK69" s="1367"/>
    </row>
    <row r="70" spans="1:37" s="1366" customFormat="1" ht="51">
      <c r="A70" s="2873" t="s">
        <v>2963</v>
      </c>
      <c r="B70" s="2876" t="str">
        <f>估价对象房地状况!C15</f>
        <v>估价对象周边居住用地比例、居住小区规模和社区发展完善程度，综合评价居住社区成熟度一般</v>
      </c>
      <c r="C70" s="2765"/>
      <c r="D70" s="1282">
        <f t="shared" ref="D70:D78" si="21">SUMIF($J$69:$N$69,C70,J70:N70)</f>
        <v>0</v>
      </c>
      <c r="E70" s="817">
        <f>ROUND(SUM(D70:D78),4)</f>
        <v>0</v>
      </c>
      <c r="F70" s="2496" t="str">
        <f>IF(E2="住宅",SUMIF(L1:L12,G2,N1:N12),"——")</f>
        <v>——</v>
      </c>
      <c r="G70" s="1280"/>
      <c r="H70" s="1284" t="str">
        <f t="shared" ref="H70:H78" si="22">IFERROR(ROUNDDOWN($F$70*I70/2,4),"——")</f>
        <v>——</v>
      </c>
      <c r="I70" s="816">
        <v>0.14000000000000001</v>
      </c>
      <c r="J70" s="1281">
        <f t="shared" ref="J70:J78" si="23">K70+$G70</f>
        <v>0</v>
      </c>
      <c r="K70" s="1281">
        <f t="shared" ref="K70:K78" si="24">$L70+$G70</f>
        <v>0</v>
      </c>
      <c r="L70" s="1281">
        <v>0</v>
      </c>
      <c r="M70" s="1281">
        <f t="shared" ref="M70:N78" si="25">L70-$G70</f>
        <v>0</v>
      </c>
      <c r="N70" s="1281">
        <f t="shared" si="25"/>
        <v>0</v>
      </c>
      <c r="AA70" s="1367"/>
      <c r="AB70" s="1367"/>
      <c r="AC70" s="1367"/>
      <c r="AD70" s="1367"/>
      <c r="AE70" s="1367"/>
      <c r="AF70" s="1367"/>
      <c r="AG70" s="1367"/>
      <c r="AH70" s="1367"/>
      <c r="AI70" s="1367"/>
      <c r="AJ70" s="1367"/>
      <c r="AK70" s="1367"/>
    </row>
    <row r="71" spans="1:37" s="1366" customFormat="1" ht="51">
      <c r="A71" s="2873" t="s">
        <v>2949</v>
      </c>
      <c r="B71" s="2877" t="str">
        <f>估价对象房地状况!C18</f>
        <v>估价对象周边道路状况较好、公共交通通达情况较好、停车便捷程度较好，综合评价交通便捷度较好</v>
      </c>
      <c r="C71" s="2765"/>
      <c r="D71" s="1282">
        <f t="shared" si="21"/>
        <v>0</v>
      </c>
      <c r="E71" s="822"/>
      <c r="F71" s="2496"/>
      <c r="G71" s="1280"/>
      <c r="H71" s="1284" t="str">
        <f t="shared" si="22"/>
        <v>——</v>
      </c>
      <c r="I71" s="816">
        <v>0.3</v>
      </c>
      <c r="J71" s="1281">
        <f t="shared" si="23"/>
        <v>0</v>
      </c>
      <c r="K71" s="1281">
        <f t="shared" si="24"/>
        <v>0</v>
      </c>
      <c r="L71" s="1281">
        <v>0</v>
      </c>
      <c r="M71" s="1281">
        <f t="shared" si="25"/>
        <v>0</v>
      </c>
      <c r="N71" s="1281">
        <f t="shared" si="25"/>
        <v>0</v>
      </c>
      <c r="AA71" s="1367"/>
      <c r="AB71" s="1367"/>
      <c r="AC71" s="1367"/>
      <c r="AD71" s="1367"/>
      <c r="AE71" s="1367"/>
      <c r="AF71" s="1367"/>
      <c r="AG71" s="1367"/>
      <c r="AH71" s="1367"/>
      <c r="AI71" s="1367"/>
      <c r="AJ71" s="1367"/>
      <c r="AK71" s="1367"/>
    </row>
    <row r="72" spans="1:37" s="1366" customFormat="1" ht="24">
      <c r="A72" s="2873" t="s">
        <v>2950</v>
      </c>
      <c r="B72" s="2877" t="str">
        <f>估价对象房地状况!C19</f>
        <v>一致</v>
      </c>
      <c r="C72" s="2765"/>
      <c r="D72" s="1282">
        <f t="shared" si="21"/>
        <v>0</v>
      </c>
      <c r="E72" s="822"/>
      <c r="F72" s="2496"/>
      <c r="G72" s="1280"/>
      <c r="H72" s="1284" t="str">
        <f t="shared" si="22"/>
        <v>——</v>
      </c>
      <c r="I72" s="816">
        <v>0.08</v>
      </c>
      <c r="J72" s="1281">
        <f t="shared" si="23"/>
        <v>0</v>
      </c>
      <c r="K72" s="1281">
        <f t="shared" si="24"/>
        <v>0</v>
      </c>
      <c r="L72" s="1281">
        <v>0</v>
      </c>
      <c r="M72" s="1281">
        <f t="shared" si="25"/>
        <v>0</v>
      </c>
      <c r="N72" s="1281">
        <f t="shared" si="25"/>
        <v>0</v>
      </c>
      <c r="AA72" s="1367"/>
      <c r="AB72" s="1367"/>
      <c r="AC72" s="1367"/>
      <c r="AD72" s="1367"/>
      <c r="AE72" s="1367"/>
      <c r="AF72" s="1367"/>
      <c r="AG72" s="1367"/>
      <c r="AH72" s="1367"/>
      <c r="AI72" s="1367"/>
      <c r="AJ72" s="1367"/>
      <c r="AK72" s="1367"/>
    </row>
    <row r="73" spans="1:37" s="1366" customFormat="1" ht="14.25">
      <c r="A73" s="2873" t="s">
        <v>2964</v>
      </c>
      <c r="B73" s="2877" t="str">
        <f>估价对象房地状况!C24</f>
        <v>次干道</v>
      </c>
      <c r="C73" s="2765"/>
      <c r="D73" s="1282">
        <f t="shared" si="21"/>
        <v>0</v>
      </c>
      <c r="E73" s="822"/>
      <c r="F73" s="2496"/>
      <c r="G73" s="1280"/>
      <c r="H73" s="1284" t="str">
        <f t="shared" si="22"/>
        <v>——</v>
      </c>
      <c r="I73" s="816">
        <v>0.04</v>
      </c>
      <c r="J73" s="1281">
        <f t="shared" si="23"/>
        <v>0</v>
      </c>
      <c r="K73" s="1281">
        <f t="shared" si="24"/>
        <v>0</v>
      </c>
      <c r="L73" s="1281">
        <v>0</v>
      </c>
      <c r="M73" s="1281">
        <f t="shared" si="25"/>
        <v>0</v>
      </c>
      <c r="N73" s="1281">
        <f t="shared" si="25"/>
        <v>0</v>
      </c>
      <c r="AA73" s="1367"/>
      <c r="AB73" s="1367"/>
      <c r="AC73" s="1367"/>
      <c r="AD73" s="1367"/>
      <c r="AE73" s="1367"/>
      <c r="AF73" s="1367"/>
      <c r="AG73" s="1367"/>
      <c r="AH73" s="1367"/>
      <c r="AI73" s="1367"/>
      <c r="AJ73" s="1367"/>
      <c r="AK73" s="1367"/>
    </row>
    <row r="74" spans="1:37" s="1366" customFormat="1" ht="25.5">
      <c r="A74" s="2873" t="s">
        <v>2956</v>
      </c>
      <c r="B74" s="1721" t="str">
        <f>估价对象房地状况!C21</f>
        <v>估价对象所在区域公共配套设施齐备情况一般</v>
      </c>
      <c r="C74" s="2765"/>
      <c r="D74" s="1282">
        <f t="shared" si="21"/>
        <v>0</v>
      </c>
      <c r="E74" s="822"/>
      <c r="F74" s="2496"/>
      <c r="G74" s="1280"/>
      <c r="H74" s="1284" t="str">
        <f t="shared" si="22"/>
        <v>——</v>
      </c>
      <c r="I74" s="816">
        <v>0.08</v>
      </c>
      <c r="J74" s="1281">
        <f t="shared" si="23"/>
        <v>0</v>
      </c>
      <c r="K74" s="1281">
        <f t="shared" si="24"/>
        <v>0</v>
      </c>
      <c r="L74" s="1281">
        <v>0</v>
      </c>
      <c r="M74" s="1281">
        <f t="shared" si="25"/>
        <v>0</v>
      </c>
      <c r="N74" s="1281">
        <f t="shared" si="25"/>
        <v>0</v>
      </c>
      <c r="AA74" s="1367"/>
      <c r="AB74" s="1367"/>
      <c r="AC74" s="1367"/>
      <c r="AD74" s="1367"/>
      <c r="AE74" s="1367"/>
      <c r="AF74" s="1367"/>
      <c r="AG74" s="1367"/>
      <c r="AH74" s="1367"/>
      <c r="AI74" s="1367"/>
      <c r="AJ74" s="1367"/>
      <c r="AK74" s="1367"/>
    </row>
    <row r="75" spans="1:37" s="1366" customFormat="1" ht="25.5">
      <c r="A75" s="2873" t="s">
        <v>2957</v>
      </c>
      <c r="B75" s="1721" t="str">
        <f>估价对象房地状况!C22</f>
        <v>估价对象所在区域基础设施水平</v>
      </c>
      <c r="C75" s="2765"/>
      <c r="D75" s="1282">
        <f t="shared" si="21"/>
        <v>0</v>
      </c>
      <c r="E75" s="822"/>
      <c r="F75" s="2496"/>
      <c r="G75" s="1280"/>
      <c r="H75" s="1284" t="str">
        <f t="shared" si="22"/>
        <v>——</v>
      </c>
      <c r="I75" s="816">
        <v>0.12</v>
      </c>
      <c r="J75" s="1281">
        <f t="shared" si="23"/>
        <v>0</v>
      </c>
      <c r="K75" s="1281">
        <f t="shared" si="24"/>
        <v>0</v>
      </c>
      <c r="L75" s="1281">
        <v>0</v>
      </c>
      <c r="M75" s="1281">
        <f t="shared" si="25"/>
        <v>0</v>
      </c>
      <c r="N75" s="1281">
        <f t="shared" si="25"/>
        <v>0</v>
      </c>
      <c r="AA75" s="1367"/>
      <c r="AB75" s="1367"/>
      <c r="AC75" s="1367"/>
      <c r="AD75" s="1367"/>
      <c r="AE75" s="1367"/>
      <c r="AF75" s="1367"/>
      <c r="AG75" s="1367"/>
      <c r="AH75" s="1367"/>
      <c r="AI75" s="1367"/>
      <c r="AJ75" s="1367"/>
      <c r="AK75" s="1367"/>
    </row>
    <row r="76" spans="1:37" s="2714" customFormat="1" ht="24">
      <c r="A76" s="2873" t="s">
        <v>2954</v>
      </c>
      <c r="B76" s="2879" t="s">
        <v>2955</v>
      </c>
      <c r="C76" s="2765"/>
      <c r="D76" s="1282">
        <f t="shared" si="21"/>
        <v>0</v>
      </c>
      <c r="E76" s="822"/>
      <c r="F76" s="2496"/>
      <c r="G76" s="1280"/>
      <c r="H76" s="1284" t="str">
        <f t="shared" si="22"/>
        <v>——</v>
      </c>
      <c r="I76" s="816">
        <v>0.05</v>
      </c>
      <c r="J76" s="1281">
        <f t="shared" si="23"/>
        <v>0</v>
      </c>
      <c r="K76" s="1281">
        <f t="shared" si="24"/>
        <v>0</v>
      </c>
      <c r="L76" s="1281">
        <v>0</v>
      </c>
      <c r="M76" s="1281">
        <f t="shared" si="25"/>
        <v>0</v>
      </c>
      <c r="N76" s="1281">
        <f t="shared" si="25"/>
        <v>0</v>
      </c>
      <c r="AA76" s="2884"/>
      <c r="AB76" s="1367"/>
      <c r="AC76" s="1367"/>
      <c r="AD76" s="1367"/>
      <c r="AE76" s="1367"/>
      <c r="AF76" s="1367"/>
      <c r="AG76" s="1367"/>
      <c r="AH76" s="2884"/>
      <c r="AI76" s="2884"/>
      <c r="AJ76" s="2884"/>
      <c r="AK76" s="2884"/>
    </row>
    <row r="77" spans="1:37" ht="38.25">
      <c r="A77" s="2873" t="s">
        <v>2958</v>
      </c>
      <c r="B77" s="2876" t="str">
        <f>估价对象房地状况!C20</f>
        <v>区域自然环境：；人文环境；综合评价环境状况一般</v>
      </c>
      <c r="C77" s="2765"/>
      <c r="D77" s="1282">
        <f t="shared" si="21"/>
        <v>0</v>
      </c>
      <c r="E77" s="822"/>
      <c r="F77" s="2496"/>
      <c r="G77" s="1280"/>
      <c r="H77" s="1284" t="str">
        <f t="shared" si="22"/>
        <v>——</v>
      </c>
      <c r="I77" s="816">
        <v>0.15</v>
      </c>
      <c r="J77" s="1281">
        <f t="shared" si="23"/>
        <v>0</v>
      </c>
      <c r="K77" s="1281">
        <f t="shared" si="24"/>
        <v>0</v>
      </c>
      <c r="L77" s="1281">
        <v>0</v>
      </c>
      <c r="M77" s="1281">
        <f t="shared" si="25"/>
        <v>0</v>
      </c>
      <c r="N77" s="1281">
        <f t="shared" si="25"/>
        <v>0</v>
      </c>
      <c r="Z77" s="2715"/>
      <c r="AA77" s="2791"/>
      <c r="AG77" s="1368"/>
      <c r="AK77" s="2791"/>
    </row>
    <row r="78" spans="1:37" ht="24.75" thickBot="1">
      <c r="A78" s="2881" t="s">
        <v>2965</v>
      </c>
      <c r="B78" s="2885"/>
      <c r="C78" s="2765"/>
      <c r="D78" s="1282">
        <f t="shared" si="21"/>
        <v>0</v>
      </c>
      <c r="E78" s="823"/>
      <c r="F78" s="2496"/>
      <c r="G78" s="1280"/>
      <c r="H78" s="1284" t="str">
        <f t="shared" si="22"/>
        <v>——</v>
      </c>
      <c r="I78" s="820">
        <v>0.04</v>
      </c>
      <c r="J78" s="1281">
        <f t="shared" si="23"/>
        <v>0</v>
      </c>
      <c r="K78" s="1281">
        <f t="shared" si="24"/>
        <v>0</v>
      </c>
      <c r="L78" s="1281">
        <v>0</v>
      </c>
      <c r="M78" s="1281">
        <f t="shared" si="25"/>
        <v>0</v>
      </c>
      <c r="N78" s="1281">
        <f t="shared" si="25"/>
        <v>0</v>
      </c>
      <c r="Z78" s="2715"/>
      <c r="AA78" s="2791"/>
      <c r="AG78" s="1368"/>
      <c r="AK78" s="2791"/>
    </row>
    <row r="79" spans="1:37" ht="15">
      <c r="A79" s="2869" t="s">
        <v>2966</v>
      </c>
      <c r="B79" s="2870">
        <f>1+E81</f>
        <v>1</v>
      </c>
      <c r="C79" s="810"/>
      <c r="D79" s="810"/>
      <c r="E79" s="811"/>
      <c r="F79" s="2872"/>
      <c r="G79" s="6"/>
      <c r="H79" s="6"/>
      <c r="I79" s="6"/>
      <c r="J79" s="7"/>
      <c r="K79" s="7"/>
      <c r="L79" s="7"/>
      <c r="M79" s="7"/>
      <c r="N79" s="7"/>
      <c r="Z79" s="2715"/>
      <c r="AA79" s="2791"/>
      <c r="AG79" s="1368"/>
      <c r="AK79" s="2791"/>
    </row>
    <row r="80" spans="1:37" ht="24.75">
      <c r="A80" s="2873" t="s">
        <v>2940</v>
      </c>
      <c r="B80" s="1804"/>
      <c r="C80" s="1804" t="s">
        <v>2942</v>
      </c>
      <c r="D80" s="1804" t="s">
        <v>2943</v>
      </c>
      <c r="E80" s="815" t="s">
        <v>2944</v>
      </c>
      <c r="F80" s="2874" t="s">
        <v>2960</v>
      </c>
      <c r="G80" s="1804" t="s">
        <v>754</v>
      </c>
      <c r="H80" s="2875" t="s">
        <v>2946</v>
      </c>
      <c r="I80" s="1804" t="s">
        <v>2947</v>
      </c>
      <c r="J80" s="603" t="s">
        <v>2597</v>
      </c>
      <c r="K80" s="603" t="s">
        <v>2598</v>
      </c>
      <c r="L80" s="603" t="s">
        <v>2599</v>
      </c>
      <c r="M80" s="603" t="s">
        <v>2600</v>
      </c>
      <c r="N80" s="603" t="s">
        <v>2601</v>
      </c>
      <c r="Z80" s="2715"/>
      <c r="AA80" s="2791"/>
      <c r="AG80" s="1368"/>
      <c r="AK80" s="2791"/>
    </row>
    <row r="81" spans="1:37" ht="38.25">
      <c r="A81" s="2873" t="s">
        <v>2967</v>
      </c>
      <c r="B81" s="2877" t="str">
        <f>估价对象房地状况!G15</f>
        <v>估价对象位于XX开发区，园区建设成熟度XX，产业集聚程度XX</v>
      </c>
      <c r="C81" s="2765"/>
      <c r="D81" s="1282">
        <f t="shared" ref="D81:D88" si="26">SUMIF($J$80:$N$80,C81,J81:N81)</f>
        <v>0</v>
      </c>
      <c r="E81" s="817">
        <f>ROUND(SUM(D81:D88),4)</f>
        <v>0</v>
      </c>
      <c r="F81" s="2496"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5"/>
      <c r="AA81" s="2791"/>
      <c r="AG81" s="1368"/>
      <c r="AK81" s="2791"/>
    </row>
    <row r="82" spans="1:37" ht="51">
      <c r="A82" s="2873" t="s">
        <v>2949</v>
      </c>
      <c r="B82" s="2877" t="str">
        <f>估价对象房地状况!G16</f>
        <v>估价对象周边道路状况、公共交通通达情况、停车便捷程度，综合评价交通便捷度较好</v>
      </c>
      <c r="C82" s="2765"/>
      <c r="D82" s="1282">
        <f t="shared" si="26"/>
        <v>0</v>
      </c>
      <c r="E82" s="822"/>
      <c r="F82" s="2496"/>
      <c r="G82" s="1280"/>
      <c r="H82" s="1284" t="str">
        <f t="shared" si="27"/>
        <v>——</v>
      </c>
      <c r="I82" s="816">
        <v>0.33</v>
      </c>
      <c r="J82" s="1281">
        <f t="shared" si="28"/>
        <v>0</v>
      </c>
      <c r="K82" s="1281">
        <f t="shared" si="29"/>
        <v>0</v>
      </c>
      <c r="L82" s="1281">
        <v>0</v>
      </c>
      <c r="M82" s="1281">
        <f t="shared" si="30"/>
        <v>0</v>
      </c>
      <c r="N82" s="1281">
        <f t="shared" si="30"/>
        <v>0</v>
      </c>
      <c r="Z82" s="2715"/>
      <c r="AA82" s="2791"/>
      <c r="AG82" s="1368"/>
      <c r="AK82" s="2791"/>
    </row>
    <row r="83" spans="1:37" ht="24">
      <c r="A83" s="2873" t="s">
        <v>2950</v>
      </c>
      <c r="B83" s="2877">
        <f>估价对象房地状况!G17</f>
        <v>0</v>
      </c>
      <c r="C83" s="2765"/>
      <c r="D83" s="1282">
        <f t="shared" si="26"/>
        <v>0</v>
      </c>
      <c r="E83" s="822"/>
      <c r="F83" s="2496"/>
      <c r="G83" s="1280"/>
      <c r="H83" s="1284" t="str">
        <f t="shared" si="27"/>
        <v>——</v>
      </c>
      <c r="I83" s="816">
        <v>0.05</v>
      </c>
      <c r="J83" s="1281">
        <f t="shared" si="28"/>
        <v>0</v>
      </c>
      <c r="K83" s="1281">
        <f t="shared" si="29"/>
        <v>0</v>
      </c>
      <c r="L83" s="1281">
        <v>0</v>
      </c>
      <c r="M83" s="1281">
        <f t="shared" si="30"/>
        <v>0</v>
      </c>
      <c r="N83" s="1281">
        <f t="shared" si="30"/>
        <v>0</v>
      </c>
      <c r="Z83" s="2715"/>
      <c r="AA83" s="2791"/>
      <c r="AG83" s="1368"/>
      <c r="AK83" s="2791"/>
    </row>
    <row r="84" spans="1:37" ht="14.25">
      <c r="A84" s="2873" t="s">
        <v>2964</v>
      </c>
      <c r="B84" s="2877">
        <f>估价对象房地状况!G22</f>
        <v>0</v>
      </c>
      <c r="C84" s="2765"/>
      <c r="D84" s="1282">
        <f t="shared" si="26"/>
        <v>0</v>
      </c>
      <c r="E84" s="822"/>
      <c r="F84" s="2496"/>
      <c r="G84" s="1280"/>
      <c r="H84" s="1284" t="str">
        <f t="shared" si="27"/>
        <v>——</v>
      </c>
      <c r="I84" s="816">
        <v>0.04</v>
      </c>
      <c r="J84" s="1281">
        <f t="shared" si="28"/>
        <v>0</v>
      </c>
      <c r="K84" s="1281">
        <f t="shared" si="29"/>
        <v>0</v>
      </c>
      <c r="L84" s="1281">
        <v>0</v>
      </c>
      <c r="M84" s="1281">
        <f t="shared" si="30"/>
        <v>0</v>
      </c>
      <c r="N84" s="1281">
        <f t="shared" si="30"/>
        <v>0</v>
      </c>
      <c r="Z84" s="2715"/>
      <c r="AA84" s="2791"/>
      <c r="AG84" s="1368"/>
      <c r="AK84" s="2791"/>
    </row>
    <row r="85" spans="1:37" ht="25.5">
      <c r="A85" s="2873" t="s">
        <v>2956</v>
      </c>
      <c r="B85" s="1721" t="str">
        <f>估价对象房地状况!G19</f>
        <v>估价对象所在区域公共配套设施齐备情况</v>
      </c>
      <c r="C85" s="2765"/>
      <c r="D85" s="1282">
        <f t="shared" si="26"/>
        <v>0</v>
      </c>
      <c r="E85" s="822"/>
      <c r="F85" s="2496"/>
      <c r="G85" s="1280"/>
      <c r="H85" s="1284" t="str">
        <f t="shared" si="27"/>
        <v>——</v>
      </c>
      <c r="I85" s="816">
        <v>0.06</v>
      </c>
      <c r="J85" s="1281">
        <f t="shared" si="28"/>
        <v>0</v>
      </c>
      <c r="K85" s="1281">
        <f t="shared" si="29"/>
        <v>0</v>
      </c>
      <c r="L85" s="1281">
        <v>0</v>
      </c>
      <c r="M85" s="1281">
        <f t="shared" si="30"/>
        <v>0</v>
      </c>
      <c r="N85" s="1281">
        <f t="shared" si="30"/>
        <v>0</v>
      </c>
      <c r="Z85" s="2715"/>
      <c r="AA85" s="2791"/>
      <c r="AG85" s="1368"/>
      <c r="AK85" s="2791"/>
    </row>
    <row r="86" spans="1:37" ht="25.5">
      <c r="A86" s="2873" t="s">
        <v>2957</v>
      </c>
      <c r="B86" s="1721" t="str">
        <f>估价对象房地状况!G20</f>
        <v>估价对象所在区域基础设施水平</v>
      </c>
      <c r="C86" s="2765"/>
      <c r="D86" s="1282">
        <f t="shared" si="26"/>
        <v>0</v>
      </c>
      <c r="E86" s="822"/>
      <c r="F86" s="2496"/>
      <c r="G86" s="1280"/>
      <c r="H86" s="1284" t="str">
        <f t="shared" si="27"/>
        <v>——</v>
      </c>
      <c r="I86" s="816">
        <v>0.15</v>
      </c>
      <c r="J86" s="1281">
        <f t="shared" si="28"/>
        <v>0</v>
      </c>
      <c r="K86" s="1281">
        <f t="shared" si="29"/>
        <v>0</v>
      </c>
      <c r="L86" s="1281">
        <v>0</v>
      </c>
      <c r="M86" s="1281">
        <f t="shared" si="30"/>
        <v>0</v>
      </c>
      <c r="N86" s="1281">
        <f t="shared" si="30"/>
        <v>0</v>
      </c>
      <c r="Z86" s="2715"/>
      <c r="AA86" s="2791"/>
      <c r="AG86" s="1368"/>
      <c r="AK86" s="2791"/>
    </row>
    <row r="87" spans="1:37" ht="24">
      <c r="A87" s="2873" t="s">
        <v>2954</v>
      </c>
      <c r="B87" s="2879" t="s">
        <v>2968</v>
      </c>
      <c r="C87" s="2765"/>
      <c r="D87" s="1282">
        <f t="shared" si="26"/>
        <v>0</v>
      </c>
      <c r="E87" s="822"/>
      <c r="F87" s="2496"/>
      <c r="G87" s="1280"/>
      <c r="H87" s="1284" t="str">
        <f t="shared" si="27"/>
        <v>——</v>
      </c>
      <c r="I87" s="816">
        <v>0.05</v>
      </c>
      <c r="J87" s="1281">
        <f t="shared" si="28"/>
        <v>0</v>
      </c>
      <c r="K87" s="1281">
        <f t="shared" si="29"/>
        <v>0</v>
      </c>
      <c r="L87" s="1281">
        <v>0</v>
      </c>
      <c r="M87" s="1281">
        <f t="shared" si="30"/>
        <v>0</v>
      </c>
      <c r="N87" s="1281">
        <f t="shared" si="30"/>
        <v>0</v>
      </c>
      <c r="Z87" s="2715"/>
      <c r="AA87" s="2791"/>
      <c r="AG87" s="1368"/>
      <c r="AK87" s="2791"/>
    </row>
    <row r="88" spans="1:37" ht="39" thickBot="1">
      <c r="A88" s="2881" t="s">
        <v>2969</v>
      </c>
      <c r="B88" s="2886" t="str">
        <f>估价对象房地状况!G18</f>
        <v>该园区内是否有污染型企业，绿化情况，卫生条件，整体环境状况判断</v>
      </c>
      <c r="C88" s="2765"/>
      <c r="D88" s="1282">
        <f t="shared" si="26"/>
        <v>0</v>
      </c>
      <c r="E88" s="823"/>
      <c r="F88" s="2496"/>
      <c r="G88" s="1280"/>
      <c r="H88" s="1284" t="str">
        <f t="shared" si="27"/>
        <v>——</v>
      </c>
      <c r="I88" s="820">
        <v>0.06</v>
      </c>
      <c r="J88" s="1281">
        <f t="shared" si="28"/>
        <v>0</v>
      </c>
      <c r="K88" s="1281">
        <f t="shared" si="29"/>
        <v>0</v>
      </c>
      <c r="L88" s="1281">
        <v>0</v>
      </c>
      <c r="M88" s="1281">
        <f t="shared" si="30"/>
        <v>0</v>
      </c>
      <c r="N88" s="1281">
        <f t="shared" si="30"/>
        <v>0</v>
      </c>
      <c r="Z88" s="2715"/>
      <c r="AA88" s="2791"/>
      <c r="AG88" s="1368"/>
      <c r="AK88" s="2791"/>
    </row>
    <row r="90" spans="1:37">
      <c r="A90" s="3276" t="s">
        <v>2970</v>
      </c>
      <c r="B90" s="3276"/>
      <c r="C90" s="3276"/>
      <c r="D90" s="3276"/>
      <c r="E90" s="3276"/>
      <c r="F90" s="3276"/>
      <c r="G90" s="3276"/>
      <c r="H90" s="3276"/>
      <c r="I90" s="3276"/>
      <c r="J90" s="3276"/>
      <c r="K90" s="2887"/>
      <c r="L90" s="2887"/>
      <c r="M90" s="2887"/>
      <c r="N90" s="2887"/>
    </row>
    <row r="91" spans="1:37">
      <c r="A91" s="3278" t="s">
        <v>2971</v>
      </c>
      <c r="B91" s="3278" t="s">
        <v>2972</v>
      </c>
      <c r="C91" s="2841" t="s">
        <v>2973</v>
      </c>
      <c r="D91" s="2842"/>
      <c r="E91" s="2842"/>
      <c r="F91" s="2842"/>
      <c r="G91" s="2842"/>
      <c r="H91" s="2842"/>
      <c r="I91" s="2842"/>
      <c r="J91" s="2888"/>
      <c r="K91" s="2889"/>
      <c r="L91" s="2889"/>
      <c r="M91" s="2889"/>
      <c r="N91" s="2889"/>
    </row>
    <row r="92" spans="1:37">
      <c r="A92" s="3278"/>
      <c r="B92" s="3278"/>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79"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0"/>
      <c r="B99" s="2890" t="s">
        <v>2855</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8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9" t="s">
        <v>2975</v>
      </c>
      <c r="B101" s="2894" t="s">
        <v>2976</v>
      </c>
      <c r="C101" s="2895">
        <f>$G$3</f>
        <v>4.1900000000000004</v>
      </c>
      <c r="D101" s="2895">
        <f t="shared" ref="D101:N101" si="32">$G$3</f>
        <v>4.1900000000000004</v>
      </c>
      <c r="E101" s="2895">
        <f t="shared" si="32"/>
        <v>4.1900000000000004</v>
      </c>
      <c r="F101" s="2895">
        <f t="shared" si="32"/>
        <v>4.1900000000000004</v>
      </c>
      <c r="G101" s="2895">
        <f t="shared" si="32"/>
        <v>4.1900000000000004</v>
      </c>
      <c r="H101" s="2895">
        <f t="shared" si="32"/>
        <v>4.1900000000000004</v>
      </c>
      <c r="I101" s="2895">
        <f t="shared" si="32"/>
        <v>4.1900000000000004</v>
      </c>
      <c r="J101" s="2895">
        <f t="shared" si="32"/>
        <v>4.1900000000000004</v>
      </c>
      <c r="K101" s="2895">
        <f t="shared" si="32"/>
        <v>4.1900000000000004</v>
      </c>
      <c r="L101" s="2895">
        <f t="shared" si="32"/>
        <v>4.1900000000000004</v>
      </c>
      <c r="M101" s="2895">
        <f t="shared" si="32"/>
        <v>4.1900000000000004</v>
      </c>
      <c r="N101" s="2895">
        <f t="shared" si="32"/>
        <v>4.1900000000000004</v>
      </c>
    </row>
    <row r="102" spans="1:14">
      <c r="A102" s="3280"/>
      <c r="B102" s="2890">
        <v>1</v>
      </c>
      <c r="C102" s="2891">
        <f>1.9362/C101</f>
        <v>0.46210023866348443</v>
      </c>
      <c r="D102" s="2891">
        <f>1.9362/D101</f>
        <v>0.46210023866348443</v>
      </c>
      <c r="E102" s="2891">
        <f>1.8629/E101</f>
        <v>0.44460620525059663</v>
      </c>
      <c r="F102" s="2891">
        <f>1.8629/F101</f>
        <v>0.44460620525059663</v>
      </c>
      <c r="G102" s="2891">
        <f>1.8629/G101</f>
        <v>0.44460620525059663</v>
      </c>
      <c r="H102" s="2891">
        <f>1.8629/H101</f>
        <v>0.44460620525059663</v>
      </c>
      <c r="I102" s="2891">
        <f>1.8629/I101</f>
        <v>0.44460620525059663</v>
      </c>
      <c r="J102" s="2891">
        <f>1.942/J101</f>
        <v>0.46348448687350829</v>
      </c>
      <c r="K102" s="2891">
        <f>1.942/K101</f>
        <v>0.46348448687350829</v>
      </c>
      <c r="L102" s="2891">
        <f>1.942/L101</f>
        <v>0.46348448687350829</v>
      </c>
      <c r="M102" s="2891">
        <f>1.942/M101</f>
        <v>0.46348448687350829</v>
      </c>
      <c r="N102" s="2891">
        <f>1.942/N101</f>
        <v>0.46348448687350829</v>
      </c>
    </row>
    <row r="103" spans="1:14">
      <c r="A103" s="3280"/>
      <c r="B103" s="2890">
        <v>2</v>
      </c>
      <c r="C103" s="2891">
        <f>1.4198/C101</f>
        <v>0.33885441527446297</v>
      </c>
      <c r="D103" s="2891">
        <f>1.4198/D101</f>
        <v>0.33885441527446297</v>
      </c>
      <c r="E103" s="2891">
        <f>1.3372/E101</f>
        <v>0.31914081145584722</v>
      </c>
      <c r="F103" s="2891">
        <f>1.3372/F101</f>
        <v>0.31914081145584722</v>
      </c>
      <c r="G103" s="2891">
        <f>1.3372/G101</f>
        <v>0.31914081145584722</v>
      </c>
      <c r="H103" s="2891">
        <f>1.3372/H101</f>
        <v>0.31914081145584722</v>
      </c>
      <c r="I103" s="2891">
        <f>1.3372/I101</f>
        <v>0.31914081145584722</v>
      </c>
      <c r="J103" s="2891">
        <f>1.2799/J101</f>
        <v>0.30546539379474941</v>
      </c>
      <c r="K103" s="2891">
        <f>1.2799/K101</f>
        <v>0.30546539379474941</v>
      </c>
      <c r="L103" s="2891">
        <f>1.2799/L101</f>
        <v>0.30546539379474941</v>
      </c>
      <c r="M103" s="2891">
        <f>1.2799/M101</f>
        <v>0.30546539379474941</v>
      </c>
      <c r="N103" s="2891">
        <f>1.2799/N101</f>
        <v>0.30546539379474941</v>
      </c>
    </row>
    <row r="104" spans="1:14">
      <c r="A104" s="3280"/>
      <c r="B104" s="2890">
        <v>3</v>
      </c>
      <c r="C104" s="2891">
        <f>1.1594/C101</f>
        <v>0.27670644391408111</v>
      </c>
      <c r="D104" s="2891">
        <f>1.1594/D101</f>
        <v>0.27670644391408111</v>
      </c>
      <c r="E104" s="2891">
        <f>1.0788/E101</f>
        <v>0.25747016706443909</v>
      </c>
      <c r="F104" s="2891">
        <f>1.0788/F101</f>
        <v>0.25747016706443909</v>
      </c>
      <c r="G104" s="2891">
        <f>1.0788/G101</f>
        <v>0.25747016706443909</v>
      </c>
      <c r="H104" s="2891">
        <f>1.0788/H101</f>
        <v>0.25747016706443909</v>
      </c>
      <c r="I104" s="2891">
        <f>1.0788/I101</f>
        <v>0.25747016706443909</v>
      </c>
      <c r="J104" s="2891">
        <f>1.0072/J101</f>
        <v>0.24038186157517899</v>
      </c>
      <c r="K104" s="2891">
        <f>1.0072/K101</f>
        <v>0.24038186157517899</v>
      </c>
      <c r="L104" s="2891">
        <f>1.0072/L101</f>
        <v>0.24038186157517899</v>
      </c>
      <c r="M104" s="2891">
        <f>1.0072/M101</f>
        <v>0.24038186157517899</v>
      </c>
      <c r="N104" s="2891">
        <f>1.0072/N101</f>
        <v>0.24038186157517899</v>
      </c>
    </row>
    <row r="105" spans="1:14">
      <c r="A105" s="3280"/>
      <c r="B105" s="2890">
        <v>4</v>
      </c>
      <c r="C105" s="2891">
        <f>0.9622/C101</f>
        <v>0.22964200477326968</v>
      </c>
      <c r="D105" s="2891">
        <f>0.9622/D101</f>
        <v>0.22964200477326968</v>
      </c>
      <c r="E105" s="2891">
        <f>0.8656/E101</f>
        <v>0.2065871121718377</v>
      </c>
      <c r="F105" s="2891">
        <f>0.8656/F101</f>
        <v>0.2065871121718377</v>
      </c>
      <c r="G105" s="2891">
        <f>0.8656/G101</f>
        <v>0.2065871121718377</v>
      </c>
      <c r="H105" s="2891">
        <f>0.8656/H101</f>
        <v>0.2065871121718377</v>
      </c>
      <c r="I105" s="2891">
        <f>0.8656/I101</f>
        <v>0.2065871121718377</v>
      </c>
      <c r="J105" s="2891">
        <f>0.7525/J101</f>
        <v>0.1795942720763723</v>
      </c>
      <c r="K105" s="2891">
        <f>0.7525/K101</f>
        <v>0.1795942720763723</v>
      </c>
      <c r="L105" s="2891">
        <f>0.7525/L101</f>
        <v>0.1795942720763723</v>
      </c>
      <c r="M105" s="2891">
        <f>0.7525/M101</f>
        <v>0.1795942720763723</v>
      </c>
      <c r="N105" s="2891">
        <f>0.7525/N101</f>
        <v>0.1795942720763723</v>
      </c>
    </row>
    <row r="106" spans="1:14">
      <c r="A106" s="3280"/>
      <c r="B106" s="2890">
        <v>5</v>
      </c>
      <c r="C106" s="2891">
        <f>0.8417/C101</f>
        <v>0.20088305489260141</v>
      </c>
      <c r="D106" s="2891">
        <f>0.8417/D101</f>
        <v>0.20088305489260141</v>
      </c>
      <c r="E106" s="2891">
        <f>0.7371/E101</f>
        <v>0.17591885441527444</v>
      </c>
      <c r="F106" s="2891">
        <f>0.7371/F101</f>
        <v>0.17591885441527444</v>
      </c>
      <c r="G106" s="2891">
        <f>0.7371/G101</f>
        <v>0.17591885441527444</v>
      </c>
      <c r="H106" s="2891">
        <f>0.7371/H101</f>
        <v>0.17591885441527444</v>
      </c>
      <c r="I106" s="2891">
        <f>0.7371/I101</f>
        <v>0.17591885441527444</v>
      </c>
      <c r="J106" s="2891">
        <f>0.5659/J101</f>
        <v>0.1350596658711217</v>
      </c>
      <c r="K106" s="2891">
        <f>0.5659/K101</f>
        <v>0.1350596658711217</v>
      </c>
      <c r="L106" s="2891">
        <f>0.5659/L101</f>
        <v>0.1350596658711217</v>
      </c>
      <c r="M106" s="2891">
        <f>0.5659/M101</f>
        <v>0.1350596658711217</v>
      </c>
      <c r="N106" s="2891">
        <f>0.5659/N101</f>
        <v>0.1350596658711217</v>
      </c>
    </row>
    <row r="107" spans="1:14">
      <c r="A107" s="3280"/>
      <c r="B107" s="2890">
        <v>6</v>
      </c>
      <c r="C107" s="2891">
        <f>0.7608/C101</f>
        <v>0.18157517899761336</v>
      </c>
      <c r="D107" s="2891">
        <f>0.7608/D101</f>
        <v>0.18157517899761336</v>
      </c>
      <c r="E107" s="2891">
        <f>0.6482/E101</f>
        <v>0.15470167064439139</v>
      </c>
      <c r="F107" s="2891">
        <f>0.6482/F101</f>
        <v>0.15470167064439139</v>
      </c>
      <c r="G107" s="2891">
        <f>0.6482/G101</f>
        <v>0.15470167064439139</v>
      </c>
      <c r="H107" s="2891">
        <f>0.6482/H101</f>
        <v>0.15470167064439139</v>
      </c>
      <c r="I107" s="2891">
        <f>0.6482/I101</f>
        <v>0.15470167064439139</v>
      </c>
      <c r="J107" s="2891">
        <f>0.4525/J101</f>
        <v>0.10799522673031026</v>
      </c>
      <c r="K107" s="2891">
        <f>0.4525/K101</f>
        <v>0.10799522673031026</v>
      </c>
      <c r="L107" s="2891">
        <f>0.4525/L101</f>
        <v>0.10799522673031026</v>
      </c>
      <c r="M107" s="2891">
        <f>0.4525/M101</f>
        <v>0.10799522673031026</v>
      </c>
      <c r="N107" s="2891">
        <f>0.4525/N101</f>
        <v>0.10799522673031026</v>
      </c>
    </row>
    <row r="108" spans="1:14">
      <c r="A108" s="3280"/>
      <c r="B108" s="3149"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81"/>
      <c r="B109" s="3150"/>
      <c r="C109" s="2893">
        <f>(-0.163*(C108^2)-0.59*C108+7617)*(10^(-4))/C101</f>
        <v>0.18178997613365155</v>
      </c>
      <c r="D109" s="2893">
        <f>(-0.163*(D108^2)-0.59*D108+7617)*(10^(-4))/D101</f>
        <v>0.18178997613365155</v>
      </c>
      <c r="E109" s="2893">
        <f>(-0.161*(E108^2)-7.509*E108+6533)*(10^(-4))/E101</f>
        <v>0.15591885441527445</v>
      </c>
      <c r="F109" s="2893">
        <f>(-0.161*(F108^2)-7.509*F108+6533)*(10^(-4))/F101</f>
        <v>0.15591885441527445</v>
      </c>
      <c r="G109" s="2893">
        <f>(-0.161*(G108^2)-7.509*G108+6533)*(10^(-4))/G101</f>
        <v>0.15591885441527445</v>
      </c>
      <c r="H109" s="2893">
        <f>(-0.161*(H108^2)-7.509*H108+6533)*(10^(-4))/H101</f>
        <v>0.15591885441527445</v>
      </c>
      <c r="I109" s="2893">
        <f>(-0.161*(I108^2)-7.509*I108+6533)*(10^(-4))/I101</f>
        <v>0.15591885441527445</v>
      </c>
      <c r="J109" s="2893">
        <f>(-0.214*(J108^2)-21.991*J108+4665)*(10^(-4))/J101</f>
        <v>0.11133651551312648</v>
      </c>
      <c r="K109" s="2893">
        <f>(-0.214*(K108^2)-21.991*K108+4665)*(10^(-4))/K101</f>
        <v>0.11133651551312648</v>
      </c>
      <c r="L109" s="2893">
        <f>(-0.214*(L108^2)-21.991*L108+4665)*(10^(-4))/L101</f>
        <v>0.11133651551312648</v>
      </c>
      <c r="M109" s="2893">
        <f>(-0.214*(M108^2)-21.991*M108+4665)*(10^(-4))/M101</f>
        <v>0.11133651551312648</v>
      </c>
      <c r="N109" s="2893">
        <f>(-0.214*(N108^2)-21.991*N108+4665)*(10^(-4))/N101</f>
        <v>0.11133651551312648</v>
      </c>
    </row>
    <row r="110" spans="1:14">
      <c r="A110" s="3277" t="s">
        <v>2978</v>
      </c>
      <c r="B110" s="3277"/>
      <c r="C110" s="3277"/>
      <c r="D110" s="3277"/>
      <c r="E110" s="3277"/>
      <c r="F110" s="3277"/>
      <c r="G110" s="3277"/>
      <c r="H110" s="3277"/>
      <c r="I110" s="3277"/>
      <c r="J110" s="3277"/>
      <c r="K110" s="2896"/>
      <c r="L110" s="2896"/>
      <c r="M110" s="2896"/>
      <c r="N110" s="2896"/>
    </row>
    <row r="112" spans="1:14" ht="13.5" thickBot="1"/>
    <row r="113" spans="1:13" ht="25.5" thickBot="1">
      <c r="A113" s="899" t="s">
        <v>2979</v>
      </c>
      <c r="B113" s="1283">
        <f>G3</f>
        <v>4.1900000000000004</v>
      </c>
      <c r="C113" s="900" t="s">
        <v>2980</v>
      </c>
      <c r="D113" s="901">
        <f>SUMPRODUCT((A115:A118=F113)*(B114:M114=H113)*B115:M118)</f>
        <v>0.80220000000000002</v>
      </c>
      <c r="E113" s="2719" t="s">
        <v>2813</v>
      </c>
      <c r="F113" s="2898" t="str">
        <f>E2</f>
        <v>办公</v>
      </c>
      <c r="G113" s="2719" t="s">
        <v>2814</v>
      </c>
      <c r="H113" s="2898" t="str">
        <f>G2</f>
        <v>五级</v>
      </c>
      <c r="I113" s="2719"/>
      <c r="J113" s="2899"/>
      <c r="K113" s="2899"/>
      <c r="L113" s="2899"/>
      <c r="M113" s="2899"/>
    </row>
    <row r="114" spans="1:13">
      <c r="A114" s="904"/>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5" t="s">
        <v>2877</v>
      </c>
      <c r="B115" s="906">
        <f>ROUND(0.9335-0.0094*B113,4)</f>
        <v>0.89410000000000001</v>
      </c>
      <c r="C115" s="906">
        <f>B115</f>
        <v>0.89410000000000001</v>
      </c>
      <c r="D115" s="906">
        <f>ROUND(0.8331-0.0109*B113,4)</f>
        <v>0.78739999999999999</v>
      </c>
      <c r="E115" s="906">
        <f>D115</f>
        <v>0.78739999999999999</v>
      </c>
      <c r="F115" s="906">
        <f>E115</f>
        <v>0.78739999999999999</v>
      </c>
      <c r="G115" s="906">
        <f>F115</f>
        <v>0.78739999999999999</v>
      </c>
      <c r="H115" s="906">
        <f>G115</f>
        <v>0.78739999999999999</v>
      </c>
      <c r="I115" s="906">
        <f>ROUND(0.689-0.0155*B113,4)</f>
        <v>0.62409999999999999</v>
      </c>
      <c r="J115" s="906">
        <f t="shared" ref="J115:M118" si="34">I115</f>
        <v>0.62409999999999999</v>
      </c>
      <c r="K115" s="906">
        <f t="shared" si="34"/>
        <v>0.62409999999999999</v>
      </c>
      <c r="L115" s="906">
        <f t="shared" si="34"/>
        <v>0.62409999999999999</v>
      </c>
      <c r="M115" s="907">
        <f t="shared" si="34"/>
        <v>0.62409999999999999</v>
      </c>
    </row>
    <row r="116" spans="1:13">
      <c r="A116" s="905" t="s">
        <v>2878</v>
      </c>
      <c r="B116" s="906">
        <f>ROUND(0.949-0.012*B113,4)</f>
        <v>0.89870000000000005</v>
      </c>
      <c r="C116" s="906">
        <f>B116</f>
        <v>0.89870000000000005</v>
      </c>
      <c r="D116" s="906">
        <f>ROUND(0.8567-0.013*B113,4)</f>
        <v>0.80220000000000002</v>
      </c>
      <c r="E116" s="906">
        <f t="shared" ref="E116:H117" si="35">D116</f>
        <v>0.80220000000000002</v>
      </c>
      <c r="F116" s="906">
        <f t="shared" si="35"/>
        <v>0.80220000000000002</v>
      </c>
      <c r="G116" s="906">
        <f t="shared" si="35"/>
        <v>0.80220000000000002</v>
      </c>
      <c r="H116" s="906">
        <f t="shared" si="35"/>
        <v>0.80220000000000002</v>
      </c>
      <c r="I116" s="906">
        <f>ROUND(0.7694-0.014*B113,4)</f>
        <v>0.7107</v>
      </c>
      <c r="J116" s="906">
        <f t="shared" si="34"/>
        <v>0.7107</v>
      </c>
      <c r="K116" s="906">
        <f t="shared" si="34"/>
        <v>0.7107</v>
      </c>
      <c r="L116" s="906">
        <f t="shared" si="34"/>
        <v>0.7107</v>
      </c>
      <c r="M116" s="907">
        <f t="shared" si="34"/>
        <v>0.7107</v>
      </c>
    </row>
    <row r="117" spans="1:13">
      <c r="A117" s="905" t="s">
        <v>2879</v>
      </c>
      <c r="B117" s="906">
        <f>ROUND(0.8808-0.006*B113,4)</f>
        <v>0.85570000000000002</v>
      </c>
      <c r="C117" s="906">
        <f>B117</f>
        <v>0.85570000000000002</v>
      </c>
      <c r="D117" s="906">
        <f>ROUND(0.8748-0.008*B113,4)</f>
        <v>0.84130000000000005</v>
      </c>
      <c r="E117" s="906">
        <f t="shared" si="35"/>
        <v>0.84130000000000005</v>
      </c>
      <c r="F117" s="906">
        <f t="shared" si="35"/>
        <v>0.84130000000000005</v>
      </c>
      <c r="G117" s="906">
        <f t="shared" si="35"/>
        <v>0.84130000000000005</v>
      </c>
      <c r="H117" s="906">
        <f t="shared" si="35"/>
        <v>0.84130000000000005</v>
      </c>
      <c r="I117" s="906">
        <f>ROUND(0.7412-0.0095*B113,4)</f>
        <v>0.70140000000000002</v>
      </c>
      <c r="J117" s="906">
        <f t="shared" si="34"/>
        <v>0.70140000000000002</v>
      </c>
      <c r="K117" s="906">
        <f t="shared" si="34"/>
        <v>0.70140000000000002</v>
      </c>
      <c r="L117" s="906">
        <f t="shared" si="34"/>
        <v>0.70140000000000002</v>
      </c>
      <c r="M117" s="907">
        <f t="shared" si="34"/>
        <v>0.70140000000000002</v>
      </c>
    </row>
    <row r="118" spans="1:13" ht="13.5" thickBot="1">
      <c r="A118" s="714" t="s">
        <v>2880</v>
      </c>
      <c r="B118" s="908">
        <f>ROUND(0.7275-0.01*B113,4)</f>
        <v>0.68559999999999999</v>
      </c>
      <c r="C118" s="908">
        <f>B118</f>
        <v>0.68559999999999999</v>
      </c>
      <c r="D118" s="908">
        <f>ROUND(0.7043-0.012*B113,4)</f>
        <v>0.65400000000000003</v>
      </c>
      <c r="E118" s="908">
        <f>D118</f>
        <v>0.65400000000000003</v>
      </c>
      <c r="F118" s="908">
        <f>E118</f>
        <v>0.65400000000000003</v>
      </c>
      <c r="G118" s="908">
        <f>ROUND(0.6299-0.0122*B113,4)</f>
        <v>0.57879999999999998</v>
      </c>
      <c r="H118" s="908">
        <f>G118</f>
        <v>0.57879999999999998</v>
      </c>
      <c r="I118" s="908">
        <f>ROUND(0.5667-0.0136*B113,4)</f>
        <v>0.50970000000000004</v>
      </c>
      <c r="J118" s="908">
        <f t="shared" si="34"/>
        <v>0.50970000000000004</v>
      </c>
      <c r="K118" s="908">
        <f t="shared" si="34"/>
        <v>0.50970000000000004</v>
      </c>
      <c r="L118" s="908">
        <f t="shared" si="34"/>
        <v>0.50970000000000004</v>
      </c>
      <c r="M118" s="909">
        <f t="shared" si="34"/>
        <v>0.50970000000000004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16" priority="5" stopIfTrue="1" operator="notEqual">
      <formula>"——"</formula>
    </cfRule>
  </conditionalFormatting>
  <conditionalFormatting sqref="F59">
    <cfRule type="cellIs" dxfId="115" priority="4" stopIfTrue="1" operator="notEqual">
      <formula>"——"</formula>
    </cfRule>
  </conditionalFormatting>
  <conditionalFormatting sqref="F70">
    <cfRule type="cellIs" dxfId="114" priority="3" stopIfTrue="1" operator="notEqual">
      <formula>"——"</formula>
    </cfRule>
  </conditionalFormatting>
  <conditionalFormatting sqref="F81">
    <cfRule type="cellIs" dxfId="113" priority="2" stopIfTrue="1" operator="notEqual">
      <formula>"——"</formula>
    </cfRule>
  </conditionalFormatting>
  <conditionalFormatting sqref="H48:H56 H59:H67 H70:H78 H81:H88">
    <cfRule type="cellIs" dxfId="1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5" sqref="J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3437</v>
      </c>
      <c r="D1" s="1815" t="s">
        <v>70</v>
      </c>
      <c r="E1" s="1816" t="s">
        <v>1387</v>
      </c>
      <c r="F1" s="1279">
        <f ca="1">J53</f>
        <v>42.95</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1551</v>
      </c>
      <c r="C2" s="1840" t="s">
        <v>1516</v>
      </c>
      <c r="D2" s="1840"/>
      <c r="E2" s="1841"/>
      <c r="F2" s="1842"/>
      <c r="G2" s="1843"/>
      <c r="H2" s="1835"/>
      <c r="I2" s="1835"/>
      <c r="J2" s="1835"/>
      <c r="K2" s="1836"/>
      <c r="L2" s="1835"/>
      <c r="M2" s="1835"/>
    </row>
    <row r="3" spans="1:37" ht="18" customHeight="1" thickBot="1">
      <c r="A3" s="1844" t="s">
        <v>1517</v>
      </c>
      <c r="B3" s="1845">
        <f ca="1">IF(ISERROR(B2*10000/F43),0,ROUND(B2*10000/F43,0))</f>
        <v>7578</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95</v>
      </c>
      <c r="D5" s="1817" t="s">
        <v>1402</v>
      </c>
      <c r="E5" s="1289"/>
      <c r="F5" s="1290"/>
      <c r="G5" s="1846"/>
      <c r="H5" s="344">
        <v>1</v>
      </c>
      <c r="I5" s="345" t="s">
        <v>1401</v>
      </c>
      <c r="J5" s="1288">
        <f ca="1">J6+J10+J12</f>
        <v>0</v>
      </c>
      <c r="K5" s="1817" t="s">
        <v>1402</v>
      </c>
      <c r="L5" s="1289"/>
      <c r="M5" s="1290"/>
    </row>
    <row r="6" spans="1:37" ht="18" customHeight="1">
      <c r="A6" s="1287" t="s">
        <v>1035</v>
      </c>
      <c r="B6" s="3264" t="s">
        <v>1403</v>
      </c>
      <c r="C6" s="1292">
        <f ca="1">ROUND(F6*F8*F7*(1-F9)/10000,0)</f>
        <v>95</v>
      </c>
      <c r="D6" s="164" t="s">
        <v>3023</v>
      </c>
      <c r="E6" s="347" t="s">
        <v>1405</v>
      </c>
      <c r="F6" s="348">
        <f ca="1">INDIRECT("'数据-取费表'!u"&amp;$G$1)</f>
        <v>1.5</v>
      </c>
      <c r="G6" s="1846"/>
      <c r="H6" s="1287" t="s">
        <v>1035</v>
      </c>
      <c r="I6" s="3264" t="s">
        <v>1403</v>
      </c>
      <c r="J6" s="346">
        <f ca="1">ROUND(M6*M8*M7*(1-M9)/10000,0)</f>
        <v>0</v>
      </c>
      <c r="K6" s="164" t="s">
        <v>3022</v>
      </c>
      <c r="L6" s="347" t="s">
        <v>1405</v>
      </c>
      <c r="M6" s="348">
        <f ca="1">INDIRECT("'数据-取费表'!z"&amp;$G$1)</f>
        <v>0</v>
      </c>
    </row>
    <row r="7" spans="1:37" ht="18" customHeight="1">
      <c r="A7" s="1291"/>
      <c r="B7" s="3265"/>
      <c r="C7" s="1293"/>
      <c r="D7" s="352"/>
      <c r="E7" s="2945" t="s">
        <v>1406</v>
      </c>
      <c r="F7" s="348">
        <f ca="1">IF(INDIRECT("'数据-取费表'!ah"&amp;$G$1)="",INDIRECT("'数据-取费表'!k"&amp;$G$1),INDIRECT("'数据-取费表'!ah"&amp;$G$1))</f>
        <v>2046.64</v>
      </c>
      <c r="G7" s="1846"/>
      <c r="H7" s="349"/>
      <c r="I7" s="3265"/>
      <c r="J7" s="351"/>
      <c r="K7" s="352"/>
      <c r="L7" s="347" t="s">
        <v>1406</v>
      </c>
      <c r="M7" s="348">
        <f ca="1">F7</f>
        <v>2046.64</v>
      </c>
    </row>
    <row r="8" spans="1:37" ht="18" customHeight="1">
      <c r="A8" s="349"/>
      <c r="B8" s="3265"/>
      <c r="C8" s="351"/>
      <c r="D8" s="352"/>
      <c r="E8" s="347" t="s">
        <v>1407</v>
      </c>
      <c r="F8" s="348">
        <f ca="1">INDIRECT("'数据-取费表'!ai"&amp;$G$1)</f>
        <v>365</v>
      </c>
      <c r="G8" s="1846"/>
      <c r="H8" s="349"/>
      <c r="I8" s="3265"/>
      <c r="J8" s="351"/>
      <c r="K8" s="352"/>
      <c r="L8" s="347" t="s">
        <v>1407</v>
      </c>
      <c r="M8" s="348">
        <f ca="1">INDIRECT("'数据-取费表'!ai"&amp;$G$1)</f>
        <v>365</v>
      </c>
    </row>
    <row r="9" spans="1:37" ht="18" customHeight="1">
      <c r="A9" s="349"/>
      <c r="B9" s="3266"/>
      <c r="C9" s="351"/>
      <c r="D9" s="352"/>
      <c r="E9" s="347" t="s">
        <v>1408</v>
      </c>
      <c r="F9" s="357">
        <f ca="1">INDIRECT("'数据-取费表'!w"&amp;$G$1)</f>
        <v>0.15</v>
      </c>
      <c r="G9" s="1846"/>
      <c r="H9" s="349"/>
      <c r="I9" s="3266"/>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3817</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752</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573</v>
      </c>
      <c r="D14" s="2954" t="s">
        <v>1418</v>
      </c>
      <c r="E14" s="2953"/>
      <c r="F14" s="364"/>
      <c r="G14" s="1846"/>
      <c r="H14" s="1197" t="s">
        <v>1035</v>
      </c>
      <c r="I14" s="347" t="s">
        <v>1419</v>
      </c>
      <c r="J14" s="24">
        <f ca="1">C29</f>
        <v>775</v>
      </c>
      <c r="K14" s="2944"/>
      <c r="L14" s="977"/>
      <c r="M14" s="978"/>
    </row>
    <row r="15" spans="1:37" s="1853" customFormat="1" ht="18" customHeight="1" thickBot="1">
      <c r="A15" s="1197" t="s">
        <v>1036</v>
      </c>
      <c r="B15" s="347" t="s">
        <v>1420</v>
      </c>
      <c r="C15" s="24">
        <f ca="1">ROUND(C14*F15,0)</f>
        <v>17</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18</v>
      </c>
      <c r="K16" s="1333" t="s">
        <v>1425</v>
      </c>
      <c r="L16" s="2958"/>
      <c r="M16" s="1290"/>
    </row>
    <row r="17" spans="1:37" s="1853" customFormat="1" ht="18" customHeight="1">
      <c r="A17" s="1197" t="s">
        <v>1390</v>
      </c>
      <c r="B17" s="347" t="s">
        <v>1426</v>
      </c>
      <c r="C17" s="24">
        <f ca="1">ROUND(F17*(F43+INDIRECT("'数据-取费表'!S"&amp;$G$1))/10000,0)</f>
        <v>41</v>
      </c>
      <c r="D17" s="347" t="s">
        <v>1427</v>
      </c>
      <c r="E17" s="347" t="s">
        <v>1428</v>
      </c>
      <c r="F17" s="26">
        <f>'数据-取费表'!B35</f>
        <v>200</v>
      </c>
      <c r="G17" s="1849"/>
      <c r="H17" s="1197" t="s">
        <v>1035</v>
      </c>
      <c r="I17" s="347" t="s">
        <v>1429</v>
      </c>
      <c r="J17" s="24">
        <f ca="1">ROUND(IF(项目基本情况!B11="自然人",J5*M17,J18+J19+J20),1)</f>
        <v>6.6</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9</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640</v>
      </c>
      <c r="D19" s="140" t="s">
        <v>1436</v>
      </c>
      <c r="E19" s="2942"/>
      <c r="F19" s="26"/>
      <c r="G19" s="1846"/>
      <c r="H19" s="1197" t="s">
        <v>1036</v>
      </c>
      <c r="I19" s="347" t="s">
        <v>1437</v>
      </c>
      <c r="J19" s="24">
        <f ca="1">IF(K19="按租金收入计税",ROUND(J5*M19,2),ROUND(C29*M19*0.7,2))</f>
        <v>6.51</v>
      </c>
      <c r="K19" s="1823" t="s">
        <v>1438</v>
      </c>
      <c r="L19" s="347" t="s">
        <v>1422</v>
      </c>
      <c r="M19" s="367">
        <f>IF(K19="按租金收入计税",'数据-取费表'!B51,'数据-取费表'!B50)</f>
        <v>1.2E-2</v>
      </c>
    </row>
    <row r="20" spans="1:37" s="1853" customFormat="1" ht="18" customHeight="1">
      <c r="A20" s="1197" t="s">
        <v>1039</v>
      </c>
      <c r="B20" s="347" t="s">
        <v>1439</v>
      </c>
      <c r="C20" s="24">
        <f ca="1">ROUND(C19*F20,0)</f>
        <v>13</v>
      </c>
      <c r="D20" s="369" t="s">
        <v>1440</v>
      </c>
      <c r="E20" s="347" t="s">
        <v>1422</v>
      </c>
      <c r="F20" s="367">
        <f>'数据-取费表'!B37</f>
        <v>0.02</v>
      </c>
      <c r="G20" s="1849"/>
      <c r="H20" s="1197" t="s">
        <v>1389</v>
      </c>
      <c r="I20" s="164" t="s">
        <v>1441</v>
      </c>
      <c r="J20" s="25">
        <f ca="1">ROUND(M20*M21/10000,2)</f>
        <v>0.11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361.25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11.6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-18</v>
      </c>
      <c r="K25" s="1341" t="s">
        <v>1464</v>
      </c>
      <c r="L25" s="1342"/>
      <c r="M25" s="1343"/>
    </row>
    <row r="26" spans="1:37">
      <c r="A26" s="1197" t="s">
        <v>1034</v>
      </c>
      <c r="B26" s="347" t="s">
        <v>1465</v>
      </c>
      <c r="C26" s="24">
        <f ca="1">ROUND((C19+C20)*F26,0)</f>
        <v>33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775</v>
      </c>
      <c r="D29" s="1338"/>
      <c r="E29" s="1336"/>
      <c r="F29" s="1339"/>
      <c r="G29" s="1849"/>
      <c r="H29" s="380" t="s">
        <v>1033</v>
      </c>
      <c r="I29" s="381" t="s">
        <v>1479</v>
      </c>
      <c r="J29" s="382">
        <f ca="1">ROUND(J26/(1+F40)^F41,0)</f>
        <v>0</v>
      </c>
      <c r="K29" s="383" t="s">
        <v>1480</v>
      </c>
      <c r="L29" s="384"/>
      <c r="M29" s="385">
        <f ca="1">INDIRECT("'数据-取费表'!k"&amp;$G$1)</f>
        <v>2046.64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30</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16.600000000000001</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5.07</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11.4</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0.11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361.25</v>
      </c>
      <c r="G35" s="1846"/>
      <c r="H35" s="745"/>
      <c r="I35" s="1855"/>
      <c r="J35" s="1856"/>
      <c r="K35" s="1857"/>
      <c r="L35" s="1854"/>
      <c r="M35" s="1854"/>
    </row>
    <row r="36" spans="1:18" ht="18" customHeight="1">
      <c r="A36" s="1348" t="s">
        <v>1039</v>
      </c>
      <c r="B36" s="347" t="s">
        <v>1449</v>
      </c>
      <c r="C36" s="24">
        <f ca="1">ROUND(C29*F36,1)</f>
        <v>11.6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1.1000000000000001</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1</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65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1543</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0.02</v>
      </c>
      <c r="G42" s="1846"/>
      <c r="H42" s="732"/>
      <c r="I42" s="1855"/>
      <c r="J42" s="1856"/>
      <c r="K42" s="751"/>
      <c r="L42" s="732"/>
      <c r="M42" s="732"/>
    </row>
    <row r="43" spans="1:18" ht="18" customHeight="1" thickBot="1">
      <c r="A43" s="380" t="s">
        <v>1033</v>
      </c>
      <c r="B43" s="381" t="s">
        <v>1487</v>
      </c>
      <c r="C43" s="382">
        <f ca="1">ROUND(C40*10000/F43,0)</f>
        <v>7539</v>
      </c>
      <c r="D43" s="383" t="s">
        <v>1488</v>
      </c>
      <c r="E43" s="384" t="s">
        <v>1489</v>
      </c>
      <c r="F43" s="385">
        <f ca="1">INDIRECT("'数据-取费表'!k"&amp;$G$1)</f>
        <v>2046.64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-2911</v>
      </c>
      <c r="D46" s="1867" t="str">
        <f>C2</f>
        <v>万元</v>
      </c>
      <c r="E46" s="1861"/>
      <c r="F46" s="1861"/>
      <c r="I46" s="1868" t="s">
        <v>1521</v>
      </c>
      <c r="J46" s="1869"/>
      <c r="K46" s="1870"/>
      <c r="L46" s="1871">
        <f ca="1">IF(M47="住宅",0,IF(L48&gt;J51,L60,J60))</f>
        <v>8</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1543</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8</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775</v>
      </c>
      <c r="R49" s="1881" t="s">
        <v>1529</v>
      </c>
    </row>
    <row r="50" spans="1:18" s="1837" customFormat="1" ht="13.5" thickBot="1">
      <c r="A50" s="1191"/>
      <c r="B50" s="1194"/>
      <c r="C50" s="1364"/>
      <c r="D50" s="1168"/>
      <c r="E50" s="1273" t="s">
        <v>1406</v>
      </c>
      <c r="F50" s="1274">
        <f ca="1">F7</f>
        <v>2046.64</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365</v>
      </c>
      <c r="I51" s="1893" t="s">
        <v>1540</v>
      </c>
      <c r="J51" s="1894">
        <f>IF(J49="",J50,J49+J50-YEAR('数据-取费表'!B2))</f>
        <v>58</v>
      </c>
      <c r="K51" s="1895" t="s">
        <v>1541</v>
      </c>
      <c r="L51" s="1896">
        <f ca="1">ROUND(-PV(INDIRECT("'数据-取费表'!h"&amp;$G$1),L48,(C39-C13*C76),0),0)</f>
        <v>20</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62" t="s">
        <v>1548</v>
      </c>
      <c r="L53" s="3263"/>
      <c r="O53" s="1879" t="s">
        <v>1046</v>
      </c>
      <c r="P53" s="1880" t="s">
        <v>1549</v>
      </c>
      <c r="Q53" s="1881">
        <f ca="1">Q47+Q48</f>
        <v>1551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752</v>
      </c>
      <c r="D56" s="1909"/>
      <c r="E56" s="1910"/>
      <c r="F56" s="1902"/>
      <c r="I56" s="1911" t="s">
        <v>1554</v>
      </c>
      <c r="J56" s="1912" t="s">
        <v>3049</v>
      </c>
      <c r="K56" s="1882" t="s">
        <v>1555</v>
      </c>
      <c r="L56" s="1885" t="str">
        <f ca="1">IF(L48&lt;J51,"——",L48-J53)</f>
        <v>——</v>
      </c>
      <c r="O56" s="1879" t="s">
        <v>1040</v>
      </c>
      <c r="P56" s="1880" t="s">
        <v>1528</v>
      </c>
      <c r="Q56" s="1881">
        <f ca="1">C40+J29</f>
        <v>1543</v>
      </c>
      <c r="R56" s="1881" t="s">
        <v>1529</v>
      </c>
    </row>
    <row r="57" spans="1:18" s="1837" customFormat="1" ht="24.75" thickBot="1">
      <c r="A57" s="1913"/>
      <c r="B57" s="1165" t="s">
        <v>1478</v>
      </c>
      <c r="C57" s="282">
        <f ca="1">C29</f>
        <v>775</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78</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65.2</v>
      </c>
      <c r="D59" s="1178" t="s">
        <v>1430</v>
      </c>
      <c r="E59" s="1179" t="s">
        <v>1431</v>
      </c>
      <c r="F59" s="368" t="str">
        <f ca="1">IF(项目基本情况!B11="企业","",IF(INDIRECT("'数据-取费表'!c"&amp;$G$1)="住宅",5%,IF(F49*F50*F51/12/(1+'数据-取费表'!C42)&gt;20000,12%,7%)))</f>
        <v/>
      </c>
      <c r="I59" s="1917" t="s">
        <v>1563</v>
      </c>
      <c r="J59" s="1918">
        <f ca="1">IF(OR(M47="住宅",J51&lt;L48,J56="是"),"——",ROUND(C29*J58,0))</f>
        <v>310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8</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65.099999999999994</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0.11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1543</v>
      </c>
      <c r="R62" s="1881" t="s">
        <v>1047</v>
      </c>
    </row>
    <row r="63" spans="1:18" s="1837" customFormat="1" ht="13.5" thickBot="1">
      <c r="A63" s="372"/>
      <c r="B63" s="1171"/>
      <c r="C63" s="29"/>
      <c r="D63" s="1181"/>
      <c r="E63" s="1165" t="s">
        <v>1447</v>
      </c>
      <c r="F63" s="348">
        <f t="shared" ca="1" si="0"/>
        <v>361.25</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11.6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1.1000000000000001</v>
      </c>
      <c r="D65" s="1179" t="s">
        <v>1454</v>
      </c>
      <c r="E65" s="1165" t="s">
        <v>1422</v>
      </c>
      <c r="F65" s="376">
        <f t="shared" ca="1" si="0"/>
        <v>1.5E-3</v>
      </c>
      <c r="I65" s="1924" t="s">
        <v>1579</v>
      </c>
      <c r="J65" s="1925">
        <v>40</v>
      </c>
      <c r="K65" s="1925">
        <v>30</v>
      </c>
      <c r="L65" s="1925">
        <v>50</v>
      </c>
      <c r="M65" s="1927">
        <v>0.02</v>
      </c>
      <c r="O65" s="1879" t="s">
        <v>1040</v>
      </c>
      <c r="P65" s="1880" t="s">
        <v>1528</v>
      </c>
      <c r="Q65" s="1881">
        <f ca="1">C40+J29</f>
        <v>1543</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-78</v>
      </c>
      <c r="D67" s="1178" t="s">
        <v>1464</v>
      </c>
      <c r="E67" s="1183"/>
      <c r="F67" s="1184"/>
      <c r="O67" s="1889" t="s">
        <v>1042</v>
      </c>
      <c r="P67" s="1880" t="s">
        <v>1562</v>
      </c>
      <c r="Q67" s="1928">
        <f ca="1">L51</f>
        <v>20</v>
      </c>
      <c r="R67" s="1881" t="s">
        <v>1582</v>
      </c>
    </row>
    <row r="68" spans="1:18" s="1837" customFormat="1" ht="16.5" thickBot="1">
      <c r="A68" s="1162" t="s">
        <v>1032</v>
      </c>
      <c r="B68" s="1163" t="s">
        <v>1485</v>
      </c>
      <c r="C68" s="346">
        <f ca="1">ROUND(C67*(1-((1+F70)/(1+F68))^F69)/(F68-F70),0)</f>
        <v>-1368</v>
      </c>
      <c r="D68" s="1180" t="s">
        <v>1469</v>
      </c>
      <c r="E68" s="1165" t="s">
        <v>1470</v>
      </c>
      <c r="F68" s="357">
        <f ca="1">F40</f>
        <v>0.05</v>
      </c>
      <c r="O68" s="1889" t="s">
        <v>1043</v>
      </c>
      <c r="P68" s="1929" t="s">
        <v>1583</v>
      </c>
      <c r="Q68" s="1881">
        <f ca="1">ROUND(Q69-Q70*Q71,0)</f>
        <v>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65</v>
      </c>
      <c r="R69" s="1881" t="s">
        <v>1529</v>
      </c>
    </row>
    <row r="70" spans="1:18" s="1837" customFormat="1" ht="13.5" thickBot="1">
      <c r="A70" s="1169"/>
      <c r="B70" s="1170"/>
      <c r="C70" s="355"/>
      <c r="D70" s="1181"/>
      <c r="E70" s="1165" t="s">
        <v>1477</v>
      </c>
      <c r="F70" s="1271"/>
      <c r="O70" s="1889" t="s">
        <v>1049</v>
      </c>
      <c r="P70" s="1929" t="s">
        <v>1585</v>
      </c>
      <c r="Q70" s="1881">
        <f ca="1">C13</f>
        <v>752</v>
      </c>
      <c r="R70" s="1881" t="s">
        <v>1529</v>
      </c>
    </row>
    <row r="71" spans="1:18" s="1837" customFormat="1" ht="13.5" thickBot="1">
      <c r="A71" s="1186" t="s">
        <v>1033</v>
      </c>
      <c r="B71" s="1187" t="s">
        <v>1487</v>
      </c>
      <c r="C71" s="382">
        <f ca="1">ROUND(C68*10000/F71,0)</f>
        <v>-6684</v>
      </c>
      <c r="D71" s="1188" t="s">
        <v>1488</v>
      </c>
      <c r="E71" s="1189" t="s">
        <v>1489</v>
      </c>
      <c r="F71" s="385">
        <f ca="1">F43</f>
        <v>2046.64</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64</v>
      </c>
      <c r="D75" s="1837"/>
      <c r="E75" s="1837"/>
      <c r="F75" s="1837"/>
      <c r="K75" s="1863"/>
      <c r="L75" s="1837"/>
      <c r="O75" s="1879" t="s">
        <v>1046</v>
      </c>
      <c r="P75" s="1880" t="s">
        <v>1549</v>
      </c>
      <c r="Q75" s="1881">
        <f ca="1">Q65+Q66</f>
        <v>1543</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1.5000000000000013E-2</v>
      </c>
    </row>
    <row r="80" spans="1:18">
      <c r="B80" s="386" t="s">
        <v>1511</v>
      </c>
      <c r="C80" s="318">
        <f ca="1">ROUND(C75/C39,3)</f>
        <v>0.98499999999999999</v>
      </c>
    </row>
    <row r="81" spans="2:3">
      <c r="B81" s="314" t="s">
        <v>1512</v>
      </c>
      <c r="C81" s="282"/>
    </row>
    <row r="82" spans="2:3">
      <c r="B82" s="317" t="s">
        <v>1513</v>
      </c>
      <c r="C82" s="319">
        <f ca="1">1-C83</f>
        <v>0.51300000000000001</v>
      </c>
    </row>
    <row r="83" spans="2:3">
      <c r="B83" s="317" t="s">
        <v>1514</v>
      </c>
      <c r="C83" s="318">
        <f ca="1">ROUND(C13/C40,3)</f>
        <v>0.48699999999999999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99" t="s">
        <v>1077</v>
      </c>
      <c r="B2" s="3300" t="s">
        <v>1078</v>
      </c>
      <c r="C2" s="3300"/>
      <c r="D2" s="1297" t="s">
        <v>1079</v>
      </c>
      <c r="E2" s="1297" t="s">
        <v>1080</v>
      </c>
      <c r="F2" s="1297" t="s">
        <v>1081</v>
      </c>
      <c r="G2" s="1297" t="s">
        <v>1082</v>
      </c>
      <c r="H2" s="1297" t="s">
        <v>1083</v>
      </c>
      <c r="I2" s="1298" t="s">
        <v>1084</v>
      </c>
    </row>
    <row r="3" spans="1:9">
      <c r="A3" s="3299"/>
      <c r="B3" s="3300" t="s">
        <v>1085</v>
      </c>
      <c r="C3" s="3300"/>
      <c r="D3" s="1299"/>
      <c r="E3" s="1297"/>
      <c r="F3" s="1300"/>
      <c r="G3" s="1300"/>
      <c r="H3" s="1301"/>
      <c r="I3" s="1302">
        <f>ROUND(D3*E3*F3*G3*H3/10000,0)</f>
        <v>0</v>
      </c>
    </row>
    <row r="4" spans="1:9">
      <c r="A4" s="3299"/>
      <c r="B4" s="3300" t="s">
        <v>1086</v>
      </c>
      <c r="C4" s="3300"/>
      <c r="D4" s="1299"/>
      <c r="E4" s="1297"/>
      <c r="F4" s="1300"/>
      <c r="G4" s="1300"/>
      <c r="H4" s="1301"/>
      <c r="I4" s="1302">
        <f t="shared" ref="I4:I9" si="0">ROUND(D4*E4*F4*G4*H4/10000,0)</f>
        <v>0</v>
      </c>
    </row>
    <row r="5" spans="1:9">
      <c r="A5" s="3299"/>
      <c r="B5" s="3300" t="s">
        <v>1087</v>
      </c>
      <c r="C5" s="3300"/>
      <c r="D5" s="1299"/>
      <c r="E5" s="1297"/>
      <c r="F5" s="1300"/>
      <c r="G5" s="1300"/>
      <c r="H5" s="1301"/>
      <c r="I5" s="1302">
        <f t="shared" si="0"/>
        <v>0</v>
      </c>
    </row>
    <row r="6" spans="1:9">
      <c r="A6" s="3299"/>
      <c r="B6" s="3300" t="s">
        <v>1088</v>
      </c>
      <c r="C6" s="3300"/>
      <c r="D6" s="1299"/>
      <c r="E6" s="1297"/>
      <c r="F6" s="1300"/>
      <c r="G6" s="1300"/>
      <c r="H6" s="1301"/>
      <c r="I6" s="1302">
        <f t="shared" si="0"/>
        <v>0</v>
      </c>
    </row>
    <row r="7" spans="1:9">
      <c r="A7" s="3299"/>
      <c r="B7" s="3300" t="s">
        <v>1089</v>
      </c>
      <c r="C7" s="3300"/>
      <c r="D7" s="1299"/>
      <c r="E7" s="1297"/>
      <c r="F7" s="1300"/>
      <c r="G7" s="1300"/>
      <c r="H7" s="1301"/>
      <c r="I7" s="1302">
        <f t="shared" si="0"/>
        <v>0</v>
      </c>
    </row>
    <row r="8" spans="1:9">
      <c r="A8" s="3299"/>
      <c r="B8" s="3300" t="s">
        <v>1090</v>
      </c>
      <c r="C8" s="3300"/>
      <c r="D8" s="1299"/>
      <c r="E8" s="1297"/>
      <c r="F8" s="1300"/>
      <c r="G8" s="1300"/>
      <c r="H8" s="1301"/>
      <c r="I8" s="1302">
        <f t="shared" si="0"/>
        <v>0</v>
      </c>
    </row>
    <row r="9" spans="1:9">
      <c r="A9" s="3299"/>
      <c r="B9" s="3300" t="s">
        <v>1091</v>
      </c>
      <c r="C9" s="3300"/>
      <c r="D9" s="1299"/>
      <c r="E9" s="1297"/>
      <c r="F9" s="1300"/>
      <c r="G9" s="1300"/>
      <c r="H9" s="1301"/>
      <c r="I9" s="1302">
        <f t="shared" si="0"/>
        <v>0</v>
      </c>
    </row>
    <row r="10" spans="1:9">
      <c r="A10" s="3299"/>
      <c r="B10" s="3301" t="s">
        <v>1092</v>
      </c>
      <c r="C10" s="3301"/>
      <c r="D10" s="1303"/>
      <c r="E10" s="1303" t="e">
        <f>ROUND(D1*10000/D10/H9,0)</f>
        <v>#DIV/0!</v>
      </c>
      <c r="F10" s="1304"/>
      <c r="G10" s="1304"/>
      <c r="H10" s="1305"/>
      <c r="I10" s="1306">
        <f>SUM(I3:I9)</f>
        <v>0</v>
      </c>
    </row>
    <row r="11" spans="1:9" ht="14.25">
      <c r="A11" s="3299" t="s">
        <v>1093</v>
      </c>
      <c r="B11" s="3300" t="s">
        <v>1094</v>
      </c>
      <c r="C11" s="3300"/>
      <c r="D11" s="1299" t="s">
        <v>1095</v>
      </c>
      <c r="E11" s="1299" t="s">
        <v>1096</v>
      </c>
      <c r="F11" s="1300" t="s">
        <v>1097</v>
      </c>
      <c r="G11" s="1300" t="s">
        <v>1083</v>
      </c>
      <c r="H11" s="1307" t="s">
        <v>1098</v>
      </c>
      <c r="I11" s="1298" t="s">
        <v>1084</v>
      </c>
    </row>
    <row r="12" spans="1:9">
      <c r="A12" s="3299"/>
      <c r="B12" s="3300" t="s">
        <v>1099</v>
      </c>
      <c r="C12" s="3300"/>
      <c r="D12" s="1299"/>
      <c r="E12" s="1299"/>
      <c r="F12" s="1300"/>
      <c r="G12" s="1301"/>
      <c r="H12" s="1308"/>
      <c r="I12" s="1298">
        <f>ROUND(D12*E12*F12*G12/10000,0)</f>
        <v>0</v>
      </c>
    </row>
    <row r="13" spans="1:9">
      <c r="A13" s="3299"/>
      <c r="B13" s="3300" t="s">
        <v>1100</v>
      </c>
      <c r="C13" s="3300"/>
      <c r="D13" s="1299"/>
      <c r="E13" s="1299"/>
      <c r="F13" s="1300"/>
      <c r="G13" s="1301"/>
      <c r="H13" s="1308"/>
      <c r="I13" s="1298">
        <f>ROUND(D13*E13*F13*G13/10000,0)</f>
        <v>0</v>
      </c>
    </row>
    <row r="14" spans="1:9">
      <c r="A14" s="3299"/>
      <c r="B14" s="3300" t="s">
        <v>1101</v>
      </c>
      <c r="C14" s="3300"/>
      <c r="D14" s="1299"/>
      <c r="E14" s="1299"/>
      <c r="F14" s="1300"/>
      <c r="G14" s="1301"/>
      <c r="H14" s="1308"/>
      <c r="I14" s="1298">
        <f>ROUND(D14*E14*F14*G14/10000,0)</f>
        <v>0</v>
      </c>
    </row>
    <row r="15" spans="1:9">
      <c r="A15" s="3299"/>
      <c r="B15" s="3301" t="s">
        <v>1092</v>
      </c>
      <c r="C15" s="3301"/>
      <c r="D15" s="1303"/>
      <c r="E15" s="1303">
        <f>SUM(E12:E14)</f>
        <v>0</v>
      </c>
      <c r="F15" s="1304"/>
      <c r="G15" s="1301"/>
      <c r="H15" s="1308"/>
      <c r="I15" s="1309">
        <f>SUM(I12:I14)</f>
        <v>0</v>
      </c>
    </row>
    <row r="16" spans="1:9" ht="24">
      <c r="A16" s="3299" t="s">
        <v>1102</v>
      </c>
      <c r="B16" s="3300" t="s">
        <v>1103</v>
      </c>
      <c r="C16" s="3300"/>
      <c r="D16" s="1299" t="s">
        <v>1079</v>
      </c>
      <c r="E16" s="1310" t="s">
        <v>1104</v>
      </c>
      <c r="F16" s="1300" t="s">
        <v>1105</v>
      </c>
      <c r="G16" s="1301" t="s">
        <v>1083</v>
      </c>
      <c r="H16" s="1307" t="s">
        <v>1098</v>
      </c>
      <c r="I16" s="1298" t="s">
        <v>1084</v>
      </c>
    </row>
    <row r="17" spans="1:9" ht="14.25">
      <c r="A17" s="3299"/>
      <c r="B17" s="3300" t="s">
        <v>1106</v>
      </c>
      <c r="C17" s="3300"/>
      <c r="D17" s="1299"/>
      <c r="E17" s="1299"/>
      <c r="F17" s="1300"/>
      <c r="G17" s="1301"/>
      <c r="H17" s="1311"/>
      <c r="I17" s="1312">
        <f>ROUND(D17*E17*F17*G17/10000,0)</f>
        <v>0</v>
      </c>
    </row>
    <row r="18" spans="1:9" ht="14.25">
      <c r="A18" s="3299"/>
      <c r="B18" s="3300" t="s">
        <v>1107</v>
      </c>
      <c r="C18" s="3300"/>
      <c r="D18" s="1299"/>
      <c r="E18" s="1299"/>
      <c r="F18" s="1300"/>
      <c r="G18" s="1301"/>
      <c r="H18" s="1311"/>
      <c r="I18" s="1312">
        <f>ROUND(D18*E18*F18*G18/10000,0)</f>
        <v>0</v>
      </c>
    </row>
    <row r="19" spans="1:9" ht="14.25">
      <c r="A19" s="3299"/>
      <c r="B19" s="3300" t="s">
        <v>1108</v>
      </c>
      <c r="C19" s="3300"/>
      <c r="D19" s="1299"/>
      <c r="E19" s="1299"/>
      <c r="F19" s="1300"/>
      <c r="G19" s="1301"/>
      <c r="H19" s="1311"/>
      <c r="I19" s="1312">
        <f>ROUND(D19*E19*F19*G19/10000,0)</f>
        <v>0</v>
      </c>
    </row>
    <row r="20" spans="1:9">
      <c r="A20" s="3299"/>
      <c r="B20" s="3301" t="s">
        <v>1092</v>
      </c>
      <c r="C20" s="3301"/>
      <c r="D20" s="1303">
        <f>SUM(D17:D19)</f>
        <v>0</v>
      </c>
      <c r="E20" s="1303"/>
      <c r="F20" s="1304"/>
      <c r="G20" s="1301"/>
      <c r="H20" s="1308"/>
      <c r="I20" s="1309">
        <f>SUM(I17:I19)</f>
        <v>0</v>
      </c>
    </row>
    <row r="21" spans="1:9">
      <c r="A21" s="3299" t="s">
        <v>1109</v>
      </c>
      <c r="B21" s="3303"/>
      <c r="C21" s="3303"/>
      <c r="D21" s="3303"/>
      <c r="E21" s="3303"/>
      <c r="F21" s="3303"/>
      <c r="G21" s="3303"/>
      <c r="H21" s="1761">
        <v>0.1</v>
      </c>
      <c r="I21" s="1306">
        <f>ROUND(I10*H21,0)</f>
        <v>0</v>
      </c>
    </row>
    <row r="22" spans="1:9" ht="14.25">
      <c r="A22" s="3304" t="s">
        <v>1110</v>
      </c>
      <c r="B22" s="3305"/>
      <c r="C22" s="3306"/>
      <c r="D22" s="1313" t="s">
        <v>1111</v>
      </c>
      <c r="E22" s="1313" t="s">
        <v>1112</v>
      </c>
      <c r="F22" s="1314" t="s">
        <v>1113</v>
      </c>
      <c r="G22" s="1314" t="s">
        <v>1114</v>
      </c>
      <c r="H22" s="1307" t="s">
        <v>1115</v>
      </c>
      <c r="I22" s="1298" t="s">
        <v>1116</v>
      </c>
    </row>
    <row r="23" spans="1:9" ht="14.25" thickBot="1">
      <c r="A23" s="3307"/>
      <c r="B23" s="3308"/>
      <c r="C23" s="3309"/>
      <c r="D23" s="1315"/>
      <c r="E23" s="1315"/>
      <c r="F23" s="1315"/>
      <c r="G23" s="1316"/>
      <c r="H23" s="1317"/>
      <c r="I23" s="1318">
        <f>ROUND(E23*D23*F23*(1-G23)/10000,0)</f>
        <v>0</v>
      </c>
    </row>
    <row r="26" spans="1:9">
      <c r="A26" s="1319" t="s">
        <v>1117</v>
      </c>
      <c r="B26" s="1319"/>
      <c r="C26" s="1319"/>
      <c r="D26" s="1319"/>
      <c r="E26" s="3310">
        <f>C27-C30-C31-C32</f>
        <v>0</v>
      </c>
      <c r="F26" s="3310"/>
      <c r="G26" s="3310"/>
      <c r="H26" s="1733" t="s">
        <v>1340</v>
      </c>
    </row>
    <row r="27" spans="1:9">
      <c r="A27" s="1320">
        <v>1</v>
      </c>
      <c r="B27" s="1321" t="s">
        <v>1118</v>
      </c>
      <c r="C27" s="1321">
        <f>C28+C29</f>
        <v>0</v>
      </c>
      <c r="D27" s="1321"/>
      <c r="E27" s="3311"/>
      <c r="F27" s="3311"/>
      <c r="G27" s="3311"/>
    </row>
    <row r="28" spans="1:9">
      <c r="A28" s="1322" t="s">
        <v>1119</v>
      </c>
      <c r="B28" s="1321" t="s">
        <v>1120</v>
      </c>
      <c r="C28" s="1321"/>
      <c r="D28" s="1321"/>
      <c r="E28" s="3311"/>
      <c r="F28" s="3311"/>
      <c r="G28" s="3311"/>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2"/>
      <c r="F32" s="3302"/>
      <c r="G32" s="3302"/>
    </row>
    <row r="33" spans="1:7" hidden="1">
      <c r="A33" s="3312" t="s">
        <v>1129</v>
      </c>
      <c r="B33" s="3313"/>
      <c r="C33" s="3313"/>
      <c r="D33" s="3314"/>
      <c r="E33" s="3310"/>
      <c r="F33" s="3310"/>
      <c r="G33" s="3310"/>
    </row>
    <row r="34" spans="1:7" hidden="1">
      <c r="A34" s="1324">
        <v>1</v>
      </c>
      <c r="B34" s="1321" t="s">
        <v>1130</v>
      </c>
      <c r="C34" s="1321"/>
      <c r="D34" s="1321"/>
      <c r="E34" s="3311"/>
      <c r="F34" s="3311"/>
      <c r="G34" s="3311"/>
    </row>
    <row r="35" spans="1:7" hidden="1">
      <c r="A35" s="1324">
        <v>2</v>
      </c>
      <c r="B35" s="1321" t="s">
        <v>1131</v>
      </c>
      <c r="C35" s="1321"/>
      <c r="D35" s="1321"/>
      <c r="E35" s="3311"/>
      <c r="F35" s="3311"/>
      <c r="G35" s="3311"/>
    </row>
    <row r="36" spans="1:7" hidden="1">
      <c r="A36" s="1324">
        <v>3</v>
      </c>
      <c r="B36" s="1321" t="s">
        <v>1132</v>
      </c>
      <c r="C36" s="1321"/>
      <c r="D36" s="1321"/>
      <c r="E36" s="3311"/>
      <c r="F36" s="3311"/>
      <c r="G36" s="3311"/>
    </row>
    <row r="37" spans="1:7" hidden="1">
      <c r="A37" s="1324">
        <v>4</v>
      </c>
      <c r="B37" s="1321" t="s">
        <v>1133</v>
      </c>
      <c r="C37" s="1321"/>
      <c r="D37" s="1321"/>
      <c r="E37" s="3311"/>
      <c r="F37" s="3311"/>
      <c r="G37" s="3311"/>
    </row>
    <row r="38" spans="1:7" hidden="1">
      <c r="A38" s="3312" t="s">
        <v>1134</v>
      </c>
      <c r="B38" s="3313"/>
      <c r="C38" s="3313"/>
      <c r="D38" s="3314"/>
      <c r="E38" s="3310"/>
      <c r="F38" s="3310"/>
      <c r="G38" s="33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577" t="s">
        <v>2529</v>
      </c>
      <c r="C1" s="1630" t="s">
        <v>2530</v>
      </c>
      <c r="D1" s="1617"/>
      <c r="E1" s="2578"/>
      <c r="F1" s="2579" t="s">
        <v>2531</v>
      </c>
      <c r="G1" s="1627" t="s">
        <v>2532</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2533</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2534</v>
      </c>
      <c r="D3" s="399">
        <f>IF(D1="",'数据-汇总表'!E3,SUMIF('数据-汇总表'!$C19:$C33,D1,'数据-汇总表'!$E19:$E33))</f>
        <v>34166.230000000018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2535</v>
      </c>
      <c r="B4" s="402"/>
      <c r="C4" s="3235" t="s">
        <v>2536</v>
      </c>
      <c r="D4" s="3236"/>
      <c r="E4" s="3237" t="s">
        <v>2537</v>
      </c>
      <c r="F4" s="3238"/>
      <c r="G4" s="3235" t="s">
        <v>2538</v>
      </c>
      <c r="H4" s="3236"/>
      <c r="I4" s="3235" t="s">
        <v>2539</v>
      </c>
      <c r="J4" s="3236"/>
      <c r="K4" s="2591" t="s">
        <v>2540</v>
      </c>
      <c r="L4" s="1126"/>
      <c r="M4" s="1127"/>
      <c r="N4" s="1127"/>
      <c r="O4" s="1127"/>
      <c r="P4" s="3239" t="s">
        <v>2541</v>
      </c>
      <c r="Q4" s="3240"/>
      <c r="R4" s="3221" t="s">
        <v>2537</v>
      </c>
      <c r="S4" s="3222"/>
      <c r="T4" s="3221" t="s">
        <v>2538</v>
      </c>
      <c r="U4" s="3222"/>
      <c r="V4" s="3218" t="s">
        <v>2539</v>
      </c>
      <c r="W4" s="3218"/>
      <c r="X4" s="1808"/>
      <c r="Y4" s="3221" t="s">
        <v>2541</v>
      </c>
      <c r="Z4" s="3222"/>
      <c r="AA4" s="3215" t="s">
        <v>2537</v>
      </c>
      <c r="AB4" s="3215" t="s">
        <v>2538</v>
      </c>
      <c r="AC4" s="3215" t="s">
        <v>2539</v>
      </c>
    </row>
    <row r="5" spans="1:29" ht="15">
      <c r="A5" s="404"/>
      <c r="B5" s="405"/>
      <c r="C5" s="3227" t="s">
        <v>2542</v>
      </c>
      <c r="D5" s="3228"/>
      <c r="E5" s="3315" t="s">
        <v>2543</v>
      </c>
      <c r="F5" s="3226"/>
      <c r="G5" s="3227" t="s">
        <v>2544</v>
      </c>
      <c r="H5" s="3228"/>
      <c r="I5" s="3227" t="s">
        <v>2545</v>
      </c>
      <c r="J5" s="3228"/>
      <c r="K5" s="2592"/>
      <c r="L5" s="1126"/>
      <c r="M5" s="1127"/>
      <c r="N5" s="1127"/>
      <c r="O5" s="1127"/>
      <c r="P5" s="3241"/>
      <c r="Q5" s="3242"/>
      <c r="R5" s="3223"/>
      <c r="S5" s="3224"/>
      <c r="T5" s="3223"/>
      <c r="U5" s="3224"/>
      <c r="V5" s="3218"/>
      <c r="W5" s="3218"/>
      <c r="X5" s="1808"/>
      <c r="Y5" s="3223"/>
      <c r="Z5" s="3224"/>
      <c r="AA5" s="3216"/>
      <c r="AB5" s="3216"/>
      <c r="AC5" s="3216"/>
    </row>
    <row r="6" spans="1:29" ht="15.75" thickBot="1">
      <c r="A6" s="406"/>
      <c r="B6" s="407"/>
      <c r="C6" s="3229" t="s">
        <v>2546</v>
      </c>
      <c r="D6" s="3230"/>
      <c r="E6" s="3232" t="s">
        <v>2546</v>
      </c>
      <c r="F6" s="3233"/>
      <c r="G6" s="3229" t="s">
        <v>2546</v>
      </c>
      <c r="H6" s="3230"/>
      <c r="I6" s="3229" t="s">
        <v>2546</v>
      </c>
      <c r="J6" s="3230"/>
      <c r="K6" s="2592" t="s">
        <v>2547</v>
      </c>
      <c r="L6" s="1126"/>
      <c r="M6" s="1127"/>
      <c r="N6" s="1127"/>
      <c r="O6" s="1127"/>
      <c r="P6" s="3243"/>
      <c r="Q6" s="3244"/>
      <c r="R6" s="3223"/>
      <c r="S6" s="3224"/>
      <c r="T6" s="3245"/>
      <c r="U6" s="3246"/>
      <c r="V6" s="3218"/>
      <c r="W6" s="3218"/>
      <c r="X6" s="1808"/>
      <c r="Y6" s="3245"/>
      <c r="Z6" s="3246"/>
      <c r="AA6" s="3217"/>
      <c r="AB6" s="3217"/>
      <c r="AC6" s="3217"/>
    </row>
    <row r="7" spans="1:29" s="117" customFormat="1" ht="15.75" thickBot="1">
      <c r="A7" s="408" t="s">
        <v>2548</v>
      </c>
      <c r="B7" s="409"/>
      <c r="C7" s="410">
        <f>'数据-取费表'!B2</f>
        <v>43342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19" t="s">
        <v>2549</v>
      </c>
      <c r="Q7" s="3247"/>
      <c r="R7" s="770" t="s">
        <v>23</v>
      </c>
      <c r="S7" s="771">
        <f t="shared" ref="S7:S15" si="0">F7</f>
        <v>0</v>
      </c>
      <c r="T7" s="770" t="s">
        <v>23</v>
      </c>
      <c r="U7" s="771">
        <f t="shared" ref="U7:U15" si="1">H7</f>
        <v>0</v>
      </c>
      <c r="V7" s="770" t="s">
        <v>23</v>
      </c>
      <c r="W7" s="771">
        <f t="shared" ref="W7:W15" si="2">J7</f>
        <v>0</v>
      </c>
      <c r="X7" s="772"/>
      <c r="Y7" s="3219" t="s">
        <v>2549</v>
      </c>
      <c r="Z7" s="3220"/>
      <c r="AA7" s="773" t="e">
        <f>D7/F7</f>
        <v>#DIV/0!</v>
      </c>
      <c r="AB7" s="773" t="e">
        <f>D7/H7</f>
        <v>#DIV/0!</v>
      </c>
      <c r="AC7" s="773" t="e">
        <f>D7/J7</f>
        <v>#DIV/0!</v>
      </c>
    </row>
    <row r="8" spans="1:29" s="117" customFormat="1" ht="15.75" thickBot="1">
      <c r="A8" s="408" t="s">
        <v>2550</v>
      </c>
      <c r="B8" s="409"/>
      <c r="C8" s="414" t="s">
        <v>2551</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19" t="s">
        <v>2552</v>
      </c>
      <c r="Q8" s="3220"/>
      <c r="R8" s="770" t="s">
        <v>23</v>
      </c>
      <c r="S8" s="771">
        <f t="shared" si="0"/>
        <v>0</v>
      </c>
      <c r="T8" s="770" t="s">
        <v>23</v>
      </c>
      <c r="U8" s="771">
        <f t="shared" si="1"/>
        <v>0</v>
      </c>
      <c r="V8" s="770" t="s">
        <v>23</v>
      </c>
      <c r="W8" s="771">
        <f t="shared" si="2"/>
        <v>0</v>
      </c>
      <c r="X8" s="772"/>
      <c r="Y8" s="3219" t="s">
        <v>2552</v>
      </c>
      <c r="Z8" s="322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34"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34"/>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34"/>
      <c r="Q11" s="1790" t="str">
        <f t="shared" si="6"/>
        <v>容积率</v>
      </c>
      <c r="R11" s="770" t="s">
        <v>21</v>
      </c>
      <c r="S11" s="771" t="e">
        <f t="shared" si="0"/>
        <v>#N/A</v>
      </c>
      <c r="T11" s="770" t="s">
        <v>21</v>
      </c>
      <c r="U11" s="771" t="e">
        <f t="shared" si="1"/>
        <v>#N/A</v>
      </c>
      <c r="V11" s="770" t="s">
        <v>21</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34"/>
      <c r="Q12" s="1790">
        <f t="shared" si="6"/>
        <v>111</v>
      </c>
      <c r="R12" s="770" t="s">
        <v>21</v>
      </c>
      <c r="S12" s="771">
        <f t="shared" si="0"/>
        <v>100</v>
      </c>
      <c r="T12" s="770" t="s">
        <v>21</v>
      </c>
      <c r="U12" s="771">
        <f t="shared" si="1"/>
        <v>100</v>
      </c>
      <c r="V12" s="770" t="s">
        <v>21</v>
      </c>
      <c r="W12" s="771">
        <f t="shared" si="2"/>
        <v>100</v>
      </c>
      <c r="X12" s="772"/>
      <c r="Y12" s="3095"/>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34"/>
      <c r="Q13" s="1790">
        <f t="shared" si="6"/>
        <v>111</v>
      </c>
      <c r="R13" s="770" t="s">
        <v>21</v>
      </c>
      <c r="S13" s="771">
        <f t="shared" si="0"/>
        <v>100</v>
      </c>
      <c r="T13" s="770" t="s">
        <v>21</v>
      </c>
      <c r="U13" s="771">
        <f t="shared" si="1"/>
        <v>100</v>
      </c>
      <c r="V13" s="770" t="s">
        <v>21</v>
      </c>
      <c r="W13" s="771">
        <f t="shared" si="2"/>
        <v>100</v>
      </c>
      <c r="X13" s="772"/>
      <c r="Y13" s="3095"/>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34"/>
      <c r="Q14" s="1790">
        <f t="shared" si="6"/>
        <v>111</v>
      </c>
      <c r="R14" s="770" t="s">
        <v>21</v>
      </c>
      <c r="S14" s="771">
        <f t="shared" si="0"/>
        <v>100</v>
      </c>
      <c r="T14" s="770" t="s">
        <v>21</v>
      </c>
      <c r="U14" s="771">
        <f t="shared" si="1"/>
        <v>100</v>
      </c>
      <c r="V14" s="770" t="s">
        <v>21</v>
      </c>
      <c r="W14" s="771">
        <f t="shared" si="2"/>
        <v>100</v>
      </c>
      <c r="X14" s="772"/>
      <c r="Y14" s="3095"/>
      <c r="Z14" s="55">
        <f t="shared" si="7"/>
        <v>111</v>
      </c>
      <c r="AA14" s="773">
        <f t="shared" si="3"/>
        <v>1</v>
      </c>
      <c r="AB14" s="773">
        <f t="shared" si="4"/>
        <v>1</v>
      </c>
      <c r="AC14" s="773">
        <f t="shared" si="5"/>
        <v>1</v>
      </c>
    </row>
    <row r="15" spans="1:29" ht="99.75">
      <c r="A15" s="440" t="s">
        <v>2559</v>
      </c>
      <c r="B15" s="69" t="s">
        <v>2085</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48" t="s">
        <v>2560</v>
      </c>
      <c r="Q15" s="1805" t="str">
        <f t="shared" si="6"/>
        <v>居住社区成熟度</v>
      </c>
      <c r="R15" s="774" t="s">
        <v>21</v>
      </c>
      <c r="S15" s="775">
        <f t="shared" si="0"/>
        <v>100</v>
      </c>
      <c r="T15" s="774" t="s">
        <v>21</v>
      </c>
      <c r="U15" s="775">
        <f t="shared" si="1"/>
        <v>100</v>
      </c>
      <c r="V15" s="774" t="s">
        <v>21</v>
      </c>
      <c r="W15" s="775">
        <f t="shared" si="2"/>
        <v>100</v>
      </c>
      <c r="X15" s="1808"/>
      <c r="Y15" s="3250" t="s">
        <v>2560</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249"/>
      <c r="Q16" s="1805"/>
      <c r="R16" s="774"/>
      <c r="S16" s="775"/>
      <c r="T16" s="774"/>
      <c r="U16" s="775"/>
      <c r="V16" s="774"/>
      <c r="W16" s="775"/>
      <c r="X16" s="1808"/>
      <c r="Y16" s="3251"/>
      <c r="Z16" s="1809"/>
      <c r="AA16" s="1806">
        <v>1</v>
      </c>
      <c r="AB16" s="1806">
        <v>1</v>
      </c>
      <c r="AC16" s="1806">
        <v>1</v>
      </c>
    </row>
    <row r="17" spans="1:29" ht="99.75">
      <c r="A17" s="428"/>
      <c r="B17" s="451" t="s">
        <v>2096</v>
      </c>
      <c r="C17" s="2602"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49"/>
      <c r="Q17" s="1805" t="str">
        <f>B17</f>
        <v>交通便捷度</v>
      </c>
      <c r="R17" s="774" t="s">
        <v>21</v>
      </c>
      <c r="S17" s="775">
        <f>F17</f>
        <v>100</v>
      </c>
      <c r="T17" s="774" t="s">
        <v>21</v>
      </c>
      <c r="U17" s="775">
        <f>H17</f>
        <v>100</v>
      </c>
      <c r="V17" s="774" t="s">
        <v>21</v>
      </c>
      <c r="W17" s="775">
        <f>J17</f>
        <v>100</v>
      </c>
      <c r="X17" s="1808"/>
      <c r="Y17" s="3251"/>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249"/>
      <c r="Q18" s="1805"/>
      <c r="R18" s="774"/>
      <c r="S18" s="775"/>
      <c r="T18" s="774"/>
      <c r="U18" s="775"/>
      <c r="V18" s="774"/>
      <c r="W18" s="775"/>
      <c r="X18" s="1808"/>
      <c r="Y18" s="3251"/>
      <c r="Z18" s="1809"/>
      <c r="AA18" s="1806">
        <v>1</v>
      </c>
      <c r="AB18" s="1806">
        <v>1</v>
      </c>
      <c r="AC18" s="1806">
        <v>1</v>
      </c>
    </row>
    <row r="19" spans="1:29" ht="42.75">
      <c r="A19" s="428"/>
      <c r="B19" s="451" t="s">
        <v>2094</v>
      </c>
      <c r="C19" s="260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49"/>
      <c r="Q19" s="1805" t="str">
        <f>B19</f>
        <v>公共配套设施</v>
      </c>
      <c r="R19" s="774" t="s">
        <v>21</v>
      </c>
      <c r="S19" s="775">
        <f>F19</f>
        <v>100</v>
      </c>
      <c r="T19" s="774" t="s">
        <v>21</v>
      </c>
      <c r="U19" s="775">
        <f>H19</f>
        <v>100</v>
      </c>
      <c r="V19" s="774" t="s">
        <v>21</v>
      </c>
      <c r="W19" s="775">
        <f>J19</f>
        <v>100</v>
      </c>
      <c r="X19" s="1808"/>
      <c r="Y19" s="3251"/>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249"/>
      <c r="Q20" s="1805"/>
      <c r="R20" s="774"/>
      <c r="S20" s="775"/>
      <c r="T20" s="774"/>
      <c r="U20" s="775"/>
      <c r="V20" s="774"/>
      <c r="W20" s="775"/>
      <c r="X20" s="1808"/>
      <c r="Y20" s="3251"/>
      <c r="Z20" s="1809"/>
      <c r="AA20" s="1806">
        <v>1</v>
      </c>
      <c r="AB20" s="1806">
        <v>1</v>
      </c>
      <c r="AC20" s="1806">
        <v>1</v>
      </c>
    </row>
    <row r="21" spans="1:29" ht="28.5">
      <c r="A21" s="428"/>
      <c r="B21" s="1380" t="s">
        <v>2097</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49"/>
      <c r="Q21" s="1805" t="str">
        <f>B21</f>
        <v>基础设施水平</v>
      </c>
      <c r="R21" s="774" t="s">
        <v>17</v>
      </c>
      <c r="S21" s="775">
        <f>F21</f>
        <v>100</v>
      </c>
      <c r="T21" s="774" t="s">
        <v>17</v>
      </c>
      <c r="U21" s="775">
        <f>H21</f>
        <v>100</v>
      </c>
      <c r="V21" s="774" t="s">
        <v>17</v>
      </c>
      <c r="W21" s="775">
        <f>J21</f>
        <v>100</v>
      </c>
      <c r="X21" s="1808"/>
      <c r="Y21" s="3251"/>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249"/>
      <c r="Q22" s="1805"/>
      <c r="R22" s="774"/>
      <c r="S22" s="775"/>
      <c r="T22" s="774"/>
      <c r="U22" s="775"/>
      <c r="V22" s="774"/>
      <c r="W22" s="775"/>
      <c r="X22" s="1808"/>
      <c r="Y22" s="3251"/>
      <c r="Z22" s="1809"/>
      <c r="AA22" s="1806">
        <v>1</v>
      </c>
      <c r="AB22" s="1806">
        <v>1</v>
      </c>
      <c r="AC22" s="1806">
        <v>1</v>
      </c>
    </row>
    <row r="23" spans="1:29" ht="57">
      <c r="A23" s="428"/>
      <c r="B23" s="451" t="s">
        <v>2101</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49"/>
      <c r="Q23" s="1805" t="str">
        <f>B23</f>
        <v>自然及人文环境</v>
      </c>
      <c r="R23" s="774" t="s">
        <v>21</v>
      </c>
      <c r="S23" s="775">
        <f>F23</f>
        <v>100</v>
      </c>
      <c r="T23" s="774" t="s">
        <v>21</v>
      </c>
      <c r="U23" s="775">
        <f>H23</f>
        <v>100</v>
      </c>
      <c r="V23" s="774" t="s">
        <v>21</v>
      </c>
      <c r="W23" s="775">
        <f>J23</f>
        <v>100</v>
      </c>
      <c r="X23" s="1808"/>
      <c r="Y23" s="3251"/>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249"/>
      <c r="Q24" s="1805"/>
      <c r="R24" s="774"/>
      <c r="S24" s="775"/>
      <c r="T24" s="774"/>
      <c r="U24" s="775"/>
      <c r="V24" s="774"/>
      <c r="W24" s="775"/>
      <c r="X24" s="1808"/>
      <c r="Y24" s="3251"/>
      <c r="Z24" s="1809"/>
      <c r="AA24" s="1806">
        <v>1</v>
      </c>
      <c r="AB24" s="1806">
        <v>1</v>
      </c>
      <c r="AC24" s="1806">
        <v>1</v>
      </c>
    </row>
    <row r="25" spans="1:29" ht="15">
      <c r="A25" s="428"/>
      <c r="B25" s="422" t="s">
        <v>2561</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49"/>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51"/>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49"/>
      <c r="Q26" s="1805" t="str">
        <f t="shared" si="11"/>
        <v>朝向</v>
      </c>
      <c r="R26" s="774" t="s">
        <v>21</v>
      </c>
      <c r="S26" s="775">
        <f t="shared" si="12"/>
        <v>100</v>
      </c>
      <c r="T26" s="774" t="s">
        <v>21</v>
      </c>
      <c r="U26" s="775">
        <f t="shared" si="13"/>
        <v>100</v>
      </c>
      <c r="V26" s="774" t="s">
        <v>21</v>
      </c>
      <c r="W26" s="775">
        <f t="shared" si="14"/>
        <v>100</v>
      </c>
      <c r="X26" s="1808"/>
      <c r="Y26" s="3251"/>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49"/>
      <c r="Q27" s="1790">
        <f t="shared" si="11"/>
        <v>111</v>
      </c>
      <c r="R27" s="770" t="s">
        <v>21</v>
      </c>
      <c r="S27" s="771">
        <f t="shared" si="12"/>
        <v>100</v>
      </c>
      <c r="T27" s="770" t="s">
        <v>21</v>
      </c>
      <c r="U27" s="771">
        <f t="shared" si="13"/>
        <v>100</v>
      </c>
      <c r="V27" s="770" t="s">
        <v>21</v>
      </c>
      <c r="W27" s="771">
        <f t="shared" si="14"/>
        <v>100</v>
      </c>
      <c r="X27" s="772"/>
      <c r="Y27" s="3251"/>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49"/>
      <c r="Q28" s="1805">
        <f t="shared" si="11"/>
        <v>111</v>
      </c>
      <c r="R28" s="774" t="s">
        <v>21</v>
      </c>
      <c r="S28" s="775">
        <f t="shared" si="12"/>
        <v>100</v>
      </c>
      <c r="T28" s="774" t="s">
        <v>21</v>
      </c>
      <c r="U28" s="775">
        <f t="shared" si="13"/>
        <v>100</v>
      </c>
      <c r="V28" s="774" t="s">
        <v>21</v>
      </c>
      <c r="W28" s="775">
        <f t="shared" si="14"/>
        <v>100</v>
      </c>
      <c r="X28" s="1808"/>
      <c r="Y28" s="3251"/>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49"/>
      <c r="Q29" s="1805">
        <f t="shared" si="11"/>
        <v>111</v>
      </c>
      <c r="R29" s="774" t="s">
        <v>21</v>
      </c>
      <c r="S29" s="775">
        <f t="shared" si="12"/>
        <v>100</v>
      </c>
      <c r="T29" s="774" t="s">
        <v>21</v>
      </c>
      <c r="U29" s="775">
        <f t="shared" si="13"/>
        <v>100</v>
      </c>
      <c r="V29" s="774" t="s">
        <v>21</v>
      </c>
      <c r="W29" s="775">
        <f t="shared" si="14"/>
        <v>100</v>
      </c>
      <c r="X29" s="1808"/>
      <c r="Y29" s="3251"/>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49"/>
      <c r="Q30" s="1805">
        <f t="shared" si="11"/>
        <v>111</v>
      </c>
      <c r="R30" s="774" t="s">
        <v>21</v>
      </c>
      <c r="S30" s="775">
        <f t="shared" si="12"/>
        <v>100</v>
      </c>
      <c r="T30" s="774" t="s">
        <v>21</v>
      </c>
      <c r="U30" s="775">
        <f t="shared" si="13"/>
        <v>100</v>
      </c>
      <c r="V30" s="774" t="s">
        <v>21</v>
      </c>
      <c r="W30" s="775">
        <f t="shared" si="14"/>
        <v>100</v>
      </c>
      <c r="X30" s="1808"/>
      <c r="Y30" s="3251"/>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49"/>
      <c r="Q31" s="1805">
        <f t="shared" si="11"/>
        <v>111</v>
      </c>
      <c r="R31" s="774" t="s">
        <v>21</v>
      </c>
      <c r="S31" s="775">
        <f t="shared" si="12"/>
        <v>100</v>
      </c>
      <c r="T31" s="774" t="s">
        <v>21</v>
      </c>
      <c r="U31" s="775">
        <f t="shared" si="13"/>
        <v>100</v>
      </c>
      <c r="V31" s="774" t="s">
        <v>21</v>
      </c>
      <c r="W31" s="775">
        <f t="shared" si="14"/>
        <v>100</v>
      </c>
      <c r="X31" s="1808"/>
      <c r="Y31" s="3251"/>
      <c r="Z31" s="1809">
        <f t="shared" si="18"/>
        <v>111</v>
      </c>
      <c r="AA31" s="1806">
        <f t="shared" si="15"/>
        <v>1</v>
      </c>
      <c r="AB31" s="1806">
        <f t="shared" si="16"/>
        <v>1</v>
      </c>
      <c r="AC31" s="1806">
        <f t="shared" si="17"/>
        <v>1</v>
      </c>
    </row>
    <row r="32" spans="1:29" ht="15">
      <c r="A32" s="440" t="s">
        <v>2563</v>
      </c>
      <c r="B32" s="71" t="s">
        <v>2564</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52" t="s">
        <v>2565</v>
      </c>
      <c r="Q32" s="1805" t="str">
        <f t="shared" si="11"/>
        <v>建筑类型</v>
      </c>
      <c r="R32" s="774" t="s">
        <v>21</v>
      </c>
      <c r="S32" s="775">
        <f t="shared" si="12"/>
        <v>100</v>
      </c>
      <c r="T32" s="774" t="s">
        <v>21</v>
      </c>
      <c r="U32" s="775">
        <f t="shared" si="13"/>
        <v>100</v>
      </c>
      <c r="V32" s="774" t="s">
        <v>21</v>
      </c>
      <c r="W32" s="775">
        <f t="shared" si="14"/>
        <v>100</v>
      </c>
      <c r="X32" s="1808"/>
      <c r="Y32" s="3255"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53"/>
      <c r="Q33" s="776" t="str">
        <f t="shared" si="11"/>
        <v>项目建筑规模</v>
      </c>
      <c r="R33" s="777" t="s">
        <v>21</v>
      </c>
      <c r="S33" s="778" t="e">
        <f t="shared" si="12"/>
        <v>#N/A</v>
      </c>
      <c r="T33" s="777" t="s">
        <v>21</v>
      </c>
      <c r="U33" s="778" t="e">
        <f t="shared" si="13"/>
        <v>#N/A</v>
      </c>
      <c r="V33" s="777" t="s">
        <v>21</v>
      </c>
      <c r="W33" s="778" t="e">
        <f t="shared" si="14"/>
        <v>#N/A</v>
      </c>
      <c r="X33" s="779"/>
      <c r="Y33" s="3255"/>
      <c r="Z33" s="780" t="str">
        <f t="shared" si="18"/>
        <v>项目建筑规模</v>
      </c>
      <c r="AA33" s="1806" t="e">
        <f t="shared" si="15"/>
        <v>#N/A</v>
      </c>
      <c r="AB33" s="1806" t="e">
        <f t="shared" si="16"/>
        <v>#N/A</v>
      </c>
      <c r="AC33" s="1806" t="e">
        <f t="shared" si="17"/>
        <v>#N/A</v>
      </c>
    </row>
    <row r="34" spans="1:29" ht="15">
      <c r="A34" s="472"/>
      <c r="B34" s="422" t="s">
        <v>2567</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53"/>
      <c r="Q34" s="1805" t="str">
        <f t="shared" si="11"/>
        <v>建筑结构</v>
      </c>
      <c r="R34" s="774" t="s">
        <v>21</v>
      </c>
      <c r="S34" s="775">
        <f t="shared" si="12"/>
        <v>100</v>
      </c>
      <c r="T34" s="774" t="s">
        <v>21</v>
      </c>
      <c r="U34" s="775">
        <f t="shared" si="13"/>
        <v>100</v>
      </c>
      <c r="V34" s="774" t="s">
        <v>21</v>
      </c>
      <c r="W34" s="775">
        <f t="shared" si="14"/>
        <v>100</v>
      </c>
      <c r="X34" s="1808"/>
      <c r="Y34" s="3255"/>
      <c r="Z34" s="1809" t="str">
        <f t="shared" si="18"/>
        <v>建筑结构</v>
      </c>
      <c r="AA34" s="1806">
        <f t="shared" si="15"/>
        <v>1</v>
      </c>
      <c r="AB34" s="1806">
        <f t="shared" si="16"/>
        <v>1</v>
      </c>
      <c r="AC34" s="1806">
        <f t="shared" si="17"/>
        <v>1</v>
      </c>
    </row>
    <row r="35" spans="1:29" ht="15">
      <c r="A35" s="472"/>
      <c r="B35" s="422" t="s">
        <v>2568</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53"/>
      <c r="Q35" s="1805" t="str">
        <f t="shared" si="11"/>
        <v>建筑品质</v>
      </c>
      <c r="R35" s="774" t="s">
        <v>21</v>
      </c>
      <c r="S35" s="775">
        <f t="shared" si="12"/>
        <v>100</v>
      </c>
      <c r="T35" s="774" t="s">
        <v>21</v>
      </c>
      <c r="U35" s="775">
        <f t="shared" si="13"/>
        <v>100</v>
      </c>
      <c r="V35" s="774" t="s">
        <v>21</v>
      </c>
      <c r="W35" s="775">
        <f t="shared" si="14"/>
        <v>100</v>
      </c>
      <c r="X35" s="1808"/>
      <c r="Y35" s="3255"/>
      <c r="Z35" s="1809" t="str">
        <f t="shared" si="18"/>
        <v>建筑品质</v>
      </c>
      <c r="AA35" s="1806">
        <f t="shared" si="15"/>
        <v>1</v>
      </c>
      <c r="AB35" s="1806">
        <f t="shared" si="16"/>
        <v>1</v>
      </c>
      <c r="AC35" s="1806">
        <f t="shared" si="17"/>
        <v>1</v>
      </c>
    </row>
    <row r="36" spans="1:29" ht="15">
      <c r="A36" s="472"/>
      <c r="B36" s="422" t="s">
        <v>2569</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53"/>
      <c r="Q36" s="1805" t="str">
        <f t="shared" si="11"/>
        <v>公共部分装修</v>
      </c>
      <c r="R36" s="774" t="s">
        <v>21</v>
      </c>
      <c r="S36" s="775">
        <f t="shared" si="12"/>
        <v>100</v>
      </c>
      <c r="T36" s="774" t="s">
        <v>21</v>
      </c>
      <c r="U36" s="775">
        <f t="shared" si="13"/>
        <v>100</v>
      </c>
      <c r="V36" s="774" t="s">
        <v>21</v>
      </c>
      <c r="W36" s="775">
        <f t="shared" si="14"/>
        <v>100</v>
      </c>
      <c r="X36" s="1808"/>
      <c r="Y36" s="3255"/>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3"/>
      <c r="Q37" s="1790" t="str">
        <f t="shared" si="11"/>
        <v>成新度</v>
      </c>
      <c r="R37" s="770" t="s">
        <v>21</v>
      </c>
      <c r="S37" s="771" t="e">
        <f t="shared" si="12"/>
        <v>#N/A</v>
      </c>
      <c r="T37" s="770" t="s">
        <v>21</v>
      </c>
      <c r="U37" s="771" t="e">
        <f t="shared" si="13"/>
        <v>#N/A</v>
      </c>
      <c r="V37" s="770" t="s">
        <v>21</v>
      </c>
      <c r="W37" s="771" t="e">
        <f t="shared" si="14"/>
        <v>#N/A</v>
      </c>
      <c r="X37" s="772"/>
      <c r="Y37" s="3255"/>
      <c r="Z37" s="55" t="str">
        <f t="shared" si="18"/>
        <v>成新度</v>
      </c>
      <c r="AA37" s="773" t="e">
        <f t="shared" si="15"/>
        <v>#N/A</v>
      </c>
      <c r="AB37" s="773" t="e">
        <f t="shared" si="16"/>
        <v>#N/A</v>
      </c>
      <c r="AC37" s="773" t="e">
        <f t="shared" si="17"/>
        <v>#N/A</v>
      </c>
    </row>
    <row r="38" spans="1:29" ht="15">
      <c r="A38" s="472"/>
      <c r="B38" s="422" t="s">
        <v>2571</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53" t="s">
        <v>2565</v>
      </c>
      <c r="Q38" s="1805" t="str">
        <f t="shared" si="11"/>
        <v>物业管理</v>
      </c>
      <c r="R38" s="774" t="s">
        <v>21</v>
      </c>
      <c r="S38" s="775">
        <f t="shared" si="12"/>
        <v>100</v>
      </c>
      <c r="T38" s="774" t="s">
        <v>21</v>
      </c>
      <c r="U38" s="775">
        <f t="shared" si="13"/>
        <v>100</v>
      </c>
      <c r="V38" s="774" t="s">
        <v>21</v>
      </c>
      <c r="W38" s="775">
        <f t="shared" si="14"/>
        <v>100</v>
      </c>
      <c r="X38" s="1808"/>
      <c r="Y38" s="3255" t="s">
        <v>2565</v>
      </c>
      <c r="Z38" s="1809" t="str">
        <f t="shared" si="18"/>
        <v>物业管理</v>
      </c>
      <c r="AA38" s="1806">
        <f t="shared" si="15"/>
        <v>1</v>
      </c>
      <c r="AB38" s="1806">
        <f t="shared" si="16"/>
        <v>1</v>
      </c>
      <c r="AC38" s="1806">
        <f t="shared" si="17"/>
        <v>1</v>
      </c>
    </row>
    <row r="39" spans="1:29" ht="15">
      <c r="A39" s="472"/>
      <c r="B39" s="422" t="s">
        <v>2572</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53"/>
      <c r="Q39" s="1805" t="str">
        <f t="shared" si="11"/>
        <v>市政基础设施</v>
      </c>
      <c r="R39" s="774" t="s">
        <v>21</v>
      </c>
      <c r="S39" s="775">
        <f t="shared" si="12"/>
        <v>100</v>
      </c>
      <c r="T39" s="774" t="s">
        <v>21</v>
      </c>
      <c r="U39" s="775">
        <f t="shared" si="13"/>
        <v>100</v>
      </c>
      <c r="V39" s="774" t="s">
        <v>21</v>
      </c>
      <c r="W39" s="775">
        <f t="shared" si="14"/>
        <v>100</v>
      </c>
      <c r="X39" s="1808"/>
      <c r="Y39" s="3255"/>
      <c r="Z39" s="1809" t="str">
        <f t="shared" si="18"/>
        <v>市政基础设施</v>
      </c>
      <c r="AA39" s="1806">
        <f t="shared" si="15"/>
        <v>1</v>
      </c>
      <c r="AB39" s="1806">
        <f t="shared" si="16"/>
        <v>1</v>
      </c>
      <c r="AC39" s="1806">
        <f t="shared" si="17"/>
        <v>1</v>
      </c>
    </row>
    <row r="40" spans="1:29" ht="15">
      <c r="A40" s="472"/>
      <c r="B40" s="422" t="s">
        <v>2573</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53"/>
      <c r="Q40" s="1805" t="str">
        <f t="shared" si="11"/>
        <v>房型</v>
      </c>
      <c r="R40" s="774" t="s">
        <v>21</v>
      </c>
      <c r="S40" s="775">
        <f t="shared" si="12"/>
        <v>100</v>
      </c>
      <c r="T40" s="774" t="s">
        <v>21</v>
      </c>
      <c r="U40" s="775">
        <f t="shared" si="13"/>
        <v>100</v>
      </c>
      <c r="V40" s="774" t="s">
        <v>21</v>
      </c>
      <c r="W40" s="775">
        <f t="shared" si="14"/>
        <v>100</v>
      </c>
      <c r="X40" s="1808"/>
      <c r="Y40" s="3255"/>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53"/>
      <c r="Q41" s="776" t="str">
        <f t="shared" si="11"/>
        <v>单套/主力户型建筑面积</v>
      </c>
      <c r="R41" s="777" t="s">
        <v>21</v>
      </c>
      <c r="S41" s="778">
        <f t="shared" si="12"/>
        <v>100</v>
      </c>
      <c r="T41" s="777" t="s">
        <v>21</v>
      </c>
      <c r="U41" s="778">
        <f t="shared" si="13"/>
        <v>100</v>
      </c>
      <c r="V41" s="777" t="s">
        <v>21</v>
      </c>
      <c r="W41" s="778">
        <f t="shared" si="14"/>
        <v>100</v>
      </c>
      <c r="X41" s="779"/>
      <c r="Y41" s="3255"/>
      <c r="Z41" s="780" t="str">
        <f t="shared" si="18"/>
        <v>单套/主力户型建筑面积</v>
      </c>
      <c r="AA41" s="1806">
        <f t="shared" si="15"/>
        <v>1</v>
      </c>
      <c r="AB41" s="1806">
        <f t="shared" si="16"/>
        <v>1</v>
      </c>
      <c r="AC41" s="1806">
        <f t="shared" si="17"/>
        <v>1</v>
      </c>
    </row>
    <row r="42" spans="1:29" ht="15">
      <c r="A42" s="472"/>
      <c r="B42" s="422" t="s">
        <v>2575</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53"/>
      <c r="Q42" s="1805" t="str">
        <f t="shared" si="11"/>
        <v>内部装修</v>
      </c>
      <c r="R42" s="774" t="s">
        <v>21</v>
      </c>
      <c r="S42" s="775">
        <f t="shared" si="12"/>
        <v>100</v>
      </c>
      <c r="T42" s="774" t="s">
        <v>21</v>
      </c>
      <c r="U42" s="775">
        <f t="shared" si="13"/>
        <v>100</v>
      </c>
      <c r="V42" s="774" t="s">
        <v>21</v>
      </c>
      <c r="W42" s="775">
        <f t="shared" si="14"/>
        <v>100</v>
      </c>
      <c r="X42" s="1808"/>
      <c r="Y42" s="3255"/>
      <c r="Z42" s="1809" t="str">
        <f t="shared" si="18"/>
        <v>内部装修</v>
      </c>
      <c r="AA42" s="1806">
        <f t="shared" si="15"/>
        <v>1</v>
      </c>
      <c r="AB42" s="1806">
        <f t="shared" si="16"/>
        <v>1</v>
      </c>
      <c r="AC42" s="1806">
        <f t="shared" si="17"/>
        <v>1</v>
      </c>
    </row>
    <row r="43" spans="1:29" ht="15">
      <c r="A43" s="472"/>
      <c r="B43" s="422" t="s">
        <v>2576</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53"/>
      <c r="Q43" s="1805" t="str">
        <f t="shared" si="11"/>
        <v>内部装修维护情况</v>
      </c>
      <c r="R43" s="774" t="s">
        <v>21</v>
      </c>
      <c r="S43" s="775">
        <f t="shared" si="12"/>
        <v>100</v>
      </c>
      <c r="T43" s="774" t="s">
        <v>21</v>
      </c>
      <c r="U43" s="775">
        <f t="shared" si="13"/>
        <v>100</v>
      </c>
      <c r="V43" s="774" t="s">
        <v>21</v>
      </c>
      <c r="W43" s="775">
        <f t="shared" si="14"/>
        <v>100</v>
      </c>
      <c r="X43" s="1808"/>
      <c r="Y43" s="3255"/>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53"/>
      <c r="Q44" s="1790">
        <f t="shared" si="11"/>
        <v>111</v>
      </c>
      <c r="R44" s="770" t="s">
        <v>21</v>
      </c>
      <c r="S44" s="771">
        <f t="shared" si="12"/>
        <v>100</v>
      </c>
      <c r="T44" s="770" t="s">
        <v>21</v>
      </c>
      <c r="U44" s="771">
        <f t="shared" si="13"/>
        <v>100</v>
      </c>
      <c r="V44" s="770" t="s">
        <v>21</v>
      </c>
      <c r="W44" s="771">
        <f t="shared" si="14"/>
        <v>100</v>
      </c>
      <c r="X44" s="772"/>
      <c r="Y44" s="3255"/>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53"/>
      <c r="Q45" s="1805">
        <f t="shared" si="11"/>
        <v>111</v>
      </c>
      <c r="R45" s="774" t="s">
        <v>21</v>
      </c>
      <c r="S45" s="775">
        <f t="shared" si="12"/>
        <v>100</v>
      </c>
      <c r="T45" s="774" t="s">
        <v>21</v>
      </c>
      <c r="U45" s="775">
        <f t="shared" si="13"/>
        <v>100</v>
      </c>
      <c r="V45" s="774" t="s">
        <v>21</v>
      </c>
      <c r="W45" s="775">
        <f t="shared" si="14"/>
        <v>100</v>
      </c>
      <c r="X45" s="1808"/>
      <c r="Y45" s="3255"/>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54"/>
      <c r="Q46" s="1805">
        <f t="shared" si="11"/>
        <v>111</v>
      </c>
      <c r="R46" s="774" t="s">
        <v>20</v>
      </c>
      <c r="S46" s="775">
        <f t="shared" si="12"/>
        <v>100</v>
      </c>
      <c r="T46" s="774" t="s">
        <v>20</v>
      </c>
      <c r="U46" s="775">
        <f t="shared" si="13"/>
        <v>100</v>
      </c>
      <c r="V46" s="774" t="s">
        <v>20</v>
      </c>
      <c r="W46" s="775">
        <f t="shared" si="14"/>
        <v>100</v>
      </c>
      <c r="X46" s="1808"/>
      <c r="Y46" s="3256"/>
      <c r="Z46" s="1809">
        <f t="shared" si="18"/>
        <v>111</v>
      </c>
      <c r="AA46" s="1806">
        <f t="shared" si="15"/>
        <v>1</v>
      </c>
      <c r="AB46" s="1806">
        <f t="shared" si="16"/>
        <v>1</v>
      </c>
      <c r="AC46" s="1806">
        <f t="shared" si="17"/>
        <v>1</v>
      </c>
    </row>
    <row r="47" spans="1:29" ht="15">
      <c r="A47" s="479" t="s">
        <v>2577</v>
      </c>
      <c r="B47" s="480"/>
      <c r="C47" s="1403" t="s">
        <v>19</v>
      </c>
      <c r="D47" s="1404"/>
      <c r="E47" s="1405"/>
      <c r="F47" s="1406"/>
      <c r="G47" s="1407"/>
      <c r="H47" s="1408"/>
      <c r="I47" s="1405"/>
      <c r="J47" s="1408"/>
      <c r="K47" s="2616"/>
      <c r="L47" s="1139"/>
      <c r="M47" s="1140"/>
      <c r="N47" s="1127"/>
      <c r="O47" s="1140"/>
      <c r="P47" s="3257" t="str">
        <f>A47</f>
        <v>成交单价（元/平方米）</v>
      </c>
      <c r="Q47" s="3257"/>
      <c r="R47" s="3258">
        <f>E47</f>
        <v>0</v>
      </c>
      <c r="S47" s="3258"/>
      <c r="T47" s="3258">
        <f>G47</f>
        <v>0</v>
      </c>
      <c r="U47" s="3258"/>
      <c r="V47" s="3258">
        <f>I47</f>
        <v>0</v>
      </c>
      <c r="W47" s="3258"/>
      <c r="X47" s="759"/>
      <c r="Y47" s="781"/>
      <c r="Z47" s="759"/>
      <c r="AA47" s="759"/>
      <c r="AB47" s="759"/>
      <c r="AC47" s="759"/>
    </row>
    <row r="48" spans="1:29" ht="15.75" thickBot="1">
      <c r="A48" s="486" t="s">
        <v>2578</v>
      </c>
      <c r="B48" s="487"/>
      <c r="C48" s="1409" t="e">
        <f>R49</f>
        <v>#DIV/0!</v>
      </c>
      <c r="D48" s="1410"/>
      <c r="E48" s="1411" t="e">
        <f>R48</f>
        <v>#DIV/0!</v>
      </c>
      <c r="F48" s="1411"/>
      <c r="G48" s="1409" t="e">
        <f>T48</f>
        <v>#DIV/0!</v>
      </c>
      <c r="H48" s="1410"/>
      <c r="I48" s="1411" t="e">
        <f>V48</f>
        <v>#DIV/0!</v>
      </c>
      <c r="J48" s="1410"/>
      <c r="K48" s="2617"/>
      <c r="L48" s="1139"/>
      <c r="M48" s="1140"/>
      <c r="N48" s="1140"/>
      <c r="O48" s="1140"/>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2579</v>
      </c>
      <c r="B49" s="493"/>
      <c r="C49" s="1412" t="e">
        <f>R49</f>
        <v>#DIV/0!</v>
      </c>
      <c r="D49" s="1413"/>
      <c r="E49" s="1413"/>
      <c r="F49" s="1413"/>
      <c r="G49" s="1413"/>
      <c r="H49" s="1413"/>
      <c r="I49" s="1413"/>
      <c r="J49" s="1413"/>
      <c r="K49" s="2618"/>
      <c r="L49" s="1139"/>
      <c r="M49" s="1140"/>
      <c r="N49" s="1140"/>
      <c r="O49" s="1140"/>
      <c r="P49" s="3259" t="str">
        <f>A49</f>
        <v>估价对象XX用房的比较价值（楼面单价，元/平方米）</v>
      </c>
      <c r="Q49" s="3260"/>
      <c r="R49" s="3261" t="e">
        <f>IF(F1="售价",ROUND(AVERAGE(R48:V48),0),ROUND(AVERAGE(R48:V48),1))</f>
        <v>#DIV/0!</v>
      </c>
      <c r="S49" s="3261"/>
      <c r="T49" s="3261"/>
      <c r="U49" s="3261"/>
      <c r="V49" s="3261"/>
      <c r="W49" s="3261"/>
      <c r="X49" s="759"/>
      <c r="Y49" s="759"/>
      <c r="Z49" s="759"/>
      <c r="AA49" s="759"/>
      <c r="AB49" s="759"/>
      <c r="AC49" s="759"/>
    </row>
    <row r="50" spans="1:29">
      <c r="A50" s="1140"/>
      <c r="B50" s="1140"/>
      <c r="C50" s="1140"/>
      <c r="D50" s="1140"/>
      <c r="E50" s="1140"/>
      <c r="F50" s="1140"/>
      <c r="G50" s="1143"/>
      <c r="H50" s="1140"/>
      <c r="I50" s="1140"/>
      <c r="J50" s="1140"/>
      <c r="K50" s="1103"/>
      <c r="L50" s="1104"/>
      <c r="M50" s="1140"/>
      <c r="N50" s="1140"/>
      <c r="O50" s="1140"/>
    </row>
    <row r="51" spans="1:29">
      <c r="A51" s="1140"/>
      <c r="B51" s="1140"/>
      <c r="C51" s="1140"/>
      <c r="D51" s="1140"/>
      <c r="E51" s="1140"/>
      <c r="F51" s="1140"/>
      <c r="G51" s="1140"/>
      <c r="H51" s="1140"/>
      <c r="I51" s="1140"/>
      <c r="J51" s="1140"/>
      <c r="K51" s="1103"/>
      <c r="L51" s="1104"/>
      <c r="M51" s="1140"/>
      <c r="N51" s="1140"/>
      <c r="O51" s="1140"/>
    </row>
    <row r="52" spans="1:29" ht="13.5" customHeight="1">
      <c r="A52" s="1140"/>
      <c r="B52" s="1140"/>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0"/>
      <c r="N52" s="1140"/>
      <c r="O52" s="1140"/>
    </row>
    <row r="53" spans="1:29" ht="13.5" customHeight="1">
      <c r="A53" s="1140"/>
      <c r="B53" s="1140"/>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0"/>
      <c r="N53" s="1140"/>
      <c r="O53" s="1140"/>
    </row>
    <row r="54" spans="1:29" s="502" customFormat="1" ht="13.5" customHeight="1">
      <c r="A54" s="1141"/>
      <c r="B54" s="1141"/>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3"/>
      <c r="L56" s="1104"/>
      <c r="M56" s="1140"/>
      <c r="N56" s="1140"/>
      <c r="O56" s="1140"/>
    </row>
    <row r="57" spans="1:29" ht="21.75" thickBot="1">
      <c r="A57" s="763" t="s">
        <v>2583</v>
      </c>
      <c r="B57" s="759"/>
      <c r="C57" s="764"/>
      <c r="D57" s="764"/>
      <c r="E57" s="764"/>
      <c r="F57" s="765"/>
      <c r="G57" s="765"/>
      <c r="H57" s="764"/>
      <c r="I57" s="764"/>
      <c r="J57" s="764"/>
      <c r="K57" s="1156"/>
      <c r="L57" s="1157"/>
      <c r="M57" s="1155"/>
      <c r="N57" s="1155"/>
      <c r="O57" s="1155"/>
      <c r="P57" s="2621"/>
      <c r="Q57" s="504"/>
    </row>
    <row r="58" spans="1:29" s="508" customFormat="1" ht="15">
      <c r="A58" s="505" t="s">
        <v>2584</v>
      </c>
      <c r="B58" s="506"/>
      <c r="C58" s="1572" t="str">
        <f>YEAR(C7)&amp;"-"&amp;MONTH(C7)</f>
        <v>2018-8</v>
      </c>
      <c r="D58" s="1571">
        <f>EDATE(C58,-1)</f>
        <v>43282</v>
      </c>
      <c r="E58" s="1571">
        <f>EDATE(D58,-1)</f>
        <v>43252</v>
      </c>
      <c r="F58" s="1571">
        <f t="shared" ref="F58:O58" si="19">EDATE(E58,-1)</f>
        <v>43221</v>
      </c>
      <c r="G58" s="1571">
        <f t="shared" si="19"/>
        <v>43191</v>
      </c>
      <c r="H58" s="1571">
        <f t="shared" si="19"/>
        <v>43160</v>
      </c>
      <c r="I58" s="1571">
        <f t="shared" si="19"/>
        <v>43132</v>
      </c>
      <c r="J58" s="1571">
        <f t="shared" si="19"/>
        <v>43101</v>
      </c>
      <c r="K58" s="1571">
        <f t="shared" si="19"/>
        <v>43070</v>
      </c>
      <c r="L58" s="1571">
        <f t="shared" si="19"/>
        <v>43040</v>
      </c>
      <c r="M58" s="1571">
        <f t="shared" si="19"/>
        <v>43009</v>
      </c>
      <c r="N58" s="1571">
        <f t="shared" si="19"/>
        <v>42979</v>
      </c>
      <c r="O58" s="1571">
        <f t="shared" si="19"/>
        <v>42948</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2585</v>
      </c>
      <c r="B60" s="516"/>
      <c r="C60" s="517"/>
      <c r="D60" s="518"/>
      <c r="E60" s="518"/>
      <c r="F60" s="518"/>
      <c r="G60" s="518"/>
      <c r="H60" s="518"/>
      <c r="I60" s="518"/>
      <c r="J60" s="518"/>
      <c r="K60" s="518"/>
      <c r="L60" s="518"/>
      <c r="M60" s="519"/>
      <c r="N60" s="518"/>
      <c r="O60" s="519"/>
      <c r="P60" s="2623"/>
      <c r="Q60" s="504"/>
    </row>
    <row r="61" spans="1:29" s="117" customFormat="1" ht="15">
      <c r="A61" s="521" t="s">
        <v>2586</v>
      </c>
      <c r="B61" s="510"/>
      <c r="C61" s="522" t="s">
        <v>2587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2588</v>
      </c>
      <c r="B63" s="528" t="s">
        <v>2554</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2097</v>
      </c>
      <c r="C82" s="539" t="s">
        <v>2604</v>
      </c>
      <c r="D82" s="539" t="s">
        <v>2605</v>
      </c>
      <c r="E82" s="539" t="s">
        <v>2606</v>
      </c>
      <c r="F82" s="539" t="s">
        <v>2607</v>
      </c>
      <c r="G82" s="539" t="s">
        <v>2608</v>
      </c>
      <c r="H82" s="539"/>
      <c r="I82" s="539"/>
      <c r="J82" s="539"/>
      <c r="K82" s="539"/>
      <c r="L82" s="539"/>
      <c r="M82" s="1378"/>
      <c r="N82" s="1149"/>
      <c r="O82" s="1149"/>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2610</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2611</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2563</v>
      </c>
      <c r="B100" s="528" t="s">
        <v>2612</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2614</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2615</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2616</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2617</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2618</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2619</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2574</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2620</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2622</v>
      </c>
    </row>
    <row r="137" spans="1:17" ht="15">
      <c r="B137" s="2633" t="s">
        <v>2623</v>
      </c>
      <c r="C137" s="2634"/>
      <c r="D137" s="2634"/>
      <c r="E137" s="2634"/>
      <c r="F137" s="2634"/>
      <c r="G137" s="2635"/>
      <c r="H137" s="2636"/>
      <c r="I137" s="2637" t="s">
        <v>2624</v>
      </c>
      <c r="J137" s="2634"/>
      <c r="K137" s="2638"/>
    </row>
    <row r="138" spans="1:17" ht="15">
      <c r="B138" s="2639"/>
      <c r="C138" s="146" t="s">
        <v>2625</v>
      </c>
      <c r="D138" s="146" t="s">
        <v>2626</v>
      </c>
      <c r="E138" s="2640" t="s">
        <v>2627</v>
      </c>
      <c r="F138" s="2641" t="s">
        <v>2628</v>
      </c>
      <c r="G138" s="146" t="s">
        <v>2626</v>
      </c>
      <c r="H138" s="147" t="s">
        <v>2627</v>
      </c>
      <c r="I138" s="2642"/>
      <c r="J138" s="146" t="s">
        <v>2629</v>
      </c>
      <c r="K138" s="147" t="s">
        <v>2630</v>
      </c>
    </row>
    <row r="139" spans="1:17" ht="15">
      <c r="B139" s="1082">
        <v>6</v>
      </c>
      <c r="C139" s="1083">
        <v>96</v>
      </c>
      <c r="D139" s="2643" t="s">
        <v>2631</v>
      </c>
      <c r="E139" s="1084">
        <v>100</v>
      </c>
      <c r="F139" s="1085">
        <v>102.5</v>
      </c>
      <c r="G139" s="2643" t="s">
        <v>2631</v>
      </c>
      <c r="H139" s="1086">
        <v>105</v>
      </c>
      <c r="I139" s="2644" t="s">
        <v>2632</v>
      </c>
      <c r="J139" s="1083">
        <v>20</v>
      </c>
      <c r="K139" s="1087">
        <f>C145/(J139-2)</f>
        <v>4.0555555555555553E-3</v>
      </c>
    </row>
    <row r="140" spans="1:17" ht="15">
      <c r="B140" s="1088">
        <v>5</v>
      </c>
      <c r="C140" s="1089">
        <v>100</v>
      </c>
      <c r="D140" s="1089"/>
      <c r="E140" s="1090"/>
      <c r="F140" s="1091">
        <v>102</v>
      </c>
      <c r="G140" s="1089"/>
      <c r="H140" s="1092"/>
      <c r="I140" s="2645" t="s">
        <v>2633</v>
      </c>
      <c r="J140" s="315">
        <f>ROUNDUP((J139-1)/2,0)</f>
        <v>10</v>
      </c>
      <c r="K140" s="1093">
        <v>100</v>
      </c>
    </row>
    <row r="141" spans="1:17" ht="15">
      <c r="B141" s="1088">
        <v>4</v>
      </c>
      <c r="C141" s="1089">
        <v>102</v>
      </c>
      <c r="D141" s="1089"/>
      <c r="E141" s="1090"/>
      <c r="F141" s="1091">
        <v>101.5</v>
      </c>
      <c r="G141" s="1089"/>
      <c r="H141" s="1092"/>
      <c r="I141" s="2645" t="s">
        <v>2634</v>
      </c>
      <c r="J141" s="315">
        <v>1</v>
      </c>
      <c r="K141" s="1094">
        <f>ROUND(100+(J141-J140)*K139*100,1)</f>
        <v>96.4</v>
      </c>
    </row>
    <row r="142" spans="1:17" ht="15">
      <c r="B142" s="1088">
        <v>3</v>
      </c>
      <c r="C142" s="1089">
        <v>103</v>
      </c>
      <c r="D142" s="1089"/>
      <c r="E142" s="1090"/>
      <c r="F142" s="1091">
        <v>101</v>
      </c>
      <c r="G142" s="1089"/>
      <c r="H142" s="1092"/>
      <c r="I142" s="2645" t="s">
        <v>2635</v>
      </c>
      <c r="J142" s="315">
        <f>J139</f>
        <v>20</v>
      </c>
      <c r="K142" s="1095">
        <v>95</v>
      </c>
    </row>
    <row r="143" spans="1:17" ht="15">
      <c r="B143" s="1088">
        <v>2</v>
      </c>
      <c r="C143" s="1089">
        <v>100</v>
      </c>
      <c r="D143" s="1089"/>
      <c r="E143" s="1090"/>
      <c r="F143" s="1091">
        <v>100.5</v>
      </c>
      <c r="G143" s="1089"/>
      <c r="H143" s="1092"/>
      <c r="I143" s="2645" t="s">
        <v>2636</v>
      </c>
      <c r="J143" s="1089">
        <v>15</v>
      </c>
      <c r="K143" s="1094">
        <f>ROUND(100+(J143-J140)*K139*100,1)</f>
        <v>102</v>
      </c>
    </row>
    <row r="144" spans="1:17" ht="15">
      <c r="B144" s="1088">
        <v>1</v>
      </c>
      <c r="C144" s="1089">
        <v>98</v>
      </c>
      <c r="D144" s="2646" t="s">
        <v>2637</v>
      </c>
      <c r="E144" s="1090">
        <v>102</v>
      </c>
      <c r="F144" s="1096">
        <v>100</v>
      </c>
      <c r="G144" s="2646" t="s">
        <v>2637</v>
      </c>
      <c r="H144" s="1092">
        <v>105</v>
      </c>
      <c r="I144" s="2645" t="s">
        <v>2636</v>
      </c>
      <c r="J144" s="1089">
        <v>18</v>
      </c>
      <c r="K144" s="1094">
        <f>ROUND(100+(J144-J140)*K139*100,1)</f>
        <v>103.2</v>
      </c>
    </row>
    <row r="145" spans="2:11" ht="15.75" thickBot="1">
      <c r="B145" s="2647" t="s">
        <v>2638</v>
      </c>
      <c r="C145" s="1097">
        <f>ROUND(MAX(C139:C144)/MIN(C139:C144)-1,3)</f>
        <v>7.2999999999999995E-2</v>
      </c>
      <c r="D145" s="1098"/>
      <c r="E145" s="1098"/>
      <c r="F145" s="2648" t="s">
        <v>2639</v>
      </c>
      <c r="G145" s="2649"/>
      <c r="H145" s="2650"/>
      <c r="I145" s="2651" t="s">
        <v>2636</v>
      </c>
      <c r="J145" s="1099">
        <v>8</v>
      </c>
      <c r="K145" s="1100">
        <f>ROUND(100+(J145-J140)*K139*100,1)</f>
        <v>99.2</v>
      </c>
    </row>
    <row r="147" spans="2:11">
      <c r="B147" s="2632" t="s">
        <v>2640</v>
      </c>
    </row>
    <row r="148" spans="2:11">
      <c r="B148" s="2632"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2686</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IF(C2="——",ROUND(C50*D3/10000,0),ROUND(C50*D3/10000,0)-D2)</f>
        <v>#DIV/0!</v>
      </c>
      <c r="C2" s="2581"/>
      <c r="D2" s="1361"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34166.230000000018</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322" t="s">
        <v>2651</v>
      </c>
      <c r="Q4" s="3323"/>
      <c r="R4" s="3317" t="s">
        <v>2647</v>
      </c>
      <c r="S4" s="3318"/>
      <c r="T4" s="3317" t="s">
        <v>2648</v>
      </c>
      <c r="U4" s="3318"/>
      <c r="V4" s="3326" t="s">
        <v>2649</v>
      </c>
      <c r="W4" s="3326"/>
      <c r="X4" s="2665"/>
      <c r="Y4" s="3317" t="s">
        <v>2651</v>
      </c>
      <c r="Z4" s="3318"/>
      <c r="AA4" s="3316" t="s">
        <v>2647</v>
      </c>
      <c r="AB4" s="3316" t="s">
        <v>2648</v>
      </c>
      <c r="AC4" s="3319" t="s">
        <v>2649</v>
      </c>
    </row>
    <row r="5" spans="1:29" ht="15">
      <c r="A5" s="404"/>
      <c r="B5" s="405"/>
      <c r="C5" s="3227" t="s">
        <v>2542</v>
      </c>
      <c r="D5" s="3228"/>
      <c r="E5" s="3315" t="s">
        <v>2543</v>
      </c>
      <c r="F5" s="3226"/>
      <c r="G5" s="3227" t="s">
        <v>2544</v>
      </c>
      <c r="H5" s="3228"/>
      <c r="I5" s="3227" t="s">
        <v>2545</v>
      </c>
      <c r="J5" s="3228"/>
      <c r="K5" s="610"/>
      <c r="L5" s="1126"/>
      <c r="M5" s="1127"/>
      <c r="N5" s="1127"/>
      <c r="O5" s="1127"/>
      <c r="P5" s="3324"/>
      <c r="Q5" s="3242"/>
      <c r="R5" s="3223"/>
      <c r="S5" s="3224"/>
      <c r="T5" s="3223"/>
      <c r="U5" s="3224"/>
      <c r="V5" s="3218"/>
      <c r="W5" s="3218"/>
      <c r="X5" s="1808"/>
      <c r="Y5" s="3223"/>
      <c r="Z5" s="3224"/>
      <c r="AA5" s="3216"/>
      <c r="AB5" s="3216"/>
      <c r="AC5" s="3320"/>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325"/>
      <c r="Q6" s="3244"/>
      <c r="R6" s="3223"/>
      <c r="S6" s="3224"/>
      <c r="T6" s="3245"/>
      <c r="U6" s="3246"/>
      <c r="V6" s="3218"/>
      <c r="W6" s="3218"/>
      <c r="X6" s="1808"/>
      <c r="Y6" s="3245"/>
      <c r="Z6" s="3246"/>
      <c r="AA6" s="3217"/>
      <c r="AB6" s="3217"/>
      <c r="AC6" s="3321"/>
    </row>
    <row r="7" spans="1:29" s="117" customFormat="1" ht="15.75" thickBot="1">
      <c r="A7" s="408" t="s">
        <v>2548</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27" t="s">
        <v>2549</v>
      </c>
      <c r="Q7" s="3247"/>
      <c r="R7" s="770" t="s">
        <v>17</v>
      </c>
      <c r="S7" s="771">
        <f t="shared" ref="S7:S15" si="0">F7</f>
        <v>0</v>
      </c>
      <c r="T7" s="770" t="s">
        <v>17</v>
      </c>
      <c r="U7" s="771">
        <f t="shared" ref="U7:U15" si="1">H7</f>
        <v>0</v>
      </c>
      <c r="V7" s="770" t="s">
        <v>17</v>
      </c>
      <c r="W7" s="771">
        <f t="shared" ref="W7:W15" si="2">J7</f>
        <v>0</v>
      </c>
      <c r="X7" s="772"/>
      <c r="Y7" s="3219" t="s">
        <v>2549</v>
      </c>
      <c r="Z7" s="3220"/>
      <c r="AA7" s="773" t="e">
        <f>D7/F7</f>
        <v>#DIV/0!</v>
      </c>
      <c r="AB7" s="773" t="e">
        <f>D7/H7</f>
        <v>#DIV/0!</v>
      </c>
      <c r="AC7" s="2666"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27" t="s">
        <v>2552</v>
      </c>
      <c r="Q8" s="3220"/>
      <c r="R8" s="770" t="s">
        <v>17</v>
      </c>
      <c r="S8" s="771">
        <f t="shared" si="0"/>
        <v>0</v>
      </c>
      <c r="T8" s="770" t="s">
        <v>17</v>
      </c>
      <c r="U8" s="771">
        <f t="shared" si="1"/>
        <v>0</v>
      </c>
      <c r="V8" s="770" t="s">
        <v>17</v>
      </c>
      <c r="W8" s="771">
        <f t="shared" si="2"/>
        <v>0</v>
      </c>
      <c r="X8" s="772"/>
      <c r="Y8" s="3219" t="s">
        <v>2552</v>
      </c>
      <c r="Z8" s="3220"/>
      <c r="AA8" s="773" t="e">
        <f t="shared" ref="AA8:AA47" si="3">D8/F8</f>
        <v>#DIV/0!</v>
      </c>
      <c r="AB8" s="773" t="e">
        <f t="shared" ref="AB8:AB47" si="4">D8/H8</f>
        <v>#DIV/0!</v>
      </c>
      <c r="AC8" s="2666"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34"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2666">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34"/>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2666">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34"/>
      <c r="Q11" s="1790"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34"/>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34"/>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234"/>
      <c r="Q14" s="1790">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2666">
        <f t="shared" si="5"/>
        <v>1</v>
      </c>
    </row>
    <row r="15" spans="1:29" ht="71.25">
      <c r="A15" s="440" t="s">
        <v>2559</v>
      </c>
      <c r="B15" s="629" t="s">
        <v>2687</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48" t="s">
        <v>2560</v>
      </c>
      <c r="Q15" s="1805" t="str">
        <f t="shared" si="6"/>
        <v>办公集聚程度</v>
      </c>
      <c r="R15" s="774" t="s">
        <v>17</v>
      </c>
      <c r="S15" s="775">
        <f t="shared" si="0"/>
        <v>100</v>
      </c>
      <c r="T15" s="774" t="s">
        <v>17</v>
      </c>
      <c r="U15" s="775">
        <f t="shared" si="1"/>
        <v>100</v>
      </c>
      <c r="V15" s="774" t="s">
        <v>17</v>
      </c>
      <c r="W15" s="775">
        <f t="shared" si="2"/>
        <v>100</v>
      </c>
      <c r="X15" s="1808"/>
      <c r="Y15" s="3250" t="s">
        <v>2560</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249"/>
      <c r="Q16" s="1805"/>
      <c r="R16" s="774"/>
      <c r="S16" s="775"/>
      <c r="T16" s="774"/>
      <c r="U16" s="775"/>
      <c r="V16" s="774"/>
      <c r="W16" s="775"/>
      <c r="X16" s="1808"/>
      <c r="Y16" s="3251"/>
      <c r="Z16" s="1809"/>
      <c r="AA16" s="1806">
        <v>1</v>
      </c>
      <c r="AB16" s="1806">
        <v>1</v>
      </c>
      <c r="AC16" s="2669">
        <v>1</v>
      </c>
    </row>
    <row r="17" spans="1:29" ht="85.5">
      <c r="A17" s="428"/>
      <c r="B17" s="631" t="s">
        <v>2096</v>
      </c>
      <c r="C17" s="2670"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49"/>
      <c r="Q17" s="1805" t="str">
        <f>B17</f>
        <v>交通便捷度</v>
      </c>
      <c r="R17" s="774" t="s">
        <v>17</v>
      </c>
      <c r="S17" s="775">
        <f>F17</f>
        <v>100</v>
      </c>
      <c r="T17" s="774" t="s">
        <v>17</v>
      </c>
      <c r="U17" s="775">
        <f>H17</f>
        <v>100</v>
      </c>
      <c r="V17" s="774" t="s">
        <v>17</v>
      </c>
      <c r="W17" s="775">
        <f>J17</f>
        <v>100</v>
      </c>
      <c r="X17" s="1808"/>
      <c r="Y17" s="3251"/>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249"/>
      <c r="Q18" s="1805"/>
      <c r="R18" s="774"/>
      <c r="S18" s="775"/>
      <c r="T18" s="774"/>
      <c r="U18" s="775"/>
      <c r="V18" s="774"/>
      <c r="W18" s="775"/>
      <c r="X18" s="1808"/>
      <c r="Y18" s="3251"/>
      <c r="Z18" s="1809"/>
      <c r="AA18" s="1806">
        <v>1</v>
      </c>
      <c r="AB18" s="1806">
        <v>1</v>
      </c>
      <c r="AC18" s="2669">
        <v>1</v>
      </c>
    </row>
    <row r="19" spans="1:29" ht="42.75">
      <c r="A19" s="428"/>
      <c r="B19" s="631" t="s">
        <v>2688</v>
      </c>
      <c r="C19" s="267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49"/>
      <c r="Q19" s="1805" t="str">
        <f>B19</f>
        <v>公共配套设施</v>
      </c>
      <c r="R19" s="774" t="s">
        <v>17</v>
      </c>
      <c r="S19" s="775">
        <f>F19</f>
        <v>100</v>
      </c>
      <c r="T19" s="774" t="s">
        <v>17</v>
      </c>
      <c r="U19" s="775">
        <f>H19</f>
        <v>100</v>
      </c>
      <c r="V19" s="774" t="s">
        <v>17</v>
      </c>
      <c r="W19" s="775">
        <f>J19</f>
        <v>100</v>
      </c>
      <c r="X19" s="1808"/>
      <c r="Y19" s="3251"/>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249"/>
      <c r="Q20" s="1805"/>
      <c r="R20" s="774"/>
      <c r="S20" s="775"/>
      <c r="T20" s="774"/>
      <c r="U20" s="775"/>
      <c r="V20" s="774"/>
      <c r="W20" s="775"/>
      <c r="X20" s="1808"/>
      <c r="Y20" s="3251"/>
      <c r="Z20" s="1809"/>
      <c r="AA20" s="1806">
        <v>1</v>
      </c>
      <c r="AB20" s="1806">
        <v>1</v>
      </c>
      <c r="AC20" s="2669">
        <v>1</v>
      </c>
    </row>
    <row r="21" spans="1:29" ht="28.5">
      <c r="A21" s="428"/>
      <c r="B21" s="633" t="s">
        <v>2689</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49"/>
      <c r="Q21" s="1805" t="str">
        <f>B21</f>
        <v>基础设施水平</v>
      </c>
      <c r="R21" s="774" t="s">
        <v>17</v>
      </c>
      <c r="S21" s="775">
        <f>F21</f>
        <v>100</v>
      </c>
      <c r="T21" s="774" t="s">
        <v>17</v>
      </c>
      <c r="U21" s="775">
        <f>H21</f>
        <v>100</v>
      </c>
      <c r="V21" s="774" t="s">
        <v>17</v>
      </c>
      <c r="W21" s="775">
        <f>J21</f>
        <v>100</v>
      </c>
      <c r="X21" s="1808"/>
      <c r="Y21" s="3251"/>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249"/>
      <c r="Q22" s="1805"/>
      <c r="R22" s="774"/>
      <c r="S22" s="775"/>
      <c r="T22" s="774"/>
      <c r="U22" s="775"/>
      <c r="V22" s="774"/>
      <c r="W22" s="775"/>
      <c r="X22" s="1808"/>
      <c r="Y22" s="3251"/>
      <c r="Z22" s="1809"/>
      <c r="AA22" s="1806">
        <v>1</v>
      </c>
      <c r="AB22" s="1806">
        <v>1</v>
      </c>
      <c r="AC22" s="2669">
        <v>1</v>
      </c>
    </row>
    <row r="23" spans="1:29" ht="42.75">
      <c r="A23" s="428"/>
      <c r="B23" s="631" t="s">
        <v>2690</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49"/>
      <c r="Q23" s="1805" t="str">
        <f>B23</f>
        <v>环境质量</v>
      </c>
      <c r="R23" s="774" t="s">
        <v>17</v>
      </c>
      <c r="S23" s="775">
        <f>F23</f>
        <v>100</v>
      </c>
      <c r="T23" s="774" t="s">
        <v>17</v>
      </c>
      <c r="U23" s="775">
        <f>H23</f>
        <v>100</v>
      </c>
      <c r="V23" s="774" t="s">
        <v>17</v>
      </c>
      <c r="W23" s="775">
        <f>J23</f>
        <v>100</v>
      </c>
      <c r="X23" s="1808"/>
      <c r="Y23" s="3251"/>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249"/>
      <c r="Q24" s="1805"/>
      <c r="R24" s="774"/>
      <c r="S24" s="775"/>
      <c r="T24" s="774"/>
      <c r="U24" s="775"/>
      <c r="V24" s="774"/>
      <c r="W24" s="775"/>
      <c r="X24" s="1808"/>
      <c r="Y24" s="3251"/>
      <c r="Z24" s="1809"/>
      <c r="AA24" s="1806">
        <v>1</v>
      </c>
      <c r="AB24" s="1806">
        <v>1</v>
      </c>
      <c r="AC24" s="2669">
        <v>1</v>
      </c>
    </row>
    <row r="25" spans="1:29" ht="27">
      <c r="A25" s="404"/>
      <c r="B25" s="631" t="s">
        <v>2691</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49"/>
      <c r="Q25" s="1805" t="str">
        <f>B25</f>
        <v>毗邻道路的类型与等级</v>
      </c>
      <c r="R25" s="774" t="s">
        <v>17</v>
      </c>
      <c r="S25" s="775">
        <f>F25</f>
        <v>100</v>
      </c>
      <c r="T25" s="774" t="s">
        <v>17</v>
      </c>
      <c r="U25" s="775">
        <f>H25</f>
        <v>100</v>
      </c>
      <c r="V25" s="774" t="s">
        <v>17</v>
      </c>
      <c r="W25" s="775">
        <f>J25</f>
        <v>100</v>
      </c>
      <c r="X25" s="1808"/>
      <c r="Y25" s="3251"/>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249"/>
      <c r="Q26" s="1805"/>
      <c r="R26" s="774"/>
      <c r="S26" s="775"/>
      <c r="T26" s="774"/>
      <c r="U26" s="775"/>
      <c r="V26" s="774"/>
      <c r="W26" s="775"/>
      <c r="X26" s="1808"/>
      <c r="Y26" s="3251"/>
      <c r="Z26" s="1809"/>
      <c r="AA26" s="1806">
        <v>1</v>
      </c>
      <c r="AB26" s="1806">
        <v>1</v>
      </c>
      <c r="AC26" s="2669">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49"/>
      <c r="Q27" s="1805" t="str">
        <f t="shared" ref="Q27:Q47" si="11">B27</f>
        <v>楼层</v>
      </c>
      <c r="R27" s="774" t="s">
        <v>17</v>
      </c>
      <c r="S27" s="775">
        <f>F27</f>
        <v>100</v>
      </c>
      <c r="T27" s="774" t="s">
        <v>17</v>
      </c>
      <c r="U27" s="775">
        <f>H27</f>
        <v>100</v>
      </c>
      <c r="V27" s="774" t="s">
        <v>17</v>
      </c>
      <c r="W27" s="775">
        <f>J27</f>
        <v>100</v>
      </c>
      <c r="X27" s="1808"/>
      <c r="Y27" s="3251"/>
      <c r="Z27" s="1809" t="str">
        <f>Q27</f>
        <v>楼层</v>
      </c>
      <c r="AA27" s="1806">
        <f t="shared" si="3"/>
        <v>1</v>
      </c>
      <c r="AB27" s="1806">
        <f t="shared" si="4"/>
        <v>1</v>
      </c>
      <c r="AC27" s="2669">
        <f t="shared" si="5"/>
        <v>1</v>
      </c>
    </row>
    <row r="28" spans="1:29" s="117" customFormat="1" ht="15">
      <c r="A28" s="431"/>
      <c r="B28" s="631" t="s">
        <v>2692</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49"/>
      <c r="Q28" s="1790" t="str">
        <f t="shared" si="11"/>
        <v>朝向</v>
      </c>
      <c r="R28" s="770" t="s">
        <v>17</v>
      </c>
      <c r="S28" s="771">
        <f>F28</f>
        <v>100</v>
      </c>
      <c r="T28" s="770" t="s">
        <v>17</v>
      </c>
      <c r="U28" s="771">
        <f>H28</f>
        <v>100</v>
      </c>
      <c r="V28" s="770" t="s">
        <v>17</v>
      </c>
      <c r="W28" s="771">
        <f>J28</f>
        <v>100</v>
      </c>
      <c r="X28" s="772"/>
      <c r="Y28" s="3251"/>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49"/>
      <c r="Q29" s="1805">
        <f t="shared" si="11"/>
        <v>111</v>
      </c>
      <c r="R29" s="774" t="s">
        <v>17</v>
      </c>
      <c r="S29" s="775">
        <f t="shared" ref="S29:S47" si="12">F29</f>
        <v>100</v>
      </c>
      <c r="T29" s="774" t="s">
        <v>17</v>
      </c>
      <c r="U29" s="775">
        <f t="shared" ref="U29:U47" si="13">H29</f>
        <v>100</v>
      </c>
      <c r="V29" s="774" t="s">
        <v>17</v>
      </c>
      <c r="W29" s="775">
        <f t="shared" ref="W29:W47" si="14">J29</f>
        <v>100</v>
      </c>
      <c r="X29" s="1808"/>
      <c r="Y29" s="3251"/>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49"/>
      <c r="Q30" s="1805">
        <f t="shared" si="11"/>
        <v>111</v>
      </c>
      <c r="R30" s="774" t="s">
        <v>17</v>
      </c>
      <c r="S30" s="775">
        <f t="shared" si="12"/>
        <v>100</v>
      </c>
      <c r="T30" s="774" t="s">
        <v>17</v>
      </c>
      <c r="U30" s="775">
        <f t="shared" si="13"/>
        <v>100</v>
      </c>
      <c r="V30" s="774" t="s">
        <v>17</v>
      </c>
      <c r="W30" s="775">
        <f t="shared" si="14"/>
        <v>100</v>
      </c>
      <c r="X30" s="1808"/>
      <c r="Y30" s="3251"/>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49"/>
      <c r="Q31" s="1805">
        <f t="shared" si="11"/>
        <v>111</v>
      </c>
      <c r="R31" s="774" t="s">
        <v>17</v>
      </c>
      <c r="S31" s="775">
        <f t="shared" si="12"/>
        <v>100</v>
      </c>
      <c r="T31" s="774" t="s">
        <v>17</v>
      </c>
      <c r="U31" s="775">
        <f t="shared" si="13"/>
        <v>100</v>
      </c>
      <c r="V31" s="774" t="s">
        <v>17</v>
      </c>
      <c r="W31" s="775">
        <f t="shared" si="14"/>
        <v>100</v>
      </c>
      <c r="X31" s="1808"/>
      <c r="Y31" s="3251"/>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49"/>
      <c r="Q32" s="1805">
        <f t="shared" si="11"/>
        <v>111</v>
      </c>
      <c r="R32" s="774" t="s">
        <v>17</v>
      </c>
      <c r="S32" s="775">
        <f t="shared" si="12"/>
        <v>100</v>
      </c>
      <c r="T32" s="774" t="s">
        <v>17</v>
      </c>
      <c r="U32" s="775">
        <f t="shared" si="13"/>
        <v>100</v>
      </c>
      <c r="V32" s="774" t="s">
        <v>17</v>
      </c>
      <c r="W32" s="775">
        <f t="shared" si="14"/>
        <v>100</v>
      </c>
      <c r="X32" s="1808"/>
      <c r="Y32" s="3251"/>
      <c r="Z32" s="1809">
        <f t="shared" si="15"/>
        <v>111</v>
      </c>
      <c r="AA32" s="1806">
        <f t="shared" si="3"/>
        <v>1</v>
      </c>
      <c r="AB32" s="1806">
        <f t="shared" si="4"/>
        <v>1</v>
      </c>
      <c r="AC32" s="2669">
        <f t="shared" si="5"/>
        <v>1</v>
      </c>
    </row>
    <row r="33" spans="1:29" ht="15">
      <c r="A33" s="440" t="s">
        <v>2563</v>
      </c>
      <c r="B33" s="71" t="s">
        <v>2693</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52" t="s">
        <v>2565</v>
      </c>
      <c r="Q33" s="1805" t="str">
        <f t="shared" si="11"/>
        <v>建筑类型</v>
      </c>
      <c r="R33" s="774" t="s">
        <v>17</v>
      </c>
      <c r="S33" s="775">
        <f t="shared" si="12"/>
        <v>100</v>
      </c>
      <c r="T33" s="774" t="s">
        <v>17</v>
      </c>
      <c r="U33" s="775">
        <f t="shared" si="13"/>
        <v>100</v>
      </c>
      <c r="V33" s="774" t="s">
        <v>17</v>
      </c>
      <c r="W33" s="775">
        <f t="shared" si="14"/>
        <v>100</v>
      </c>
      <c r="X33" s="1808"/>
      <c r="Y33" s="3255" t="s">
        <v>2565</v>
      </c>
      <c r="Z33" s="1809" t="str">
        <f t="shared" si="15"/>
        <v>建筑类型</v>
      </c>
      <c r="AA33" s="1806">
        <f t="shared" si="3"/>
        <v>1</v>
      </c>
      <c r="AB33" s="1806">
        <f t="shared" si="4"/>
        <v>1</v>
      </c>
      <c r="AC33" s="2669">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53"/>
      <c r="Q34" s="776" t="str">
        <f t="shared" si="11"/>
        <v>项目建筑规模</v>
      </c>
      <c r="R34" s="777" t="s">
        <v>17</v>
      </c>
      <c r="S34" s="778" t="e">
        <f t="shared" si="12"/>
        <v>#N/A</v>
      </c>
      <c r="T34" s="777" t="s">
        <v>17</v>
      </c>
      <c r="U34" s="778" t="e">
        <f t="shared" si="13"/>
        <v>#N/A</v>
      </c>
      <c r="V34" s="777" t="s">
        <v>17</v>
      </c>
      <c r="W34" s="778" t="e">
        <f t="shared" si="14"/>
        <v>#N/A</v>
      </c>
      <c r="X34" s="779"/>
      <c r="Y34" s="3255"/>
      <c r="Z34" s="780" t="str">
        <f t="shared" si="15"/>
        <v>项目建筑规模</v>
      </c>
      <c r="AA34" s="1806" t="e">
        <f t="shared" si="3"/>
        <v>#N/A</v>
      </c>
      <c r="AB34" s="1806" t="e">
        <f t="shared" si="4"/>
        <v>#N/A</v>
      </c>
      <c r="AC34" s="2669"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53"/>
      <c r="Q35" s="1805" t="str">
        <f t="shared" si="11"/>
        <v>建筑结构</v>
      </c>
      <c r="R35" s="774" t="s">
        <v>17</v>
      </c>
      <c r="S35" s="775">
        <f t="shared" si="12"/>
        <v>100</v>
      </c>
      <c r="T35" s="774" t="s">
        <v>17</v>
      </c>
      <c r="U35" s="775">
        <f t="shared" si="13"/>
        <v>100</v>
      </c>
      <c r="V35" s="774" t="s">
        <v>17</v>
      </c>
      <c r="W35" s="775">
        <f t="shared" si="14"/>
        <v>100</v>
      </c>
      <c r="X35" s="1808"/>
      <c r="Y35" s="3255"/>
      <c r="Z35" s="1809" t="str">
        <f t="shared" si="15"/>
        <v>建筑结构</v>
      </c>
      <c r="AA35" s="1806">
        <f t="shared" si="3"/>
        <v>1</v>
      </c>
      <c r="AB35" s="1806">
        <f t="shared" si="4"/>
        <v>1</v>
      </c>
      <c r="AC35" s="2669">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53"/>
      <c r="Q36" s="1805" t="str">
        <f t="shared" si="11"/>
        <v>公共部分装修</v>
      </c>
      <c r="R36" s="774" t="s">
        <v>17</v>
      </c>
      <c r="S36" s="775">
        <f t="shared" si="12"/>
        <v>100</v>
      </c>
      <c r="T36" s="774" t="s">
        <v>17</v>
      </c>
      <c r="U36" s="775">
        <f t="shared" si="13"/>
        <v>100</v>
      </c>
      <c r="V36" s="774" t="s">
        <v>17</v>
      </c>
      <c r="W36" s="775">
        <f t="shared" si="14"/>
        <v>100</v>
      </c>
      <c r="X36" s="1808"/>
      <c r="Y36" s="3255"/>
      <c r="Z36" s="1809" t="str">
        <f t="shared" si="15"/>
        <v>公共部分装修</v>
      </c>
      <c r="AA36" s="1806">
        <f t="shared" si="3"/>
        <v>1</v>
      </c>
      <c r="AB36" s="1806">
        <f t="shared" si="4"/>
        <v>1</v>
      </c>
      <c r="AC36" s="2669">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53"/>
      <c r="Q37" s="1805" t="str">
        <f t="shared" si="11"/>
        <v>成新度</v>
      </c>
      <c r="R37" s="774" t="s">
        <v>17</v>
      </c>
      <c r="S37" s="775" t="e">
        <f t="shared" si="12"/>
        <v>#N/A</v>
      </c>
      <c r="T37" s="774" t="s">
        <v>17</v>
      </c>
      <c r="U37" s="775" t="e">
        <f t="shared" si="13"/>
        <v>#N/A</v>
      </c>
      <c r="V37" s="774" t="s">
        <v>17</v>
      </c>
      <c r="W37" s="775" t="e">
        <f t="shared" si="14"/>
        <v>#N/A</v>
      </c>
      <c r="X37" s="1808"/>
      <c r="Y37" s="3255"/>
      <c r="Z37" s="1809" t="str">
        <f t="shared" si="15"/>
        <v>成新度</v>
      </c>
      <c r="AA37" s="1806" t="e">
        <f t="shared" si="3"/>
        <v>#N/A</v>
      </c>
      <c r="AB37" s="1806" t="e">
        <f t="shared" si="4"/>
        <v>#N/A</v>
      </c>
      <c r="AC37" s="2669"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53"/>
      <c r="Q38" s="1790" t="str">
        <f t="shared" si="11"/>
        <v>写字楼等级</v>
      </c>
      <c r="R38" s="770" t="s">
        <v>17</v>
      </c>
      <c r="S38" s="771">
        <f t="shared" si="12"/>
        <v>100</v>
      </c>
      <c r="T38" s="770" t="s">
        <v>17</v>
      </c>
      <c r="U38" s="771">
        <f t="shared" si="13"/>
        <v>100</v>
      </c>
      <c r="V38" s="770" t="s">
        <v>17</v>
      </c>
      <c r="W38" s="771">
        <f t="shared" si="14"/>
        <v>100</v>
      </c>
      <c r="X38" s="772"/>
      <c r="Y38" s="3255"/>
      <c r="Z38" s="55" t="str">
        <f t="shared" si="15"/>
        <v>写字楼等级</v>
      </c>
      <c r="AA38" s="773">
        <f t="shared" si="3"/>
        <v>1</v>
      </c>
      <c r="AB38" s="773">
        <f t="shared" si="4"/>
        <v>1</v>
      </c>
      <c r="AC38" s="2666">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53" t="s">
        <v>2565</v>
      </c>
      <c r="Q39" s="1805" t="str">
        <f t="shared" si="11"/>
        <v>物业管理</v>
      </c>
      <c r="R39" s="774" t="s">
        <v>17</v>
      </c>
      <c r="S39" s="775">
        <f t="shared" si="12"/>
        <v>100</v>
      </c>
      <c r="T39" s="774" t="s">
        <v>17</v>
      </c>
      <c r="U39" s="775">
        <f t="shared" si="13"/>
        <v>100</v>
      </c>
      <c r="V39" s="774" t="s">
        <v>17</v>
      </c>
      <c r="W39" s="775">
        <f t="shared" si="14"/>
        <v>100</v>
      </c>
      <c r="X39" s="1808"/>
      <c r="Y39" s="3255" t="s">
        <v>2565</v>
      </c>
      <c r="Z39" s="1809" t="str">
        <f t="shared" si="15"/>
        <v>物业管理</v>
      </c>
      <c r="AA39" s="1806">
        <f t="shared" si="3"/>
        <v>1</v>
      </c>
      <c r="AB39" s="1806">
        <f t="shared" si="4"/>
        <v>1</v>
      </c>
      <c r="AC39" s="2669">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53"/>
      <c r="Q40" s="1805" t="str">
        <f t="shared" si="11"/>
        <v>市政基础设施</v>
      </c>
      <c r="R40" s="774" t="s">
        <v>17</v>
      </c>
      <c r="S40" s="775">
        <f t="shared" si="12"/>
        <v>100</v>
      </c>
      <c r="T40" s="774" t="s">
        <v>17</v>
      </c>
      <c r="U40" s="775">
        <f t="shared" si="13"/>
        <v>100</v>
      </c>
      <c r="V40" s="774" t="s">
        <v>17</v>
      </c>
      <c r="W40" s="775">
        <f t="shared" si="14"/>
        <v>100</v>
      </c>
      <c r="X40" s="1808"/>
      <c r="Y40" s="3255"/>
      <c r="Z40" s="1809" t="str">
        <f t="shared" si="15"/>
        <v>市政基础设施</v>
      </c>
      <c r="AA40" s="1806">
        <f t="shared" si="3"/>
        <v>1</v>
      </c>
      <c r="AB40" s="1806">
        <f t="shared" si="4"/>
        <v>1</v>
      </c>
      <c r="AC40" s="2669">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53"/>
      <c r="Q41" s="1805" t="str">
        <f t="shared" si="11"/>
        <v>层高</v>
      </c>
      <c r="R41" s="774" t="s">
        <v>17</v>
      </c>
      <c r="S41" s="775">
        <f t="shared" si="12"/>
        <v>100</v>
      </c>
      <c r="T41" s="774" t="s">
        <v>17</v>
      </c>
      <c r="U41" s="775">
        <f t="shared" si="13"/>
        <v>100</v>
      </c>
      <c r="V41" s="774" t="s">
        <v>17</v>
      </c>
      <c r="W41" s="775">
        <f t="shared" si="14"/>
        <v>100</v>
      </c>
      <c r="X41" s="1808"/>
      <c r="Y41" s="3255"/>
      <c r="Z41" s="1809" t="str">
        <f t="shared" si="15"/>
        <v>层高</v>
      </c>
      <c r="AA41" s="1806">
        <f t="shared" si="3"/>
        <v>1</v>
      </c>
      <c r="AB41" s="1806">
        <f t="shared" si="4"/>
        <v>1</v>
      </c>
      <c r="AC41" s="2669">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53"/>
      <c r="Q42" s="776" t="str">
        <f t="shared" si="11"/>
        <v>单套建筑面积</v>
      </c>
      <c r="R42" s="777" t="s">
        <v>17</v>
      </c>
      <c r="S42" s="778">
        <f t="shared" si="12"/>
        <v>100</v>
      </c>
      <c r="T42" s="777" t="s">
        <v>17</v>
      </c>
      <c r="U42" s="778">
        <f t="shared" si="13"/>
        <v>100</v>
      </c>
      <c r="V42" s="777" t="s">
        <v>17</v>
      </c>
      <c r="W42" s="778">
        <f t="shared" si="14"/>
        <v>100</v>
      </c>
      <c r="X42" s="779"/>
      <c r="Y42" s="3255"/>
      <c r="Z42" s="780" t="str">
        <f t="shared" si="15"/>
        <v>单套建筑面积</v>
      </c>
      <c r="AA42" s="1806">
        <f t="shared" si="3"/>
        <v>1</v>
      </c>
      <c r="AB42" s="1806">
        <f t="shared" si="4"/>
        <v>1</v>
      </c>
      <c r="AC42" s="2669">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53"/>
      <c r="Q43" s="1805" t="str">
        <f t="shared" si="11"/>
        <v>内部装修</v>
      </c>
      <c r="R43" s="774" t="s">
        <v>17</v>
      </c>
      <c r="S43" s="775">
        <f t="shared" si="12"/>
        <v>100</v>
      </c>
      <c r="T43" s="774" t="s">
        <v>17</v>
      </c>
      <c r="U43" s="775">
        <f t="shared" si="13"/>
        <v>100</v>
      </c>
      <c r="V43" s="774" t="s">
        <v>17</v>
      </c>
      <c r="W43" s="775">
        <f t="shared" si="14"/>
        <v>100</v>
      </c>
      <c r="X43" s="1808"/>
      <c r="Y43" s="3255"/>
      <c r="Z43" s="1809" t="str">
        <f t="shared" si="15"/>
        <v>内部装修</v>
      </c>
      <c r="AA43" s="1806">
        <f t="shared" si="3"/>
        <v>1</v>
      </c>
      <c r="AB43" s="1806">
        <f t="shared" si="4"/>
        <v>1</v>
      </c>
      <c r="AC43" s="2669">
        <f t="shared" si="5"/>
        <v>1</v>
      </c>
    </row>
    <row r="44" spans="1:29" ht="15">
      <c r="A44" s="472"/>
      <c r="B44" s="422" t="s">
        <v>2576</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53"/>
      <c r="Q44" s="1805" t="str">
        <f t="shared" si="11"/>
        <v>内部装修维护情况</v>
      </c>
      <c r="R44" s="774" t="s">
        <v>17</v>
      </c>
      <c r="S44" s="775">
        <f t="shared" si="12"/>
        <v>100</v>
      </c>
      <c r="T44" s="774" t="s">
        <v>17</v>
      </c>
      <c r="U44" s="775">
        <f t="shared" si="13"/>
        <v>100</v>
      </c>
      <c r="V44" s="774" t="s">
        <v>17</v>
      </c>
      <c r="W44" s="775">
        <f t="shared" si="14"/>
        <v>100</v>
      </c>
      <c r="X44" s="1808"/>
      <c r="Y44" s="3255"/>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3"/>
      <c r="Q45" s="1790">
        <f t="shared" si="11"/>
        <v>111</v>
      </c>
      <c r="R45" s="770" t="s">
        <v>17</v>
      </c>
      <c r="S45" s="771">
        <f t="shared" si="12"/>
        <v>100</v>
      </c>
      <c r="T45" s="770" t="s">
        <v>17</v>
      </c>
      <c r="U45" s="771">
        <f t="shared" si="13"/>
        <v>100</v>
      </c>
      <c r="V45" s="770" t="s">
        <v>17</v>
      </c>
      <c r="W45" s="771">
        <f t="shared" si="14"/>
        <v>100</v>
      </c>
      <c r="X45" s="772"/>
      <c r="Y45" s="3255"/>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3"/>
      <c r="Q46" s="1805">
        <f t="shared" si="11"/>
        <v>111</v>
      </c>
      <c r="R46" s="774" t="s">
        <v>17</v>
      </c>
      <c r="S46" s="775">
        <f t="shared" si="12"/>
        <v>100</v>
      </c>
      <c r="T46" s="774" t="s">
        <v>17</v>
      </c>
      <c r="U46" s="775">
        <f t="shared" si="13"/>
        <v>100</v>
      </c>
      <c r="V46" s="774" t="s">
        <v>17</v>
      </c>
      <c r="W46" s="775">
        <f t="shared" si="14"/>
        <v>100</v>
      </c>
      <c r="X46" s="1808"/>
      <c r="Y46" s="3255"/>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4"/>
      <c r="Q47" s="1805">
        <f t="shared" si="11"/>
        <v>111</v>
      </c>
      <c r="R47" s="774" t="s">
        <v>17</v>
      </c>
      <c r="S47" s="775">
        <f t="shared" si="12"/>
        <v>100</v>
      </c>
      <c r="T47" s="774" t="s">
        <v>17</v>
      </c>
      <c r="U47" s="775">
        <f t="shared" si="13"/>
        <v>100</v>
      </c>
      <c r="V47" s="774" t="s">
        <v>17</v>
      </c>
      <c r="W47" s="775">
        <f t="shared" si="14"/>
        <v>100</v>
      </c>
      <c r="X47" s="1808"/>
      <c r="Y47" s="3256"/>
      <c r="Z47" s="1809">
        <f t="shared" si="15"/>
        <v>111</v>
      </c>
      <c r="AA47" s="1806">
        <f t="shared" si="3"/>
        <v>1</v>
      </c>
      <c r="AB47" s="1806">
        <f t="shared" si="4"/>
        <v>1</v>
      </c>
      <c r="AC47" s="2669">
        <f t="shared" si="5"/>
        <v>1</v>
      </c>
    </row>
    <row r="48" spans="1:29" ht="15">
      <c r="A48" s="479" t="s">
        <v>2577</v>
      </c>
      <c r="B48" s="480"/>
      <c r="C48" s="1403" t="s">
        <v>1</v>
      </c>
      <c r="D48" s="1404"/>
      <c r="E48" s="1405"/>
      <c r="F48" s="1406"/>
      <c r="G48" s="1407"/>
      <c r="H48" s="1408"/>
      <c r="I48" s="1405"/>
      <c r="J48" s="485"/>
      <c r="K48" s="783"/>
      <c r="L48" s="1139"/>
      <c r="M48" s="1127"/>
      <c r="N48" s="1127"/>
      <c r="O48" s="1127"/>
      <c r="P48" s="3234" t="str">
        <f>A48</f>
        <v>成交单价（元/平方米）</v>
      </c>
      <c r="Q48" s="3257"/>
      <c r="R48" s="3258">
        <f>E48</f>
        <v>0</v>
      </c>
      <c r="S48" s="3258"/>
      <c r="T48" s="3258">
        <f>G48</f>
        <v>0</v>
      </c>
      <c r="U48" s="3258"/>
      <c r="V48" s="3258">
        <f>I48</f>
        <v>0</v>
      </c>
      <c r="W48" s="3258"/>
      <c r="X48" s="446"/>
      <c r="Y48" s="781"/>
      <c r="Z48" s="446"/>
      <c r="AA48" s="446"/>
      <c r="AB48" s="446"/>
      <c r="AC48" s="630"/>
    </row>
    <row r="49" spans="1:29" ht="15.75" thickBot="1">
      <c r="A49" s="486" t="s">
        <v>2669</v>
      </c>
      <c r="B49" s="487"/>
      <c r="C49" s="1409" t="e">
        <f>R50</f>
        <v>#DIV/0!</v>
      </c>
      <c r="D49" s="1410"/>
      <c r="E49" s="1411" t="e">
        <f>R49</f>
        <v>#DIV/0!</v>
      </c>
      <c r="F49" s="1411"/>
      <c r="G49" s="1409" t="e">
        <f>T49</f>
        <v>#DIV/0!</v>
      </c>
      <c r="H49" s="1410"/>
      <c r="I49" s="1411" t="e">
        <f>V49</f>
        <v>#DIV/0!</v>
      </c>
      <c r="J49" s="489"/>
      <c r="K49" s="784"/>
      <c r="L49" s="1139"/>
      <c r="M49" s="1127"/>
      <c r="N49" s="1127"/>
      <c r="O49" s="1127"/>
      <c r="P49" s="3234"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2670</v>
      </c>
      <c r="B50" s="493"/>
      <c r="C50" s="1413" t="e">
        <f>R50</f>
        <v>#DIV/0!</v>
      </c>
      <c r="D50" s="1413"/>
      <c r="E50" s="1413"/>
      <c r="F50" s="1413"/>
      <c r="G50" s="1413"/>
      <c r="H50" s="1413"/>
      <c r="I50" s="1413"/>
      <c r="J50" s="494"/>
      <c r="K50" s="785"/>
      <c r="L50" s="1139"/>
      <c r="M50" s="1127"/>
      <c r="N50" s="1127"/>
      <c r="O50" s="1127"/>
      <c r="P50" s="3328" t="str">
        <f>A50</f>
        <v>估价对象XX用房的比较价值（楼面单价，元/平方米）</v>
      </c>
      <c r="Q50" s="3329"/>
      <c r="R50" s="3330" t="e">
        <f>IF(F1="售价",ROUND(AVERAGE(R49:V49),0),ROUND(AVERAGE(R49:V49),1))</f>
        <v>#DIV/0!</v>
      </c>
      <c r="S50" s="3330"/>
      <c r="T50" s="3330"/>
      <c r="U50" s="3330"/>
      <c r="V50" s="3330"/>
      <c r="W50" s="3330"/>
      <c r="X50" s="2649"/>
      <c r="Y50" s="2649"/>
      <c r="Z50" s="2649"/>
      <c r="AA50" s="2649"/>
      <c r="AB50" s="2649"/>
      <c r="AC50" s="2650"/>
    </row>
    <row r="51" spans="1:29">
      <c r="A51" s="1140"/>
      <c r="B51" s="1140"/>
      <c r="C51" s="1140"/>
      <c r="D51" s="1140"/>
      <c r="E51" s="1140"/>
      <c r="F51" s="1140"/>
      <c r="G51" s="1143"/>
      <c r="H51" s="1140"/>
      <c r="I51" s="1140"/>
      <c r="J51" s="1140"/>
      <c r="K51" s="1103"/>
      <c r="L51" s="1104"/>
      <c r="M51" s="1140"/>
      <c r="N51" s="1140"/>
      <c r="O51" s="1140"/>
    </row>
    <row r="52" spans="1:29">
      <c r="A52" s="1140"/>
      <c r="B52" s="1140"/>
      <c r="C52" s="1140"/>
      <c r="D52" s="1140"/>
      <c r="E52" s="1140"/>
      <c r="F52" s="1140"/>
      <c r="G52" s="1140"/>
      <c r="H52" s="1140"/>
      <c r="I52" s="1140"/>
      <c r="J52" s="1140"/>
      <c r="K52" s="1103"/>
      <c r="L52" s="1104"/>
      <c r="M52" s="1140"/>
      <c r="N52" s="1140"/>
      <c r="O52" s="1140"/>
    </row>
    <row r="53" spans="1:29" ht="13.5" customHeight="1">
      <c r="A53" s="1140"/>
      <c r="B53" s="1140"/>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0"/>
      <c r="N53" s="1140"/>
      <c r="O53" s="1140"/>
    </row>
    <row r="54" spans="1:29" ht="13.5" customHeight="1">
      <c r="A54" s="1140"/>
      <c r="B54" s="1140"/>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0"/>
      <c r="N54" s="1140"/>
      <c r="O54" s="1140"/>
    </row>
    <row r="55" spans="1:29" s="502" customFormat="1" ht="13.5" customHeight="1">
      <c r="A55" s="1141"/>
      <c r="B55" s="1141"/>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3"/>
      <c r="L57" s="1104"/>
      <c r="M57" s="1140"/>
      <c r="N57" s="1140"/>
      <c r="O57" s="1140"/>
    </row>
    <row r="58" spans="1:29" ht="21.75" thickBot="1">
      <c r="A58" s="763" t="s">
        <v>2674</v>
      </c>
      <c r="B58" s="759"/>
      <c r="C58" s="764"/>
      <c r="D58" s="764"/>
      <c r="E58" s="764"/>
      <c r="F58" s="765"/>
      <c r="G58" s="765"/>
      <c r="H58" s="764"/>
      <c r="I58" s="764"/>
      <c r="J58" s="764"/>
      <c r="K58" s="766"/>
      <c r="L58" s="1157"/>
      <c r="M58" s="1155"/>
      <c r="N58" s="1155"/>
      <c r="O58" s="1155"/>
      <c r="P58" s="2676"/>
      <c r="Q58" s="504"/>
    </row>
    <row r="59" spans="1:29" s="508" customFormat="1" ht="15">
      <c r="A59" s="505" t="s">
        <v>2548</v>
      </c>
      <c r="B59" s="506"/>
      <c r="C59" s="1570" t="str">
        <f>YEAR(C7)&amp;"-"&amp;MONTH(C7)</f>
        <v>2018-8</v>
      </c>
      <c r="D59" s="1571">
        <f>EDATE(C59,-1)</f>
        <v>43282</v>
      </c>
      <c r="E59" s="1571">
        <f>EDATE(D59,-1)</f>
        <v>43252</v>
      </c>
      <c r="F59" s="1571">
        <f t="shared" ref="F59:O59" si="16">EDATE(E59,-1)</f>
        <v>43221</v>
      </c>
      <c r="G59" s="1571">
        <f t="shared" si="16"/>
        <v>43191</v>
      </c>
      <c r="H59" s="1571">
        <f t="shared" si="16"/>
        <v>43160</v>
      </c>
      <c r="I59" s="1571">
        <f t="shared" si="16"/>
        <v>43132</v>
      </c>
      <c r="J59" s="1571">
        <f t="shared" si="16"/>
        <v>43101</v>
      </c>
      <c r="K59" s="1571">
        <f t="shared" si="16"/>
        <v>43070</v>
      </c>
      <c r="L59" s="1571">
        <f t="shared" si="16"/>
        <v>43040</v>
      </c>
      <c r="M59" s="1571">
        <f t="shared" si="16"/>
        <v>43009</v>
      </c>
      <c r="N59" s="1571">
        <f t="shared" si="16"/>
        <v>42979</v>
      </c>
      <c r="O59" s="1571">
        <f t="shared" si="16"/>
        <v>42948</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2585</v>
      </c>
      <c r="B61" s="516"/>
      <c r="C61" s="517"/>
      <c r="D61" s="518"/>
      <c r="E61" s="518"/>
      <c r="F61" s="518"/>
      <c r="G61" s="518"/>
      <c r="H61" s="518"/>
      <c r="I61" s="518"/>
      <c r="J61" s="518"/>
      <c r="K61" s="518"/>
      <c r="L61" s="518"/>
      <c r="M61" s="519"/>
      <c r="N61" s="518"/>
      <c r="O61" s="519"/>
      <c r="P61" s="2677"/>
      <c r="Q61" s="504"/>
    </row>
    <row r="62" spans="1:29" s="117" customFormat="1" ht="15">
      <c r="A62" s="521" t="s">
        <v>2550</v>
      </c>
      <c r="B62" s="510"/>
      <c r="C62" s="522" t="s">
        <v>2652</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2588</v>
      </c>
      <c r="B64" s="528" t="s">
        <v>2554</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2689</v>
      </c>
      <c r="C83" s="660" t="s">
        <v>2675</v>
      </c>
      <c r="D83" s="660" t="s">
        <v>2676</v>
      </c>
      <c r="E83" s="660" t="s">
        <v>2677</v>
      </c>
      <c r="F83" s="660" t="s">
        <v>2678</v>
      </c>
      <c r="G83" s="660" t="s">
        <v>2679</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2699</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2563</v>
      </c>
      <c r="B101" s="528" t="s">
        <v>2612</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2614</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2616</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2700</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2617</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2618</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2701</v>
      </c>
      <c r="C119" s="583"/>
      <c r="D119" s="583"/>
      <c r="E119" s="583"/>
      <c r="F119" s="583"/>
      <c r="G119" s="583"/>
      <c r="H119" s="583"/>
      <c r="I119" s="583"/>
      <c r="J119" s="583"/>
      <c r="K119" s="583"/>
      <c r="L119" s="2684"/>
      <c r="M119" s="2685"/>
      <c r="N119" s="1149"/>
      <c r="O119" s="1149"/>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2684</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2620</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2528</v>
      </c>
      <c r="B1" s="2664" t="s">
        <v>2702</v>
      </c>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IF(C2="——",ROUND(C43*D3/10000,0),ROUND(C43*D3/10000,0)-D2)</f>
        <v>#DIV/0!</v>
      </c>
      <c r="C2" s="2581"/>
      <c r="D2" s="1120" t="e">
        <f ca="1">SUMIF(INDIRECT("'"&amp;F2&amp;"'"&amp;"!A:A"),"承租人权益价值",INDIRECT("'"&amp;F2&amp;"'"&amp;"!c:c"))</f>
        <v>#REF!</v>
      </c>
      <c r="E2" s="2582" t="s">
        <v>2328</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34166.230000000018</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6" t="s">
        <v>2648</v>
      </c>
      <c r="AC4" s="3215" t="s">
        <v>2649</v>
      </c>
    </row>
    <row r="5" spans="1:29" ht="15">
      <c r="A5" s="404"/>
      <c r="B5" s="405"/>
      <c r="C5" s="3227" t="s">
        <v>2542</v>
      </c>
      <c r="D5" s="3228"/>
      <c r="E5" s="3315" t="s">
        <v>2543</v>
      </c>
      <c r="F5" s="3226"/>
      <c r="G5" s="3227" t="s">
        <v>2544</v>
      </c>
      <c r="H5" s="3228"/>
      <c r="I5" s="3227" t="s">
        <v>2545</v>
      </c>
      <c r="J5" s="3228"/>
      <c r="K5" s="610"/>
      <c r="L5" s="1126"/>
      <c r="M5" s="1127"/>
      <c r="N5" s="1127"/>
      <c r="O5" s="1127"/>
      <c r="P5" s="3241"/>
      <c r="Q5" s="3242"/>
      <c r="R5" s="3223"/>
      <c r="S5" s="3224"/>
      <c r="T5" s="3223"/>
      <c r="U5" s="3224"/>
      <c r="V5" s="3218"/>
      <c r="W5" s="3218"/>
      <c r="X5" s="1808"/>
      <c r="Y5" s="3223"/>
      <c r="Z5" s="3224"/>
      <c r="AA5" s="3216"/>
      <c r="AB5" s="3216"/>
      <c r="AC5" s="3216"/>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1808"/>
      <c r="Y6" s="3245"/>
      <c r="Z6" s="3246"/>
      <c r="AA6" s="3217"/>
      <c r="AB6" s="3217"/>
      <c r="AC6" s="3217"/>
    </row>
    <row r="7" spans="1:29" s="117" customFormat="1" ht="15.75" thickBot="1">
      <c r="A7" s="408" t="s">
        <v>2548</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19" t="s">
        <v>2549</v>
      </c>
      <c r="Q7" s="3247"/>
      <c r="R7" s="770" t="s">
        <v>17</v>
      </c>
      <c r="S7" s="771">
        <f t="shared" ref="S7:S15" si="0">F7</f>
        <v>0</v>
      </c>
      <c r="T7" s="770" t="s">
        <v>17</v>
      </c>
      <c r="U7" s="771">
        <f t="shared" ref="U7:U15" si="1">H7</f>
        <v>0</v>
      </c>
      <c r="V7" s="770" t="s">
        <v>17</v>
      </c>
      <c r="W7" s="771">
        <f t="shared" ref="W7:W15" si="2">J7</f>
        <v>0</v>
      </c>
      <c r="X7" s="772"/>
      <c r="Y7" s="3219" t="s">
        <v>2549</v>
      </c>
      <c r="Z7" s="322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19" t="s">
        <v>2552</v>
      </c>
      <c r="Q8" s="3220"/>
      <c r="R8" s="770" t="s">
        <v>17</v>
      </c>
      <c r="S8" s="771">
        <f t="shared" si="0"/>
        <v>0</v>
      </c>
      <c r="T8" s="770" t="s">
        <v>17</v>
      </c>
      <c r="U8" s="771">
        <f t="shared" si="1"/>
        <v>0</v>
      </c>
      <c r="V8" s="770" t="s">
        <v>17</v>
      </c>
      <c r="W8" s="771">
        <f t="shared" si="2"/>
        <v>0</v>
      </c>
      <c r="X8" s="772"/>
      <c r="Y8" s="3219" t="s">
        <v>2552</v>
      </c>
      <c r="Z8" s="322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57"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57"/>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57"/>
      <c r="Q11" s="1790"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57"/>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57"/>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57"/>
      <c r="Q14" s="1790">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57">
      <c r="A15" s="440" t="s">
        <v>2559</v>
      </c>
      <c r="B15" s="69" t="s">
        <v>2703</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50" t="s">
        <v>2560</v>
      </c>
      <c r="Q15" s="1805" t="str">
        <f t="shared" si="6"/>
        <v>产业集聚程度</v>
      </c>
      <c r="R15" s="774" t="s">
        <v>17</v>
      </c>
      <c r="S15" s="775">
        <f t="shared" si="0"/>
        <v>100</v>
      </c>
      <c r="T15" s="774" t="s">
        <v>17</v>
      </c>
      <c r="U15" s="775">
        <f t="shared" si="1"/>
        <v>100</v>
      </c>
      <c r="V15" s="774" t="s">
        <v>17</v>
      </c>
      <c r="W15" s="775">
        <f t="shared" si="2"/>
        <v>100</v>
      </c>
      <c r="X15" s="1808"/>
      <c r="Y15" s="3250"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251"/>
      <c r="Q16" s="1805"/>
      <c r="R16" s="774"/>
      <c r="S16" s="775"/>
      <c r="T16" s="774"/>
      <c r="U16" s="775"/>
      <c r="V16" s="774"/>
      <c r="W16" s="775"/>
      <c r="X16" s="1808"/>
      <c r="Y16" s="3251"/>
      <c r="Z16" s="1809"/>
      <c r="AA16" s="1806">
        <v>1</v>
      </c>
      <c r="AB16" s="1806">
        <v>1</v>
      </c>
      <c r="AC16" s="1806">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1"/>
      <c r="Q17" s="1805" t="str">
        <f>B17</f>
        <v>交通便捷度</v>
      </c>
      <c r="R17" s="774" t="s">
        <v>17</v>
      </c>
      <c r="S17" s="775">
        <f>F17</f>
        <v>100</v>
      </c>
      <c r="T17" s="774" t="s">
        <v>17</v>
      </c>
      <c r="U17" s="775">
        <f>H17</f>
        <v>100</v>
      </c>
      <c r="V17" s="774" t="s">
        <v>17</v>
      </c>
      <c r="W17" s="775">
        <f>J17</f>
        <v>100</v>
      </c>
      <c r="X17" s="1808"/>
      <c r="Y17" s="3251"/>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251"/>
      <c r="Q18" s="1805"/>
      <c r="R18" s="774"/>
      <c r="S18" s="775"/>
      <c r="T18" s="774"/>
      <c r="U18" s="775"/>
      <c r="V18" s="774"/>
      <c r="W18" s="775"/>
      <c r="X18" s="1808"/>
      <c r="Y18" s="3251"/>
      <c r="Z18" s="1809"/>
      <c r="AA18" s="1806">
        <v>1</v>
      </c>
      <c r="AB18" s="1806">
        <v>1</v>
      </c>
      <c r="AC18" s="1806">
        <v>1</v>
      </c>
    </row>
    <row r="19" spans="1:29" ht="42.75">
      <c r="A19" s="428"/>
      <c r="B19" s="451" t="s">
        <v>2688</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1"/>
      <c r="Q19" s="1805" t="str">
        <f>B19</f>
        <v>公共配套设施</v>
      </c>
      <c r="R19" s="774" t="s">
        <v>17</v>
      </c>
      <c r="S19" s="775">
        <f>F19</f>
        <v>100</v>
      </c>
      <c r="T19" s="774" t="s">
        <v>17</v>
      </c>
      <c r="U19" s="775">
        <f>H19</f>
        <v>100</v>
      </c>
      <c r="V19" s="774" t="s">
        <v>17</v>
      </c>
      <c r="W19" s="775">
        <f>J19</f>
        <v>100</v>
      </c>
      <c r="X19" s="1808"/>
      <c r="Y19" s="3251"/>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251"/>
      <c r="Q20" s="1805"/>
      <c r="R20" s="774"/>
      <c r="S20" s="775"/>
      <c r="T20" s="774"/>
      <c r="U20" s="775"/>
      <c r="V20" s="774"/>
      <c r="W20" s="775"/>
      <c r="X20" s="1808"/>
      <c r="Y20" s="3251"/>
      <c r="Z20" s="1809"/>
      <c r="AA20" s="1806">
        <v>1</v>
      </c>
      <c r="AB20" s="1806">
        <v>1</v>
      </c>
      <c r="AC20" s="1806">
        <v>1</v>
      </c>
    </row>
    <row r="21" spans="1:29" ht="28.5">
      <c r="A21" s="428"/>
      <c r="B21" s="1380" t="s">
        <v>2689</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1"/>
      <c r="Q21" s="1805" t="str">
        <f>B21</f>
        <v>基础设施水平</v>
      </c>
      <c r="R21" s="774" t="s">
        <v>17</v>
      </c>
      <c r="S21" s="775">
        <f>F21</f>
        <v>100</v>
      </c>
      <c r="T21" s="774" t="s">
        <v>17</v>
      </c>
      <c r="U21" s="775">
        <f>H21</f>
        <v>100</v>
      </c>
      <c r="V21" s="774" t="s">
        <v>17</v>
      </c>
      <c r="W21" s="775">
        <f>J21</f>
        <v>100</v>
      </c>
      <c r="X21" s="1808"/>
      <c r="Y21" s="3251"/>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251"/>
      <c r="Q22" s="1805"/>
      <c r="R22" s="774"/>
      <c r="S22" s="775"/>
      <c r="T22" s="774"/>
      <c r="U22" s="775"/>
      <c r="V22" s="774"/>
      <c r="W22" s="775"/>
      <c r="X22" s="1808"/>
      <c r="Y22" s="3251"/>
      <c r="Z22" s="1809"/>
      <c r="AA22" s="1806">
        <v>1</v>
      </c>
      <c r="AB22" s="1806">
        <v>1</v>
      </c>
      <c r="AC22" s="1806">
        <v>1</v>
      </c>
    </row>
    <row r="23" spans="1:29" ht="71.25">
      <c r="A23" s="428"/>
      <c r="B23" s="451" t="s">
        <v>2690</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1"/>
      <c r="Q23" s="1805" t="str">
        <f>B23</f>
        <v>环境质量</v>
      </c>
      <c r="R23" s="774" t="s">
        <v>17</v>
      </c>
      <c r="S23" s="775">
        <f>F23</f>
        <v>100</v>
      </c>
      <c r="T23" s="774" t="s">
        <v>17</v>
      </c>
      <c r="U23" s="775">
        <f>H23</f>
        <v>100</v>
      </c>
      <c r="V23" s="774" t="s">
        <v>17</v>
      </c>
      <c r="W23" s="775">
        <f>J23</f>
        <v>100</v>
      </c>
      <c r="X23" s="1808"/>
      <c r="Y23" s="3251"/>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251"/>
      <c r="Q24" s="1805"/>
      <c r="R24" s="774"/>
      <c r="S24" s="775"/>
      <c r="T24" s="774"/>
      <c r="U24" s="775"/>
      <c r="V24" s="774"/>
      <c r="W24" s="775"/>
      <c r="X24" s="1808"/>
      <c r="Y24" s="3251"/>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1"/>
      <c r="Q25" s="1805">
        <f>B25</f>
        <v>111</v>
      </c>
      <c r="R25" s="774" t="s">
        <v>17</v>
      </c>
      <c r="S25" s="775">
        <f>F25</f>
        <v>100</v>
      </c>
      <c r="T25" s="774" t="s">
        <v>17</v>
      </c>
      <c r="U25" s="775">
        <f>H25</f>
        <v>100</v>
      </c>
      <c r="V25" s="774" t="s">
        <v>17</v>
      </c>
      <c r="W25" s="775">
        <f>J25</f>
        <v>100</v>
      </c>
      <c r="X25" s="1808"/>
      <c r="Y25" s="3251"/>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1"/>
      <c r="Q26" s="1805">
        <f t="shared" ref="Q26:Q40" si="11">B26</f>
        <v>111</v>
      </c>
      <c r="R26" s="774" t="s">
        <v>17</v>
      </c>
      <c r="S26" s="775">
        <f>F26</f>
        <v>100</v>
      </c>
      <c r="T26" s="774" t="s">
        <v>17</v>
      </c>
      <c r="U26" s="775">
        <f>H26</f>
        <v>100</v>
      </c>
      <c r="V26" s="774" t="s">
        <v>17</v>
      </c>
      <c r="W26" s="775">
        <f>J26</f>
        <v>100</v>
      </c>
      <c r="X26" s="1808"/>
      <c r="Y26" s="3251"/>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1"/>
      <c r="Q27" s="1790">
        <f t="shared" si="11"/>
        <v>111</v>
      </c>
      <c r="R27" s="770" t="s">
        <v>17</v>
      </c>
      <c r="S27" s="771">
        <f>F27</f>
        <v>100</v>
      </c>
      <c r="T27" s="770" t="s">
        <v>17</v>
      </c>
      <c r="U27" s="771">
        <f>H27</f>
        <v>100</v>
      </c>
      <c r="V27" s="770" t="s">
        <v>17</v>
      </c>
      <c r="W27" s="771">
        <f>J27</f>
        <v>100</v>
      </c>
      <c r="X27" s="772"/>
      <c r="Y27" s="3251"/>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1"/>
      <c r="Q28" s="1805">
        <f t="shared" si="11"/>
        <v>111</v>
      </c>
      <c r="R28" s="774" t="s">
        <v>17</v>
      </c>
      <c r="S28" s="775">
        <f t="shared" ref="S28:S40" si="12">F28</f>
        <v>100</v>
      </c>
      <c r="T28" s="774" t="s">
        <v>17</v>
      </c>
      <c r="U28" s="775">
        <f t="shared" ref="U28:U40" si="13">H28</f>
        <v>100</v>
      </c>
      <c r="V28" s="774" t="s">
        <v>17</v>
      </c>
      <c r="W28" s="775">
        <f t="shared" ref="W28:W40" si="14">J28</f>
        <v>100</v>
      </c>
      <c r="X28" s="1808"/>
      <c r="Y28" s="3251"/>
      <c r="Z28" s="1809">
        <f t="shared" ref="Z28:Z40" si="15">Q28</f>
        <v>111</v>
      </c>
      <c r="AA28" s="1806">
        <f t="shared" si="3"/>
        <v>1</v>
      </c>
      <c r="AB28" s="1806">
        <f t="shared" si="4"/>
        <v>1</v>
      </c>
      <c r="AC28" s="1806">
        <f t="shared" si="5"/>
        <v>1</v>
      </c>
    </row>
    <row r="29" spans="1:29" ht="28.5">
      <c r="A29" s="466" t="s">
        <v>2563</v>
      </c>
      <c r="B29" s="71" t="s">
        <v>2693</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31" t="s">
        <v>2565</v>
      </c>
      <c r="Q29" s="1805" t="str">
        <f t="shared" si="11"/>
        <v>建筑类型</v>
      </c>
      <c r="R29" s="774" t="s">
        <v>17</v>
      </c>
      <c r="S29" s="775">
        <f t="shared" si="12"/>
        <v>100</v>
      </c>
      <c r="T29" s="774" t="s">
        <v>17</v>
      </c>
      <c r="U29" s="775">
        <f t="shared" si="13"/>
        <v>100</v>
      </c>
      <c r="V29" s="774" t="s">
        <v>17</v>
      </c>
      <c r="W29" s="775">
        <f t="shared" si="14"/>
        <v>100</v>
      </c>
      <c r="X29" s="1808"/>
      <c r="Y29" s="3255"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5"/>
      <c r="Q30" s="776" t="str">
        <f t="shared" si="11"/>
        <v>项目建筑规模</v>
      </c>
      <c r="R30" s="777" t="s">
        <v>17</v>
      </c>
      <c r="S30" s="778" t="e">
        <f t="shared" si="12"/>
        <v>#N/A</v>
      </c>
      <c r="T30" s="777" t="s">
        <v>17</v>
      </c>
      <c r="U30" s="778" t="e">
        <f t="shared" si="13"/>
        <v>#N/A</v>
      </c>
      <c r="V30" s="777" t="s">
        <v>17</v>
      </c>
      <c r="W30" s="778" t="e">
        <f t="shared" si="14"/>
        <v>#N/A</v>
      </c>
      <c r="X30" s="779"/>
      <c r="Y30" s="3255"/>
      <c r="Z30" s="780"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5"/>
      <c r="Q31" s="1805" t="str">
        <f t="shared" si="11"/>
        <v>建筑结构</v>
      </c>
      <c r="R31" s="774" t="s">
        <v>17</v>
      </c>
      <c r="S31" s="775">
        <f t="shared" si="12"/>
        <v>100</v>
      </c>
      <c r="T31" s="774" t="s">
        <v>17</v>
      </c>
      <c r="U31" s="775">
        <f t="shared" si="13"/>
        <v>100</v>
      </c>
      <c r="V31" s="774" t="s">
        <v>17</v>
      </c>
      <c r="W31" s="775">
        <f t="shared" si="14"/>
        <v>100</v>
      </c>
      <c r="X31" s="1808"/>
      <c r="Y31" s="3255"/>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5"/>
      <c r="Q32" s="1805" t="str">
        <f t="shared" si="11"/>
        <v>公共部分装修</v>
      </c>
      <c r="R32" s="774" t="s">
        <v>17</v>
      </c>
      <c r="S32" s="775">
        <f t="shared" si="12"/>
        <v>100</v>
      </c>
      <c r="T32" s="774" t="s">
        <v>17</v>
      </c>
      <c r="U32" s="775">
        <f t="shared" si="13"/>
        <v>100</v>
      </c>
      <c r="V32" s="774" t="s">
        <v>17</v>
      </c>
      <c r="W32" s="775">
        <f t="shared" si="14"/>
        <v>100</v>
      </c>
      <c r="X32" s="1808"/>
      <c r="Y32" s="3255"/>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5"/>
      <c r="Q33" s="1805" t="str">
        <f t="shared" si="11"/>
        <v>成新度</v>
      </c>
      <c r="R33" s="774" t="s">
        <v>17</v>
      </c>
      <c r="S33" s="775" t="e">
        <f t="shared" si="12"/>
        <v>#N/A</v>
      </c>
      <c r="T33" s="774" t="s">
        <v>17</v>
      </c>
      <c r="U33" s="775" t="e">
        <f t="shared" si="13"/>
        <v>#N/A</v>
      </c>
      <c r="V33" s="774" t="s">
        <v>17</v>
      </c>
      <c r="W33" s="775" t="e">
        <f t="shared" si="14"/>
        <v>#N/A</v>
      </c>
      <c r="X33" s="1808"/>
      <c r="Y33" s="3255"/>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5"/>
      <c r="Q34" s="1790" t="str">
        <f t="shared" si="11"/>
        <v>物业管理</v>
      </c>
      <c r="R34" s="770" t="s">
        <v>17</v>
      </c>
      <c r="S34" s="771">
        <f t="shared" si="12"/>
        <v>100</v>
      </c>
      <c r="T34" s="770" t="s">
        <v>17</v>
      </c>
      <c r="U34" s="771">
        <f t="shared" si="13"/>
        <v>100</v>
      </c>
      <c r="V34" s="770" t="s">
        <v>17</v>
      </c>
      <c r="W34" s="771">
        <f t="shared" si="14"/>
        <v>100</v>
      </c>
      <c r="X34" s="772"/>
      <c r="Y34" s="3255"/>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5" t="s">
        <v>2565</v>
      </c>
      <c r="Q35" s="1805" t="str">
        <f t="shared" si="11"/>
        <v>市政基础设施</v>
      </c>
      <c r="R35" s="774" t="s">
        <v>17</v>
      </c>
      <c r="S35" s="775">
        <f t="shared" si="12"/>
        <v>100</v>
      </c>
      <c r="T35" s="774" t="s">
        <v>17</v>
      </c>
      <c r="U35" s="775">
        <f t="shared" si="13"/>
        <v>100</v>
      </c>
      <c r="V35" s="774" t="s">
        <v>17</v>
      </c>
      <c r="W35" s="775">
        <f t="shared" si="14"/>
        <v>100</v>
      </c>
      <c r="X35" s="1808"/>
      <c r="Y35" s="3255"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5"/>
      <c r="Q36" s="1805" t="str">
        <f t="shared" si="11"/>
        <v>内部装修</v>
      </c>
      <c r="R36" s="774" t="s">
        <v>17</v>
      </c>
      <c r="S36" s="775">
        <f t="shared" si="12"/>
        <v>100</v>
      </c>
      <c r="T36" s="774" t="s">
        <v>17</v>
      </c>
      <c r="U36" s="775">
        <f t="shared" si="13"/>
        <v>100</v>
      </c>
      <c r="V36" s="774" t="s">
        <v>17</v>
      </c>
      <c r="W36" s="775">
        <f t="shared" si="14"/>
        <v>100</v>
      </c>
      <c r="X36" s="1808"/>
      <c r="Y36" s="3255"/>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5"/>
      <c r="Q37" s="1805" t="str">
        <f t="shared" si="11"/>
        <v>内部装修状况</v>
      </c>
      <c r="R37" s="774" t="s">
        <v>17</v>
      </c>
      <c r="S37" s="775">
        <f t="shared" si="12"/>
        <v>100</v>
      </c>
      <c r="T37" s="774" t="s">
        <v>17</v>
      </c>
      <c r="U37" s="775">
        <f t="shared" si="13"/>
        <v>100</v>
      </c>
      <c r="V37" s="774" t="s">
        <v>17</v>
      </c>
      <c r="W37" s="775">
        <f t="shared" si="14"/>
        <v>100</v>
      </c>
      <c r="X37" s="1808"/>
      <c r="Y37" s="3255"/>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5"/>
      <c r="Q38" s="776">
        <f t="shared" si="11"/>
        <v>111</v>
      </c>
      <c r="R38" s="777" t="s">
        <v>17</v>
      </c>
      <c r="S38" s="778">
        <f t="shared" si="12"/>
        <v>100</v>
      </c>
      <c r="T38" s="777" t="s">
        <v>17</v>
      </c>
      <c r="U38" s="778">
        <f t="shared" si="13"/>
        <v>100</v>
      </c>
      <c r="V38" s="777" t="s">
        <v>17</v>
      </c>
      <c r="W38" s="778">
        <f t="shared" si="14"/>
        <v>100</v>
      </c>
      <c r="X38" s="779"/>
      <c r="Y38" s="3255"/>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5"/>
      <c r="Q39" s="1805">
        <f t="shared" si="11"/>
        <v>111</v>
      </c>
      <c r="R39" s="774" t="s">
        <v>17</v>
      </c>
      <c r="S39" s="775">
        <f t="shared" si="12"/>
        <v>100</v>
      </c>
      <c r="T39" s="774" t="s">
        <v>17</v>
      </c>
      <c r="U39" s="775">
        <f t="shared" si="13"/>
        <v>100</v>
      </c>
      <c r="V39" s="774" t="s">
        <v>17</v>
      </c>
      <c r="W39" s="775">
        <f t="shared" si="14"/>
        <v>100</v>
      </c>
      <c r="X39" s="1808"/>
      <c r="Y39" s="3255"/>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6"/>
      <c r="Q40" s="1805">
        <f t="shared" si="11"/>
        <v>111</v>
      </c>
      <c r="R40" s="774" t="s">
        <v>17</v>
      </c>
      <c r="S40" s="775">
        <f t="shared" si="12"/>
        <v>100</v>
      </c>
      <c r="T40" s="774" t="s">
        <v>17</v>
      </c>
      <c r="U40" s="775">
        <f t="shared" si="13"/>
        <v>100</v>
      </c>
      <c r="V40" s="774" t="s">
        <v>17</v>
      </c>
      <c r="W40" s="775">
        <f t="shared" si="14"/>
        <v>100</v>
      </c>
      <c r="X40" s="1808"/>
      <c r="Y40" s="3256"/>
      <c r="Z40" s="1809">
        <f t="shared" si="15"/>
        <v>111</v>
      </c>
      <c r="AA40" s="1806">
        <f t="shared" si="3"/>
        <v>1</v>
      </c>
      <c r="AB40" s="1806">
        <f t="shared" si="4"/>
        <v>1</v>
      </c>
      <c r="AC40" s="1806">
        <f t="shared" si="5"/>
        <v>1</v>
      </c>
    </row>
    <row r="41" spans="1:29" ht="15">
      <c r="A41" s="479" t="s">
        <v>2577</v>
      </c>
      <c r="B41" s="480"/>
      <c r="C41" s="1403" t="s">
        <v>1</v>
      </c>
      <c r="D41" s="1404"/>
      <c r="E41" s="1405"/>
      <c r="F41" s="1406"/>
      <c r="G41" s="1407"/>
      <c r="H41" s="1408"/>
      <c r="I41" s="1405"/>
      <c r="J41" s="1408"/>
      <c r="K41" s="783"/>
      <c r="L41" s="1139"/>
      <c r="M41" s="1140"/>
      <c r="N41" s="1127"/>
      <c r="O41" s="1140"/>
      <c r="P41" s="3257" t="str">
        <f>A41</f>
        <v>成交单价（元/平方米）</v>
      </c>
      <c r="Q41" s="3257"/>
      <c r="R41" s="3258">
        <f>E41</f>
        <v>0</v>
      </c>
      <c r="S41" s="3258"/>
      <c r="T41" s="3258">
        <f>G41</f>
        <v>0</v>
      </c>
      <c r="U41" s="3258"/>
      <c r="V41" s="3258">
        <f>I41</f>
        <v>0</v>
      </c>
      <c r="W41" s="3258"/>
      <c r="X41" s="759"/>
      <c r="Y41" s="781"/>
      <c r="Z41" s="759"/>
      <c r="AA41" s="759"/>
      <c r="AB41" s="759"/>
      <c r="AC41" s="759"/>
    </row>
    <row r="42" spans="1:29" ht="15.75" thickBot="1">
      <c r="A42" s="486" t="s">
        <v>2669</v>
      </c>
      <c r="B42" s="487"/>
      <c r="C42" s="1409" t="e">
        <f>R43</f>
        <v>#DIV/0!</v>
      </c>
      <c r="D42" s="1410"/>
      <c r="E42" s="1411" t="e">
        <f>R42</f>
        <v>#DIV/0!</v>
      </c>
      <c r="F42" s="1411"/>
      <c r="G42" s="1409" t="e">
        <f>T42</f>
        <v>#DIV/0!</v>
      </c>
      <c r="H42" s="1410"/>
      <c r="I42" s="1411" t="e">
        <f>V42</f>
        <v>#DIV/0!</v>
      </c>
      <c r="J42" s="1410"/>
      <c r="K42" s="784"/>
      <c r="L42" s="1139"/>
      <c r="M42" s="1140"/>
      <c r="N42" s="1127"/>
      <c r="O42" s="1140"/>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2670</v>
      </c>
      <c r="B43" s="493"/>
      <c r="C43" s="1413" t="e">
        <f>R43</f>
        <v>#DIV/0!</v>
      </c>
      <c r="D43" s="1413"/>
      <c r="E43" s="1413"/>
      <c r="F43" s="1413"/>
      <c r="G43" s="1413"/>
      <c r="H43" s="1413"/>
      <c r="I43" s="1413"/>
      <c r="J43" s="1413"/>
      <c r="K43" s="785"/>
      <c r="L43" s="1139"/>
      <c r="M43" s="1140"/>
      <c r="N43" s="1140"/>
      <c r="O43" s="1140"/>
      <c r="P43" s="3259" t="str">
        <f>A43</f>
        <v>估价对象XX用房的比较价值（楼面单价，元/平方米）</v>
      </c>
      <c r="Q43" s="3260"/>
      <c r="R43" s="3261" t="e">
        <f>IF(F1="售价",ROUND(AVERAGE(R42:V42),0),ROUND(AVERAGE(R42:V42),1))</f>
        <v>#DIV/0!</v>
      </c>
      <c r="S43" s="3261"/>
      <c r="T43" s="3261"/>
      <c r="U43" s="3261"/>
      <c r="V43" s="3261"/>
      <c r="W43" s="3261"/>
      <c r="X43" s="759"/>
      <c r="Y43" s="759"/>
      <c r="Z43" s="759"/>
      <c r="AA43" s="759"/>
      <c r="AB43" s="759"/>
      <c r="AC43" s="759"/>
    </row>
    <row r="44" spans="1:29">
      <c r="A44" s="1140"/>
      <c r="B44" s="1140"/>
      <c r="C44" s="1140"/>
      <c r="D44" s="1140"/>
      <c r="E44" s="1140"/>
      <c r="F44" s="1140"/>
      <c r="G44" s="1143"/>
      <c r="H44" s="1140"/>
      <c r="I44" s="1140"/>
      <c r="J44" s="1140"/>
      <c r="K44" s="1103"/>
      <c r="L44" s="1104"/>
      <c r="M44" s="1140"/>
      <c r="N44" s="1140"/>
      <c r="O44" s="1140"/>
    </row>
    <row r="45" spans="1:29">
      <c r="A45" s="1140"/>
      <c r="B45" s="1140"/>
      <c r="C45" s="1140"/>
      <c r="D45" s="1140"/>
      <c r="E45" s="1140"/>
      <c r="F45" s="1140"/>
      <c r="G45" s="1140"/>
      <c r="H45" s="1140"/>
      <c r="I45" s="1140"/>
      <c r="J45" s="1140"/>
      <c r="K45" s="1103"/>
      <c r="L45" s="1104"/>
      <c r="M45" s="1140"/>
      <c r="N45" s="1140"/>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0"/>
      <c r="N46" s="1140"/>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3"/>
      <c r="L50" s="1104"/>
      <c r="M50" s="1140"/>
      <c r="N50" s="1140"/>
      <c r="O50" s="1140"/>
    </row>
    <row r="51" spans="1:17" ht="21.75" thickBot="1">
      <c r="A51" s="763" t="s">
        <v>2674</v>
      </c>
      <c r="B51" s="759"/>
      <c r="C51" s="764"/>
      <c r="D51" s="764"/>
      <c r="E51" s="764"/>
      <c r="F51" s="765"/>
      <c r="G51" s="765"/>
      <c r="H51" s="764"/>
      <c r="I51" s="764"/>
      <c r="J51" s="764"/>
      <c r="K51" s="1156"/>
      <c r="L51" s="1157"/>
      <c r="M51" s="1155"/>
      <c r="N51" s="1155"/>
      <c r="O51" s="1155"/>
      <c r="P51" s="503"/>
      <c r="Q51" s="504"/>
    </row>
    <row r="52" spans="1:17" s="508" customFormat="1" ht="15">
      <c r="A52" s="505" t="s">
        <v>2548</v>
      </c>
      <c r="B52" s="506"/>
      <c r="C52" s="1570" t="str">
        <f>YEAR(C7)&amp;"-"&amp;MONTH(C7)</f>
        <v>2018-8</v>
      </c>
      <c r="D52" s="1571">
        <f>EDATE(C52,-1)</f>
        <v>43282</v>
      </c>
      <c r="E52" s="1571">
        <f t="shared" ref="E52:O52" si="16">EDATE(D52,-1)</f>
        <v>43252</v>
      </c>
      <c r="F52" s="1571">
        <f t="shared" si="16"/>
        <v>43221</v>
      </c>
      <c r="G52" s="1571">
        <f t="shared" si="16"/>
        <v>43191</v>
      </c>
      <c r="H52" s="1571">
        <f t="shared" si="16"/>
        <v>43160</v>
      </c>
      <c r="I52" s="1571">
        <f t="shared" si="16"/>
        <v>43132</v>
      </c>
      <c r="J52" s="1571">
        <f t="shared" si="16"/>
        <v>43101</v>
      </c>
      <c r="K52" s="1571">
        <f t="shared" si="16"/>
        <v>43070</v>
      </c>
      <c r="L52" s="1571">
        <f t="shared" si="16"/>
        <v>43040</v>
      </c>
      <c r="M52" s="1571">
        <f t="shared" si="16"/>
        <v>43009</v>
      </c>
      <c r="N52" s="1571">
        <f t="shared" si="16"/>
        <v>42979</v>
      </c>
      <c r="O52" s="1571">
        <f t="shared" si="16"/>
        <v>42948</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2588</v>
      </c>
      <c r="B57" s="528" t="s">
        <v>2554</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2563</v>
      </c>
      <c r="B88" s="528" t="s">
        <v>2612</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2614</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2616</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2617</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2618</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2620</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K31" sqref="K31"/>
    </sheetView>
  </sheetViews>
  <sheetFormatPr defaultColWidth="9" defaultRowHeight="14.25"/>
  <cols>
    <col min="1" max="1" width="10.5" style="403" customWidth="1"/>
    <col min="2" max="2" width="15.75" style="403" customWidth="1"/>
    <col min="3" max="3" width="16.25" style="403" customWidth="1"/>
    <col min="4" max="4" width="12.25" style="403" customWidth="1"/>
    <col min="5" max="5" width="16.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t="s">
        <v>3712</v>
      </c>
      <c r="C1" s="1616" t="s">
        <v>2530</v>
      </c>
      <c r="D1" s="1617" t="s">
        <v>48</v>
      </c>
      <c r="E1" s="1618"/>
      <c r="F1" s="2579" t="s">
        <v>3723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2327</v>
      </c>
      <c r="B2" s="1414">
        <f>IF(C2="——",IF(B37="元/平方米",ROUND(C39*D3/10000,0),ROUND(F3*C39/10000,0)),IF(B37="元/平方米",ROUND(C39*D3/10000,0),ROUND(F3*C39/10000,0))-D2)</f>
        <v>6901</v>
      </c>
      <c r="C2" s="2581" t="s">
        <v>70</v>
      </c>
      <c r="D2" s="1120" t="e">
        <f ca="1">SUMIF(INDIRECT("'"&amp;F2&amp;"'"&amp;"!A:A"),"承租人权益价值",INDIRECT("'"&amp;F2&amp;"'"&amp;"!c:c"))</f>
        <v>#REF!</v>
      </c>
      <c r="E2" s="2582" t="s">
        <v>2328</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2329</v>
      </c>
      <c r="B3" s="609">
        <f>IF(AND(C2="——",B37="元/平方米"),C39,ROUND(B2*10000/D3,0))</f>
        <v>4524</v>
      </c>
      <c r="C3" s="400" t="s">
        <v>2644</v>
      </c>
      <c r="D3" s="399">
        <f>SUMIF('数据-汇总表'!$C19:$C33,D1,'数据-汇总表'!$E19:$E33)</f>
        <v>15254.020000000017</v>
      </c>
      <c r="E3" s="400" t="s">
        <v>2708</v>
      </c>
      <c r="F3" s="399">
        <f>SUMIF('数据-取费表'!A5:A15,D1,'数据-取费表'!AH5:AH15)</f>
        <v>209</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6" t="s">
        <v>2648</v>
      </c>
      <c r="AC4" s="3215" t="s">
        <v>2649</v>
      </c>
    </row>
    <row r="5" spans="1:29" ht="15">
      <c r="A5" s="404"/>
      <c r="B5" s="405"/>
      <c r="C5" s="3227" t="s">
        <v>2542</v>
      </c>
      <c r="D5" s="3228"/>
      <c r="E5" s="3225" t="s">
        <v>3840</v>
      </c>
      <c r="F5" s="3226"/>
      <c r="G5" s="3231" t="s">
        <v>3829</v>
      </c>
      <c r="H5" s="3228"/>
      <c r="I5" s="3231" t="s">
        <v>3834</v>
      </c>
      <c r="J5" s="3228"/>
      <c r="K5" s="610"/>
      <c r="L5" s="1126"/>
      <c r="M5" s="1127"/>
      <c r="N5" s="1127"/>
      <c r="O5" s="1127"/>
      <c r="P5" s="3241"/>
      <c r="Q5" s="3242"/>
      <c r="R5" s="3223"/>
      <c r="S5" s="3224"/>
      <c r="T5" s="3223"/>
      <c r="U5" s="3224"/>
      <c r="V5" s="3218"/>
      <c r="W5" s="3218"/>
      <c r="X5" s="1808"/>
      <c r="Y5" s="3223"/>
      <c r="Z5" s="3224"/>
      <c r="AA5" s="3216"/>
      <c r="AB5" s="3216"/>
      <c r="AC5" s="3216"/>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1808"/>
      <c r="Y6" s="3245"/>
      <c r="Z6" s="3246"/>
      <c r="AA6" s="3217"/>
      <c r="AB6" s="3217"/>
      <c r="AC6" s="3217"/>
    </row>
    <row r="7" spans="1:29" s="117" customFormat="1" ht="15.75" thickBot="1">
      <c r="A7" s="408" t="s">
        <v>2548</v>
      </c>
      <c r="B7" s="409"/>
      <c r="C7" s="410">
        <f>'数据-取费表'!B2</f>
        <v>43342</v>
      </c>
      <c r="D7" s="411">
        <v>100</v>
      </c>
      <c r="E7" s="412">
        <f>C7</f>
        <v>43342</v>
      </c>
      <c r="F7" s="413">
        <f>SUMIF(48:48,YEAR(E7)&amp;"-"&amp;MONTH(E7),49:49)</f>
        <v>100</v>
      </c>
      <c r="G7" s="412">
        <f>C7</f>
        <v>43342</v>
      </c>
      <c r="H7" s="411">
        <f>SUMIF(48:48,YEAR(G7)&amp;"-"&amp;MONTH(G7),49:49)</f>
        <v>100</v>
      </c>
      <c r="I7" s="412">
        <f>C7</f>
        <v>43342</v>
      </c>
      <c r="J7" s="411">
        <f>SUMIF(48:48,YEAR(I7)&amp;"-"&amp;MONTH(I7),49:49)</f>
        <v>100</v>
      </c>
      <c r="K7" s="611"/>
      <c r="L7" s="1128"/>
      <c r="M7" s="1129"/>
      <c r="N7" s="1129"/>
      <c r="O7" s="1129"/>
      <c r="P7" s="3219" t="s">
        <v>2549</v>
      </c>
      <c r="Q7" s="3247"/>
      <c r="R7" s="770" t="s">
        <v>17</v>
      </c>
      <c r="S7" s="771">
        <f t="shared" ref="S7:S14" si="0">F7</f>
        <v>100</v>
      </c>
      <c r="T7" s="770" t="s">
        <v>17</v>
      </c>
      <c r="U7" s="771">
        <f t="shared" ref="U7:U14" si="1">H7</f>
        <v>100</v>
      </c>
      <c r="V7" s="770" t="s">
        <v>17</v>
      </c>
      <c r="W7" s="771">
        <f t="shared" ref="W7:W14" si="2">J7</f>
        <v>100</v>
      </c>
      <c r="X7" s="772"/>
      <c r="Y7" s="3219" t="s">
        <v>2549</v>
      </c>
      <c r="Z7" s="3220"/>
      <c r="AA7" s="773">
        <f>D7/F7</f>
        <v>1</v>
      </c>
      <c r="AB7" s="773">
        <f>D7/H7</f>
        <v>1</v>
      </c>
      <c r="AC7" s="773">
        <f>D7/J7</f>
        <v>1</v>
      </c>
    </row>
    <row r="8" spans="1:29" s="117" customFormat="1" ht="15.75" thickBot="1">
      <c r="A8" s="408" t="s">
        <v>2550</v>
      </c>
      <c r="B8" s="409"/>
      <c r="C8" s="414" t="s">
        <v>2652</v>
      </c>
      <c r="D8" s="411">
        <v>100</v>
      </c>
      <c r="E8" s="414" t="s">
        <v>2587</v>
      </c>
      <c r="F8" s="413">
        <f>SUMIF(51:51,E8,52:52)-SUMIF(51:51,C8,52:52)+100</f>
        <v>100</v>
      </c>
      <c r="G8" s="414" t="s">
        <v>2587</v>
      </c>
      <c r="H8" s="411">
        <f>SUMIF(51:51,G8,52:52)-SUMIF(51:51,C8,52:52)+100</f>
        <v>100</v>
      </c>
      <c r="I8" s="414" t="s">
        <v>2587</v>
      </c>
      <c r="J8" s="411">
        <f>SUMIF(51:51,I8,52:52)-SUMIF(51:51,C8,52:52)+100</f>
        <v>100</v>
      </c>
      <c r="K8" s="611"/>
      <c r="L8" s="1128"/>
      <c r="M8" s="1129"/>
      <c r="N8" s="1129"/>
      <c r="O8" s="1129"/>
      <c r="P8" s="3219" t="s">
        <v>2552</v>
      </c>
      <c r="Q8" s="3220"/>
      <c r="R8" s="770" t="s">
        <v>17</v>
      </c>
      <c r="S8" s="771">
        <f t="shared" si="0"/>
        <v>100</v>
      </c>
      <c r="T8" s="770" t="s">
        <v>17</v>
      </c>
      <c r="U8" s="771">
        <f t="shared" si="1"/>
        <v>100</v>
      </c>
      <c r="V8" s="770" t="s">
        <v>17</v>
      </c>
      <c r="W8" s="771">
        <f t="shared" si="2"/>
        <v>100</v>
      </c>
      <c r="X8" s="772"/>
      <c r="Y8" s="3219" t="s">
        <v>2552</v>
      </c>
      <c r="Z8" s="3220"/>
      <c r="AA8" s="773">
        <f t="shared" ref="AA8:AA36" si="3">D8/F8</f>
        <v>1</v>
      </c>
      <c r="AB8" s="773">
        <f t="shared" ref="AB8:AB36" si="4">D8/H8</f>
        <v>1</v>
      </c>
      <c r="AC8" s="773">
        <f t="shared" ref="AC8:AC36" si="5">D8/J8</f>
        <v>1</v>
      </c>
    </row>
    <row r="9" spans="1:29" s="117" customFormat="1">
      <c r="A9" s="68" t="s">
        <v>2553</v>
      </c>
      <c r="B9" s="640" t="s">
        <v>2554</v>
      </c>
      <c r="C9" s="2970" t="s">
        <v>3824</v>
      </c>
      <c r="D9" s="135">
        <v>100</v>
      </c>
      <c r="E9" s="419" t="s">
        <v>48</v>
      </c>
      <c r="F9" s="135">
        <f>SUMIF(53:53,E9,54:54)-SUMIF(53:53,C9,54:54)+100</f>
        <v>100</v>
      </c>
      <c r="G9" s="419" t="s">
        <v>48</v>
      </c>
      <c r="H9" s="135">
        <f>SUMIF(53:53,G9,54:54)-SUMIF(53:53,C9,54:54)+100</f>
        <v>100</v>
      </c>
      <c r="I9" s="419" t="s">
        <v>48</v>
      </c>
      <c r="J9" s="135">
        <f>SUMIF(53:53,I9,54:54)-SUMIF(53:53,C9,54:54)+100</f>
        <v>100</v>
      </c>
      <c r="K9" s="611"/>
      <c r="L9" s="1128"/>
      <c r="M9" s="1129"/>
      <c r="N9" s="1129"/>
      <c r="O9" s="1129"/>
      <c r="P9" s="3257" t="s">
        <v>2555</v>
      </c>
      <c r="Q9" s="1790" t="str">
        <f t="shared" ref="Q9:Q14" si="6">B9</f>
        <v>用途</v>
      </c>
      <c r="R9" s="770" t="s">
        <v>17</v>
      </c>
      <c r="S9" s="771">
        <f t="shared" si="0"/>
        <v>100</v>
      </c>
      <c r="T9" s="770" t="s">
        <v>17</v>
      </c>
      <c r="U9" s="771">
        <f t="shared" si="1"/>
        <v>100</v>
      </c>
      <c r="V9" s="770" t="s">
        <v>17</v>
      </c>
      <c r="W9" s="771">
        <f t="shared" si="2"/>
        <v>100</v>
      </c>
      <c r="X9" s="772"/>
      <c r="Y9" s="3095" t="s">
        <v>2556</v>
      </c>
      <c r="Z9" s="55" t="str">
        <f t="shared" ref="Z9:Z14" si="7">Q9</f>
        <v>用途</v>
      </c>
      <c r="AA9" s="773">
        <f t="shared" si="3"/>
        <v>1</v>
      </c>
      <c r="AB9" s="773">
        <f t="shared" si="4"/>
        <v>1</v>
      </c>
      <c r="AC9" s="773">
        <f t="shared" si="5"/>
        <v>1</v>
      </c>
    </row>
    <row r="10" spans="1:29" s="427" customFormat="1" ht="27.75" thickBot="1">
      <c r="A10" s="641"/>
      <c r="B10" s="642" t="s">
        <v>2557</v>
      </c>
      <c r="C10" s="423" t="s">
        <v>3825</v>
      </c>
      <c r="D10" s="136">
        <v>100</v>
      </c>
      <c r="E10" s="423" t="s">
        <v>3825</v>
      </c>
      <c r="F10" s="136">
        <f>SUMIF(55:55,E10,56:56)-SUMIF(55:55,C10,56:56)+100</f>
        <v>100</v>
      </c>
      <c r="G10" s="424" t="s">
        <v>3825</v>
      </c>
      <c r="H10" s="136">
        <f>SUMIF(55:55,G10,56:56)-SUMIF(55:55,C10,56:56)+100</f>
        <v>100</v>
      </c>
      <c r="I10" s="423" t="s">
        <v>3825</v>
      </c>
      <c r="J10" s="136">
        <f>SUMIF(55:55,I10,56:56)-SUMIF(55:55,C10,56:56)+100</f>
        <v>100</v>
      </c>
      <c r="K10" s="612">
        <v>2</v>
      </c>
      <c r="L10" s="1131"/>
      <c r="M10" s="1132"/>
      <c r="N10" s="1132"/>
      <c r="O10" s="1132"/>
      <c r="P10" s="3257"/>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57"/>
      <c r="Q11" s="1790">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57"/>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57"/>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85.5">
      <c r="A14" s="401" t="s">
        <v>2559</v>
      </c>
      <c r="B14" s="629" t="s">
        <v>2709</v>
      </c>
      <c r="C14" s="2688"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6"/>
      <c r="M14" s="1127"/>
      <c r="N14" s="1127"/>
      <c r="O14" s="1127"/>
      <c r="P14" s="3250" t="s">
        <v>2560</v>
      </c>
      <c r="Q14" s="1805" t="str">
        <f t="shared" si="6"/>
        <v>交通便捷度</v>
      </c>
      <c r="R14" s="774" t="s">
        <v>17</v>
      </c>
      <c r="S14" s="775">
        <f t="shared" si="0"/>
        <v>100</v>
      </c>
      <c r="T14" s="774" t="s">
        <v>17</v>
      </c>
      <c r="U14" s="775">
        <f t="shared" si="1"/>
        <v>100</v>
      </c>
      <c r="V14" s="774" t="s">
        <v>17</v>
      </c>
      <c r="W14" s="775">
        <f t="shared" si="2"/>
        <v>100</v>
      </c>
      <c r="X14" s="1808"/>
      <c r="Y14" s="3250" t="s">
        <v>2560</v>
      </c>
      <c r="Z14" s="1809" t="str">
        <f t="shared" si="7"/>
        <v>交通便捷度</v>
      </c>
      <c r="AA14" s="1806">
        <f t="shared" si="3"/>
        <v>1</v>
      </c>
      <c r="AB14" s="1806">
        <f t="shared" si="4"/>
        <v>1</v>
      </c>
      <c r="AC14" s="1806">
        <f t="shared" si="5"/>
        <v>1</v>
      </c>
    </row>
    <row r="15" spans="1:29" ht="15">
      <c r="A15" s="404"/>
      <c r="B15" s="647"/>
      <c r="C15" s="447" t="s">
        <v>3728</v>
      </c>
      <c r="D15" s="448"/>
      <c r="E15" s="447" t="s">
        <v>3728</v>
      </c>
      <c r="F15" s="449"/>
      <c r="G15" s="447" t="s">
        <v>3728</v>
      </c>
      <c r="H15" s="450"/>
      <c r="I15" s="447" t="s">
        <v>3728</v>
      </c>
      <c r="J15" s="448"/>
      <c r="K15" s="615"/>
      <c r="L15" s="1136"/>
      <c r="M15" s="1127"/>
      <c r="N15" s="1127"/>
      <c r="O15" s="1127"/>
      <c r="P15" s="3251"/>
      <c r="Q15" s="1805"/>
      <c r="R15" s="774"/>
      <c r="S15" s="775"/>
      <c r="T15" s="774"/>
      <c r="U15" s="775"/>
      <c r="V15" s="774"/>
      <c r="W15" s="775"/>
      <c r="X15" s="1808"/>
      <c r="Y15" s="3251"/>
      <c r="Z15" s="1809"/>
      <c r="AA15" s="1806">
        <v>1</v>
      </c>
      <c r="AB15" s="1806">
        <v>1</v>
      </c>
      <c r="AC15" s="1806">
        <v>1</v>
      </c>
    </row>
    <row r="16" spans="1:29" ht="42.75">
      <c r="A16" s="404"/>
      <c r="B16" s="631" t="s">
        <v>2688</v>
      </c>
      <c r="C16" s="260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v>2</v>
      </c>
      <c r="L16" s="1136"/>
      <c r="M16" s="1127"/>
      <c r="N16" s="1127"/>
      <c r="O16" s="1127"/>
      <c r="P16" s="3251"/>
      <c r="Q16" s="1805" t="str">
        <f>B16</f>
        <v>公共配套设施</v>
      </c>
      <c r="R16" s="774" t="s">
        <v>17</v>
      </c>
      <c r="S16" s="775">
        <f>F16</f>
        <v>100</v>
      </c>
      <c r="T16" s="774" t="s">
        <v>17</v>
      </c>
      <c r="U16" s="775">
        <f>H16</f>
        <v>100</v>
      </c>
      <c r="V16" s="774" t="s">
        <v>17</v>
      </c>
      <c r="W16" s="775">
        <f>J16</f>
        <v>100</v>
      </c>
      <c r="X16" s="1808"/>
      <c r="Y16" s="3251"/>
      <c r="Z16" s="1809" t="str">
        <f>Q16</f>
        <v>公共配套设施</v>
      </c>
      <c r="AA16" s="1806">
        <f t="shared" si="3"/>
        <v>1</v>
      </c>
      <c r="AB16" s="1806">
        <f t="shared" si="4"/>
        <v>1</v>
      </c>
      <c r="AC16" s="1806">
        <f t="shared" si="5"/>
        <v>1</v>
      </c>
    </row>
    <row r="17" spans="1:29" ht="15">
      <c r="A17" s="404"/>
      <c r="B17" s="632"/>
      <c r="C17" s="2603" t="s">
        <v>3728</v>
      </c>
      <c r="D17" s="448"/>
      <c r="E17" s="2603" t="s">
        <v>3728</v>
      </c>
      <c r="F17" s="449"/>
      <c r="G17" s="2603" t="s">
        <v>3728</v>
      </c>
      <c r="H17" s="448"/>
      <c r="I17" s="447" t="s">
        <v>3728</v>
      </c>
      <c r="J17" s="448"/>
      <c r="K17" s="615"/>
      <c r="L17" s="1136"/>
      <c r="M17" s="1127"/>
      <c r="N17" s="1127"/>
      <c r="O17" s="1127"/>
      <c r="P17" s="3251"/>
      <c r="Q17" s="1805"/>
      <c r="R17" s="774"/>
      <c r="S17" s="775"/>
      <c r="T17" s="774"/>
      <c r="U17" s="775"/>
      <c r="V17" s="774"/>
      <c r="W17" s="775"/>
      <c r="X17" s="1808"/>
      <c r="Y17" s="3251"/>
      <c r="Z17" s="1809"/>
      <c r="AA17" s="1806">
        <v>1</v>
      </c>
      <c r="AB17" s="1806">
        <v>1</v>
      </c>
      <c r="AC17" s="1806">
        <v>1</v>
      </c>
    </row>
    <row r="18" spans="1:29" ht="28.5">
      <c r="A18" s="404"/>
      <c r="B18" s="633" t="s">
        <v>2689</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36"/>
      <c r="M18" s="1127"/>
      <c r="N18" s="1127"/>
      <c r="O18" s="1127"/>
      <c r="P18" s="3251"/>
      <c r="Q18" s="1805" t="str">
        <f>B18</f>
        <v>基础设施水平</v>
      </c>
      <c r="R18" s="774" t="s">
        <v>17</v>
      </c>
      <c r="S18" s="775">
        <f>F18</f>
        <v>100</v>
      </c>
      <c r="T18" s="774" t="s">
        <v>17</v>
      </c>
      <c r="U18" s="775">
        <f>H18</f>
        <v>100</v>
      </c>
      <c r="V18" s="774" t="s">
        <v>17</v>
      </c>
      <c r="W18" s="775">
        <f>J18</f>
        <v>100</v>
      </c>
      <c r="X18" s="1808"/>
      <c r="Y18" s="3251"/>
      <c r="Z18" s="1809" t="str">
        <f>Q18</f>
        <v>基础设施水平</v>
      </c>
      <c r="AA18" s="1806">
        <f t="shared" ref="AA18" si="8">D18/F18</f>
        <v>1</v>
      </c>
      <c r="AB18" s="1806">
        <f t="shared" ref="AB18" si="9">D18/H18</f>
        <v>1</v>
      </c>
      <c r="AC18" s="1806">
        <f t="shared" ref="AC18" si="10">D18/J18</f>
        <v>1</v>
      </c>
    </row>
    <row r="19" spans="1:29" ht="15">
      <c r="A19" s="404"/>
      <c r="B19" s="633"/>
      <c r="C19" s="2603" t="s">
        <v>3731</v>
      </c>
      <c r="D19" s="450"/>
      <c r="E19" s="2603" t="s">
        <v>3731</v>
      </c>
      <c r="F19" s="453"/>
      <c r="G19" s="2603" t="s">
        <v>3731</v>
      </c>
      <c r="H19" s="448"/>
      <c r="I19" s="2603" t="s">
        <v>3731</v>
      </c>
      <c r="J19" s="448"/>
      <c r="K19" s="1379"/>
      <c r="L19" s="1136"/>
      <c r="M19" s="1127"/>
      <c r="N19" s="1127"/>
      <c r="O19" s="1127"/>
      <c r="P19" s="3251"/>
      <c r="Q19" s="1805"/>
      <c r="R19" s="774"/>
      <c r="S19" s="775"/>
      <c r="T19" s="774"/>
      <c r="U19" s="775"/>
      <c r="V19" s="774"/>
      <c r="W19" s="775"/>
      <c r="X19" s="1808"/>
      <c r="Y19" s="3251"/>
      <c r="Z19" s="1809"/>
      <c r="AA19" s="1806">
        <v>1</v>
      </c>
      <c r="AB19" s="1806">
        <v>1</v>
      </c>
      <c r="AC19" s="1806">
        <v>1</v>
      </c>
    </row>
    <row r="20" spans="1:29" ht="42.75">
      <c r="A20" s="404"/>
      <c r="B20" s="631" t="s">
        <v>2710</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251"/>
      <c r="Q20" s="1805" t="str">
        <f>B20</f>
        <v>自然及人文环境</v>
      </c>
      <c r="R20" s="774" t="s">
        <v>17</v>
      </c>
      <c r="S20" s="775">
        <f>F20</f>
        <v>100</v>
      </c>
      <c r="T20" s="774" t="s">
        <v>17</v>
      </c>
      <c r="U20" s="775">
        <f>H20</f>
        <v>100</v>
      </c>
      <c r="V20" s="774" t="s">
        <v>17</v>
      </c>
      <c r="W20" s="775">
        <f>J20</f>
        <v>100</v>
      </c>
      <c r="X20" s="1808"/>
      <c r="Y20" s="3251"/>
      <c r="Z20" s="1809" t="str">
        <f>Q20</f>
        <v>自然及人文环境</v>
      </c>
      <c r="AA20" s="1806">
        <f t="shared" si="3"/>
        <v>1</v>
      </c>
      <c r="AB20" s="1806">
        <f t="shared" si="4"/>
        <v>1</v>
      </c>
      <c r="AC20" s="1806">
        <f t="shared" si="5"/>
        <v>1</v>
      </c>
    </row>
    <row r="21" spans="1:29" ht="15">
      <c r="A21" s="404"/>
      <c r="B21" s="632"/>
      <c r="C21" s="447" t="s">
        <v>3727</v>
      </c>
      <c r="D21" s="448"/>
      <c r="E21" s="447" t="s">
        <v>3727</v>
      </c>
      <c r="F21" s="449"/>
      <c r="G21" s="447" t="s">
        <v>3727</v>
      </c>
      <c r="H21" s="448"/>
      <c r="I21" s="447" t="s">
        <v>3727</v>
      </c>
      <c r="J21" s="448"/>
      <c r="K21" s="615"/>
      <c r="L21" s="1136"/>
      <c r="M21" s="1127"/>
      <c r="N21" s="1127"/>
      <c r="O21" s="1127"/>
      <c r="P21" s="3251"/>
      <c r="Q21" s="1805"/>
      <c r="R21" s="774"/>
      <c r="S21" s="775"/>
      <c r="T21" s="774"/>
      <c r="U21" s="775"/>
      <c r="V21" s="774"/>
      <c r="W21" s="775"/>
      <c r="X21" s="1808"/>
      <c r="Y21" s="3251"/>
      <c r="Z21" s="1809"/>
      <c r="AA21" s="1806">
        <v>1</v>
      </c>
      <c r="AB21" s="1806">
        <v>1</v>
      </c>
      <c r="AC21" s="1806">
        <v>1</v>
      </c>
    </row>
    <row r="22" spans="1:29" ht="15.75" thickBot="1">
      <c r="A22" s="404"/>
      <c r="B22" s="631" t="s">
        <v>2711</v>
      </c>
      <c r="C22" s="616" t="s">
        <v>3700</v>
      </c>
      <c r="D22" s="450">
        <v>100</v>
      </c>
      <c r="E22" s="616" t="s">
        <v>3697</v>
      </c>
      <c r="F22" s="461">
        <f>SUMIF(71:71,E22,72:72)-SUMIF(71:71,C22,72:72)+100</f>
        <v>105</v>
      </c>
      <c r="G22" s="616" t="s">
        <v>3700</v>
      </c>
      <c r="H22" s="435">
        <f>SUMIF(71:71,G22,72:72)-SUMIF(71:71,C22,72:72)+100</f>
        <v>100</v>
      </c>
      <c r="I22" s="616" t="s">
        <v>3697</v>
      </c>
      <c r="J22" s="435">
        <f>SUMIF(71:71,I22,72:72)-SUMIF(71:71,C22,72:72)+100</f>
        <v>105</v>
      </c>
      <c r="K22" s="3010">
        <v>5</v>
      </c>
      <c r="L22" s="1136"/>
      <c r="M22" s="1127"/>
      <c r="N22" s="1127"/>
      <c r="O22" s="1127"/>
      <c r="P22" s="3251"/>
      <c r="Q22" s="1805" t="str">
        <f>B22</f>
        <v>楼层</v>
      </c>
      <c r="R22" s="774" t="s">
        <v>17</v>
      </c>
      <c r="S22" s="775">
        <f>F22</f>
        <v>105</v>
      </c>
      <c r="T22" s="774" t="s">
        <v>17</v>
      </c>
      <c r="U22" s="775">
        <f>H22</f>
        <v>100</v>
      </c>
      <c r="V22" s="774" t="s">
        <v>17</v>
      </c>
      <c r="W22" s="775">
        <f>J22</f>
        <v>105</v>
      </c>
      <c r="X22" s="1808"/>
      <c r="Y22" s="3251"/>
      <c r="Z22" s="1809" t="str">
        <f>Q22</f>
        <v>楼层</v>
      </c>
      <c r="AA22" s="1806">
        <f t="shared" si="3"/>
        <v>0.95238095238095233</v>
      </c>
      <c r="AB22" s="1806">
        <f t="shared" si="4"/>
        <v>1</v>
      </c>
      <c r="AC22" s="1806">
        <f t="shared" si="5"/>
        <v>0.95238095238095233</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1"/>
      <c r="Q23" s="1805">
        <f>B23</f>
        <v>111</v>
      </c>
      <c r="R23" s="774" t="s">
        <v>17</v>
      </c>
      <c r="S23" s="775">
        <f>F23</f>
        <v>100</v>
      </c>
      <c r="T23" s="774" t="s">
        <v>17</v>
      </c>
      <c r="U23" s="775">
        <f>H23</f>
        <v>100</v>
      </c>
      <c r="V23" s="774" t="s">
        <v>17</v>
      </c>
      <c r="W23" s="775">
        <f>J23</f>
        <v>100</v>
      </c>
      <c r="X23" s="1808"/>
      <c r="Y23" s="3251"/>
      <c r="Z23" s="1809">
        <f>Q23</f>
        <v>111</v>
      </c>
      <c r="AA23" s="1806">
        <f t="shared" si="3"/>
        <v>1</v>
      </c>
      <c r="AB23" s="1806">
        <f t="shared" si="4"/>
        <v>1</v>
      </c>
      <c r="AC23" s="180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1"/>
      <c r="Q24" s="1805">
        <f t="shared" ref="Q24:Q36" si="11">B24</f>
        <v>111</v>
      </c>
      <c r="R24" s="774" t="s">
        <v>17</v>
      </c>
      <c r="S24" s="775">
        <f>F24</f>
        <v>100</v>
      </c>
      <c r="T24" s="774" t="s">
        <v>17</v>
      </c>
      <c r="U24" s="775">
        <f>H24</f>
        <v>100</v>
      </c>
      <c r="V24" s="774" t="s">
        <v>17</v>
      </c>
      <c r="W24" s="775">
        <f>J24</f>
        <v>100</v>
      </c>
      <c r="X24" s="1808"/>
      <c r="Y24" s="3251"/>
      <c r="Z24" s="1809">
        <f>Q24</f>
        <v>111</v>
      </c>
      <c r="AA24" s="1806">
        <f t="shared" si="3"/>
        <v>1</v>
      </c>
      <c r="AB24" s="1806">
        <f t="shared" si="4"/>
        <v>1</v>
      </c>
      <c r="AC24" s="1806">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51"/>
      <c r="Q25" s="1790">
        <f t="shared" si="11"/>
        <v>111</v>
      </c>
      <c r="R25" s="770" t="s">
        <v>17</v>
      </c>
      <c r="S25" s="771">
        <f>F25</f>
        <v>100</v>
      </c>
      <c r="T25" s="770" t="s">
        <v>17</v>
      </c>
      <c r="U25" s="771">
        <f>H25</f>
        <v>100</v>
      </c>
      <c r="V25" s="770" t="s">
        <v>17</v>
      </c>
      <c r="W25" s="771">
        <f>J25</f>
        <v>100</v>
      </c>
      <c r="X25" s="772"/>
      <c r="Y25" s="3251"/>
      <c r="Z25" s="55">
        <f>Q25</f>
        <v>111</v>
      </c>
      <c r="AA25" s="1806">
        <f>D25/F25</f>
        <v>1</v>
      </c>
      <c r="AB25" s="1806">
        <f>D25/H25</f>
        <v>1</v>
      </c>
      <c r="AC25" s="1806">
        <f>D25/J25</f>
        <v>1</v>
      </c>
    </row>
    <row r="26" spans="1:29" ht="28.5">
      <c r="A26" s="652" t="s">
        <v>2563</v>
      </c>
      <c r="B26" s="70" t="s">
        <v>2712</v>
      </c>
      <c r="C26" s="2689" t="str">
        <f>B1</f>
        <v>车库</v>
      </c>
      <c r="D26" s="448">
        <v>100</v>
      </c>
      <c r="E26" s="447" t="s">
        <v>3712</v>
      </c>
      <c r="F26" s="449">
        <f>SUMIF(79:79,E26,80:80)-SUMIF(79:79,C26,80:80)+100</f>
        <v>100</v>
      </c>
      <c r="G26" s="447" t="s">
        <v>3712</v>
      </c>
      <c r="H26" s="448">
        <f>SUMIF(79:79,G26,80:80)-SUMIF(79:79,C26,80:80)+100</f>
        <v>100</v>
      </c>
      <c r="I26" s="447" t="s">
        <v>3712</v>
      </c>
      <c r="J26" s="448">
        <f>SUMIF(79:79,I26,80:80)-SUMIF(79:79,C26,80:80)+100</f>
        <v>100</v>
      </c>
      <c r="K26" s="612">
        <v>2</v>
      </c>
      <c r="L26" s="1136"/>
      <c r="M26" s="1127"/>
      <c r="N26" s="1127"/>
      <c r="O26" s="1127"/>
      <c r="P26" s="3331" t="s">
        <v>2565</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55" t="s">
        <v>2565</v>
      </c>
      <c r="Z26" s="1809" t="str">
        <f t="shared" ref="Z26:Z36" si="15">Q26</f>
        <v>配套类型</v>
      </c>
      <c r="AA26" s="1806">
        <f t="shared" si="3"/>
        <v>1</v>
      </c>
      <c r="AB26" s="1806">
        <f t="shared" si="4"/>
        <v>1</v>
      </c>
      <c r="AC26" s="180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55"/>
      <c r="Q27" s="776" t="str">
        <f t="shared" si="11"/>
        <v>项目停车位配比</v>
      </c>
      <c r="R27" s="777" t="s">
        <v>17</v>
      </c>
      <c r="S27" s="778">
        <f t="shared" si="12"/>
        <v>100</v>
      </c>
      <c r="T27" s="777" t="s">
        <v>17</v>
      </c>
      <c r="U27" s="778">
        <f t="shared" si="13"/>
        <v>100</v>
      </c>
      <c r="V27" s="777" t="s">
        <v>17</v>
      </c>
      <c r="W27" s="778">
        <f t="shared" si="14"/>
        <v>100</v>
      </c>
      <c r="X27" s="779"/>
      <c r="Y27" s="3255"/>
      <c r="Z27" s="780" t="str">
        <f t="shared" si="15"/>
        <v>项目停车位配比</v>
      </c>
      <c r="AA27" s="1806">
        <f t="shared" si="3"/>
        <v>1</v>
      </c>
      <c r="AB27" s="1806">
        <f t="shared" si="4"/>
        <v>1</v>
      </c>
      <c r="AC27" s="1806">
        <f t="shared" si="5"/>
        <v>1</v>
      </c>
    </row>
    <row r="28" spans="1:29" ht="15">
      <c r="A28" s="656"/>
      <c r="B28" s="654" t="s">
        <v>2714</v>
      </c>
      <c r="C28" s="460" t="s">
        <v>3766</v>
      </c>
      <c r="D28" s="435">
        <v>100</v>
      </c>
      <c r="E28" s="460" t="s">
        <v>3766</v>
      </c>
      <c r="F28" s="461">
        <f>SUMIF(83:83,E28,84:84)-SUMIF(83:83,C28,84:84)+100</f>
        <v>100</v>
      </c>
      <c r="G28" s="460" t="s">
        <v>3766</v>
      </c>
      <c r="H28" s="435">
        <f>SUMIF(83:83,G28,84:84)-SUMIF(83:83,C28,84:84)+100</f>
        <v>100</v>
      </c>
      <c r="I28" s="460" t="s">
        <v>3766</v>
      </c>
      <c r="J28" s="435">
        <f>SUMIF(83:83,I28,84:84)-SUMIF(83:83,C28,84:84)+100</f>
        <v>100</v>
      </c>
      <c r="K28" s="612">
        <v>2</v>
      </c>
      <c r="L28" s="1136"/>
      <c r="M28" s="1127"/>
      <c r="N28" s="1127"/>
      <c r="O28" s="1127"/>
      <c r="P28" s="3255"/>
      <c r="Q28" s="1805" t="str">
        <f t="shared" si="11"/>
        <v>公共部分装修</v>
      </c>
      <c r="R28" s="774" t="s">
        <v>17</v>
      </c>
      <c r="S28" s="775">
        <f t="shared" si="12"/>
        <v>100</v>
      </c>
      <c r="T28" s="774" t="s">
        <v>17</v>
      </c>
      <c r="U28" s="775">
        <f t="shared" si="13"/>
        <v>100</v>
      </c>
      <c r="V28" s="774" t="s">
        <v>17</v>
      </c>
      <c r="W28" s="775">
        <f t="shared" si="14"/>
        <v>100</v>
      </c>
      <c r="X28" s="1808"/>
      <c r="Y28" s="3255"/>
      <c r="Z28" s="1809" t="str">
        <f t="shared" si="15"/>
        <v>公共部分装修</v>
      </c>
      <c r="AA28" s="1806">
        <f t="shared" si="3"/>
        <v>1</v>
      </c>
      <c r="AB28" s="1806">
        <f t="shared" si="4"/>
        <v>1</v>
      </c>
      <c r="AC28" s="1806">
        <f t="shared" si="5"/>
        <v>1</v>
      </c>
    </row>
    <row r="29" spans="1:29" ht="15">
      <c r="A29" s="656"/>
      <c r="B29" s="654" t="s">
        <v>2715</v>
      </c>
      <c r="C29" s="474">
        <f>'数据-取费表'!Y10</f>
        <v>0.97</v>
      </c>
      <c r="D29" s="435">
        <v>100</v>
      </c>
      <c r="E29" s="474">
        <f>'比较法-商业 (一层租金)'!G36</f>
        <v>0.97</v>
      </c>
      <c r="F29" s="461">
        <f>LOOKUP(E29,86:86,87:87)-LOOKUP(C29,86:86,87:87)+100</f>
        <v>100</v>
      </c>
      <c r="G29" s="474">
        <f>ROUND(1-(2018-2017)/60,2)</f>
        <v>0.98</v>
      </c>
      <c r="H29" s="461">
        <f>LOOKUP(G29,86:86,87:87)-LOOKUP(C29,86:86,87:87)+100</f>
        <v>100</v>
      </c>
      <c r="I29" s="474">
        <f>ROUND(1-(2018-2006)/60,2)</f>
        <v>0.8</v>
      </c>
      <c r="J29" s="435">
        <f>LOOKUP(I29,86:86,87:87)-LOOKUP(C29,86:86,87:87)+100</f>
        <v>98</v>
      </c>
      <c r="K29" s="612">
        <v>2</v>
      </c>
      <c r="L29" s="1136"/>
      <c r="M29" s="1127"/>
      <c r="N29" s="1127"/>
      <c r="O29" s="1127"/>
      <c r="P29" s="3255"/>
      <c r="Q29" s="1805" t="str">
        <f t="shared" si="11"/>
        <v>成新率</v>
      </c>
      <c r="R29" s="774" t="s">
        <v>17</v>
      </c>
      <c r="S29" s="775">
        <f t="shared" si="12"/>
        <v>100</v>
      </c>
      <c r="T29" s="774" t="s">
        <v>17</v>
      </c>
      <c r="U29" s="775">
        <f t="shared" si="13"/>
        <v>100</v>
      </c>
      <c r="V29" s="774" t="s">
        <v>17</v>
      </c>
      <c r="W29" s="775">
        <f t="shared" si="14"/>
        <v>98</v>
      </c>
      <c r="X29" s="1808"/>
      <c r="Y29" s="3255"/>
      <c r="Z29" s="1809" t="str">
        <f t="shared" si="15"/>
        <v>成新率</v>
      </c>
      <c r="AA29" s="1806">
        <f t="shared" si="3"/>
        <v>1</v>
      </c>
      <c r="AB29" s="1806">
        <f t="shared" si="4"/>
        <v>1</v>
      </c>
      <c r="AC29" s="1806">
        <f t="shared" si="5"/>
        <v>1.0204081632653061</v>
      </c>
    </row>
    <row r="30" spans="1:29" ht="15">
      <c r="A30" s="656"/>
      <c r="B30" s="654" t="s">
        <v>2716</v>
      </c>
      <c r="C30" s="657" t="s">
        <v>3827</v>
      </c>
      <c r="D30" s="435">
        <v>100</v>
      </c>
      <c r="E30" s="657" t="s">
        <v>3827</v>
      </c>
      <c r="F30" s="461">
        <f>SUMIF(88:88,E30,89:89)-SUMIF(88:88,C30,89:89)+100</f>
        <v>100</v>
      </c>
      <c r="G30" s="657" t="s">
        <v>3827</v>
      </c>
      <c r="H30" s="435">
        <f>SUMIF(88:88,E30,89:89)-SUMIF(88:88,C30,89:89)+100</f>
        <v>100</v>
      </c>
      <c r="I30" s="657" t="s">
        <v>3827</v>
      </c>
      <c r="J30" s="435">
        <f>SUMIF(88:88,E30,89:89)-SUMIF(88:88,C30,89:89)+100</f>
        <v>100</v>
      </c>
      <c r="K30" s="612">
        <v>2</v>
      </c>
      <c r="L30" s="1136"/>
      <c r="M30" s="1127"/>
      <c r="N30" s="1127"/>
      <c r="O30" s="1127"/>
      <c r="P30" s="3255"/>
      <c r="Q30" s="1805" t="str">
        <f t="shared" si="11"/>
        <v>物业等级</v>
      </c>
      <c r="R30" s="774" t="s">
        <v>17</v>
      </c>
      <c r="S30" s="775">
        <f t="shared" si="12"/>
        <v>100</v>
      </c>
      <c r="T30" s="774" t="s">
        <v>17</v>
      </c>
      <c r="U30" s="775">
        <f t="shared" si="13"/>
        <v>100</v>
      </c>
      <c r="V30" s="774" t="s">
        <v>17</v>
      </c>
      <c r="W30" s="775">
        <f t="shared" si="14"/>
        <v>100</v>
      </c>
      <c r="X30" s="1808"/>
      <c r="Y30" s="3255"/>
      <c r="Z30" s="1809" t="str">
        <f t="shared" si="15"/>
        <v>物业等级</v>
      </c>
      <c r="AA30" s="1806">
        <f t="shared" si="3"/>
        <v>1</v>
      </c>
      <c r="AB30" s="1806">
        <f t="shared" si="4"/>
        <v>1</v>
      </c>
      <c r="AC30" s="1806">
        <f t="shared" si="5"/>
        <v>1</v>
      </c>
    </row>
    <row r="31" spans="1:29" s="117" customFormat="1" ht="15">
      <c r="A31" s="658"/>
      <c r="B31" s="654" t="s">
        <v>2717</v>
      </c>
      <c r="C31" s="2987">
        <f>ROUND(面积表!L369,2)</f>
        <v>72.989999999999995</v>
      </c>
      <c r="D31" s="136">
        <v>100</v>
      </c>
      <c r="E31" s="469">
        <v>31</v>
      </c>
      <c r="F31" s="461">
        <f>LOOKUP(E31,91:91,92:92)-LOOKUP(C31,91:91,92:92)+100</f>
        <v>99</v>
      </c>
      <c r="G31" s="469">
        <v>39</v>
      </c>
      <c r="H31" s="435">
        <f>LOOKUP(G31,91:91,92:92)-LOOKUP(C31,91:91,92:92)+100</f>
        <v>99</v>
      </c>
      <c r="I31" s="469">
        <v>55</v>
      </c>
      <c r="J31" s="435">
        <f>LOOKUP(I31,91:91,92:92)-LOOKUP(C31,91:91,92:92)+100</f>
        <v>100</v>
      </c>
      <c r="K31" s="612"/>
      <c r="L31" s="1128"/>
      <c r="M31" s="1129"/>
      <c r="N31" s="1129"/>
      <c r="O31" s="1129"/>
      <c r="P31" s="3255"/>
      <c r="Q31" s="1790" t="str">
        <f t="shared" si="11"/>
        <v>停车位面积</v>
      </c>
      <c r="R31" s="770" t="s">
        <v>17</v>
      </c>
      <c r="S31" s="771">
        <f t="shared" si="12"/>
        <v>99</v>
      </c>
      <c r="T31" s="770" t="s">
        <v>17</v>
      </c>
      <c r="U31" s="771">
        <f t="shared" si="13"/>
        <v>99</v>
      </c>
      <c r="V31" s="770" t="s">
        <v>17</v>
      </c>
      <c r="W31" s="771">
        <f t="shared" si="14"/>
        <v>100</v>
      </c>
      <c r="X31" s="772"/>
      <c r="Y31" s="3255"/>
      <c r="Z31" s="55" t="str">
        <f t="shared" si="15"/>
        <v>停车位面积</v>
      </c>
      <c r="AA31" s="773">
        <f t="shared" si="3"/>
        <v>1.0101010101010102</v>
      </c>
      <c r="AB31" s="773">
        <f t="shared" si="4"/>
        <v>1.0101010101010102</v>
      </c>
      <c r="AC31" s="773">
        <f t="shared" si="5"/>
        <v>1</v>
      </c>
    </row>
    <row r="32" spans="1:29" ht="15.75" thickBot="1">
      <c r="A32" s="656"/>
      <c r="B32" s="654" t="s">
        <v>2718</v>
      </c>
      <c r="C32" s="460" t="s">
        <v>3830</v>
      </c>
      <c r="D32" s="435">
        <v>100</v>
      </c>
      <c r="E32" s="460" t="s">
        <v>3830</v>
      </c>
      <c r="F32" s="461">
        <f>SUMIF(93:93,E32,94:94)-SUMIF(93:93,C32,94:94)+100</f>
        <v>100</v>
      </c>
      <c r="G32" s="460" t="s">
        <v>3832</v>
      </c>
      <c r="H32" s="435">
        <f>SUMIF(93:93,G32,94:94)-SUMIF(93:93,C32,94:94)+100</f>
        <v>97</v>
      </c>
      <c r="I32" s="460" t="s">
        <v>3832</v>
      </c>
      <c r="J32" s="435">
        <f>SUMIF(93:93,I32,94:94)-SUMIF(93:93,C32,94:94)+100</f>
        <v>97</v>
      </c>
      <c r="K32" s="612">
        <v>3</v>
      </c>
      <c r="L32" s="1136"/>
      <c r="M32" s="1127"/>
      <c r="N32" s="1127"/>
      <c r="O32" s="1127"/>
      <c r="P32" s="3255" t="s">
        <v>2565</v>
      </c>
      <c r="Q32" s="1805" t="str">
        <f t="shared" si="11"/>
        <v>车位类型</v>
      </c>
      <c r="R32" s="774" t="s">
        <v>17</v>
      </c>
      <c r="S32" s="775">
        <f t="shared" si="12"/>
        <v>100</v>
      </c>
      <c r="T32" s="774" t="s">
        <v>17</v>
      </c>
      <c r="U32" s="775">
        <f t="shared" si="13"/>
        <v>97</v>
      </c>
      <c r="V32" s="774" t="s">
        <v>17</v>
      </c>
      <c r="W32" s="775">
        <f t="shared" si="14"/>
        <v>97</v>
      </c>
      <c r="X32" s="1808"/>
      <c r="Y32" s="3255" t="s">
        <v>2565</v>
      </c>
      <c r="Z32" s="1809" t="str">
        <f t="shared" si="15"/>
        <v>车位类型</v>
      </c>
      <c r="AA32" s="1806">
        <f t="shared" si="3"/>
        <v>1</v>
      </c>
      <c r="AB32" s="1806">
        <f t="shared" si="4"/>
        <v>1.0309278350515463</v>
      </c>
      <c r="AC32" s="1806">
        <f t="shared" si="5"/>
        <v>1.0309278350515463</v>
      </c>
    </row>
    <row r="33" spans="1:29" ht="15" hidden="1">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5"/>
      <c r="Q33" s="1805" t="str">
        <f t="shared" si="11"/>
        <v>是否直接入户</v>
      </c>
      <c r="R33" s="774" t="s">
        <v>17</v>
      </c>
      <c r="S33" s="775">
        <f t="shared" si="12"/>
        <v>100</v>
      </c>
      <c r="T33" s="774" t="s">
        <v>17</v>
      </c>
      <c r="U33" s="775">
        <f t="shared" si="13"/>
        <v>100</v>
      </c>
      <c r="V33" s="774" t="s">
        <v>17</v>
      </c>
      <c r="W33" s="775">
        <f t="shared" si="14"/>
        <v>100</v>
      </c>
      <c r="X33" s="1808"/>
      <c r="Y33" s="3255"/>
      <c r="Z33" s="1809" t="str">
        <f t="shared" si="15"/>
        <v>是否直接入户</v>
      </c>
      <c r="AA33" s="1806">
        <f t="shared" si="3"/>
        <v>1</v>
      </c>
      <c r="AB33" s="1806">
        <f t="shared" si="4"/>
        <v>1</v>
      </c>
      <c r="AC33" s="180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5"/>
      <c r="Q34" s="1805">
        <f t="shared" si="11"/>
        <v>111</v>
      </c>
      <c r="R34" s="774" t="s">
        <v>17</v>
      </c>
      <c r="S34" s="775">
        <f t="shared" si="12"/>
        <v>100</v>
      </c>
      <c r="T34" s="774" t="s">
        <v>17</v>
      </c>
      <c r="U34" s="775">
        <f t="shared" si="13"/>
        <v>100</v>
      </c>
      <c r="V34" s="774" t="s">
        <v>17</v>
      </c>
      <c r="W34" s="775">
        <f t="shared" si="14"/>
        <v>100</v>
      </c>
      <c r="X34" s="1808"/>
      <c r="Y34" s="3255"/>
      <c r="Z34" s="1809">
        <f t="shared" si="15"/>
        <v>111</v>
      </c>
      <c r="AA34" s="1806">
        <f t="shared" si="3"/>
        <v>1</v>
      </c>
      <c r="AB34" s="1806">
        <f t="shared" si="4"/>
        <v>1</v>
      </c>
      <c r="AC34" s="180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5"/>
      <c r="Q35" s="776">
        <f t="shared" si="11"/>
        <v>111</v>
      </c>
      <c r="R35" s="777" t="s">
        <v>17</v>
      </c>
      <c r="S35" s="778">
        <f t="shared" si="12"/>
        <v>100</v>
      </c>
      <c r="T35" s="777" t="s">
        <v>17</v>
      </c>
      <c r="U35" s="778">
        <f t="shared" si="13"/>
        <v>100</v>
      </c>
      <c r="V35" s="777" t="s">
        <v>17</v>
      </c>
      <c r="W35" s="778">
        <f t="shared" si="14"/>
        <v>100</v>
      </c>
      <c r="X35" s="779"/>
      <c r="Y35" s="3255"/>
      <c r="Z35" s="780">
        <f t="shared" si="15"/>
        <v>111</v>
      </c>
      <c r="AA35" s="1806">
        <f t="shared" si="3"/>
        <v>1</v>
      </c>
      <c r="AB35" s="1806">
        <f t="shared" si="4"/>
        <v>1</v>
      </c>
      <c r="AC35" s="1806">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5"/>
      <c r="Q36" s="1805">
        <f t="shared" si="11"/>
        <v>111</v>
      </c>
      <c r="R36" s="774" t="s">
        <v>17</v>
      </c>
      <c r="S36" s="775">
        <f t="shared" si="12"/>
        <v>100</v>
      </c>
      <c r="T36" s="774" t="s">
        <v>17</v>
      </c>
      <c r="U36" s="775">
        <f t="shared" si="13"/>
        <v>100</v>
      </c>
      <c r="V36" s="774" t="s">
        <v>17</v>
      </c>
      <c r="W36" s="775">
        <f t="shared" si="14"/>
        <v>100</v>
      </c>
      <c r="X36" s="1808"/>
      <c r="Y36" s="3255"/>
      <c r="Z36" s="1809">
        <f t="shared" si="15"/>
        <v>111</v>
      </c>
      <c r="AA36" s="1806">
        <f t="shared" si="3"/>
        <v>1</v>
      </c>
      <c r="AB36" s="1806">
        <f t="shared" si="4"/>
        <v>1</v>
      </c>
      <c r="AC36" s="1806">
        <f t="shared" si="5"/>
        <v>1</v>
      </c>
    </row>
    <row r="37" spans="1:29" ht="15">
      <c r="A37" s="479" t="s">
        <v>2720</v>
      </c>
      <c r="B37" s="2690" t="s">
        <v>3838</v>
      </c>
      <c r="C37" s="1403" t="s">
        <v>1</v>
      </c>
      <c r="D37" s="1404"/>
      <c r="E37" s="1405">
        <v>350000</v>
      </c>
      <c r="F37" s="1406"/>
      <c r="G37" s="1407">
        <v>320000</v>
      </c>
      <c r="H37" s="1408"/>
      <c r="I37" s="1405">
        <v>320000</v>
      </c>
      <c r="J37" s="1408"/>
      <c r="K37" s="619"/>
      <c r="L37" s="1139"/>
      <c r="M37" s="1140"/>
      <c r="N37" s="1127"/>
      <c r="O37" s="1140"/>
      <c r="P37" s="3257" t="str">
        <f>A37</f>
        <v>成交单价</v>
      </c>
      <c r="Q37" s="3257"/>
      <c r="R37" s="3258">
        <f>E37</f>
        <v>350000</v>
      </c>
      <c r="S37" s="3258"/>
      <c r="T37" s="3258">
        <f>G37</f>
        <v>320000</v>
      </c>
      <c r="U37" s="3258"/>
      <c r="V37" s="3258">
        <f>I37</f>
        <v>320000</v>
      </c>
      <c r="W37" s="3258"/>
      <c r="X37" s="759"/>
      <c r="Y37" s="781"/>
      <c r="Z37" s="759"/>
      <c r="AA37" s="759"/>
      <c r="AB37" s="759"/>
      <c r="AC37" s="759"/>
    </row>
    <row r="38" spans="1:29" ht="15.75" thickBot="1">
      <c r="A38" s="486" t="s">
        <v>2721</v>
      </c>
      <c r="B38" s="487" t="str">
        <f>B37</f>
        <v>元/车位</v>
      </c>
      <c r="C38" s="1409">
        <f>R39</f>
        <v>330176</v>
      </c>
      <c r="D38" s="1410"/>
      <c r="E38" s="1411">
        <f>R38</f>
        <v>336700</v>
      </c>
      <c r="F38" s="1411"/>
      <c r="G38" s="1409">
        <f>T38</f>
        <v>333229</v>
      </c>
      <c r="H38" s="1410"/>
      <c r="I38" s="1411">
        <f>V38</f>
        <v>320600</v>
      </c>
      <c r="J38" s="1410"/>
      <c r="K38" s="620"/>
      <c r="L38" s="1139"/>
      <c r="M38" s="1140"/>
      <c r="N38" s="1140"/>
      <c r="O38" s="1140"/>
      <c r="P38" s="3257" t="str">
        <f>A38</f>
        <v>比较价值（元/平方米）</v>
      </c>
      <c r="Q38" s="3257"/>
      <c r="R38" s="3258">
        <f>IF(F1="售价",ROUND(PRODUCT(R37,AA7:AA36),0),ROUND(PRODUCT(R37,AA7:AA36),1))</f>
        <v>336700</v>
      </c>
      <c r="S38" s="3258"/>
      <c r="T38" s="3258">
        <f>IF(F1="售价",ROUND(PRODUCT(T37,AB7:AB36),0),ROUND(PRODUCT(T37,AB7:AB36),1))</f>
        <v>333229</v>
      </c>
      <c r="U38" s="3258"/>
      <c r="V38" s="3258">
        <f>IF(F1="售价",ROUND(PRODUCT(V37,AC7:AC36),0),ROUND(PRODUCT(V37,AC7:AC36),1))</f>
        <v>320600</v>
      </c>
      <c r="W38" s="3258"/>
      <c r="X38" s="759"/>
      <c r="Y38" s="759"/>
      <c r="Z38" s="759"/>
      <c r="AA38" s="759"/>
      <c r="AB38" s="759"/>
      <c r="AC38" s="759"/>
    </row>
    <row r="39" spans="1:29" ht="15.75" thickBot="1">
      <c r="A39" s="492" t="s">
        <v>2722</v>
      </c>
      <c r="B39" s="493"/>
      <c r="C39" s="1413">
        <f>R39</f>
        <v>330176</v>
      </c>
      <c r="D39" s="1413"/>
      <c r="E39" s="1413"/>
      <c r="F39" s="1413"/>
      <c r="G39" s="1413"/>
      <c r="H39" s="1413"/>
      <c r="I39" s="1413"/>
      <c r="J39" s="1413"/>
      <c r="K39" s="621"/>
      <c r="L39" s="1139"/>
      <c r="M39" s="1140"/>
      <c r="N39" s="1140"/>
      <c r="O39" s="1140"/>
      <c r="P39" s="3259" t="str">
        <f>A39</f>
        <v>估价对象XX用房的比较价值（楼面单价，元/平方米）</v>
      </c>
      <c r="Q39" s="3260"/>
      <c r="R39" s="3261">
        <f>IF(F1="售价",ROUND(AVERAGE(R38:V38),0),ROUND(AVERAGE(R38:V38),1))</f>
        <v>330176</v>
      </c>
      <c r="S39" s="3261"/>
      <c r="T39" s="3261"/>
      <c r="U39" s="3261"/>
      <c r="V39" s="3261"/>
      <c r="W39" s="3261"/>
      <c r="X39" s="759"/>
      <c r="Y39" s="759"/>
      <c r="Z39" s="759"/>
      <c r="AA39" s="759"/>
      <c r="AB39" s="759"/>
      <c r="AC39" s="759"/>
    </row>
    <row r="40" spans="1:29">
      <c r="A40" s="1140"/>
      <c r="B40" s="1140"/>
      <c r="C40" s="1140"/>
      <c r="D40" s="1140"/>
      <c r="E40" s="1140"/>
      <c r="F40" s="1140"/>
      <c r="G40" s="1143"/>
      <c r="H40" s="1140"/>
      <c r="I40" s="1140"/>
      <c r="J40" s="1140"/>
      <c r="K40" s="1103"/>
      <c r="L40" s="1104"/>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3"/>
      <c r="L41" s="1104"/>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2723</v>
      </c>
      <c r="D42" s="498"/>
      <c r="E42" s="499">
        <f>IF(E37&lt;E38,E38/E37-1,E37/E38-1)</f>
        <v>3.9501039501039559E-2</v>
      </c>
      <c r="F42" s="500" t="str">
        <f>IF(OR(E42&gt;=0.3,E42&lt;=-0.3),"超过30%","")</f>
        <v/>
      </c>
      <c r="G42" s="499">
        <f>IF(G37&lt;G38,G38/G37-1,G37/G38-1)</f>
        <v>4.1340624999999909E-2</v>
      </c>
      <c r="H42" s="500" t="str">
        <f>IF(OR(G42&gt;=0.3,G42&lt;=-0.3),"超过30%","")</f>
        <v/>
      </c>
      <c r="I42" s="499">
        <f>IF(I37&lt;I38,I38/I37-1,I37/I38-1)</f>
        <v>1.8750000000000711E-3</v>
      </c>
      <c r="J42" s="500" t="str">
        <f>IF(OR(I42&gt;=0.3,I42&lt;=-0.3),"超过30%","")</f>
        <v/>
      </c>
      <c r="K42" s="1103"/>
      <c r="L42" s="1104"/>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2724</v>
      </c>
      <c r="D43" s="501"/>
      <c r="E43" s="499">
        <f>IF(E38&lt;G38,G38/E38-1,E38/G38-1)</f>
        <v>1.0416260289470625E-2</v>
      </c>
      <c r="F43" s="500" t="str">
        <f>IF(OR(E43&gt;=0.2,E43&lt;=-0.2),"超过20%","")</f>
        <v/>
      </c>
      <c r="G43" s="499">
        <f>IF(G38&lt;I38,I38/G38-1,G38/I38-1)</f>
        <v>3.9391765439800386E-2</v>
      </c>
      <c r="H43" s="500" t="str">
        <f>IF(OR(G43&gt;=0.2,G43&lt;=-0.2),"超过20%","")</f>
        <v/>
      </c>
      <c r="I43" s="499">
        <f>IF(I38&lt;E38,E38/I38-1,I38/E38-1)</f>
        <v>5.0218340611353662E-2</v>
      </c>
      <c r="J43" s="500" t="str">
        <f>IF(OR(I43&gt;=0.2,I43&lt;=-0.2),"超过20%","")</f>
        <v/>
      </c>
      <c r="K43" s="1103"/>
      <c r="L43" s="1104"/>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2725</v>
      </c>
      <c r="D44" s="501"/>
      <c r="E44" s="499">
        <f>IF(E37&lt;G37,G37/E37-1,E37/G37-1)</f>
        <v>9.375E-2</v>
      </c>
      <c r="F44" s="500" t="str">
        <f>IF(OR(E44&gt;=0.3,E44&lt;=-0.3),"超过30%","")</f>
        <v/>
      </c>
      <c r="G44" s="499">
        <f>IF(G37&lt;I37,I37/G37-1,G37/I37-1)</f>
        <v>0</v>
      </c>
      <c r="H44" s="500" t="str">
        <f>IF(OR(G44&gt;=0.3,G44&lt;=-0.3),"超过30%","")</f>
        <v/>
      </c>
      <c r="I44" s="499">
        <f>IF(I37&lt;E37,E37/I37-1,I37/E37-1)</f>
        <v>9.375E-2</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3"/>
      <c r="L46" s="1104"/>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2727</v>
      </c>
      <c r="B48" s="506"/>
      <c r="C48" s="1570" t="str">
        <f>YEAR(C7)&amp;"-"&amp;MONTH(C7)</f>
        <v>2018-8</v>
      </c>
      <c r="D48" s="1571">
        <f>EDATE(C48,-1)</f>
        <v>43282</v>
      </c>
      <c r="E48" s="1571">
        <f t="shared" ref="E48:O48" si="16">EDATE(D48,-1)</f>
        <v>43252</v>
      </c>
      <c r="F48" s="1571">
        <f t="shared" si="16"/>
        <v>43221</v>
      </c>
      <c r="G48" s="1571">
        <f t="shared" si="16"/>
        <v>43191</v>
      </c>
      <c r="H48" s="1571">
        <f t="shared" si="16"/>
        <v>43160</v>
      </c>
      <c r="I48" s="1571">
        <f t="shared" si="16"/>
        <v>43132</v>
      </c>
      <c r="J48" s="1571">
        <f t="shared" si="16"/>
        <v>43101</v>
      </c>
      <c r="K48" s="1571">
        <f t="shared" si="16"/>
        <v>43070</v>
      </c>
      <c r="L48" s="1571">
        <f t="shared" si="16"/>
        <v>43040</v>
      </c>
      <c r="M48" s="1571">
        <f t="shared" si="16"/>
        <v>43009</v>
      </c>
      <c r="N48" s="1571">
        <f t="shared" si="16"/>
        <v>42979</v>
      </c>
      <c r="O48" s="1571">
        <f t="shared" si="16"/>
        <v>42948</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2585</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2550</v>
      </c>
      <c r="B51" s="510"/>
      <c r="C51" s="522" t="s">
        <v>2652</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2588</v>
      </c>
      <c r="B53" s="528" t="s">
        <v>2554</v>
      </c>
      <c r="C53" s="529" t="str">
        <f>C9</f>
        <v>地下车库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2603</v>
      </c>
      <c r="C65" s="578" t="s">
        <v>2597</v>
      </c>
      <c r="D65" s="578" t="s">
        <v>2598</v>
      </c>
      <c r="E65" s="578" t="s">
        <v>2599</v>
      </c>
      <c r="F65" s="578" t="s">
        <v>2600</v>
      </c>
      <c r="G65" s="578" t="s">
        <v>2601</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98</v>
      </c>
      <c r="E66" s="544">
        <f>D66-$K16</f>
        <v>96</v>
      </c>
      <c r="F66" s="544">
        <f>E66-$K16</f>
        <v>94</v>
      </c>
      <c r="G66" s="544">
        <f>F66-$K16</f>
        <v>92</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2689</v>
      </c>
      <c r="C67" s="660" t="s">
        <v>2675</v>
      </c>
      <c r="D67" s="660" t="s">
        <v>2676</v>
      </c>
      <c r="E67" s="660" t="s">
        <v>2677</v>
      </c>
      <c r="F67" s="660" t="s">
        <v>2678</v>
      </c>
      <c r="G67" s="660" t="s">
        <v>2679</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2609</v>
      </c>
      <c r="C69" s="578" t="s">
        <v>2597</v>
      </c>
      <c r="D69" s="578" t="s">
        <v>2598</v>
      </c>
      <c r="E69" s="578" t="s">
        <v>2599</v>
      </c>
      <c r="F69" s="578" t="s">
        <v>2600</v>
      </c>
      <c r="G69" s="578" t="s">
        <v>2601</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2728</v>
      </c>
      <c r="C71" s="2973" t="s">
        <v>3835</v>
      </c>
      <c r="D71" s="554" t="s">
        <v>3836</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95</v>
      </c>
      <c r="E72" s="544">
        <f>D72-$K22</f>
        <v>90</v>
      </c>
      <c r="F72" s="544">
        <f>E72-$K22</f>
        <v>85</v>
      </c>
      <c r="G72" s="544">
        <f>F72-$K22</f>
        <v>80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2563</v>
      </c>
      <c r="B79" s="528" t="s">
        <v>2729</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2730</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2616</v>
      </c>
      <c r="C83" s="2973" t="s">
        <v>3826</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2732</v>
      </c>
      <c r="C88" s="2986" t="s">
        <v>3828</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2733</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101</v>
      </c>
      <c r="E92" s="536">
        <v>102</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2734</v>
      </c>
      <c r="C93" s="2973" t="s">
        <v>3831</v>
      </c>
      <c r="D93" s="2973" t="s">
        <v>3833</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2735</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1589</v>
      </c>
      <c r="B1" s="782"/>
      <c r="C1" s="1832" t="s">
        <v>48</v>
      </c>
      <c r="D1" s="1815" t="s">
        <v>70</v>
      </c>
      <c r="E1" s="1816" t="s">
        <v>1387</v>
      </c>
      <c r="F1" s="1279">
        <f ca="1">J53</f>
        <v>42.95</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1515</v>
      </c>
      <c r="B2" s="1839">
        <f ca="1">C40+J29+L46</f>
        <v>3571</v>
      </c>
      <c r="C2" s="1840" t="s">
        <v>1516</v>
      </c>
      <c r="D2" s="1840"/>
      <c r="E2" s="1841"/>
      <c r="F2" s="1842"/>
      <c r="G2" s="1843"/>
      <c r="H2" s="1835"/>
      <c r="I2" s="1835"/>
      <c r="J2" s="1835"/>
      <c r="K2" s="1836"/>
      <c r="L2" s="1835"/>
      <c r="M2" s="1835"/>
    </row>
    <row r="3" spans="1:37" ht="18" customHeight="1" thickBot="1">
      <c r="A3" s="1844" t="s">
        <v>1517</v>
      </c>
      <c r="B3" s="1845">
        <f ca="1">IF(ISERROR(B2*10000/F43),0,ROUND(B2*10000/F43,0))</f>
        <v>2341</v>
      </c>
      <c r="C3" s="1840" t="s">
        <v>1518</v>
      </c>
      <c r="D3" s="1840"/>
      <c r="E3" s="1841"/>
      <c r="F3" s="1842"/>
      <c r="G3" s="1843"/>
      <c r="H3" s="744" t="s">
        <v>1588</v>
      </c>
      <c r="I3" s="1835"/>
      <c r="J3" s="1835"/>
      <c r="K3" s="1836"/>
      <c r="L3" s="1835"/>
      <c r="M3" s="1835"/>
    </row>
    <row r="4" spans="1:37" ht="18" customHeight="1">
      <c r="A4" s="340" t="s">
        <v>1396</v>
      </c>
      <c r="B4" s="341" t="s">
        <v>1397</v>
      </c>
      <c r="C4" s="341" t="s">
        <v>1398</v>
      </c>
      <c r="D4" s="341" t="s">
        <v>1399</v>
      </c>
      <c r="E4" s="342" t="s">
        <v>1400</v>
      </c>
      <c r="F4" s="343"/>
      <c r="G4" s="1846"/>
      <c r="H4" s="340" t="s">
        <v>1396</v>
      </c>
      <c r="I4" s="341" t="s">
        <v>1397</v>
      </c>
      <c r="J4" s="341" t="s">
        <v>1398</v>
      </c>
      <c r="K4" s="341" t="s">
        <v>1399</v>
      </c>
      <c r="L4" s="342" t="s">
        <v>1400</v>
      </c>
      <c r="M4" s="343"/>
    </row>
    <row r="5" spans="1:37" ht="18" customHeight="1">
      <c r="A5" s="344">
        <v>1</v>
      </c>
      <c r="B5" s="345" t="s">
        <v>1401</v>
      </c>
      <c r="C5" s="1288">
        <f ca="1">C6+C10+C12</f>
        <v>271</v>
      </c>
      <c r="D5" s="1817" t="s">
        <v>1402</v>
      </c>
      <c r="E5" s="1289"/>
      <c r="F5" s="1290"/>
      <c r="G5" s="1846"/>
      <c r="H5" s="344">
        <v>1</v>
      </c>
      <c r="I5" s="345" t="s">
        <v>1401</v>
      </c>
      <c r="J5" s="1288">
        <f ca="1">J6+J10+J12</f>
        <v>0</v>
      </c>
      <c r="K5" s="1817" t="s">
        <v>1402</v>
      </c>
      <c r="L5" s="1289"/>
      <c r="M5" s="1290"/>
    </row>
    <row r="6" spans="1:37" ht="18" customHeight="1">
      <c r="A6" s="1287" t="s">
        <v>1035</v>
      </c>
      <c r="B6" s="3264" t="s">
        <v>1403</v>
      </c>
      <c r="C6" s="1292">
        <f ca="1">ROUND(F6*F8*F7*(1-F9)/10000,0)</f>
        <v>271</v>
      </c>
      <c r="D6" s="164" t="s">
        <v>3023</v>
      </c>
      <c r="E6" s="347" t="s">
        <v>1405</v>
      </c>
      <c r="F6" s="348">
        <f ca="1">INDIRECT("'数据-取费表'!u"&amp;$G$1)</f>
        <v>1200</v>
      </c>
      <c r="G6" s="1846"/>
      <c r="H6" s="1287" t="s">
        <v>1035</v>
      </c>
      <c r="I6" s="3264" t="s">
        <v>1403</v>
      </c>
      <c r="J6" s="346">
        <f ca="1">ROUND(M6*M8*M7*(1-M9)/10000,0)</f>
        <v>0</v>
      </c>
      <c r="K6" s="164" t="s">
        <v>3022</v>
      </c>
      <c r="L6" s="347" t="s">
        <v>1405</v>
      </c>
      <c r="M6" s="348">
        <f ca="1">INDIRECT("'数据-取费表'!z"&amp;$G$1)</f>
        <v>0</v>
      </c>
    </row>
    <row r="7" spans="1:37" ht="18" customHeight="1">
      <c r="A7" s="1291"/>
      <c r="B7" s="3265"/>
      <c r="C7" s="1293"/>
      <c r="D7" s="352"/>
      <c r="E7" s="2945" t="s">
        <v>1406</v>
      </c>
      <c r="F7" s="348">
        <f ca="1">IF(INDIRECT("'数据-取费表'!ah"&amp;$G$1)="",INDIRECT("'数据-取费表'!k"&amp;$G$1),INDIRECT("'数据-取费表'!ah"&amp;$G$1))</f>
        <v>209</v>
      </c>
      <c r="G7" s="1846"/>
      <c r="H7" s="349"/>
      <c r="I7" s="3265"/>
      <c r="J7" s="351"/>
      <c r="K7" s="352"/>
      <c r="L7" s="347" t="s">
        <v>1406</v>
      </c>
      <c r="M7" s="348">
        <f ca="1">F7</f>
        <v>209</v>
      </c>
    </row>
    <row r="8" spans="1:37" ht="18" customHeight="1">
      <c r="A8" s="349"/>
      <c r="B8" s="3265"/>
      <c r="C8" s="351"/>
      <c r="D8" s="352"/>
      <c r="E8" s="347" t="s">
        <v>1407</v>
      </c>
      <c r="F8" s="348">
        <f ca="1">INDIRECT("'数据-取费表'!ai"&amp;$G$1)</f>
        <v>12</v>
      </c>
      <c r="G8" s="1846"/>
      <c r="H8" s="349"/>
      <c r="I8" s="3265"/>
      <c r="J8" s="351"/>
      <c r="K8" s="352"/>
      <c r="L8" s="347" t="s">
        <v>1407</v>
      </c>
      <c r="M8" s="348">
        <f ca="1">INDIRECT("'数据-取费表'!ai"&amp;$G$1)</f>
        <v>12</v>
      </c>
    </row>
    <row r="9" spans="1:37" ht="18" customHeight="1">
      <c r="A9" s="349"/>
      <c r="B9" s="3266"/>
      <c r="C9" s="351"/>
      <c r="D9" s="352"/>
      <c r="E9" s="347" t="s">
        <v>1408</v>
      </c>
      <c r="F9" s="357">
        <f ca="1">INDIRECT("'数据-取费表'!w"&amp;$G$1)</f>
        <v>0.1</v>
      </c>
      <c r="G9" s="1846"/>
      <c r="H9" s="349"/>
      <c r="I9" s="3266"/>
      <c r="J9" s="351"/>
      <c r="K9" s="352"/>
      <c r="L9" s="358" t="s">
        <v>1408</v>
      </c>
      <c r="M9" s="359">
        <f ca="1">INDIRECT("'数据-取费表'!ab"&amp;$G$1)</f>
        <v>0</v>
      </c>
    </row>
    <row r="10" spans="1:37" ht="18" customHeight="1">
      <c r="A10" s="1287" t="s">
        <v>1039</v>
      </c>
      <c r="B10" s="1818" t="s">
        <v>1409</v>
      </c>
      <c r="C10" s="361">
        <f ca="1">ROUND(IF(F10="押一",C6/12*F11,IF(F10="押二",C6/12*2*F11,IF(F10="押三",C6/12*3*F11,C11*F11))),0)</f>
        <v>0</v>
      </c>
      <c r="D10" s="1819" t="s">
        <v>3031</v>
      </c>
      <c r="E10" s="358" t="s">
        <v>1410</v>
      </c>
      <c r="F10" s="1362" t="s">
        <v>3822</v>
      </c>
      <c r="G10" s="1846"/>
      <c r="H10" s="1287" t="s">
        <v>1039</v>
      </c>
      <c r="I10" s="1818" t="s">
        <v>1409</v>
      </c>
      <c r="J10" s="346">
        <f ca="1">ROUND(IF(M10="押一",J6/12*M11,IF(M10="押二",J6/12*2*M11,IF(M10="押三",J6/12*3*M11,J11*M11))),0)</f>
        <v>0</v>
      </c>
      <c r="K10" s="1819" t="s">
        <v>3031</v>
      </c>
      <c r="L10" s="358" t="s">
        <v>1410</v>
      </c>
      <c r="M10" s="1362" t="s">
        <v>1411</v>
      </c>
    </row>
    <row r="11" spans="1:37" ht="18" customHeight="1">
      <c r="A11" s="353"/>
      <c r="B11" s="1820" t="s">
        <v>1388</v>
      </c>
      <c r="C11" s="1174"/>
      <c r="D11" s="1821"/>
      <c r="E11" s="358" t="s">
        <v>1412</v>
      </c>
      <c r="F11" s="359">
        <f ca="1">'数据-取费表'!B39</f>
        <v>1.4999999999999999E-2</v>
      </c>
      <c r="G11" s="1846"/>
      <c r="H11" s="1295"/>
      <c r="I11" s="1820" t="s">
        <v>1388</v>
      </c>
      <c r="J11" s="1174"/>
      <c r="K11" s="748"/>
      <c r="L11" s="358" t="s">
        <v>1412</v>
      </c>
      <c r="M11" s="1054">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5">
        <f ca="1">ROUND(C29*F13,0)</f>
        <v>5599</v>
      </c>
      <c r="D13" s="1327" t="s">
        <v>1415</v>
      </c>
      <c r="E13" s="1327" t="s">
        <v>1416</v>
      </c>
      <c r="F13" s="1328">
        <f ca="1">INDIRECT("'数据-取费表'!y"&amp;$G$1)</f>
        <v>0.97</v>
      </c>
      <c r="G13" s="1846"/>
      <c r="H13" s="1325">
        <v>2</v>
      </c>
      <c r="I13" s="1326" t="s">
        <v>1414</v>
      </c>
      <c r="J13" s="1286">
        <f ca="1">ROUND(J14*J15,0)</f>
        <v>0</v>
      </c>
      <c r="K13" s="1333" t="s">
        <v>1415</v>
      </c>
      <c r="L13" s="1847"/>
      <c r="M13" s="1848"/>
    </row>
    <row r="14" spans="1:37" ht="18" customHeight="1">
      <c r="A14" s="1197" t="s">
        <v>1034</v>
      </c>
      <c r="B14" s="347" t="s">
        <v>1417</v>
      </c>
      <c r="C14" s="363">
        <f ca="1">INDIRECT("'数据-取费表'!m"&amp;$G$1)+INDIRECT("'数据-取费表'!t"&amp;$G$1)</f>
        <v>4271</v>
      </c>
      <c r="D14" s="2954" t="s">
        <v>1418</v>
      </c>
      <c r="E14" s="2953"/>
      <c r="F14" s="364"/>
      <c r="G14" s="1846"/>
      <c r="H14" s="1197" t="s">
        <v>1035</v>
      </c>
      <c r="I14" s="347" t="s">
        <v>1419</v>
      </c>
      <c r="J14" s="24">
        <f ca="1">C29</f>
        <v>5772</v>
      </c>
      <c r="K14" s="2944"/>
      <c r="L14" s="977"/>
      <c r="M14" s="978"/>
    </row>
    <row r="15" spans="1:37" s="1853" customFormat="1" ht="18" customHeight="1" thickBot="1">
      <c r="A15" s="1197" t="s">
        <v>1036</v>
      </c>
      <c r="B15" s="347" t="s">
        <v>1420</v>
      </c>
      <c r="C15" s="24">
        <f ca="1">ROUND(C14*F15,0)</f>
        <v>128</v>
      </c>
      <c r="D15" s="365" t="s">
        <v>1421</v>
      </c>
      <c r="E15" s="365" t="s">
        <v>1422</v>
      </c>
      <c r="F15" s="366">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6"/>
      <c r="H16" s="1325" t="s">
        <v>1030</v>
      </c>
      <c r="I16" s="1326" t="s">
        <v>1424</v>
      </c>
      <c r="J16" s="355">
        <f ca="1">ROUND(J17+J22+J23+J24,0)</f>
        <v>136</v>
      </c>
      <c r="K16" s="1333" t="s">
        <v>1425</v>
      </c>
      <c r="L16" s="2958"/>
      <c r="M16" s="1290"/>
    </row>
    <row r="17" spans="1:37" s="1853" customFormat="1" ht="18" customHeight="1">
      <c r="A17" s="1197" t="s">
        <v>1390</v>
      </c>
      <c r="B17" s="347" t="s">
        <v>1426</v>
      </c>
      <c r="C17" s="24">
        <f ca="1">ROUND(F17*(F43+INDIRECT("'数据-取费表'!S"&amp;$G$1))/10000,0)</f>
        <v>305</v>
      </c>
      <c r="D17" s="347" t="s">
        <v>1427</v>
      </c>
      <c r="E17" s="347" t="s">
        <v>1428</v>
      </c>
      <c r="F17" s="26">
        <f>'数据-取费表'!B35</f>
        <v>200</v>
      </c>
      <c r="G17" s="1849"/>
      <c r="H17" s="1197" t="s">
        <v>1035</v>
      </c>
      <c r="I17" s="347" t="s">
        <v>1429</v>
      </c>
      <c r="J17" s="24">
        <f ca="1">ROUND(IF(项目基本情况!B11="自然人",J5*M17,J18+J19+J20),1)</f>
        <v>49.3</v>
      </c>
      <c r="K17" s="2954" t="s">
        <v>1430</v>
      </c>
      <c r="L17" s="2957" t="s">
        <v>1431</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7" t="s">
        <v>1432</v>
      </c>
      <c r="C18" s="24">
        <f ca="1">ROUND(C14*F18,0)</f>
        <v>64</v>
      </c>
      <c r="D18" s="347" t="s">
        <v>1421</v>
      </c>
      <c r="E18" s="347" t="s">
        <v>1422</v>
      </c>
      <c r="F18" s="367">
        <f>'数据-取费表'!B36</f>
        <v>1.4999999999999999E-2</v>
      </c>
      <c r="G18" s="1849"/>
      <c r="H18" s="1197" t="s">
        <v>1034</v>
      </c>
      <c r="I18" s="347" t="s">
        <v>1433</v>
      </c>
      <c r="J18" s="24">
        <f ca="1">ROUND(J5*M18/(1+'数据-取费表'!C42),2)</f>
        <v>0</v>
      </c>
      <c r="K18" s="2957" t="s">
        <v>1434</v>
      </c>
      <c r="L18" s="347" t="s">
        <v>1422</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7" t="s">
        <v>1435</v>
      </c>
      <c r="C19" s="24">
        <f ca="1">SUM(C14:C18)</f>
        <v>4768</v>
      </c>
      <c r="D19" s="140" t="s">
        <v>1436</v>
      </c>
      <c r="E19" s="2942"/>
      <c r="F19" s="26"/>
      <c r="G19" s="1846"/>
      <c r="H19" s="1197" t="s">
        <v>1036</v>
      </c>
      <c r="I19" s="347" t="s">
        <v>1437</v>
      </c>
      <c r="J19" s="24">
        <f ca="1">IF(K19="按租金收入计税",ROUND(J5*M19,2),ROUND(C29*M19*0.7,2))</f>
        <v>48.48</v>
      </c>
      <c r="K19" s="1823" t="s">
        <v>1438</v>
      </c>
      <c r="L19" s="347" t="s">
        <v>1422</v>
      </c>
      <c r="M19" s="367">
        <f>IF(K19="按租金收入计税",'数据-取费表'!B51,'数据-取费表'!B50)</f>
        <v>1.2E-2</v>
      </c>
    </row>
    <row r="20" spans="1:37" s="1853" customFormat="1" ht="18" customHeight="1">
      <c r="A20" s="1197" t="s">
        <v>1039</v>
      </c>
      <c r="B20" s="347" t="s">
        <v>1439</v>
      </c>
      <c r="C20" s="24">
        <f ca="1">ROUND(C19*F20,0)</f>
        <v>95</v>
      </c>
      <c r="D20" s="369" t="s">
        <v>1440</v>
      </c>
      <c r="E20" s="347" t="s">
        <v>1422</v>
      </c>
      <c r="F20" s="367">
        <f>'数据-取费表'!B37</f>
        <v>0.02</v>
      </c>
      <c r="G20" s="1849"/>
      <c r="H20" s="1197" t="s">
        <v>1389</v>
      </c>
      <c r="I20" s="164" t="s">
        <v>1441</v>
      </c>
      <c r="J20" s="25">
        <f ca="1">ROUND(M20*M21/10000,2)</f>
        <v>0.81</v>
      </c>
      <c r="K20" s="370" t="s">
        <v>1442</v>
      </c>
      <c r="L20" s="347" t="s">
        <v>1443</v>
      </c>
      <c r="M20" s="371">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7" t="s">
        <v>1444</v>
      </c>
      <c r="C21" s="24" t="s">
        <v>18</v>
      </c>
      <c r="D21" s="369" t="s">
        <v>1445</v>
      </c>
      <c r="E21" s="347" t="s">
        <v>1446</v>
      </c>
      <c r="F21" s="367">
        <f>'数据-取费表'!B38</f>
        <v>0.02</v>
      </c>
      <c r="G21" s="1849"/>
      <c r="H21" s="372"/>
      <c r="I21" s="356"/>
      <c r="J21" s="29"/>
      <c r="K21" s="373"/>
      <c r="L21" s="347" t="s">
        <v>1447</v>
      </c>
      <c r="M21" s="348">
        <f ca="1">INDIRECT("'数据-取费表'!r"&amp;$G$1)</f>
        <v>2692.46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2"/>
      <c r="F22" s="26"/>
      <c r="G22" s="1846"/>
      <c r="H22" s="1197" t="s">
        <v>1039</v>
      </c>
      <c r="I22" s="347" t="s">
        <v>1449</v>
      </c>
      <c r="J22" s="24">
        <f ca="1">ROUND(J14*M22,1)</f>
        <v>86.6</v>
      </c>
      <c r="K22" s="2957" t="s">
        <v>1450</v>
      </c>
      <c r="L22" s="347" t="s">
        <v>1422</v>
      </c>
      <c r="M22" s="374">
        <f ca="1">INDIRECT("'数据-取费表'!Ak"&amp;$G$1)</f>
        <v>1.4999999999999999E-2</v>
      </c>
    </row>
    <row r="23" spans="1:37" s="1853" customFormat="1" ht="18" customHeight="1">
      <c r="A23" s="1197" t="s">
        <v>1034</v>
      </c>
      <c r="B23" s="347" t="s">
        <v>1451</v>
      </c>
      <c r="C23" s="24">
        <f ca="1">IF('数据-取费表'!B22&lt;=1,ROUND(C19*F24*F23/2,0)+ROUND(C20*F24*F23/2,0),ROUND(C19*(POWER((1+F24),F23/2)-1),0)+ROUND(C20*(POWER((1+F24),F23/2)-1),0))</f>
        <v>231</v>
      </c>
      <c r="D23" s="375" t="str">
        <f>IF(F23&lt;=1,"(建造成本+管理费用)×利率×(建设周期÷2)","(建造成本+管理费用)×((1+利率)^(建设周期÷2)-1)")</f>
        <v>(建造成本+管理费用)×((1+利率)^(建设周期÷2)-1)</v>
      </c>
      <c r="E23" s="347" t="s">
        <v>1452</v>
      </c>
      <c r="F23" s="371">
        <f>'数据-取费表'!B20</f>
        <v>2</v>
      </c>
      <c r="G23" s="1849"/>
      <c r="H23" s="1197" t="s">
        <v>1075</v>
      </c>
      <c r="I23" s="347" t="s">
        <v>1453</v>
      </c>
      <c r="J23" s="24">
        <f ca="1">ROUND(J13*M23,1)</f>
        <v>0</v>
      </c>
      <c r="K23" s="2957" t="s">
        <v>1454</v>
      </c>
      <c r="L23" s="347" t="s">
        <v>1422</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9"/>
      <c r="H24" s="1335" t="s">
        <v>1392</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7" t="s">
        <v>1461</v>
      </c>
      <c r="C25" s="24"/>
      <c r="D25" s="140" t="s">
        <v>1462</v>
      </c>
      <c r="E25" s="2942"/>
      <c r="F25" s="26"/>
      <c r="G25" s="1846"/>
      <c r="H25" s="1325" t="s">
        <v>1031</v>
      </c>
      <c r="I25" s="1340" t="s">
        <v>1463</v>
      </c>
      <c r="J25" s="355">
        <f ca="1">J5-J16</f>
        <v>-136</v>
      </c>
      <c r="K25" s="1341" t="s">
        <v>1464</v>
      </c>
      <c r="L25" s="1342"/>
      <c r="M25" s="1343"/>
    </row>
    <row r="26" spans="1:37">
      <c r="A26" s="1197" t="s">
        <v>1034</v>
      </c>
      <c r="B26" s="347" t="s">
        <v>1465</v>
      </c>
      <c r="C26" s="24">
        <f ca="1">ROUND((C19+C20)*F26,0)</f>
        <v>243</v>
      </c>
      <c r="D26" s="369" t="s">
        <v>1466</v>
      </c>
      <c r="E26" s="358" t="s">
        <v>1467</v>
      </c>
      <c r="F26" s="357">
        <f ca="1">INDIRECT("'数据-取费表'!q"&amp;$G$1)</f>
        <v>0.05</v>
      </c>
      <c r="G26" s="1846"/>
      <c r="H26" s="344" t="s">
        <v>1032</v>
      </c>
      <c r="I26" s="345" t="s">
        <v>1468</v>
      </c>
      <c r="J26" s="346">
        <f ca="1">IF(J5&lt;&gt;0,ROUND(J25*(1-((1+M28)/(1+M26))^M27)/(M26-M28),0),0)</f>
        <v>0</v>
      </c>
      <c r="K26" s="370" t="s">
        <v>1469</v>
      </c>
      <c r="L26" s="347" t="s">
        <v>1470</v>
      </c>
      <c r="M26" s="357">
        <f ca="1">INDIRECT("'数据-取费表'!I"&amp;$G$1)</f>
        <v>0.05</v>
      </c>
    </row>
    <row r="27" spans="1:37" ht="18" customHeight="1">
      <c r="A27" s="1197" t="s">
        <v>1036</v>
      </c>
      <c r="B27" s="347" t="s">
        <v>1471</v>
      </c>
      <c r="C27" s="24">
        <f ca="1">ROUND(F21*F26,4)</f>
        <v>1E-3</v>
      </c>
      <c r="D27" s="369" t="s">
        <v>1472</v>
      </c>
      <c r="E27" s="365"/>
      <c r="F27" s="366"/>
      <c r="G27" s="1846"/>
      <c r="H27" s="349"/>
      <c r="I27" s="350"/>
      <c r="J27" s="351"/>
      <c r="K27" s="378" t="s">
        <v>1473</v>
      </c>
      <c r="L27" s="347" t="s">
        <v>1474</v>
      </c>
      <c r="M27" s="379">
        <f ca="1">INDIRECT("'数据-取费表'!ag"&amp;$G$1)</f>
        <v>0</v>
      </c>
    </row>
    <row r="28" spans="1:37" s="1853" customFormat="1" ht="18" customHeight="1">
      <c r="A28" s="1197" t="s">
        <v>1037</v>
      </c>
      <c r="B28" s="347" t="s">
        <v>1475</v>
      </c>
      <c r="C28" s="24">
        <f>ROUND(F28/(1+'数据-取费表'!C42),4)</f>
        <v>5.33E-2</v>
      </c>
      <c r="D28" s="369" t="s">
        <v>1476</v>
      </c>
      <c r="E28" s="347" t="s">
        <v>1422</v>
      </c>
      <c r="F28" s="367">
        <f>'数据-取费表'!B41</f>
        <v>5.6000000000000001E-2</v>
      </c>
      <c r="G28" s="1849"/>
      <c r="H28" s="353"/>
      <c r="I28" s="354"/>
      <c r="J28" s="355"/>
      <c r="K28" s="373"/>
      <c r="L28" s="347" t="s">
        <v>1477</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5772</v>
      </c>
      <c r="D29" s="1338"/>
      <c r="E29" s="1336"/>
      <c r="F29" s="1339"/>
      <c r="G29" s="1849"/>
      <c r="H29" s="380" t="s">
        <v>1033</v>
      </c>
      <c r="I29" s="381" t="s">
        <v>1479</v>
      </c>
      <c r="J29" s="382">
        <f ca="1">ROUND(J26/(1+F40)^F41,0)</f>
        <v>0</v>
      </c>
      <c r="K29" s="383" t="s">
        <v>1480</v>
      </c>
      <c r="L29" s="384"/>
      <c r="M29" s="385">
        <f ca="1">INDIRECT("'数据-取费表'!k"&amp;$G$1)</f>
        <v>15254.020000000017</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5">
        <f ca="1">ROUND(C31+C36+C37+C38,0)</f>
        <v>146</v>
      </c>
      <c r="D30" s="1333" t="s">
        <v>1425</v>
      </c>
      <c r="E30" s="2958"/>
      <c r="F30" s="1290"/>
      <c r="G30" s="1846"/>
      <c r="H30" s="745"/>
      <c r="I30" s="746"/>
      <c r="J30" s="747"/>
      <c r="K30" s="748"/>
      <c r="L30" s="749"/>
      <c r="M30" s="750"/>
    </row>
    <row r="31" spans="1:37" ht="18" customHeight="1">
      <c r="A31" s="1197" t="s">
        <v>1035</v>
      </c>
      <c r="B31" s="347" t="s">
        <v>1429</v>
      </c>
      <c r="C31" s="24">
        <f ca="1">ROUND(IF(项目基本情况!B11="自然人",C5*F31,C32+C33+C34),1)</f>
        <v>47.8</v>
      </c>
      <c r="D31" s="2954" t="s">
        <v>1430</v>
      </c>
      <c r="E31" s="2957" t="s">
        <v>1481</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1034</v>
      </c>
      <c r="B32" s="347" t="s">
        <v>1433</v>
      </c>
      <c r="C32" s="24">
        <f ca="1">IF(项目基本情况!B11="自然人","——",ROUND(C5*F32/(1+'数据-取费表'!C42),2))</f>
        <v>14.45</v>
      </c>
      <c r="D32" s="2957" t="s">
        <v>1434</v>
      </c>
      <c r="E32" s="347" t="s">
        <v>1422</v>
      </c>
      <c r="F32" s="377">
        <f>'数据-取费表'!B41</f>
        <v>5.6000000000000001E-2</v>
      </c>
      <c r="G32" s="1846"/>
      <c r="H32" s="745"/>
      <c r="I32" s="746"/>
      <c r="J32" s="747"/>
      <c r="K32" s="748"/>
      <c r="L32" s="749"/>
      <c r="M32" s="750"/>
    </row>
    <row r="33" spans="1:18" ht="18" customHeight="1">
      <c r="A33" s="1197" t="s">
        <v>1036</v>
      </c>
      <c r="B33" s="347" t="s">
        <v>1437</v>
      </c>
      <c r="C33" s="24">
        <f ca="1">IF(项目基本情况!B11="自然人","——",IF(D33="按租金收入计税",ROUND(C5*F33,2),IF(D33="按房产原值计税",ROUND(C29*F33*0.7,2),INDIRECT("'数据-取费表'!Aj"&amp;$G$1))))</f>
        <v>32.520000000000003</v>
      </c>
      <c r="D33" s="1823" t="s">
        <v>3789</v>
      </c>
      <c r="E33" s="347" t="s">
        <v>1422</v>
      </c>
      <c r="F33" s="367">
        <f>IF(D33="按票据","——",IF(D33="按租金收入计税",'数据-取费表'!B51,'数据-取费表'!B50))</f>
        <v>0.12</v>
      </c>
      <c r="G33" s="1846"/>
      <c r="H33" s="1854"/>
      <c r="I33" s="1855"/>
      <c r="J33" s="1856"/>
      <c r="K33" s="1857"/>
      <c r="L33" s="1854"/>
      <c r="M33" s="1854"/>
    </row>
    <row r="34" spans="1:18" ht="18" customHeight="1">
      <c r="A34" s="1287" t="s">
        <v>1389</v>
      </c>
      <c r="B34" s="164" t="s">
        <v>1441</v>
      </c>
      <c r="C34" s="25">
        <f ca="1">IF(项目基本情况!B11="自然人","——",ROUND(F34*F35/10000,2))</f>
        <v>0.81</v>
      </c>
      <c r="D34" s="370" t="s">
        <v>1442</v>
      </c>
      <c r="E34" s="347" t="s">
        <v>1443</v>
      </c>
      <c r="F34" s="371">
        <f>'数据-取费表'!B52</f>
        <v>3</v>
      </c>
      <c r="G34" s="1846"/>
      <c r="H34" s="745"/>
      <c r="I34" s="1855"/>
      <c r="J34" s="1856"/>
      <c r="K34" s="1858"/>
      <c r="L34" s="1859"/>
      <c r="M34" s="1859"/>
    </row>
    <row r="35" spans="1:18" ht="18" customHeight="1">
      <c r="A35" s="1349"/>
      <c r="B35" s="1347"/>
      <c r="C35" s="29"/>
      <c r="D35" s="373"/>
      <c r="E35" s="347" t="s">
        <v>1447</v>
      </c>
      <c r="F35" s="348">
        <f ca="1">INDIRECT("'数据-取费表'!r"&amp;$G$1)</f>
        <v>2692.46</v>
      </c>
      <c r="G35" s="1846"/>
      <c r="H35" s="745"/>
      <c r="I35" s="1855"/>
      <c r="J35" s="1856"/>
      <c r="K35" s="1857"/>
      <c r="L35" s="1854"/>
      <c r="M35" s="1854"/>
    </row>
    <row r="36" spans="1:18" ht="18" customHeight="1">
      <c r="A36" s="1348" t="s">
        <v>1039</v>
      </c>
      <c r="B36" s="347" t="s">
        <v>1449</v>
      </c>
      <c r="C36" s="24">
        <f ca="1">ROUND(C29*F36,1)</f>
        <v>86.6</v>
      </c>
      <c r="D36" s="2957" t="s">
        <v>1482</v>
      </c>
      <c r="E36" s="347" t="s">
        <v>1422</v>
      </c>
      <c r="F36" s="374">
        <f ca="1">INDIRECT("'数据-取费表'!Ak"&amp;$G$1)</f>
        <v>1.4999999999999999E-2</v>
      </c>
      <c r="G36" s="1846"/>
      <c r="H36" s="1854"/>
      <c r="I36" s="1855"/>
      <c r="J36" s="1856"/>
      <c r="K36" s="751"/>
      <c r="L36" s="1854"/>
      <c r="M36" s="1854"/>
    </row>
    <row r="37" spans="1:18" ht="18" customHeight="1">
      <c r="A37" s="1197" t="s">
        <v>1075</v>
      </c>
      <c r="B37" s="347" t="s">
        <v>1453</v>
      </c>
      <c r="C37" s="24">
        <f ca="1">ROUND(C13*F37,1)</f>
        <v>8.4</v>
      </c>
      <c r="D37" s="2957" t="s">
        <v>1454</v>
      </c>
      <c r="E37" s="347" t="s">
        <v>1422</v>
      </c>
      <c r="F37" s="376">
        <f ca="1">INDIRECT("'数据-取费表'!Al"&amp;$G$1)</f>
        <v>1.5E-3</v>
      </c>
      <c r="G37" s="1846"/>
      <c r="H37" s="1854"/>
      <c r="I37" s="1855"/>
      <c r="J37" s="1856"/>
      <c r="K37" s="751"/>
      <c r="L37" s="1854"/>
      <c r="M37" s="1854"/>
    </row>
    <row r="38" spans="1:18" ht="18" customHeight="1" thickBot="1">
      <c r="A38" s="1335" t="s">
        <v>1392</v>
      </c>
      <c r="B38" s="1336" t="s">
        <v>1439</v>
      </c>
      <c r="C38" s="1337">
        <f ca="1">ROUND(C5*F38,1)</f>
        <v>2.7</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1463</v>
      </c>
      <c r="C39" s="355">
        <f ca="1">C5-C30</f>
        <v>125</v>
      </c>
      <c r="D39" s="1341" t="s">
        <v>1464</v>
      </c>
      <c r="E39" s="1342"/>
      <c r="F39" s="1343"/>
      <c r="G39" s="1846"/>
      <c r="H39" s="1854"/>
      <c r="I39" s="1855"/>
      <c r="J39" s="1856"/>
      <c r="K39" s="1860"/>
      <c r="L39" s="1854"/>
      <c r="M39" s="1854"/>
    </row>
    <row r="40" spans="1:18" ht="18" customHeight="1">
      <c r="A40" s="344" t="s">
        <v>1032</v>
      </c>
      <c r="B40" s="345" t="s">
        <v>1485</v>
      </c>
      <c r="C40" s="346">
        <f ca="1">ROUND(C39*(1-((1+F42)/(1+F40))^F41)/(F40-F42),0)</f>
        <v>3514</v>
      </c>
      <c r="D40" s="370" t="s">
        <v>1469</v>
      </c>
      <c r="E40" s="347" t="s">
        <v>1470</v>
      </c>
      <c r="F40" s="357">
        <f ca="1">INDIRECT("'数据-取费表'!I"&amp;$G$1)</f>
        <v>0.05</v>
      </c>
      <c r="G40" s="1846"/>
      <c r="H40" s="1834"/>
      <c r="I40" s="1855"/>
      <c r="J40" s="1856"/>
      <c r="K40" s="1860"/>
      <c r="L40" s="1834"/>
      <c r="M40" s="1834"/>
    </row>
    <row r="41" spans="1:18" ht="18" customHeight="1">
      <c r="A41" s="349"/>
      <c r="B41" s="350"/>
      <c r="C41" s="351"/>
      <c r="D41" s="378" t="s">
        <v>1486</v>
      </c>
      <c r="E41" s="347" t="s">
        <v>1474</v>
      </c>
      <c r="F41" s="379">
        <f ca="1">IF(INDIRECT("'数据-取费表'!af"&amp;$G$1)=0,INDIRECT("'数据-取费表'!ae"&amp;$G$1),INDIRECT("'数据-取费表'!af"&amp;$G$1))</f>
        <v>42.95</v>
      </c>
      <c r="G41" s="1846"/>
      <c r="H41" s="732"/>
      <c r="I41" s="1855"/>
      <c r="J41" s="1856"/>
      <c r="K41" s="751"/>
      <c r="L41" s="732"/>
      <c r="M41" s="732"/>
    </row>
    <row r="42" spans="1:18" ht="18" customHeight="1">
      <c r="A42" s="353"/>
      <c r="B42" s="354"/>
      <c r="C42" s="355"/>
      <c r="D42" s="373"/>
      <c r="E42" s="347" t="s">
        <v>1477</v>
      </c>
      <c r="F42" s="357">
        <f ca="1">INDIRECT("'数据-取费表'!v"&amp;$G$1)</f>
        <v>0.03</v>
      </c>
      <c r="G42" s="1846"/>
      <c r="H42" s="732"/>
      <c r="I42" s="1855"/>
      <c r="J42" s="1856"/>
      <c r="K42" s="751"/>
      <c r="L42" s="732"/>
      <c r="M42" s="732"/>
    </row>
    <row r="43" spans="1:18" ht="18" customHeight="1" thickBot="1">
      <c r="A43" s="380" t="s">
        <v>1033</v>
      </c>
      <c r="B43" s="381" t="s">
        <v>1487</v>
      </c>
      <c r="C43" s="382">
        <f ca="1">ROUND(C40*10000/F43,0)</f>
        <v>2304</v>
      </c>
      <c r="D43" s="383" t="s">
        <v>1488</v>
      </c>
      <c r="E43" s="384" t="s">
        <v>1489</v>
      </c>
      <c r="F43" s="385">
        <f ca="1">INDIRECT("'数据-取费表'!k"&amp;$G$1)</f>
        <v>15254.020000000017</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1519</v>
      </c>
      <c r="P45" s="1834"/>
      <c r="Q45" s="1834"/>
      <c r="R45" s="1834"/>
    </row>
    <row r="46" spans="1:18" s="1837" customFormat="1" ht="13.5" thickBot="1">
      <c r="A46" s="1865" t="s">
        <v>1520</v>
      </c>
      <c r="C46" s="1866">
        <f ca="1">C68-C40</f>
        <v>-13705</v>
      </c>
      <c r="D46" s="1867" t="str">
        <f>C2</f>
        <v>万元</v>
      </c>
      <c r="E46" s="1861"/>
      <c r="F46" s="1861"/>
      <c r="I46" s="1868" t="s">
        <v>1521</v>
      </c>
      <c r="J46" s="1869"/>
      <c r="K46" s="1870"/>
      <c r="L46" s="1871">
        <f ca="1">IF(M47="住宅",0,IF(L48&gt;J51,L60,J60))</f>
        <v>57</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92"/>
      <c r="I47" s="1875" t="s">
        <v>1526</v>
      </c>
      <c r="J47" s="1876" t="s">
        <v>3765</v>
      </c>
      <c r="K47" s="1877" t="s">
        <v>1527</v>
      </c>
      <c r="L47" s="1878">
        <f ca="1">INDIRECT("'数据-取费表'!d"&amp;$G$1)</f>
        <v>50</v>
      </c>
      <c r="M47" s="1833" t="str">
        <f>IF(ISNUMBER(FIND("住宅",C1)),"住宅","非住宅")</f>
        <v>非住宅</v>
      </c>
      <c r="O47" s="1879" t="s">
        <v>1040</v>
      </c>
      <c r="P47" s="1880" t="s">
        <v>1528</v>
      </c>
      <c r="Q47" s="1881">
        <f ca="1">C40+J29</f>
        <v>3514</v>
      </c>
      <c r="R47" s="1881" t="s">
        <v>1529</v>
      </c>
    </row>
    <row r="48" spans="1:18" s="1837" customFormat="1" ht="28.5" thickBot="1">
      <c r="A48" s="1356" t="s">
        <v>1135</v>
      </c>
      <c r="B48" s="345" t="s">
        <v>1401</v>
      </c>
      <c r="C48" s="2941">
        <f ca="1">C49+C53+C55</f>
        <v>0</v>
      </c>
      <c r="D48" s="1358"/>
      <c r="E48" s="1359"/>
      <c r="F48" s="1177"/>
      <c r="G48" s="792"/>
      <c r="H48" s="793"/>
      <c r="I48" s="1882" t="s">
        <v>1530</v>
      </c>
      <c r="J48" s="1883" t="s">
        <v>3790</v>
      </c>
      <c r="K48" s="1884" t="s">
        <v>1531</v>
      </c>
      <c r="L48" s="1885">
        <f ca="1">INDIRECT("'数据-取费表'!f"&amp;$G$1)</f>
        <v>42.95</v>
      </c>
      <c r="O48" s="1879" t="s">
        <v>1041</v>
      </c>
      <c r="P48" s="1880" t="s">
        <v>1532</v>
      </c>
      <c r="Q48" s="1881">
        <f ca="1">J60</f>
        <v>57</v>
      </c>
      <c r="R48" s="1881" t="s">
        <v>1533</v>
      </c>
    </row>
    <row r="49" spans="1:18" s="1837" customFormat="1" ht="13.5" thickBot="1">
      <c r="A49" s="1190" t="s">
        <v>1136</v>
      </c>
      <c r="B49" s="1824" t="s">
        <v>1490</v>
      </c>
      <c r="C49" s="1360">
        <f ca="1">ROUND(F49*F51*F50*(1-F52)/10000,0)</f>
        <v>0</v>
      </c>
      <c r="D49" s="1272" t="s">
        <v>3022</v>
      </c>
      <c r="E49" s="1825" t="s">
        <v>1491</v>
      </c>
      <c r="F49" s="1277"/>
      <c r="G49" s="1886"/>
      <c r="H49" s="793"/>
      <c r="I49" s="1882" t="s">
        <v>1534</v>
      </c>
      <c r="J49" s="1887">
        <v>2016</v>
      </c>
      <c r="K49" s="1884" t="s">
        <v>1535</v>
      </c>
      <c r="L49" s="1888"/>
      <c r="O49" s="1889" t="s">
        <v>1042</v>
      </c>
      <c r="P49" s="1880" t="s">
        <v>1536</v>
      </c>
      <c r="Q49" s="1881">
        <f ca="1">C29</f>
        <v>5772</v>
      </c>
      <c r="R49" s="1881" t="s">
        <v>1529</v>
      </c>
    </row>
    <row r="50" spans="1:18" s="1837" customFormat="1" ht="13.5" thickBot="1">
      <c r="A50" s="1191"/>
      <c r="B50" s="1194"/>
      <c r="C50" s="1364"/>
      <c r="D50" s="1168"/>
      <c r="E50" s="1273" t="s">
        <v>1406</v>
      </c>
      <c r="F50" s="1274">
        <f ca="1">F7</f>
        <v>209</v>
      </c>
      <c r="H50" s="793"/>
      <c r="I50" s="1882" t="s">
        <v>1537</v>
      </c>
      <c r="J50" s="1890">
        <f>SUMPRODUCT((I63:I65=J47)*(J62:L62=J48)*(J63:L65))</f>
        <v>60</v>
      </c>
      <c r="K50" s="1884" t="s">
        <v>1538</v>
      </c>
      <c r="L50" s="1888"/>
      <c r="M50" s="1891"/>
      <c r="O50" s="1889" t="s">
        <v>1043</v>
      </c>
      <c r="P50" s="1880" t="s">
        <v>1539</v>
      </c>
      <c r="Q50" s="1892">
        <f ca="1">J58</f>
        <v>0.4</v>
      </c>
      <c r="R50" s="1881"/>
    </row>
    <row r="51" spans="1:18" s="1837" customFormat="1" ht="13.5" thickBot="1">
      <c r="A51" s="1192"/>
      <c r="B51" s="1194"/>
      <c r="C51" s="1195"/>
      <c r="D51" s="1168"/>
      <c r="E51" s="1196" t="s">
        <v>1407</v>
      </c>
      <c r="F51" s="348">
        <f ca="1">F8</f>
        <v>12</v>
      </c>
      <c r="I51" s="1893" t="s">
        <v>1540</v>
      </c>
      <c r="J51" s="1894">
        <f>IF(J49="",J50,J49+J50-YEAR('数据-取费表'!B2))</f>
        <v>58</v>
      </c>
      <c r="K51" s="1895" t="s">
        <v>1541</v>
      </c>
      <c r="L51" s="1896">
        <f ca="1">ROUND(-PV(INDIRECT("'数据-取费表'!h"&amp;$G$1),L48,(C39-C13*C76),0),0)</f>
        <v>-6621</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42.95</v>
      </c>
      <c r="R52" s="1881" t="s">
        <v>1546</v>
      </c>
    </row>
    <row r="53" spans="1:18" s="1837" customFormat="1" ht="24.75" thickBot="1">
      <c r="A53" s="1401" t="s">
        <v>1137</v>
      </c>
      <c r="B53" s="1826" t="s">
        <v>1409</v>
      </c>
      <c r="C53" s="361">
        <f ca="1">ROUND(IF(F53="押一",C49/12*F11,IF(F53="押二",C49/12*2*F11,IF(F53="押三",C49/12*3*F11,C54*F11))),0)</f>
        <v>0</v>
      </c>
      <c r="D53" s="1819" t="s">
        <v>3031</v>
      </c>
      <c r="E53" s="358"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42.95</v>
      </c>
      <c r="K53" s="3262" t="s">
        <v>1548</v>
      </c>
      <c r="L53" s="3263"/>
      <c r="O53" s="1879" t="s">
        <v>1046</v>
      </c>
      <c r="P53" s="1880" t="s">
        <v>1549</v>
      </c>
      <c r="Q53" s="1881">
        <f ca="1">Q47+Q48</f>
        <v>3571</v>
      </c>
      <c r="R53" s="1881" t="s">
        <v>1047</v>
      </c>
    </row>
    <row r="54" spans="1:18" s="1837" customFormat="1" ht="13.5" thickBot="1">
      <c r="A54" s="1402"/>
      <c r="B54" s="1820" t="s">
        <v>1388</v>
      </c>
      <c r="C54" s="1174"/>
      <c r="D54" s="1819"/>
      <c r="E54" s="2946"/>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6"/>
      <c r="F55" s="1902"/>
      <c r="I55" s="1905" t="s">
        <v>1551</v>
      </c>
      <c r="J55" s="1906">
        <f ca="1">ROUND(IF(J47="钢混",J57/J50,1-(1-2%)*(J50-J57)/J50),3)</f>
        <v>0.251</v>
      </c>
      <c r="K55" s="1907" t="s">
        <v>1552</v>
      </c>
      <c r="L55" s="1908" t="s">
        <v>1553</v>
      </c>
      <c r="O55" s="1872" t="s">
        <v>1522</v>
      </c>
      <c r="P55" s="1873" t="s">
        <v>1523</v>
      </c>
      <c r="Q55" s="1874" t="s">
        <v>1524</v>
      </c>
      <c r="R55" s="1874" t="s">
        <v>1525</v>
      </c>
    </row>
    <row r="56" spans="1:18" s="1837" customFormat="1" ht="25.5" thickTop="1" thickBot="1">
      <c r="A56" s="1172">
        <v>2</v>
      </c>
      <c r="B56" s="1173" t="s">
        <v>1414</v>
      </c>
      <c r="C56" s="276">
        <f ca="1">C13</f>
        <v>5599</v>
      </c>
      <c r="D56" s="1909"/>
      <c r="E56" s="1910"/>
      <c r="F56" s="1902"/>
      <c r="I56" s="1911" t="s">
        <v>1554</v>
      </c>
      <c r="J56" s="1912" t="s">
        <v>3049</v>
      </c>
      <c r="K56" s="1882" t="s">
        <v>1555</v>
      </c>
      <c r="L56" s="1885" t="str">
        <f ca="1">IF(L48&lt;J51,"——",L48-J53)</f>
        <v>——</v>
      </c>
      <c r="O56" s="1879" t="s">
        <v>1040</v>
      </c>
      <c r="P56" s="1880" t="s">
        <v>1528</v>
      </c>
      <c r="Q56" s="1881">
        <f ca="1">C40+J29</f>
        <v>3514</v>
      </c>
      <c r="R56" s="1881" t="s">
        <v>1529</v>
      </c>
    </row>
    <row r="57" spans="1:18" s="1837" customFormat="1" ht="24.75" thickBot="1">
      <c r="A57" s="1913"/>
      <c r="B57" s="1165" t="s">
        <v>1478</v>
      </c>
      <c r="C57" s="282">
        <f ca="1">C29</f>
        <v>5772</v>
      </c>
      <c r="D57" s="1914"/>
      <c r="E57" s="1915"/>
      <c r="F57" s="1916"/>
      <c r="I57" s="1917" t="s">
        <v>1556</v>
      </c>
      <c r="J57" s="1918">
        <f ca="1">IF(OR(M47="住宅",J51&lt;L48,J56="是"),"——",J51-L48)</f>
        <v>15.049999999999997</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60" t="s">
        <v>1030</v>
      </c>
      <c r="B58" s="1173" t="s">
        <v>1424</v>
      </c>
      <c r="C58" s="361">
        <f ca="1">ROUND(C59+C64+C65+C66,0)</f>
        <v>581</v>
      </c>
      <c r="D58" s="1175" t="s">
        <v>1425</v>
      </c>
      <c r="E58" s="1176"/>
      <c r="F58" s="1177"/>
      <c r="I58" s="1917" t="s">
        <v>1560</v>
      </c>
      <c r="J58" s="1919">
        <f ca="1">IF(J55&lt;0.4,0.4,J55)</f>
        <v>0.4</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485.7</v>
      </c>
      <c r="D59" s="1178" t="s">
        <v>1430</v>
      </c>
      <c r="E59" s="1179" t="s">
        <v>1431</v>
      </c>
      <c r="F59" s="368" t="str">
        <f ca="1">IF(项目基本情况!B11="企业","",IF(INDIRECT("'数据-取费表'!c"&amp;$G$1)="住宅",5%,IF(F49*F50*F51/12/(1+'数据-取费表'!C42)&gt;20000,12%,7%)))</f>
        <v/>
      </c>
      <c r="I59" s="1917" t="s">
        <v>1563</v>
      </c>
      <c r="J59" s="1918">
        <f ca="1">IF(OR(M47="住宅",J51&lt;L48,J56="是"),"——",ROUND(C29*J58,0))</f>
        <v>2309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0" t="s">
        <v>1565</v>
      </c>
      <c r="J60" s="1921">
        <f ca="1">IF(OR(M47="住宅",J51&lt;L48,J56="是"),"0",ROUND(J59/(1+J52)^J53,0))</f>
        <v>57</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1437</v>
      </c>
      <c r="C61" s="24">
        <f ca="1">IF(项目基本情况!B11="自然人","——",IF(D61="按租金收入计税",ROUND(C48*F61,2),IF(D61="按房产原值计税",ROUND(C57*F61*0.7,2),INDIRECT("'数据-取费表'!Aj"&amp;$G$1))))</f>
        <v>484.85</v>
      </c>
      <c r="D61" s="1823" t="s">
        <v>1438</v>
      </c>
      <c r="E61" s="1165" t="s">
        <v>1422</v>
      </c>
      <c r="F61" s="367">
        <f t="shared" si="0"/>
        <v>0.12</v>
      </c>
      <c r="I61" s="1923"/>
      <c r="J61" s="1923"/>
      <c r="K61" s="1923"/>
      <c r="L61" s="1923"/>
      <c r="O61" s="1889" t="s">
        <v>1045</v>
      </c>
      <c r="P61" s="1880" t="str">
        <f>K59</f>
        <v>建筑物剩余耐用年限下的土地年期修正系数Kn</v>
      </c>
      <c r="Q61" s="1881" t="e">
        <f ca="1">L59</f>
        <v>#DIV/0!</v>
      </c>
      <c r="R61" s="1881" t="s">
        <v>1569</v>
      </c>
    </row>
    <row r="62" spans="1:18" s="1837" customFormat="1" ht="13.5" thickBot="1">
      <c r="A62" s="1197" t="s">
        <v>1495</v>
      </c>
      <c r="B62" s="1164" t="s">
        <v>1441</v>
      </c>
      <c r="C62" s="25">
        <f ca="1">IF(项目基本情况!B11="自然人","——",ROUND(F62*F63/10000,2))</f>
        <v>0.81</v>
      </c>
      <c r="D62" s="1180" t="s">
        <v>1442</v>
      </c>
      <c r="E62" s="1165" t="s">
        <v>1443</v>
      </c>
      <c r="F62" s="371">
        <f t="shared" si="0"/>
        <v>3</v>
      </c>
      <c r="I62" s="1924" t="s">
        <v>1570</v>
      </c>
      <c r="J62" s="1925" t="s">
        <v>1571</v>
      </c>
      <c r="K62" s="1925" t="s">
        <v>1572</v>
      </c>
      <c r="L62" s="1925" t="s">
        <v>1573</v>
      </c>
      <c r="M62" s="1926" t="s">
        <v>1574</v>
      </c>
      <c r="O62" s="1879" t="s">
        <v>1046</v>
      </c>
      <c r="P62" s="1880" t="s">
        <v>1549</v>
      </c>
      <c r="Q62" s="1881">
        <f ca="1">Q56+Q57</f>
        <v>3514</v>
      </c>
      <c r="R62" s="1881" t="s">
        <v>1047</v>
      </c>
    </row>
    <row r="63" spans="1:18" s="1837" customFormat="1" ht="13.5" thickBot="1">
      <c r="A63" s="372"/>
      <c r="B63" s="1171"/>
      <c r="C63" s="29"/>
      <c r="D63" s="1181"/>
      <c r="E63" s="1165" t="s">
        <v>1447</v>
      </c>
      <c r="F63" s="348">
        <f t="shared" ca="1" si="0"/>
        <v>2692.46</v>
      </c>
      <c r="I63" s="1924" t="s">
        <v>1576</v>
      </c>
      <c r="J63" s="1925">
        <v>70</v>
      </c>
      <c r="K63" s="1925">
        <v>50</v>
      </c>
      <c r="L63" s="1925">
        <v>80</v>
      </c>
      <c r="M63" s="1927">
        <v>0.02</v>
      </c>
      <c r="O63" s="1864" t="s">
        <v>1577</v>
      </c>
      <c r="P63" s="1834"/>
      <c r="Q63" s="1834"/>
      <c r="R63" s="1834"/>
    </row>
    <row r="64" spans="1:18" s="1837" customFormat="1" ht="13.5" thickBot="1">
      <c r="A64" s="1197" t="s">
        <v>1039</v>
      </c>
      <c r="B64" s="1165" t="s">
        <v>1449</v>
      </c>
      <c r="C64" s="24">
        <f ca="1">ROUND(C57*F64,1)</f>
        <v>86.6</v>
      </c>
      <c r="D64" s="1179" t="s">
        <v>1482</v>
      </c>
      <c r="E64" s="1165" t="s">
        <v>1422</v>
      </c>
      <c r="F64" s="374">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8.4</v>
      </c>
      <c r="D65" s="1179" t="s">
        <v>1454</v>
      </c>
      <c r="E65" s="1165" t="s">
        <v>1422</v>
      </c>
      <c r="F65" s="376">
        <f t="shared" ca="1" si="0"/>
        <v>1.5E-3</v>
      </c>
      <c r="I65" s="1924" t="s">
        <v>1579</v>
      </c>
      <c r="J65" s="1925">
        <v>40</v>
      </c>
      <c r="K65" s="1925">
        <v>30</v>
      </c>
      <c r="L65" s="1925">
        <v>50</v>
      </c>
      <c r="M65" s="1927">
        <v>0.02</v>
      </c>
      <c r="O65" s="1879" t="s">
        <v>1040</v>
      </c>
      <c r="P65" s="1880" t="s">
        <v>1528</v>
      </c>
      <c r="Q65" s="1881">
        <f ca="1">C40+J29</f>
        <v>3514</v>
      </c>
      <c r="R65" s="1881" t="s">
        <v>1529</v>
      </c>
    </row>
    <row r="66" spans="1:18" s="1837" customFormat="1" ht="16.5" thickBot="1">
      <c r="A66" s="1197" t="s">
        <v>1504</v>
      </c>
      <c r="B66" s="1165" t="s">
        <v>1439</v>
      </c>
      <c r="C66" s="24">
        <f ca="1">ROUND(C48*F66,1)</f>
        <v>0</v>
      </c>
      <c r="D66" s="1179" t="s">
        <v>1459</v>
      </c>
      <c r="E66" s="1165" t="s">
        <v>1422</v>
      </c>
      <c r="F66" s="357">
        <f t="shared" ca="1" si="0"/>
        <v>0.01</v>
      </c>
      <c r="O66" s="1879" t="s">
        <v>1041</v>
      </c>
      <c r="P66" s="1880" t="s">
        <v>1558</v>
      </c>
      <c r="Q66" s="1881">
        <f ca="1">L60</f>
        <v>0</v>
      </c>
      <c r="R66" s="1881" t="s">
        <v>1581</v>
      </c>
    </row>
    <row r="67" spans="1:18" s="1837" customFormat="1" ht="16.5" thickBot="1">
      <c r="A67" s="1172" t="s">
        <v>1031</v>
      </c>
      <c r="B67" s="1182" t="s">
        <v>1463</v>
      </c>
      <c r="C67" s="361">
        <f ca="1">C48-C58</f>
        <v>-581</v>
      </c>
      <c r="D67" s="1178" t="s">
        <v>1464</v>
      </c>
      <c r="E67" s="1183"/>
      <c r="F67" s="1184"/>
      <c r="O67" s="1889" t="s">
        <v>1042</v>
      </c>
      <c r="P67" s="1880" t="s">
        <v>1562</v>
      </c>
      <c r="Q67" s="1928">
        <f ca="1">L51</f>
        <v>-6621</v>
      </c>
      <c r="R67" s="1881" t="s">
        <v>1582</v>
      </c>
    </row>
    <row r="68" spans="1:18" s="1837" customFormat="1" ht="16.5" thickBot="1">
      <c r="A68" s="1162" t="s">
        <v>1032</v>
      </c>
      <c r="B68" s="1163" t="s">
        <v>1485</v>
      </c>
      <c r="C68" s="346">
        <f ca="1">ROUND(C67*(1-((1+F70)/(1+F68))^F69)/(F68-F70),0)</f>
        <v>-10191</v>
      </c>
      <c r="D68" s="1180" t="s">
        <v>1469</v>
      </c>
      <c r="E68" s="1165" t="s">
        <v>1470</v>
      </c>
      <c r="F68" s="357">
        <f ca="1">F40</f>
        <v>0.05</v>
      </c>
      <c r="O68" s="1889" t="s">
        <v>1043</v>
      </c>
      <c r="P68" s="1929" t="s">
        <v>1583</v>
      </c>
      <c r="Q68" s="1881">
        <f ca="1">ROUND(Q69-Q70*Q71,0)</f>
        <v>-351</v>
      </c>
      <c r="R68" s="1881" t="s">
        <v>1051</v>
      </c>
    </row>
    <row r="69" spans="1:18" s="1837" customFormat="1" ht="13.5" thickBot="1">
      <c r="A69" s="1166"/>
      <c r="B69" s="1167"/>
      <c r="C69" s="351"/>
      <c r="D69" s="1185" t="s">
        <v>1473</v>
      </c>
      <c r="E69" s="1165" t="s">
        <v>1474</v>
      </c>
      <c r="F69" s="379">
        <f ca="1">F41</f>
        <v>42.95</v>
      </c>
      <c r="O69" s="1889" t="s">
        <v>1048</v>
      </c>
      <c r="P69" s="1929" t="s">
        <v>1584</v>
      </c>
      <c r="Q69" s="1881">
        <f ca="1">C39</f>
        <v>125</v>
      </c>
      <c r="R69" s="1881" t="s">
        <v>1529</v>
      </c>
    </row>
    <row r="70" spans="1:18" s="1837" customFormat="1" ht="13.5" thickBot="1">
      <c r="A70" s="1169"/>
      <c r="B70" s="1170"/>
      <c r="C70" s="355"/>
      <c r="D70" s="1181"/>
      <c r="E70" s="1165" t="s">
        <v>1477</v>
      </c>
      <c r="F70" s="1271"/>
      <c r="O70" s="1889" t="s">
        <v>1049</v>
      </c>
      <c r="P70" s="1929" t="s">
        <v>1585</v>
      </c>
      <c r="Q70" s="1881">
        <f ca="1">C13</f>
        <v>5599</v>
      </c>
      <c r="R70" s="1881" t="s">
        <v>1529</v>
      </c>
    </row>
    <row r="71" spans="1:18" s="1837" customFormat="1" ht="13.5" thickBot="1">
      <c r="A71" s="1186" t="s">
        <v>1033</v>
      </c>
      <c r="B71" s="1187" t="s">
        <v>1487</v>
      </c>
      <c r="C71" s="382">
        <f ca="1">ROUND(C68*10000/F71,0)</f>
        <v>-6681</v>
      </c>
      <c r="D71" s="1188" t="s">
        <v>1488</v>
      </c>
      <c r="E71" s="1189" t="s">
        <v>1489</v>
      </c>
      <c r="F71" s="385">
        <f ca="1">F43</f>
        <v>15254.020000000017</v>
      </c>
      <c r="O71" s="1889" t="s">
        <v>1050</v>
      </c>
      <c r="P71" s="1929" t="s">
        <v>1586</v>
      </c>
      <c r="Q71" s="1892">
        <f ca="1">C76</f>
        <v>8.5000000000000006E-2</v>
      </c>
      <c r="R71" s="1881"/>
    </row>
    <row r="72" spans="1:18" s="1837" customFormat="1" ht="13.5" thickBot="1">
      <c r="B72" s="796"/>
      <c r="C72" s="796"/>
      <c r="O72" s="1889" t="s">
        <v>1044</v>
      </c>
      <c r="P72" s="1880" t="s">
        <v>1564</v>
      </c>
      <c r="Q72" s="1892">
        <f>L52</f>
        <v>0</v>
      </c>
      <c r="R72" s="1881"/>
    </row>
    <row r="73" spans="1:18" ht="16.5" thickBot="1">
      <c r="A73" s="1837"/>
      <c r="B73" s="796"/>
      <c r="C73" s="796"/>
      <c r="D73" s="1837"/>
      <c r="E73" s="1837"/>
      <c r="F73" s="1837"/>
      <c r="O73" s="1889" t="s">
        <v>1045</v>
      </c>
      <c r="P73" s="1880" t="s">
        <v>1567</v>
      </c>
      <c r="Q73" s="1881" t="e">
        <f ca="1">L58</f>
        <v>#DIV/0!</v>
      </c>
      <c r="R73" s="1881" t="s">
        <v>1568</v>
      </c>
    </row>
    <row r="74" spans="1:18" ht="13.5" thickBot="1">
      <c r="A74" s="1837"/>
      <c r="B74" s="317" t="s">
        <v>1587</v>
      </c>
      <c r="C74" s="1931"/>
      <c r="D74" s="1837"/>
      <c r="E74" s="1837"/>
      <c r="F74" s="1837"/>
      <c r="O74" s="1889" t="s">
        <v>1052</v>
      </c>
      <c r="P74" s="1880" t="str">
        <f>K59</f>
        <v>建筑物剩余耐用年限下的土地年期修正系数Kn</v>
      </c>
      <c r="Q74" s="1881" t="e">
        <f ca="1">L59</f>
        <v>#DIV/0!</v>
      </c>
      <c r="R74" s="1881" t="s">
        <v>1569</v>
      </c>
    </row>
    <row r="75" spans="1:18" ht="13.5" thickBot="1">
      <c r="A75" s="1837"/>
      <c r="B75" s="386" t="s">
        <v>1506</v>
      </c>
      <c r="C75" s="387">
        <f ca="1">ROUND(C13*C76,0)</f>
        <v>476</v>
      </c>
      <c r="D75" s="1837"/>
      <c r="E75" s="1837"/>
      <c r="F75" s="1837"/>
      <c r="K75" s="1863"/>
      <c r="L75" s="1837"/>
      <c r="O75" s="1879" t="s">
        <v>1046</v>
      </c>
      <c r="P75" s="1880" t="s">
        <v>1549</v>
      </c>
      <c r="Q75" s="1881">
        <f ca="1">Q65+Q66</f>
        <v>3514</v>
      </c>
      <c r="R75" s="1881" t="s">
        <v>1047</v>
      </c>
    </row>
    <row r="76" spans="1:18">
      <c r="B76" s="388" t="s">
        <v>1507</v>
      </c>
      <c r="C76" s="389">
        <f ca="1">INDIRECT("'数据-取费表'!j"&amp;$G$1)</f>
        <v>8.5000000000000006E-2</v>
      </c>
      <c r="I76" s="1837"/>
      <c r="J76" s="1837"/>
      <c r="K76" s="1863"/>
      <c r="L76" s="1837"/>
    </row>
    <row r="77" spans="1:18">
      <c r="B77" s="390" t="s">
        <v>1508</v>
      </c>
      <c r="C77" s="391"/>
      <c r="I77" s="1837"/>
      <c r="J77" s="1837"/>
      <c r="K77" s="1863"/>
      <c r="L77" s="1837"/>
    </row>
    <row r="78" spans="1:18">
      <c r="B78" s="314" t="s">
        <v>1509</v>
      </c>
      <c r="C78" s="392"/>
    </row>
    <row r="79" spans="1:18">
      <c r="B79" s="386" t="s">
        <v>1510</v>
      </c>
      <c r="C79" s="318">
        <f ca="1">1-C80</f>
        <v>-2.8079999999999998</v>
      </c>
    </row>
    <row r="80" spans="1:18">
      <c r="B80" s="386" t="s">
        <v>1511</v>
      </c>
      <c r="C80" s="318">
        <f ca="1">ROUND(C75/C39,3)</f>
        <v>3.8079999999999998</v>
      </c>
    </row>
    <row r="81" spans="2:3">
      <c r="B81" s="314" t="s">
        <v>1512</v>
      </c>
      <c r="C81" s="282"/>
    </row>
    <row r="82" spans="2:3">
      <c r="B82" s="317" t="s">
        <v>1513</v>
      </c>
      <c r="C82" s="319">
        <f ca="1">1-C83</f>
        <v>-0.59299999999999997</v>
      </c>
    </row>
    <row r="83" spans="2:3">
      <c r="B83" s="317" t="s">
        <v>1514</v>
      </c>
      <c r="C83" s="318">
        <f ca="1">ROUND(C13/C40,3)</f>
        <v>1.593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17" sqref="L1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2707</v>
      </c>
      <c r="B1" s="1615"/>
      <c r="C1" s="1616" t="s">
        <v>2530</v>
      </c>
      <c r="D1" s="1617"/>
      <c r="E1" s="1626"/>
      <c r="F1" s="2579"/>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2327</v>
      </c>
      <c r="B2" s="1414" t="e">
        <f ca="1">IF(C2="——",ROUND(C37*D3/10000,0),ROUND(C37*D3/10000,0)-D2)</f>
        <v>#DIV/0!</v>
      </c>
      <c r="C2" s="2581"/>
      <c r="D2" s="1120" t="e">
        <f ca="1">SUMIF(INDIRECT("'"&amp;F2&amp;"'"&amp;"!A:A"),"承租人权益价值",INDIRECT("'"&amp;F2&amp;"'"&amp;"!c:c"))</f>
        <v>#REF!</v>
      </c>
      <c r="E2" s="2582" t="s">
        <v>2328</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6" t="s">
        <v>2648</v>
      </c>
      <c r="AC4" s="3215" t="s">
        <v>2649</v>
      </c>
    </row>
    <row r="5" spans="1:29" ht="15">
      <c r="A5" s="404"/>
      <c r="B5" s="405"/>
      <c r="C5" s="3227" t="s">
        <v>2542</v>
      </c>
      <c r="D5" s="3228"/>
      <c r="E5" s="3315" t="s">
        <v>2543</v>
      </c>
      <c r="F5" s="3226"/>
      <c r="G5" s="3227" t="s">
        <v>2544</v>
      </c>
      <c r="H5" s="3228"/>
      <c r="I5" s="3227" t="s">
        <v>2545</v>
      </c>
      <c r="J5" s="3228"/>
      <c r="K5" s="610"/>
      <c r="L5" s="1126"/>
      <c r="M5" s="1127"/>
      <c r="N5" s="1127"/>
      <c r="O5" s="1127"/>
      <c r="P5" s="3241"/>
      <c r="Q5" s="3242"/>
      <c r="R5" s="3223"/>
      <c r="S5" s="3224"/>
      <c r="T5" s="3223"/>
      <c r="U5" s="3224"/>
      <c r="V5" s="3218"/>
      <c r="W5" s="3218"/>
      <c r="X5" s="1808"/>
      <c r="Y5" s="3223"/>
      <c r="Z5" s="3224"/>
      <c r="AA5" s="3216"/>
      <c r="AB5" s="3216"/>
      <c r="AC5" s="3216"/>
    </row>
    <row r="6" spans="1:29"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1808"/>
      <c r="Y6" s="3245"/>
      <c r="Z6" s="3246"/>
      <c r="AA6" s="3217"/>
      <c r="AB6" s="3217"/>
      <c r="AC6" s="3217"/>
    </row>
    <row r="7" spans="1:29" s="117" customFormat="1" ht="15.75" thickBot="1">
      <c r="A7" s="408" t="s">
        <v>2548</v>
      </c>
      <c r="B7" s="409"/>
      <c r="C7" s="410">
        <f>'数据-取费表'!B2</f>
        <v>43342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19" t="s">
        <v>2549</v>
      </c>
      <c r="Q7" s="3247"/>
      <c r="R7" s="770" t="s">
        <v>17</v>
      </c>
      <c r="S7" s="771">
        <f t="shared" ref="S7:S14" si="0">F7</f>
        <v>0</v>
      </c>
      <c r="T7" s="770" t="s">
        <v>17</v>
      </c>
      <c r="U7" s="771">
        <f t="shared" ref="U7:U14" si="1">H7</f>
        <v>0</v>
      </c>
      <c r="V7" s="770" t="s">
        <v>17</v>
      </c>
      <c r="W7" s="771">
        <f t="shared" ref="W7:W14" si="2">J7</f>
        <v>0</v>
      </c>
      <c r="X7" s="772"/>
      <c r="Y7" s="3219" t="s">
        <v>2549</v>
      </c>
      <c r="Z7" s="322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19" t="s">
        <v>2552</v>
      </c>
      <c r="Q8" s="3220"/>
      <c r="R8" s="770" t="s">
        <v>17</v>
      </c>
      <c r="S8" s="771">
        <f t="shared" si="0"/>
        <v>0</v>
      </c>
      <c r="T8" s="770" t="s">
        <v>17</v>
      </c>
      <c r="U8" s="771">
        <f t="shared" si="1"/>
        <v>0</v>
      </c>
      <c r="V8" s="770" t="s">
        <v>17</v>
      </c>
      <c r="W8" s="771">
        <f t="shared" si="2"/>
        <v>0</v>
      </c>
      <c r="X8" s="772"/>
      <c r="Y8" s="3219" t="s">
        <v>2552</v>
      </c>
      <c r="Z8" s="322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57" t="s">
        <v>2555</v>
      </c>
      <c r="Q9" s="1790" t="str">
        <f t="shared" ref="Q9:Q14" si="6">B9</f>
        <v>用途</v>
      </c>
      <c r="R9" s="770" t="s">
        <v>17</v>
      </c>
      <c r="S9" s="771">
        <f t="shared" si="0"/>
        <v>100</v>
      </c>
      <c r="T9" s="770" t="s">
        <v>17</v>
      </c>
      <c r="U9" s="771">
        <f t="shared" si="1"/>
        <v>100</v>
      </c>
      <c r="V9" s="770" t="s">
        <v>17</v>
      </c>
      <c r="W9" s="771">
        <f t="shared" si="2"/>
        <v>100</v>
      </c>
      <c r="X9" s="772"/>
      <c r="Y9" s="3095"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57"/>
      <c r="Q10" s="1790"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57"/>
      <c r="Q11" s="1790">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57"/>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57"/>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99.75">
      <c r="A14" s="440" t="s">
        <v>2559</v>
      </c>
      <c r="B14" s="69" t="s">
        <v>2709</v>
      </c>
      <c r="C14" s="2688"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50" t="s">
        <v>2560</v>
      </c>
      <c r="Q14" s="1805" t="str">
        <f t="shared" si="6"/>
        <v>交通便捷度</v>
      </c>
      <c r="R14" s="774" t="s">
        <v>17</v>
      </c>
      <c r="S14" s="775">
        <f t="shared" si="0"/>
        <v>100</v>
      </c>
      <c r="T14" s="774" t="s">
        <v>17</v>
      </c>
      <c r="U14" s="775">
        <f t="shared" si="1"/>
        <v>100</v>
      </c>
      <c r="V14" s="774" t="s">
        <v>17</v>
      </c>
      <c r="W14" s="775">
        <f t="shared" si="2"/>
        <v>100</v>
      </c>
      <c r="X14" s="1808"/>
      <c r="Y14" s="3250"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251"/>
      <c r="Q15" s="1805"/>
      <c r="R15" s="774"/>
      <c r="S15" s="775"/>
      <c r="T15" s="774"/>
      <c r="U15" s="775"/>
      <c r="V15" s="774"/>
      <c r="W15" s="775"/>
      <c r="X15" s="1808"/>
      <c r="Y15" s="3251"/>
      <c r="Z15" s="1809"/>
      <c r="AA15" s="1806">
        <v>1</v>
      </c>
      <c r="AB15" s="1806">
        <v>1</v>
      </c>
      <c r="AC15" s="1806">
        <v>1</v>
      </c>
    </row>
    <row r="16" spans="1:29" ht="42.75">
      <c r="A16" s="428"/>
      <c r="B16" s="451" t="s">
        <v>2688</v>
      </c>
      <c r="C16" s="260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1"/>
      <c r="Q16" s="1805" t="str">
        <f>B16</f>
        <v>公共配套设施</v>
      </c>
      <c r="R16" s="774" t="s">
        <v>17</v>
      </c>
      <c r="S16" s="775">
        <f>F16</f>
        <v>100</v>
      </c>
      <c r="T16" s="774" t="s">
        <v>17</v>
      </c>
      <c r="U16" s="775">
        <f>H16</f>
        <v>100</v>
      </c>
      <c r="V16" s="774" t="s">
        <v>17</v>
      </c>
      <c r="W16" s="775">
        <f>J16</f>
        <v>100</v>
      </c>
      <c r="X16" s="1808"/>
      <c r="Y16" s="3251"/>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251"/>
      <c r="Q17" s="1805"/>
      <c r="R17" s="774"/>
      <c r="S17" s="775"/>
      <c r="T17" s="774"/>
      <c r="U17" s="775"/>
      <c r="V17" s="774"/>
      <c r="W17" s="775"/>
      <c r="X17" s="1808"/>
      <c r="Y17" s="3251"/>
      <c r="Z17" s="1809"/>
      <c r="AA17" s="1806">
        <v>1</v>
      </c>
      <c r="AB17" s="1806">
        <v>1</v>
      </c>
      <c r="AC17" s="1806">
        <v>1</v>
      </c>
    </row>
    <row r="18" spans="1:29" ht="28.5">
      <c r="A18" s="428"/>
      <c r="B18" s="1380" t="s">
        <v>2689</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1"/>
      <c r="Q18" s="1805" t="str">
        <f>B18</f>
        <v>基础设施水平</v>
      </c>
      <c r="R18" s="774" t="s">
        <v>17</v>
      </c>
      <c r="S18" s="775">
        <f>F18</f>
        <v>100</v>
      </c>
      <c r="T18" s="774" t="s">
        <v>17</v>
      </c>
      <c r="U18" s="775">
        <f>H18</f>
        <v>100</v>
      </c>
      <c r="V18" s="774" t="s">
        <v>17</v>
      </c>
      <c r="W18" s="775">
        <f>J18</f>
        <v>100</v>
      </c>
      <c r="X18" s="1808"/>
      <c r="Y18" s="3251"/>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251"/>
      <c r="Q19" s="1805"/>
      <c r="R19" s="774"/>
      <c r="S19" s="775"/>
      <c r="T19" s="774"/>
      <c r="U19" s="775"/>
      <c r="V19" s="774"/>
      <c r="W19" s="775"/>
      <c r="X19" s="1808"/>
      <c r="Y19" s="3251"/>
      <c r="Z19" s="1809"/>
      <c r="AA19" s="1806">
        <v>1</v>
      </c>
      <c r="AB19" s="1806">
        <v>1</v>
      </c>
      <c r="AC19" s="1806">
        <v>1</v>
      </c>
    </row>
    <row r="20" spans="1:29" ht="57">
      <c r="A20" s="428"/>
      <c r="B20" s="451" t="s">
        <v>2710</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1"/>
      <c r="Q20" s="1805" t="str">
        <f>B20</f>
        <v>自然及人文环境</v>
      </c>
      <c r="R20" s="774" t="s">
        <v>17</v>
      </c>
      <c r="S20" s="775">
        <f>F20</f>
        <v>100</v>
      </c>
      <c r="T20" s="774" t="s">
        <v>17</v>
      </c>
      <c r="U20" s="775">
        <f>H20</f>
        <v>100</v>
      </c>
      <c r="V20" s="774" t="s">
        <v>17</v>
      </c>
      <c r="W20" s="775">
        <f>J20</f>
        <v>100</v>
      </c>
      <c r="X20" s="1808"/>
      <c r="Y20" s="3251"/>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251"/>
      <c r="Q21" s="1805"/>
      <c r="R21" s="774"/>
      <c r="S21" s="775"/>
      <c r="T21" s="774"/>
      <c r="U21" s="775"/>
      <c r="V21" s="774"/>
      <c r="W21" s="775"/>
      <c r="X21" s="1808"/>
      <c r="Y21" s="3251"/>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1"/>
      <c r="Q22" s="1805" t="str">
        <f>B22</f>
        <v>楼层</v>
      </c>
      <c r="R22" s="774" t="s">
        <v>17</v>
      </c>
      <c r="S22" s="775">
        <f>F22</f>
        <v>100</v>
      </c>
      <c r="T22" s="774" t="s">
        <v>17</v>
      </c>
      <c r="U22" s="775">
        <f>H22</f>
        <v>100</v>
      </c>
      <c r="V22" s="774" t="s">
        <v>17</v>
      </c>
      <c r="W22" s="775">
        <f>J22</f>
        <v>100</v>
      </c>
      <c r="X22" s="1808"/>
      <c r="Y22" s="3251"/>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1"/>
      <c r="Q23" s="1805">
        <f>B23</f>
        <v>111</v>
      </c>
      <c r="R23" s="774" t="s">
        <v>17</v>
      </c>
      <c r="S23" s="775">
        <f>F23</f>
        <v>100</v>
      </c>
      <c r="T23" s="774" t="s">
        <v>17</v>
      </c>
      <c r="U23" s="775">
        <f>H23</f>
        <v>100</v>
      </c>
      <c r="V23" s="774" t="s">
        <v>17</v>
      </c>
      <c r="W23" s="775">
        <f>J23</f>
        <v>100</v>
      </c>
      <c r="X23" s="1808"/>
      <c r="Y23" s="3251"/>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1"/>
      <c r="Q24" s="1805">
        <f t="shared" ref="Q24:Q34" si="11">B24</f>
        <v>111</v>
      </c>
      <c r="R24" s="774" t="s">
        <v>17</v>
      </c>
      <c r="S24" s="775">
        <f>F24</f>
        <v>100</v>
      </c>
      <c r="T24" s="774" t="s">
        <v>17</v>
      </c>
      <c r="U24" s="775">
        <f>H24</f>
        <v>100</v>
      </c>
      <c r="V24" s="774" t="s">
        <v>17</v>
      </c>
      <c r="W24" s="775">
        <f>J24</f>
        <v>100</v>
      </c>
      <c r="X24" s="1808"/>
      <c r="Y24" s="3251"/>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251"/>
      <c r="Q25" s="1790">
        <f t="shared" si="11"/>
        <v>111</v>
      </c>
      <c r="R25" s="770" t="s">
        <v>17</v>
      </c>
      <c r="S25" s="771">
        <f>F25</f>
        <v>100</v>
      </c>
      <c r="T25" s="770" t="s">
        <v>17</v>
      </c>
      <c r="U25" s="771">
        <f>H25</f>
        <v>100</v>
      </c>
      <c r="V25" s="770" t="s">
        <v>17</v>
      </c>
      <c r="W25" s="771">
        <f>J25</f>
        <v>100</v>
      </c>
      <c r="X25" s="772"/>
      <c r="Y25" s="3251"/>
      <c r="Z25" s="55">
        <f>Q25</f>
        <v>111</v>
      </c>
      <c r="AA25" s="1806">
        <f>D25/F25</f>
        <v>1</v>
      </c>
      <c r="AB25" s="1806">
        <f>D25/H25</f>
        <v>1</v>
      </c>
      <c r="AC25" s="1806">
        <f>D25/J25</f>
        <v>1</v>
      </c>
    </row>
    <row r="26" spans="1:29" ht="28.5">
      <c r="A26" s="466" t="s">
        <v>2563</v>
      </c>
      <c r="B26" s="71" t="s">
        <v>2714</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331" t="s">
        <v>2565</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55"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5"/>
      <c r="Q27" s="776" t="str">
        <f t="shared" si="11"/>
        <v>成新率</v>
      </c>
      <c r="R27" s="777" t="s">
        <v>17</v>
      </c>
      <c r="S27" s="778" t="e">
        <f t="shared" si="12"/>
        <v>#N/A</v>
      </c>
      <c r="T27" s="777" t="s">
        <v>17</v>
      </c>
      <c r="U27" s="778" t="e">
        <f t="shared" si="13"/>
        <v>#N/A</v>
      </c>
      <c r="V27" s="777" t="s">
        <v>17</v>
      </c>
      <c r="W27" s="778" t="e">
        <f t="shared" si="14"/>
        <v>#N/A</v>
      </c>
      <c r="X27" s="779"/>
      <c r="Y27" s="3255"/>
      <c r="Z27" s="780"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5"/>
      <c r="Q28" s="1805" t="str">
        <f t="shared" si="11"/>
        <v>物业等级</v>
      </c>
      <c r="R28" s="774" t="s">
        <v>17</v>
      </c>
      <c r="S28" s="775">
        <f t="shared" si="12"/>
        <v>100</v>
      </c>
      <c r="T28" s="774" t="s">
        <v>17</v>
      </c>
      <c r="U28" s="775">
        <f t="shared" si="13"/>
        <v>100</v>
      </c>
      <c r="V28" s="774" t="s">
        <v>17</v>
      </c>
      <c r="W28" s="775">
        <f t="shared" si="14"/>
        <v>100</v>
      </c>
      <c r="X28" s="1808"/>
      <c r="Y28" s="3255"/>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55"/>
      <c r="Q29" s="1805" t="str">
        <f t="shared" si="11"/>
        <v>有无电梯</v>
      </c>
      <c r="R29" s="774" t="s">
        <v>17</v>
      </c>
      <c r="S29" s="775">
        <f t="shared" si="12"/>
        <v>100</v>
      </c>
      <c r="T29" s="774" t="s">
        <v>17</v>
      </c>
      <c r="U29" s="775">
        <f t="shared" si="13"/>
        <v>100</v>
      </c>
      <c r="V29" s="774" t="s">
        <v>17</v>
      </c>
      <c r="W29" s="775">
        <f t="shared" si="14"/>
        <v>100</v>
      </c>
      <c r="X29" s="1808"/>
      <c r="Y29" s="3255"/>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5"/>
      <c r="Q30" s="1805" t="str">
        <f t="shared" si="11"/>
        <v>建筑面积</v>
      </c>
      <c r="R30" s="774" t="s">
        <v>17</v>
      </c>
      <c r="S30" s="775" t="e">
        <f t="shared" si="12"/>
        <v>#N/A</v>
      </c>
      <c r="T30" s="774" t="s">
        <v>17</v>
      </c>
      <c r="U30" s="775" t="e">
        <f t="shared" si="13"/>
        <v>#N/A</v>
      </c>
      <c r="V30" s="774" t="s">
        <v>17</v>
      </c>
      <c r="W30" s="775" t="e">
        <f t="shared" si="14"/>
        <v>#N/A</v>
      </c>
      <c r="X30" s="1808"/>
      <c r="Y30" s="3255"/>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55"/>
      <c r="Q31" s="1790" t="str">
        <f t="shared" si="11"/>
        <v>是否封闭</v>
      </c>
      <c r="R31" s="770" t="s">
        <v>17</v>
      </c>
      <c r="S31" s="771">
        <f t="shared" si="12"/>
        <v>100</v>
      </c>
      <c r="T31" s="770" t="s">
        <v>17</v>
      </c>
      <c r="U31" s="771">
        <f t="shared" si="13"/>
        <v>100</v>
      </c>
      <c r="V31" s="770" t="s">
        <v>17</v>
      </c>
      <c r="W31" s="771">
        <f t="shared" si="14"/>
        <v>100</v>
      </c>
      <c r="X31" s="772"/>
      <c r="Y31" s="3255"/>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5" t="s">
        <v>2565</v>
      </c>
      <c r="Q32" s="1805">
        <f t="shared" si="11"/>
        <v>111</v>
      </c>
      <c r="R32" s="774" t="s">
        <v>17</v>
      </c>
      <c r="S32" s="775">
        <f t="shared" si="12"/>
        <v>100</v>
      </c>
      <c r="T32" s="774" t="s">
        <v>17</v>
      </c>
      <c r="U32" s="775">
        <f t="shared" si="13"/>
        <v>100</v>
      </c>
      <c r="V32" s="774" t="s">
        <v>17</v>
      </c>
      <c r="W32" s="775">
        <f t="shared" si="14"/>
        <v>100</v>
      </c>
      <c r="X32" s="1808"/>
      <c r="Y32" s="3255" t="s">
        <v>2565</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5"/>
      <c r="Q33" s="1805">
        <f t="shared" si="11"/>
        <v>111</v>
      </c>
      <c r="R33" s="774" t="s">
        <v>17</v>
      </c>
      <c r="S33" s="775">
        <f t="shared" si="12"/>
        <v>100</v>
      </c>
      <c r="T33" s="774" t="s">
        <v>17</v>
      </c>
      <c r="U33" s="775">
        <f t="shared" si="13"/>
        <v>100</v>
      </c>
      <c r="V33" s="774" t="s">
        <v>17</v>
      </c>
      <c r="W33" s="775">
        <f t="shared" si="14"/>
        <v>100</v>
      </c>
      <c r="X33" s="1808"/>
      <c r="Y33" s="3255"/>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55"/>
      <c r="Q34" s="1805">
        <f t="shared" si="11"/>
        <v>111</v>
      </c>
      <c r="R34" s="774" t="s">
        <v>17</v>
      </c>
      <c r="S34" s="775">
        <f t="shared" si="12"/>
        <v>100</v>
      </c>
      <c r="T34" s="774" t="s">
        <v>17</v>
      </c>
      <c r="U34" s="775">
        <f t="shared" si="13"/>
        <v>100</v>
      </c>
      <c r="V34" s="774" t="s">
        <v>17</v>
      </c>
      <c r="W34" s="775">
        <f t="shared" si="14"/>
        <v>100</v>
      </c>
      <c r="X34" s="1808"/>
      <c r="Y34" s="3255"/>
      <c r="Z34" s="1809">
        <f t="shared" si="15"/>
        <v>111</v>
      </c>
      <c r="AA34" s="1806">
        <f t="shared" si="3"/>
        <v>1</v>
      </c>
      <c r="AB34" s="1806">
        <f t="shared" si="4"/>
        <v>1</v>
      </c>
      <c r="AC34" s="1806">
        <f t="shared" si="5"/>
        <v>1</v>
      </c>
    </row>
    <row r="35" spans="1:29" ht="15">
      <c r="A35" s="479" t="s">
        <v>2577</v>
      </c>
      <c r="B35" s="480"/>
      <c r="C35" s="1403" t="s">
        <v>1</v>
      </c>
      <c r="D35" s="1404"/>
      <c r="E35" s="1405"/>
      <c r="F35" s="1406"/>
      <c r="G35" s="1407"/>
      <c r="H35" s="1408"/>
      <c r="I35" s="1405"/>
      <c r="J35" s="1408"/>
      <c r="K35" s="783"/>
      <c r="L35" s="1139"/>
      <c r="M35" s="1140"/>
      <c r="N35" s="1127"/>
      <c r="O35" s="1140"/>
      <c r="P35" s="3257" t="str">
        <f>A35</f>
        <v>成交单价（元/平方米）</v>
      </c>
      <c r="Q35" s="3257"/>
      <c r="R35" s="3258">
        <f>E35</f>
        <v>0</v>
      </c>
      <c r="S35" s="3258"/>
      <c r="T35" s="3258">
        <f>G35</f>
        <v>0</v>
      </c>
      <c r="U35" s="3258"/>
      <c r="V35" s="3258">
        <f>I35</f>
        <v>0</v>
      </c>
      <c r="W35" s="3258"/>
      <c r="X35" s="759"/>
      <c r="Y35" s="781"/>
      <c r="Z35" s="759"/>
      <c r="AA35" s="759"/>
      <c r="AB35" s="759"/>
      <c r="AC35" s="759"/>
    </row>
    <row r="36" spans="1:29" ht="15.75" thickBot="1">
      <c r="A36" s="486" t="s">
        <v>2669</v>
      </c>
      <c r="B36" s="487"/>
      <c r="C36" s="1409" t="e">
        <f>R37</f>
        <v>#DIV/0!</v>
      </c>
      <c r="D36" s="1410"/>
      <c r="E36" s="1411" t="e">
        <f>R36</f>
        <v>#DIV/0!</v>
      </c>
      <c r="F36" s="1411"/>
      <c r="G36" s="1409" t="e">
        <f>T36</f>
        <v>#DIV/0!</v>
      </c>
      <c r="H36" s="1410"/>
      <c r="I36" s="1411" t="e">
        <f>V36</f>
        <v>#DIV/0!</v>
      </c>
      <c r="J36" s="1410"/>
      <c r="K36" s="784"/>
      <c r="L36" s="1139"/>
      <c r="M36" s="1140"/>
      <c r="N36" s="1127"/>
      <c r="O36" s="1140"/>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2670</v>
      </c>
      <c r="B37" s="493"/>
      <c r="C37" s="1413" t="e">
        <f>R37</f>
        <v>#DIV/0!</v>
      </c>
      <c r="D37" s="1413"/>
      <c r="E37" s="1413"/>
      <c r="F37" s="1413"/>
      <c r="G37" s="1413"/>
      <c r="H37" s="1413"/>
      <c r="I37" s="1413"/>
      <c r="J37" s="1413"/>
      <c r="K37" s="785"/>
      <c r="L37" s="1139"/>
      <c r="M37" s="1140"/>
      <c r="N37" s="1140"/>
      <c r="O37" s="1140"/>
      <c r="P37" s="3259" t="str">
        <f>A37</f>
        <v>估价对象XX用房的比较价值（楼面单价，元/平方米）</v>
      </c>
      <c r="Q37" s="3260"/>
      <c r="R37" s="3261" t="e">
        <f>IF(F1="售价",ROUND(AVERAGE(R36:V36),0),ROUND(AVERAGE(R36:V36),1))</f>
        <v>#DIV/0!</v>
      </c>
      <c r="S37" s="3261"/>
      <c r="T37" s="3261"/>
      <c r="U37" s="3261"/>
      <c r="V37" s="3261"/>
      <c r="W37" s="3261"/>
      <c r="X37" s="759"/>
      <c r="Y37" s="759"/>
      <c r="Z37" s="759"/>
      <c r="AA37" s="759"/>
      <c r="AB37" s="759"/>
      <c r="AC37" s="759"/>
    </row>
    <row r="38" spans="1:29">
      <c r="A38" s="1140"/>
      <c r="B38" s="1140"/>
      <c r="C38" s="1140"/>
      <c r="D38" s="1140"/>
      <c r="E38" s="1140"/>
      <c r="F38" s="1140"/>
      <c r="G38" s="1143"/>
      <c r="H38" s="1140"/>
      <c r="I38" s="1140"/>
      <c r="J38" s="1140"/>
      <c r="K38" s="1103"/>
      <c r="L38" s="1104"/>
      <c r="M38" s="1140"/>
      <c r="N38" s="1140"/>
      <c r="O38" s="1140"/>
    </row>
    <row r="39" spans="1:29">
      <c r="A39" s="1140"/>
      <c r="B39" s="1140"/>
      <c r="C39" s="1140"/>
      <c r="D39" s="1140"/>
      <c r="E39" s="1140"/>
      <c r="F39" s="1140"/>
      <c r="G39" s="1140"/>
      <c r="H39" s="1140"/>
      <c r="I39" s="1140"/>
      <c r="J39" s="1140"/>
      <c r="K39" s="1103"/>
      <c r="L39" s="1104"/>
      <c r="M39" s="1140"/>
      <c r="N39" s="1140"/>
      <c r="O39" s="1140"/>
    </row>
    <row r="40" spans="1:29" ht="13.5" customHeight="1">
      <c r="A40" s="1140"/>
      <c r="B40" s="1140"/>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0"/>
      <c r="N40" s="1140"/>
      <c r="O40" s="1140"/>
    </row>
    <row r="41" spans="1:29" ht="13.5" customHeight="1">
      <c r="A41" s="1140"/>
      <c r="B41" s="1140"/>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0"/>
      <c r="N41" s="1140"/>
      <c r="O41" s="1140"/>
    </row>
    <row r="42" spans="1:29" s="502" customFormat="1" ht="13.5" customHeight="1">
      <c r="A42" s="1141"/>
      <c r="B42" s="1141"/>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3"/>
      <c r="L44" s="1104"/>
      <c r="M44" s="1140"/>
      <c r="N44" s="1140"/>
      <c r="O44" s="1140"/>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0" t="str">
        <f>YEAR(C7)&amp;"-"&amp;MONTH(C7)</f>
        <v>2018-8</v>
      </c>
      <c r="D46" s="1571">
        <f>EDATE(C46,-1)</f>
        <v>43282</v>
      </c>
      <c r="E46" s="1571">
        <f t="shared" ref="E46:O46" si="16">EDATE(D46,-1)</f>
        <v>43252</v>
      </c>
      <c r="F46" s="1571">
        <f t="shared" si="16"/>
        <v>43221</v>
      </c>
      <c r="G46" s="1571">
        <f t="shared" si="16"/>
        <v>43191</v>
      </c>
      <c r="H46" s="1571">
        <f t="shared" si="16"/>
        <v>43160</v>
      </c>
      <c r="I46" s="1571">
        <f t="shared" si="16"/>
        <v>43132</v>
      </c>
      <c r="J46" s="1571">
        <f t="shared" si="16"/>
        <v>43101</v>
      </c>
      <c r="K46" s="1571">
        <f t="shared" si="16"/>
        <v>43070</v>
      </c>
      <c r="L46" s="1571">
        <f t="shared" si="16"/>
        <v>43040</v>
      </c>
      <c r="M46" s="1571">
        <f t="shared" si="16"/>
        <v>43009</v>
      </c>
      <c r="N46" s="1571">
        <f t="shared" si="16"/>
        <v>42979</v>
      </c>
      <c r="O46" s="1571">
        <f t="shared" si="16"/>
        <v>42948</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2588</v>
      </c>
      <c r="B51" s="528" t="s">
        <v>2554</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2728</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2563</v>
      </c>
      <c r="B77" s="528" t="s">
        <v>2616</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2732</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2740</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2742</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6"/>
      <c r="B4" s="3033" t="s">
        <v>1630</v>
      </c>
      <c r="C4" s="3033"/>
      <c r="D4" s="3033"/>
      <c r="E4" s="1956"/>
    </row>
    <row r="5" spans="1:5" ht="16.5" thickTop="1">
      <c r="A5" s="1954"/>
      <c r="B5" s="3031" t="s">
        <v>1622</v>
      </c>
      <c r="C5" s="1957" t="s">
        <v>1623</v>
      </c>
      <c r="D5" s="1038">
        <f ca="1">结果表!H101</f>
        <v>59487</v>
      </c>
      <c r="E5" s="1954"/>
    </row>
    <row r="6" spans="1:5" ht="15.75">
      <c r="A6" s="1954"/>
      <c r="B6" s="3031"/>
      <c r="C6" s="1957" t="s">
        <v>1624</v>
      </c>
      <c r="D6" s="1038" t="str">
        <f ca="1">NUMBERSTRING(INT(D5*10000),2)&amp;"元整"</f>
        <v>伍亿玖仟肆佰捌拾柒万元整</v>
      </c>
      <c r="E6" s="1954"/>
    </row>
    <row r="7" spans="1:5" ht="15.75">
      <c r="A7" s="1954"/>
      <c r="B7" s="3036"/>
      <c r="C7" s="1958" t="s">
        <v>1625</v>
      </c>
      <c r="D7" s="1039">
        <f ca="1">结果表!H102</f>
        <v>17411</v>
      </c>
      <c r="E7" s="1954"/>
    </row>
    <row r="8" spans="1:5" ht="15.75">
      <c r="A8" s="1954"/>
      <c r="B8" s="3037" t="str">
        <f>结果表!E103</f>
        <v>2.估价师知悉的法定优先受偿款</v>
      </c>
      <c r="C8" s="1959" t="s">
        <v>1626</v>
      </c>
      <c r="D8" s="1039">
        <f>结果表!H103</f>
        <v>0</v>
      </c>
      <c r="E8" s="1954"/>
    </row>
    <row r="9" spans="1:5" ht="15.75">
      <c r="A9" s="1954"/>
      <c r="B9" s="3039"/>
      <c r="C9" s="1957" t="s">
        <v>1624</v>
      </c>
      <c r="D9" s="1038" t="str">
        <f>NUMBERSTRING(INT(D8*10000),2)&amp;"元整"</f>
        <v>零元整</v>
      </c>
      <c r="E9" s="1954"/>
    </row>
    <row r="10" spans="1:5" ht="15">
      <c r="A10" s="1954"/>
      <c r="B10" s="1960" t="s">
        <v>1629</v>
      </c>
      <c r="C10" s="1961" t="s">
        <v>1627</v>
      </c>
      <c r="D10" s="1040">
        <f>结果表!H104</f>
        <v>0</v>
      </c>
      <c r="E10" s="1954"/>
    </row>
    <row r="11" spans="1:5" ht="15">
      <c r="A11" s="1954"/>
      <c r="B11" s="1960" t="s">
        <v>1631</v>
      </c>
      <c r="C11" s="1961" t="s">
        <v>1632</v>
      </c>
      <c r="D11" s="1040">
        <f>结果表!H105</f>
        <v>0</v>
      </c>
      <c r="E11" s="1954"/>
    </row>
    <row r="12" spans="1:5" ht="15">
      <c r="A12" s="1954"/>
      <c r="B12" s="1960" t="s">
        <v>1633</v>
      </c>
      <c r="C12" s="1961" t="s">
        <v>1632</v>
      </c>
      <c r="D12" s="1040">
        <f>结果表!H106</f>
        <v>0</v>
      </c>
      <c r="E12" s="1954"/>
    </row>
    <row r="13" spans="1:5" ht="15.75">
      <c r="A13" s="1954"/>
      <c r="B13" s="3030" t="str">
        <f>结果表!E107</f>
        <v>3.房地产抵押价值</v>
      </c>
      <c r="C13" s="1962" t="s">
        <v>1623</v>
      </c>
      <c r="D13" s="1041">
        <f ca="1">结果表!H107</f>
        <v>59487</v>
      </c>
      <c r="E13" s="1954"/>
    </row>
    <row r="14" spans="1:5" ht="15.75">
      <c r="A14" s="1954"/>
      <c r="B14" s="3031"/>
      <c r="C14" s="1957" t="s">
        <v>1624</v>
      </c>
      <c r="D14" s="1038" t="str">
        <f ca="1">NUMBERSTRING(INT(D13*10000),2)&amp;"元整"</f>
        <v>伍亿玖仟肆佰捌拾柒万元整</v>
      </c>
      <c r="E14" s="1954"/>
    </row>
    <row r="15" spans="1:5" ht="15">
      <c r="A15" s="1954"/>
      <c r="B15" s="3036"/>
      <c r="C15" s="1958" t="s">
        <v>1634</v>
      </c>
      <c r="D15" s="1050">
        <f ca="1">结果表!H108</f>
        <v>17411</v>
      </c>
      <c r="E15" s="1954"/>
    </row>
    <row r="16" spans="1:5" ht="15">
      <c r="A16" s="1954"/>
      <c r="B16" s="3037" t="str">
        <f>结果表!E109</f>
        <v>——</v>
      </c>
      <c r="C16" s="1962" t="s">
        <v>1635</v>
      </c>
      <c r="D16" s="1963" t="str">
        <f>结果表!H109</f>
        <v>——</v>
      </c>
      <c r="E16" s="1954"/>
    </row>
    <row r="17" spans="1:5" ht="15.75">
      <c r="A17" s="1954"/>
      <c r="B17" s="3038"/>
      <c r="C17" s="1957" t="s">
        <v>1636</v>
      </c>
      <c r="D17" s="1038" t="e">
        <f>NUMBERSTRING(INT(D16*10000),2)&amp;"元整"</f>
        <v>#VALUE!</v>
      </c>
      <c r="E17" s="1954"/>
    </row>
    <row r="18" spans="1:5" ht="15">
      <c r="A18" s="1954"/>
      <c r="B18" s="3039"/>
      <c r="C18" s="1958" t="s">
        <v>1625</v>
      </c>
      <c r="D18" s="1050" t="str">
        <f>结果表!H110</f>
        <v>——</v>
      </c>
      <c r="E18" s="1954"/>
    </row>
    <row r="19" spans="1:5" ht="15.75">
      <c r="A19" s="1954"/>
      <c r="B19" s="3030" t="str">
        <f>结果表!E111</f>
        <v>——</v>
      </c>
      <c r="C19" s="1962" t="s">
        <v>1623</v>
      </c>
      <c r="D19" s="1039" t="str">
        <f>结果表!H111</f>
        <v>——</v>
      </c>
      <c r="E19" s="1954"/>
    </row>
    <row r="20" spans="1:5" ht="15.75">
      <c r="A20" s="1954"/>
      <c r="B20" s="3031"/>
      <c r="C20" s="1957" t="s">
        <v>1636</v>
      </c>
      <c r="D20" s="1038" t="e">
        <f>NUMBERSTRING(INT(D19*10000),2)&amp;"元整"</f>
        <v>#VALUE!</v>
      </c>
      <c r="E20" s="1954"/>
    </row>
    <row r="21" spans="1:5" ht="15.75" thickBot="1">
      <c r="A21" s="1954"/>
      <c r="B21" s="3032"/>
      <c r="C21" s="1964" t="s">
        <v>1634</v>
      </c>
      <c r="D21" s="1051"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0"/>
  <sheetViews>
    <sheetView topLeftCell="A217" workbookViewId="0">
      <selection activeCell="O244" sqref="O244"/>
    </sheetView>
  </sheetViews>
  <sheetFormatPr defaultRowHeight="13.5"/>
  <sheetData>
    <row r="250" spans="2:2">
      <c r="B250" s="2966" t="s">
        <v>3823</v>
      </c>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8" sqref="F18"/>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2526</v>
      </c>
      <c r="B1" s="2557"/>
      <c r="C1" s="2557"/>
      <c r="D1" s="2557"/>
      <c r="E1" s="2558"/>
    </row>
    <row r="2" spans="1:6" ht="15.75">
      <c r="A2" s="2559" t="s">
        <v>2327</v>
      </c>
      <c r="B2" s="2560">
        <f ca="1">SUMIF(B6:B13,"&lt;&gt;#ref!",B6:B13)</f>
        <v>24749</v>
      </c>
      <c r="C2" s="2561" t="s">
        <v>2519</v>
      </c>
      <c r="D2" s="2562" t="s">
        <v>2520</v>
      </c>
      <c r="E2" s="2563">
        <f>SUM(E6:E13)</f>
        <v>21688.580000000016</v>
      </c>
    </row>
    <row r="3" spans="1:6" ht="15.75">
      <c r="A3" s="2559" t="s">
        <v>1395</v>
      </c>
      <c r="B3" s="2560">
        <f ca="1">ROUND(B2*10000/E2,0)</f>
        <v>11411</v>
      </c>
      <c r="C3" s="2561" t="s">
        <v>2527</v>
      </c>
      <c r="D3" s="2564"/>
      <c r="E3" s="2565"/>
    </row>
    <row r="4" spans="1:6" ht="15.75">
      <c r="A4" s="2566"/>
      <c r="B4" s="2564"/>
      <c r="C4" s="2564"/>
      <c r="D4" s="2564"/>
      <c r="E4" s="2565"/>
    </row>
    <row r="5" spans="1:6" ht="15">
      <c r="A5" s="2567" t="s">
        <v>2521</v>
      </c>
      <c r="B5" s="3332" t="s">
        <v>2522</v>
      </c>
      <c r="C5" s="3332"/>
      <c r="D5" s="2568"/>
      <c r="E5" s="2569" t="s">
        <v>2523</v>
      </c>
      <c r="F5" s="2570" t="s">
        <v>2524</v>
      </c>
    </row>
    <row r="6" spans="1:6">
      <c r="A6" s="2571" t="str">
        <f>'数据-取费表'!AN6</f>
        <v>收益法</v>
      </c>
      <c r="B6" s="2570">
        <f ca="1">IF(F6="是",'数据-取费表'!AO6,0)</f>
        <v>19627</v>
      </c>
      <c r="C6" s="2561" t="s">
        <v>2519</v>
      </c>
      <c r="D6" s="2564"/>
      <c r="E6" s="2572">
        <f>IF(OR(A6=0,F6="否"),0,'数据-取费表'!K6+'数据-取费表'!S6)</f>
        <v>4387.92</v>
      </c>
      <c r="F6" s="2573" t="s">
        <v>2525</v>
      </c>
    </row>
    <row r="7" spans="1:6">
      <c r="A7" s="2571">
        <f>'数据-取费表'!AN7</f>
        <v>0</v>
      </c>
      <c r="B7" s="2570" t="e">
        <f ca="1">IF(F7="是",'数据-取费表'!AO7,0)</f>
        <v>#REF!</v>
      </c>
      <c r="C7" s="2561" t="s">
        <v>2519</v>
      </c>
      <c r="D7" s="2564"/>
      <c r="E7" s="2572">
        <f>IF(OR(A7=0,F7="否"),0,'数据-取费表'!K7+'数据-取费表'!S7)</f>
        <v>0</v>
      </c>
      <c r="F7" s="2573" t="s">
        <v>2525</v>
      </c>
    </row>
    <row r="8" spans="1:6">
      <c r="A8" s="2571">
        <f>'数据-取费表'!AN8</f>
        <v>0</v>
      </c>
      <c r="B8" s="2570" t="e">
        <f ca="1">IF(F8="是",'数据-取费表'!AO8,0)</f>
        <v>#REF!</v>
      </c>
      <c r="C8" s="2561" t="s">
        <v>2519</v>
      </c>
      <c r="D8" s="2564"/>
      <c r="E8" s="2572">
        <f>IF(OR(A8=0,F8="否"),0,'数据-取费表'!K8+'数据-取费表'!S8)</f>
        <v>0</v>
      </c>
      <c r="F8" s="2573" t="s">
        <v>2525</v>
      </c>
    </row>
    <row r="9" spans="1:6">
      <c r="A9" s="2571">
        <f>'数据-取费表'!AN9</f>
        <v>0</v>
      </c>
      <c r="B9" s="2570" t="e">
        <f ca="1">IF(F9="是",'数据-取费表'!AO9,0)</f>
        <v>#REF!</v>
      </c>
      <c r="C9" s="2561" t="s">
        <v>2519</v>
      </c>
      <c r="D9" s="2564"/>
      <c r="E9" s="2572">
        <f>IF(OR(A9=0,F9="否"),0,'数据-取费表'!K9+'数据-取费表'!S9)</f>
        <v>0</v>
      </c>
      <c r="F9" s="2573" t="s">
        <v>2525</v>
      </c>
    </row>
    <row r="10" spans="1:6">
      <c r="A10" s="2571" t="str">
        <f>'数据-取费表'!AN10</f>
        <v>收益法 (地下车库)</v>
      </c>
      <c r="B10" s="2570">
        <f ca="1">IF(F10="是",'数据-取费表'!AO10,0)</f>
        <v>3571</v>
      </c>
      <c r="C10" s="2561" t="s">
        <v>2519</v>
      </c>
      <c r="D10" s="2564"/>
      <c r="E10" s="2572">
        <f>IF(OR(A10=0,F10="否"),0,'数据-取费表'!K10+'数据-取费表'!S10)</f>
        <v>15254.020000000017</v>
      </c>
      <c r="F10" s="2573" t="s">
        <v>2525</v>
      </c>
    </row>
    <row r="11" spans="1:6">
      <c r="A11" s="2571" t="str">
        <f>'数据-取费表'!AN11</f>
        <v>收益法 (库房)</v>
      </c>
      <c r="B11" s="2570">
        <f ca="1">IF(F11="是",'数据-取费表'!AO11,0)</f>
        <v>1551</v>
      </c>
      <c r="C11" s="2561" t="s">
        <v>2519</v>
      </c>
      <c r="D11" s="2564"/>
      <c r="E11" s="2572">
        <f>IF(OR(A11=0,F11="否"),0,'数据-取费表'!K11+'数据-取费表'!S11)</f>
        <v>2046.64</v>
      </c>
      <c r="F11" s="2573" t="s">
        <v>2525</v>
      </c>
    </row>
    <row r="12" spans="1:6">
      <c r="A12" s="2571">
        <f>'数据-取费表'!AN12</f>
        <v>0</v>
      </c>
      <c r="B12" s="2570" t="e">
        <f ca="1">IF(F12="是",'数据-取费表'!AO12,0)</f>
        <v>#REF!</v>
      </c>
      <c r="C12" s="2561" t="s">
        <v>2519</v>
      </c>
      <c r="D12" s="2564"/>
      <c r="E12" s="2572">
        <f>IF(OR(A12=0,F12="否"),0,'数据-取费表'!K12+'数据-取费表'!S12)</f>
        <v>0</v>
      </c>
      <c r="F12" s="2573" t="s">
        <v>2525</v>
      </c>
    </row>
    <row r="13" spans="1:6" ht="15" thickBot="1">
      <c r="A13" s="2574">
        <f>'数据-取费表'!AN13</f>
        <v>0</v>
      </c>
      <c r="B13" s="2570" t="e">
        <f ca="1">IF(F13="是",'数据-取费表'!AO13,0)</f>
        <v>#REF!</v>
      </c>
      <c r="C13" s="2575" t="s">
        <v>2519</v>
      </c>
      <c r="D13" s="2576"/>
      <c r="E13" s="2572">
        <f>IF(OR(A13=0,F13="否"),0,'数据-取费表'!K13+'数据-取费表'!S13)</f>
        <v>0</v>
      </c>
      <c r="F13" s="2573"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6" t="s">
        <v>2648</v>
      </c>
      <c r="AC4" s="3215" t="s">
        <v>2649</v>
      </c>
    </row>
    <row r="5" spans="1:30" ht="15">
      <c r="A5" s="404"/>
      <c r="B5" s="405"/>
      <c r="C5" s="3227" t="s">
        <v>2542</v>
      </c>
      <c r="D5" s="3228"/>
      <c r="E5" s="3315" t="s">
        <v>2543</v>
      </c>
      <c r="F5" s="3226"/>
      <c r="G5" s="3227" t="s">
        <v>2544</v>
      </c>
      <c r="H5" s="3228"/>
      <c r="I5" s="3227" t="s">
        <v>2545</v>
      </c>
      <c r="J5" s="3228"/>
      <c r="K5" s="610"/>
      <c r="L5" s="1126"/>
      <c r="M5" s="1127"/>
      <c r="N5" s="1127"/>
      <c r="O5" s="1127"/>
      <c r="P5" s="3241"/>
      <c r="Q5" s="3242"/>
      <c r="R5" s="3223"/>
      <c r="S5" s="3224"/>
      <c r="T5" s="3223"/>
      <c r="U5" s="3224"/>
      <c r="V5" s="3218"/>
      <c r="W5" s="3218"/>
      <c r="X5" s="1808"/>
      <c r="Y5" s="3223"/>
      <c r="Z5" s="3224"/>
      <c r="AA5" s="3216"/>
      <c r="AB5" s="3216"/>
      <c r="AC5" s="3216"/>
    </row>
    <row r="6" spans="1:30" ht="15.75" thickBot="1">
      <c r="A6" s="406"/>
      <c r="B6" s="407"/>
      <c r="C6" s="3229" t="s">
        <v>2546</v>
      </c>
      <c r="D6" s="3230"/>
      <c r="E6" s="3232" t="s">
        <v>2546</v>
      </c>
      <c r="F6" s="3233"/>
      <c r="G6" s="3229" t="s">
        <v>2546</v>
      </c>
      <c r="H6" s="3230"/>
      <c r="I6" s="3229" t="s">
        <v>2546</v>
      </c>
      <c r="J6" s="3230"/>
      <c r="K6" s="610" t="s">
        <v>2547</v>
      </c>
      <c r="L6" s="1126"/>
      <c r="M6" s="1127"/>
      <c r="N6" s="1127"/>
      <c r="O6" s="1127"/>
      <c r="P6" s="3243"/>
      <c r="Q6" s="3244"/>
      <c r="R6" s="3223"/>
      <c r="S6" s="3224"/>
      <c r="T6" s="3245"/>
      <c r="U6" s="3246"/>
      <c r="V6" s="3218"/>
      <c r="W6" s="3218"/>
      <c r="X6" s="1808"/>
      <c r="Y6" s="3245"/>
      <c r="Z6" s="3246"/>
      <c r="AA6" s="3217"/>
      <c r="AB6" s="3217"/>
      <c r="AC6" s="3217"/>
    </row>
    <row r="7" spans="1:30" s="117" customFormat="1" ht="15.75" thickBot="1">
      <c r="A7" s="408" t="s">
        <v>2548</v>
      </c>
      <c r="B7" s="409"/>
      <c r="C7" s="410">
        <f>'数据-取费表'!B2</f>
        <v>43342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19" t="s">
        <v>2549</v>
      </c>
      <c r="Q7" s="3247"/>
      <c r="R7" s="770" t="s">
        <v>17</v>
      </c>
      <c r="S7" s="771">
        <f t="shared" ref="S7:S15" si="0">F7</f>
        <v>0</v>
      </c>
      <c r="T7" s="770" t="s">
        <v>17</v>
      </c>
      <c r="U7" s="771">
        <f t="shared" ref="U7:U15" si="1">H7</f>
        <v>0</v>
      </c>
      <c r="V7" s="770" t="s">
        <v>17</v>
      </c>
      <c r="W7" s="771">
        <f t="shared" ref="W7:W15" si="2">J7</f>
        <v>0</v>
      </c>
      <c r="X7" s="772"/>
      <c r="Y7" s="3219" t="s">
        <v>2549</v>
      </c>
      <c r="Z7" s="3220"/>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19" t="s">
        <v>2552</v>
      </c>
      <c r="Q8" s="3220"/>
      <c r="R8" s="770" t="s">
        <v>17</v>
      </c>
      <c r="S8" s="771">
        <f t="shared" si="0"/>
        <v>0</v>
      </c>
      <c r="T8" s="770" t="s">
        <v>17</v>
      </c>
      <c r="U8" s="771">
        <f t="shared" si="1"/>
        <v>0</v>
      </c>
      <c r="V8" s="770" t="s">
        <v>17</v>
      </c>
      <c r="W8" s="771">
        <f t="shared" si="2"/>
        <v>0</v>
      </c>
      <c r="X8" s="772"/>
      <c r="Y8" s="3219" t="s">
        <v>2552</v>
      </c>
      <c r="Z8" s="3220"/>
      <c r="AA8" s="773" t="e">
        <f t="shared" ref="AA8:AA45" si="3">D8/F8</f>
        <v>#DIV/0!</v>
      </c>
      <c r="AB8" s="773" t="e">
        <f t="shared" ref="AB8:AB45" si="4">D8/H8</f>
        <v>#DIV/0!</v>
      </c>
      <c r="AC8" s="773" t="e">
        <f t="shared" ref="AC8:AC45" si="5">D8/J8</f>
        <v>#DIV/0!</v>
      </c>
    </row>
    <row r="9" spans="1:30" s="117" customFormat="1">
      <c r="A9" s="415" t="s">
        <v>2553</v>
      </c>
      <c r="B9" s="71" t="s">
        <v>2554</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57"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2"/>
      <c r="L10" s="1131"/>
      <c r="M10" s="1132"/>
      <c r="N10" s="1132"/>
      <c r="O10" s="1133"/>
      <c r="P10" s="3257"/>
      <c r="Q10" s="1790" t="str">
        <f t="shared" si="6"/>
        <v>土地使用年限（年）</v>
      </c>
      <c r="R10" s="770" t="s">
        <v>17</v>
      </c>
      <c r="S10" s="771">
        <f t="shared" si="0"/>
        <v>106</v>
      </c>
      <c r="T10" s="770" t="s">
        <v>17</v>
      </c>
      <c r="U10" s="771">
        <f t="shared" si="1"/>
        <v>106</v>
      </c>
      <c r="V10" s="770" t="s">
        <v>17</v>
      </c>
      <c r="W10" s="771">
        <f t="shared" si="2"/>
        <v>106</v>
      </c>
      <c r="X10" s="772"/>
      <c r="Y10" s="3095"/>
      <c r="Z10" s="55" t="str">
        <f t="shared" si="7"/>
        <v>土地使用年限（年）</v>
      </c>
      <c r="AA10" s="773">
        <f t="shared" si="3"/>
        <v>0.94339622641509435</v>
      </c>
      <c r="AB10" s="773">
        <f t="shared" si="4"/>
        <v>0.94339622641509435</v>
      </c>
      <c r="AC10" s="773">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57"/>
      <c r="Q11" s="1790"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57"/>
      <c r="Q12" s="1790" t="str">
        <f t="shared" si="6"/>
        <v>配建</v>
      </c>
      <c r="R12" s="770" t="s">
        <v>17</v>
      </c>
      <c r="S12" s="771">
        <f t="shared" si="0"/>
        <v>100</v>
      </c>
      <c r="T12" s="770" t="s">
        <v>17</v>
      </c>
      <c r="U12" s="771">
        <f t="shared" si="1"/>
        <v>100</v>
      </c>
      <c r="V12" s="770" t="s">
        <v>17</v>
      </c>
      <c r="W12" s="771">
        <f t="shared" si="2"/>
        <v>100</v>
      </c>
      <c r="X12" s="772"/>
      <c r="Y12" s="3095"/>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57"/>
      <c r="Q13" s="1790">
        <f t="shared" si="6"/>
        <v>111</v>
      </c>
      <c r="R13" s="770" t="s">
        <v>17</v>
      </c>
      <c r="S13" s="771">
        <f t="shared" si="0"/>
        <v>100</v>
      </c>
      <c r="T13" s="770" t="s">
        <v>17</v>
      </c>
      <c r="U13" s="771">
        <f t="shared" si="1"/>
        <v>100</v>
      </c>
      <c r="V13" s="770" t="s">
        <v>17</v>
      </c>
      <c r="W13" s="771">
        <f t="shared" si="2"/>
        <v>100</v>
      </c>
      <c r="X13" s="772"/>
      <c r="Y13" s="3095"/>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57"/>
      <c r="Q14" s="1790">
        <f t="shared" si="6"/>
        <v>111</v>
      </c>
      <c r="R14" s="770" t="s">
        <v>17</v>
      </c>
      <c r="S14" s="771">
        <f t="shared" si="0"/>
        <v>100</v>
      </c>
      <c r="T14" s="770" t="s">
        <v>17</v>
      </c>
      <c r="U14" s="771">
        <f t="shared" si="1"/>
        <v>100</v>
      </c>
      <c r="V14" s="770" t="s">
        <v>17</v>
      </c>
      <c r="W14" s="771">
        <f t="shared" si="2"/>
        <v>100</v>
      </c>
      <c r="X14" s="772"/>
      <c r="Y14" s="3095"/>
      <c r="Z14" s="55">
        <f t="shared" si="7"/>
        <v>111</v>
      </c>
      <c r="AA14" s="773">
        <f>D14/F14</f>
        <v>1</v>
      </c>
      <c r="AB14" s="773">
        <f>D14/H14</f>
        <v>1</v>
      </c>
      <c r="AC14" s="773">
        <f>D14/J14</f>
        <v>1</v>
      </c>
    </row>
    <row r="15" spans="1:30" ht="99.75">
      <c r="A15" s="440" t="s">
        <v>2559</v>
      </c>
      <c r="B15" s="69" t="s">
        <v>2085</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50" t="s">
        <v>2560</v>
      </c>
      <c r="Q15" s="1805" t="str">
        <f t="shared" si="6"/>
        <v>居住社区成熟度</v>
      </c>
      <c r="R15" s="774" t="s">
        <v>17</v>
      </c>
      <c r="S15" s="775">
        <f t="shared" si="0"/>
        <v>100</v>
      </c>
      <c r="T15" s="774" t="s">
        <v>17</v>
      </c>
      <c r="U15" s="775">
        <f t="shared" si="1"/>
        <v>100</v>
      </c>
      <c r="V15" s="774" t="s">
        <v>17</v>
      </c>
      <c r="W15" s="775">
        <f t="shared" si="2"/>
        <v>100</v>
      </c>
      <c r="X15" s="1808"/>
      <c r="Y15" s="3250" t="s">
        <v>2560</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2"/>
      <c r="L16" s="1136"/>
      <c r="M16" s="1127"/>
      <c r="N16" s="1127"/>
      <c r="O16" s="1135"/>
      <c r="P16" s="3251"/>
      <c r="Q16" s="1805"/>
      <c r="R16" s="774"/>
      <c r="S16" s="775"/>
      <c r="T16" s="774"/>
      <c r="U16" s="775"/>
      <c r="V16" s="774"/>
      <c r="W16" s="775"/>
      <c r="X16" s="1808"/>
      <c r="Y16" s="3251"/>
      <c r="Z16" s="1809"/>
      <c r="AA16" s="1806">
        <v>1</v>
      </c>
      <c r="AB16" s="1806">
        <v>1</v>
      </c>
      <c r="AC16" s="1806">
        <v>1</v>
      </c>
    </row>
    <row r="17" spans="1:29" ht="71.25">
      <c r="A17" s="428"/>
      <c r="B17" s="451" t="s">
        <v>2653</v>
      </c>
      <c r="C17" s="2659" t="str">
        <f>估价对象房地状况!C16</f>
        <v>估价对象位于丰台科技园，周边商业氛围一般，人流量一般，商业繁华度一般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51"/>
      <c r="Q17" s="1805" t="str">
        <f>B17</f>
        <v>商业繁华度</v>
      </c>
      <c r="R17" s="774" t="s">
        <v>17</v>
      </c>
      <c r="S17" s="775">
        <f>F17</f>
        <v>100</v>
      </c>
      <c r="T17" s="774" t="s">
        <v>17</v>
      </c>
      <c r="U17" s="775">
        <f>H17</f>
        <v>100</v>
      </c>
      <c r="V17" s="774" t="s">
        <v>17</v>
      </c>
      <c r="W17" s="775">
        <f>J17</f>
        <v>100</v>
      </c>
      <c r="X17" s="1808"/>
      <c r="Y17" s="3251"/>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2"/>
      <c r="L18" s="1136"/>
      <c r="M18" s="1127"/>
      <c r="N18" s="1127"/>
      <c r="O18" s="1135"/>
      <c r="P18" s="3251"/>
      <c r="Q18" s="1805"/>
      <c r="R18" s="774"/>
      <c r="S18" s="775"/>
      <c r="T18" s="774"/>
      <c r="U18" s="775"/>
      <c r="V18" s="774"/>
      <c r="W18" s="775"/>
      <c r="X18" s="1808"/>
      <c r="Y18" s="3251"/>
      <c r="Z18" s="1809"/>
      <c r="AA18" s="1806">
        <v>1</v>
      </c>
      <c r="AB18" s="1806">
        <v>1</v>
      </c>
      <c r="AC18" s="1806">
        <v>1</v>
      </c>
    </row>
    <row r="19" spans="1:29" ht="71.25">
      <c r="A19" s="428"/>
      <c r="B19" s="451" t="s">
        <v>2687</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51"/>
      <c r="Q19" s="1805" t="str">
        <f>B19</f>
        <v>办公集聚程度</v>
      </c>
      <c r="R19" s="774" t="s">
        <v>17</v>
      </c>
      <c r="S19" s="775">
        <f>F19</f>
        <v>100</v>
      </c>
      <c r="T19" s="774" t="s">
        <v>17</v>
      </c>
      <c r="U19" s="775">
        <f>H19</f>
        <v>100</v>
      </c>
      <c r="V19" s="774" t="s">
        <v>17</v>
      </c>
      <c r="W19" s="775">
        <f>J19</f>
        <v>100</v>
      </c>
      <c r="X19" s="1808"/>
      <c r="Y19" s="3251"/>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2"/>
      <c r="L20" s="1136"/>
      <c r="M20" s="1127"/>
      <c r="N20" s="1127"/>
      <c r="O20" s="1135"/>
      <c r="P20" s="3251"/>
      <c r="Q20" s="1805"/>
      <c r="R20" s="774"/>
      <c r="S20" s="775"/>
      <c r="T20" s="774"/>
      <c r="U20" s="775"/>
      <c r="V20" s="774"/>
      <c r="W20" s="775"/>
      <c r="X20" s="1808"/>
      <c r="Y20" s="3251"/>
      <c r="Z20" s="1809"/>
      <c r="AA20" s="1806">
        <v>1</v>
      </c>
      <c r="AB20" s="1806">
        <v>1</v>
      </c>
      <c r="AC20" s="1806">
        <v>1</v>
      </c>
    </row>
    <row r="21" spans="1:29" ht="99.75">
      <c r="A21" s="428"/>
      <c r="B21" s="451" t="s">
        <v>2709</v>
      </c>
      <c r="C21" s="2602"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51"/>
      <c r="Q21" s="1805" t="str">
        <f>B21</f>
        <v>交通便捷度</v>
      </c>
      <c r="R21" s="774" t="s">
        <v>17</v>
      </c>
      <c r="S21" s="775">
        <f>F21</f>
        <v>100</v>
      </c>
      <c r="T21" s="774" t="s">
        <v>17</v>
      </c>
      <c r="U21" s="775">
        <f>H21</f>
        <v>100</v>
      </c>
      <c r="V21" s="774" t="s">
        <v>17</v>
      </c>
      <c r="W21" s="775">
        <f>J21</f>
        <v>100</v>
      </c>
      <c r="X21" s="1808"/>
      <c r="Y21" s="3251"/>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2"/>
      <c r="L22" s="1136"/>
      <c r="M22" s="1127"/>
      <c r="N22" s="1127"/>
      <c r="O22" s="1135"/>
      <c r="P22" s="3251"/>
      <c r="Q22" s="1805"/>
      <c r="R22" s="774"/>
      <c r="S22" s="775"/>
      <c r="T22" s="774"/>
      <c r="U22" s="775"/>
      <c r="V22" s="774"/>
      <c r="W22" s="775"/>
      <c r="X22" s="1808"/>
      <c r="Y22" s="3251"/>
      <c r="Z22" s="1809"/>
      <c r="AA22" s="1806">
        <v>1</v>
      </c>
      <c r="AB22" s="1806">
        <v>1</v>
      </c>
      <c r="AC22" s="1806">
        <v>1</v>
      </c>
    </row>
    <row r="23" spans="1:29" ht="15">
      <c r="A23" s="404"/>
      <c r="B23" s="451" t="s">
        <v>2747</v>
      </c>
      <c r="C23" s="1385"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51"/>
      <c r="Q23" s="1805" t="str">
        <f t="shared" ref="Q23:Q37" si="8">B23</f>
        <v>区域土地利用方向</v>
      </c>
      <c r="R23" s="774" t="s">
        <v>17</v>
      </c>
      <c r="S23" s="775">
        <f>F23</f>
        <v>100</v>
      </c>
      <c r="T23" s="774" t="s">
        <v>17</v>
      </c>
      <c r="U23" s="775">
        <f>H23</f>
        <v>100</v>
      </c>
      <c r="V23" s="774" t="s">
        <v>17</v>
      </c>
      <c r="W23" s="775">
        <f>J23</f>
        <v>100</v>
      </c>
      <c r="X23" s="1808"/>
      <c r="Y23" s="3251"/>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8"/>
      <c r="L24" s="1136"/>
      <c r="M24" s="1127"/>
      <c r="N24" s="1127"/>
      <c r="O24" s="1135"/>
      <c r="P24" s="3251"/>
      <c r="Q24" s="1805"/>
      <c r="R24" s="774"/>
      <c r="S24" s="775"/>
      <c r="T24" s="774"/>
      <c r="U24" s="775"/>
      <c r="V24" s="774"/>
      <c r="W24" s="775"/>
      <c r="X24" s="1808"/>
      <c r="Y24" s="3251"/>
      <c r="Z24" s="1809"/>
      <c r="AA24" s="1806"/>
      <c r="AB24" s="1806"/>
      <c r="AC24" s="1806"/>
    </row>
    <row r="25" spans="1:29" ht="57">
      <c r="A25" s="404"/>
      <c r="B25" s="1380" t="s">
        <v>2748</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51"/>
      <c r="Q25" s="1805" t="str">
        <f t="shared" si="8"/>
        <v>自然及人文环境状况</v>
      </c>
      <c r="R25" s="774" t="s">
        <v>17</v>
      </c>
      <c r="S25" s="775">
        <f>F25</f>
        <v>100</v>
      </c>
      <c r="T25" s="774" t="s">
        <v>17</v>
      </c>
      <c r="U25" s="775">
        <f>H25</f>
        <v>100</v>
      </c>
      <c r="V25" s="774" t="s">
        <v>17</v>
      </c>
      <c r="W25" s="775">
        <f>J25</f>
        <v>100</v>
      </c>
      <c r="X25" s="1808"/>
      <c r="Y25" s="3251"/>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2"/>
      <c r="L26" s="1136"/>
      <c r="M26" s="1127"/>
      <c r="N26" s="1127"/>
      <c r="O26" s="1135"/>
      <c r="P26" s="3251"/>
      <c r="Q26" s="1805"/>
      <c r="R26" s="774"/>
      <c r="S26" s="775"/>
      <c r="T26" s="774"/>
      <c r="U26" s="775"/>
      <c r="V26" s="774"/>
      <c r="W26" s="775"/>
      <c r="X26" s="1808"/>
      <c r="Y26" s="3251"/>
      <c r="Z26" s="1809"/>
      <c r="AA26" s="1806">
        <v>1</v>
      </c>
      <c r="AB26" s="1806">
        <v>1</v>
      </c>
      <c r="AC26" s="1806">
        <v>1</v>
      </c>
    </row>
    <row r="27" spans="1:29" s="117" customFormat="1" ht="42.75">
      <c r="A27" s="649"/>
      <c r="B27" s="1380" t="s">
        <v>2654</v>
      </c>
      <c r="C27" s="2602"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51"/>
      <c r="Q27" s="1790" t="str">
        <f t="shared" si="8"/>
        <v>公共配套设施</v>
      </c>
      <c r="R27" s="770" t="s">
        <v>17</v>
      </c>
      <c r="S27" s="771">
        <f>F27</f>
        <v>100</v>
      </c>
      <c r="T27" s="770" t="s">
        <v>17</v>
      </c>
      <c r="U27" s="771">
        <f>H27</f>
        <v>100</v>
      </c>
      <c r="V27" s="770" t="s">
        <v>17</v>
      </c>
      <c r="W27" s="771">
        <f>J27</f>
        <v>100</v>
      </c>
      <c r="X27" s="772"/>
      <c r="Y27" s="3251"/>
      <c r="Z27" s="55" t="str">
        <f>Q27</f>
        <v>公共配套设施</v>
      </c>
      <c r="AA27" s="1806">
        <f>D27/F27</f>
        <v>1</v>
      </c>
      <c r="AB27" s="1806">
        <f>D27/H27</f>
        <v>1</v>
      </c>
      <c r="AC27" s="1806">
        <f>D27/J27</f>
        <v>1</v>
      </c>
    </row>
    <row r="28" spans="1:29" s="117" customFormat="1" ht="15">
      <c r="A28" s="649"/>
      <c r="B28" s="456"/>
      <c r="C28" s="2695"/>
      <c r="D28" s="448"/>
      <c r="E28" s="2606"/>
      <c r="F28" s="448"/>
      <c r="G28" s="2606"/>
      <c r="H28" s="448"/>
      <c r="I28" s="447"/>
      <c r="J28" s="448"/>
      <c r="K28" s="672"/>
      <c r="L28" s="1128"/>
      <c r="M28" s="1129"/>
      <c r="N28" s="1129"/>
      <c r="O28" s="1130"/>
      <c r="P28" s="3251"/>
      <c r="Q28" s="1790"/>
      <c r="R28" s="770"/>
      <c r="S28" s="771"/>
      <c r="T28" s="770"/>
      <c r="U28" s="771"/>
      <c r="V28" s="770"/>
      <c r="W28" s="771"/>
      <c r="X28" s="772"/>
      <c r="Y28" s="3251"/>
      <c r="Z28" s="55"/>
      <c r="AA28" s="1806">
        <v>1</v>
      </c>
      <c r="AB28" s="1806">
        <v>1</v>
      </c>
      <c r="AC28" s="1806">
        <v>1</v>
      </c>
    </row>
    <row r="29" spans="1:29" s="117" customFormat="1" ht="28.5">
      <c r="A29" s="649"/>
      <c r="B29" s="1380" t="s">
        <v>2655</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51"/>
      <c r="Q29" s="1790" t="str">
        <f t="shared" ref="Q29" si="9">B29</f>
        <v>基础设施水平</v>
      </c>
      <c r="R29" s="770" t="s">
        <v>17</v>
      </c>
      <c r="S29" s="771">
        <f>F29</f>
        <v>100</v>
      </c>
      <c r="T29" s="770" t="s">
        <v>17</v>
      </c>
      <c r="U29" s="771">
        <f>H29</f>
        <v>100</v>
      </c>
      <c r="V29" s="770" t="s">
        <v>17</v>
      </c>
      <c r="W29" s="771">
        <f>J29</f>
        <v>100</v>
      </c>
      <c r="X29" s="772"/>
      <c r="Y29" s="3251"/>
      <c r="Z29" s="55" t="str">
        <f>Q29</f>
        <v>基础设施水平</v>
      </c>
      <c r="AA29" s="1806">
        <f>D29/F29</f>
        <v>1</v>
      </c>
      <c r="AB29" s="1806">
        <f>D29/H29</f>
        <v>1</v>
      </c>
      <c r="AC29" s="1806">
        <f>D29/J29</f>
        <v>1</v>
      </c>
    </row>
    <row r="30" spans="1:29" s="117" customFormat="1" ht="15">
      <c r="A30" s="649"/>
      <c r="B30" s="456"/>
      <c r="C30" s="2695"/>
      <c r="D30" s="448"/>
      <c r="E30" s="2696"/>
      <c r="F30" s="448"/>
      <c r="G30" s="2696"/>
      <c r="H30" s="448"/>
      <c r="I30" s="2696"/>
      <c r="J30" s="448"/>
      <c r="K30" s="672"/>
      <c r="L30" s="1128"/>
      <c r="M30" s="1129"/>
      <c r="N30" s="1129"/>
      <c r="O30" s="1130"/>
      <c r="P30" s="3251"/>
      <c r="Q30" s="1790"/>
      <c r="R30" s="770"/>
      <c r="S30" s="771"/>
      <c r="T30" s="770"/>
      <c r="U30" s="771"/>
      <c r="V30" s="770"/>
      <c r="W30" s="771"/>
      <c r="X30" s="772"/>
      <c r="Y30" s="3251"/>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51"/>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51"/>
      <c r="Z31" s="1809" t="str">
        <f t="shared" ref="Z31:Z45" si="13">Q31</f>
        <v>临街状况</v>
      </c>
      <c r="AA31" s="1806">
        <f t="shared" si="3"/>
        <v>1</v>
      </c>
      <c r="AB31" s="1806">
        <f t="shared" si="4"/>
        <v>1</v>
      </c>
      <c r="AC31" s="1806">
        <f t="shared" si="5"/>
        <v>1</v>
      </c>
    </row>
    <row r="32" spans="1:29" ht="27">
      <c r="A32" s="428"/>
      <c r="B32" s="1380"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51"/>
      <c r="Q32" s="1805" t="str">
        <f t="shared" si="8"/>
        <v>毗邻道路的类型与等级</v>
      </c>
      <c r="R32" s="774" t="s">
        <v>17</v>
      </c>
      <c r="S32" s="775">
        <f t="shared" si="10"/>
        <v>100</v>
      </c>
      <c r="T32" s="774" t="s">
        <v>17</v>
      </c>
      <c r="U32" s="775">
        <f t="shared" si="11"/>
        <v>100</v>
      </c>
      <c r="V32" s="774" t="s">
        <v>17</v>
      </c>
      <c r="W32" s="775">
        <f t="shared" si="12"/>
        <v>100</v>
      </c>
      <c r="X32" s="1808"/>
      <c r="Y32" s="3251"/>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6"/>
      <c r="M33" s="1127"/>
      <c r="N33" s="1127"/>
      <c r="O33" s="1135"/>
      <c r="P33" s="3251"/>
      <c r="Q33" s="1805"/>
      <c r="R33" s="774"/>
      <c r="S33" s="775"/>
      <c r="T33" s="774"/>
      <c r="U33" s="775"/>
      <c r="V33" s="774"/>
      <c r="W33" s="775"/>
      <c r="X33" s="1808"/>
      <c r="Y33" s="3251"/>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51"/>
      <c r="Q34" s="1805" t="str">
        <f t="shared" si="8"/>
        <v>土地级别</v>
      </c>
      <c r="R34" s="774" t="s">
        <v>17</v>
      </c>
      <c r="S34" s="775">
        <f t="shared" si="10"/>
        <v>100</v>
      </c>
      <c r="T34" s="774" t="s">
        <v>17</v>
      </c>
      <c r="U34" s="775">
        <f t="shared" si="11"/>
        <v>100</v>
      </c>
      <c r="V34" s="774" t="s">
        <v>17</v>
      </c>
      <c r="W34" s="775">
        <f t="shared" si="12"/>
        <v>100</v>
      </c>
      <c r="X34" s="1808"/>
      <c r="Y34" s="3251"/>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51"/>
      <c r="Q35" s="1805">
        <f t="shared" si="8"/>
        <v>111</v>
      </c>
      <c r="R35" s="774" t="s">
        <v>17</v>
      </c>
      <c r="S35" s="775">
        <f t="shared" si="10"/>
        <v>100</v>
      </c>
      <c r="T35" s="774" t="s">
        <v>17</v>
      </c>
      <c r="U35" s="775">
        <f t="shared" si="11"/>
        <v>100</v>
      </c>
      <c r="V35" s="774" t="s">
        <v>17</v>
      </c>
      <c r="W35" s="775">
        <f t="shared" si="12"/>
        <v>100</v>
      </c>
      <c r="X35" s="1808"/>
      <c r="Y35" s="3251"/>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31" t="s">
        <v>2565</v>
      </c>
      <c r="Q36" s="1805">
        <f t="shared" si="8"/>
        <v>111</v>
      </c>
      <c r="R36" s="774" t="s">
        <v>17</v>
      </c>
      <c r="S36" s="775">
        <f t="shared" si="10"/>
        <v>100</v>
      </c>
      <c r="T36" s="774" t="s">
        <v>17</v>
      </c>
      <c r="U36" s="775">
        <f t="shared" si="11"/>
        <v>100</v>
      </c>
      <c r="V36" s="774" t="s">
        <v>17</v>
      </c>
      <c r="W36" s="775">
        <f t="shared" si="12"/>
        <v>100</v>
      </c>
      <c r="X36" s="1808"/>
      <c r="Y36" s="3255" t="s">
        <v>2565</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55"/>
      <c r="Q37" s="1805">
        <f t="shared" si="8"/>
        <v>111</v>
      </c>
      <c r="R37" s="777" t="s">
        <v>17</v>
      </c>
      <c r="S37" s="778">
        <f t="shared" si="10"/>
        <v>100</v>
      </c>
      <c r="T37" s="777" t="s">
        <v>17</v>
      </c>
      <c r="U37" s="778">
        <f t="shared" si="11"/>
        <v>100</v>
      </c>
      <c r="V37" s="777" t="s">
        <v>17</v>
      </c>
      <c r="W37" s="778">
        <f t="shared" si="12"/>
        <v>100</v>
      </c>
      <c r="X37" s="779"/>
      <c r="Y37" s="3255"/>
      <c r="Z37" s="780">
        <f t="shared" si="13"/>
        <v>111</v>
      </c>
      <c r="AA37" s="1806">
        <f t="shared" si="3"/>
        <v>1</v>
      </c>
      <c r="AB37" s="1806">
        <f t="shared" si="4"/>
        <v>1</v>
      </c>
      <c r="AC37" s="1806">
        <f t="shared" si="5"/>
        <v>1</v>
      </c>
    </row>
    <row r="38" spans="1:29" ht="15">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55"/>
      <c r="Q38" s="1805" t="str">
        <f>B38</f>
        <v>宗地面积</v>
      </c>
      <c r="R38" s="774" t="s">
        <v>17</v>
      </c>
      <c r="S38" s="775" t="e">
        <f t="shared" si="10"/>
        <v>#N/A</v>
      </c>
      <c r="T38" s="774" t="s">
        <v>17</v>
      </c>
      <c r="U38" s="775" t="e">
        <f t="shared" si="11"/>
        <v>#N/A</v>
      </c>
      <c r="V38" s="774" t="s">
        <v>17</v>
      </c>
      <c r="W38" s="775" t="e">
        <f t="shared" si="12"/>
        <v>#N/A</v>
      </c>
      <c r="X38" s="1808"/>
      <c r="Y38" s="3255"/>
      <c r="Z38" s="1809" t="str">
        <f t="shared" si="13"/>
        <v>宗地面积</v>
      </c>
      <c r="AA38" s="1806" t="e">
        <f t="shared" si="3"/>
        <v>#N/A</v>
      </c>
      <c r="AB38" s="1806" t="e">
        <f t="shared" si="4"/>
        <v>#N/A</v>
      </c>
      <c r="AC38" s="1806"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55"/>
      <c r="Q39" s="1805" t="str">
        <f t="shared" ref="Q39:Q45" si="14">B39</f>
        <v>宗地形状</v>
      </c>
      <c r="R39" s="774" t="s">
        <v>17</v>
      </c>
      <c r="S39" s="775">
        <f t="shared" si="10"/>
        <v>100</v>
      </c>
      <c r="T39" s="774" t="s">
        <v>17</v>
      </c>
      <c r="U39" s="775">
        <f t="shared" si="11"/>
        <v>100</v>
      </c>
      <c r="V39" s="774" t="s">
        <v>17</v>
      </c>
      <c r="W39" s="775">
        <f t="shared" si="12"/>
        <v>100</v>
      </c>
      <c r="X39" s="1808"/>
      <c r="Y39" s="3255"/>
      <c r="Z39" s="1809" t="str">
        <f t="shared" si="13"/>
        <v>宗地形状</v>
      </c>
      <c r="AA39" s="1806">
        <f t="shared" si="3"/>
        <v>1</v>
      </c>
      <c r="AB39" s="1806">
        <f t="shared" si="4"/>
        <v>1</v>
      </c>
      <c r="AC39" s="1806">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55"/>
      <c r="Q40" s="1805" t="str">
        <f t="shared" si="14"/>
        <v>临街宽度及深度</v>
      </c>
      <c r="R40" s="774" t="s">
        <v>17</v>
      </c>
      <c r="S40" s="775">
        <f t="shared" si="10"/>
        <v>100</v>
      </c>
      <c r="T40" s="774" t="s">
        <v>17</v>
      </c>
      <c r="U40" s="775">
        <f t="shared" si="11"/>
        <v>100</v>
      </c>
      <c r="V40" s="774" t="s">
        <v>17</v>
      </c>
      <c r="W40" s="775">
        <f t="shared" si="12"/>
        <v>100</v>
      </c>
      <c r="X40" s="1808"/>
      <c r="Y40" s="3255"/>
      <c r="Z40" s="1809" t="str">
        <f t="shared" si="13"/>
        <v>临街宽度及深度</v>
      </c>
      <c r="AA40" s="1806">
        <f t="shared" si="3"/>
        <v>1</v>
      </c>
      <c r="AB40" s="1806">
        <f t="shared" si="4"/>
        <v>1</v>
      </c>
      <c r="AC40" s="1806">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55"/>
      <c r="Q41" s="1805" t="str">
        <f t="shared" si="14"/>
        <v>宗地开发程度</v>
      </c>
      <c r="R41" s="770" t="s">
        <v>17</v>
      </c>
      <c r="S41" s="771">
        <f t="shared" si="10"/>
        <v>100</v>
      </c>
      <c r="T41" s="770" t="s">
        <v>17</v>
      </c>
      <c r="U41" s="771">
        <f t="shared" si="11"/>
        <v>100</v>
      </c>
      <c r="V41" s="770" t="s">
        <v>17</v>
      </c>
      <c r="W41" s="771">
        <f t="shared" si="12"/>
        <v>100</v>
      </c>
      <c r="X41" s="772"/>
      <c r="Y41" s="3255"/>
      <c r="Z41" s="55" t="str">
        <f t="shared" si="13"/>
        <v>宗地开发程度</v>
      </c>
      <c r="AA41" s="773">
        <f t="shared" si="3"/>
        <v>1</v>
      </c>
      <c r="AB41" s="773">
        <f t="shared" si="4"/>
        <v>1</v>
      </c>
      <c r="AC41" s="773">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55" t="s">
        <v>2565</v>
      </c>
      <c r="Q42" s="1805" t="str">
        <f t="shared" si="14"/>
        <v>工程地质条件</v>
      </c>
      <c r="R42" s="774" t="s">
        <v>17</v>
      </c>
      <c r="S42" s="775">
        <f t="shared" si="10"/>
        <v>100</v>
      </c>
      <c r="T42" s="774" t="s">
        <v>17</v>
      </c>
      <c r="U42" s="775">
        <f t="shared" si="11"/>
        <v>100</v>
      </c>
      <c r="V42" s="774" t="s">
        <v>17</v>
      </c>
      <c r="W42" s="775">
        <f t="shared" si="12"/>
        <v>100</v>
      </c>
      <c r="X42" s="1808"/>
      <c r="Y42" s="3255" t="s">
        <v>2565</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55"/>
      <c r="Q43" s="1805">
        <f t="shared" si="14"/>
        <v>111</v>
      </c>
      <c r="R43" s="774" t="s">
        <v>17</v>
      </c>
      <c r="S43" s="775">
        <f t="shared" si="10"/>
        <v>100</v>
      </c>
      <c r="T43" s="774" t="s">
        <v>17</v>
      </c>
      <c r="U43" s="775">
        <f t="shared" si="11"/>
        <v>100</v>
      </c>
      <c r="V43" s="774" t="s">
        <v>17</v>
      </c>
      <c r="W43" s="775">
        <f t="shared" si="12"/>
        <v>100</v>
      </c>
      <c r="X43" s="1808"/>
      <c r="Y43" s="3255"/>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55"/>
      <c r="Q44" s="1805">
        <f t="shared" si="14"/>
        <v>111</v>
      </c>
      <c r="R44" s="774" t="s">
        <v>17</v>
      </c>
      <c r="S44" s="775">
        <f t="shared" si="10"/>
        <v>100</v>
      </c>
      <c r="T44" s="774" t="s">
        <v>17</v>
      </c>
      <c r="U44" s="775">
        <f t="shared" si="11"/>
        <v>100</v>
      </c>
      <c r="V44" s="774" t="s">
        <v>17</v>
      </c>
      <c r="W44" s="775">
        <f t="shared" si="12"/>
        <v>100</v>
      </c>
      <c r="X44" s="1808"/>
      <c r="Y44" s="3255"/>
      <c r="Z44" s="1809">
        <f t="shared" si="13"/>
        <v>111</v>
      </c>
      <c r="AA44" s="1806">
        <f t="shared" si="3"/>
        <v>1</v>
      </c>
      <c r="AB44" s="1806">
        <f t="shared" si="4"/>
        <v>1</v>
      </c>
      <c r="AC44" s="1806">
        <f t="shared" si="5"/>
        <v>1</v>
      </c>
    </row>
    <row r="45" spans="1:29" s="471" customFormat="1" ht="15.75"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55"/>
      <c r="Q45" s="1805">
        <f t="shared" si="14"/>
        <v>111</v>
      </c>
      <c r="R45" s="777" t="s">
        <v>17</v>
      </c>
      <c r="S45" s="778">
        <f t="shared" si="10"/>
        <v>100</v>
      </c>
      <c r="T45" s="777" t="s">
        <v>17</v>
      </c>
      <c r="U45" s="778">
        <f t="shared" si="11"/>
        <v>100</v>
      </c>
      <c r="V45" s="777" t="s">
        <v>17</v>
      </c>
      <c r="W45" s="778">
        <f t="shared" si="12"/>
        <v>100</v>
      </c>
      <c r="X45" s="779"/>
      <c r="Y45" s="3255"/>
      <c r="Z45" s="780">
        <f t="shared" si="13"/>
        <v>111</v>
      </c>
      <c r="AA45" s="1806">
        <f t="shared" si="3"/>
        <v>1</v>
      </c>
      <c r="AB45" s="1806">
        <f t="shared" si="4"/>
        <v>1</v>
      </c>
      <c r="AC45" s="1806">
        <f t="shared" si="5"/>
        <v>1</v>
      </c>
    </row>
    <row r="46" spans="1:29" ht="15">
      <c r="A46" s="479" t="s">
        <v>2720</v>
      </c>
      <c r="B46" s="2699" t="s">
        <v>2755</v>
      </c>
      <c r="C46" s="682" t="s">
        <v>1</v>
      </c>
      <c r="D46" s="481"/>
      <c r="E46" s="482"/>
      <c r="F46" s="483"/>
      <c r="G46" s="484"/>
      <c r="H46" s="485"/>
      <c r="I46" s="482"/>
      <c r="J46" s="485"/>
      <c r="K46" s="783"/>
      <c r="L46" s="1139"/>
      <c r="M46" s="1140"/>
      <c r="N46" s="1127"/>
      <c r="O46" s="1140"/>
      <c r="P46" s="3257" t="str">
        <f>A46</f>
        <v>成交单价</v>
      </c>
      <c r="Q46" s="3257"/>
      <c r="R46" s="3218">
        <f>E46</f>
        <v>0</v>
      </c>
      <c r="S46" s="3218"/>
      <c r="T46" s="3218">
        <f>G46</f>
        <v>0</v>
      </c>
      <c r="U46" s="3218"/>
      <c r="V46" s="3218">
        <f>I46</f>
        <v>0</v>
      </c>
      <c r="W46" s="321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39"/>
      <c r="M47" s="1140"/>
      <c r="N47" s="1140"/>
      <c r="O47" s="1140"/>
      <c r="P47" s="3257" t="str">
        <f>A47</f>
        <v>比较价值（元/平方米）</v>
      </c>
      <c r="Q47" s="3257"/>
      <c r="R47" s="3333" t="e">
        <f>ROUND(PRODUCT(R46,AA7:AA45),0)</f>
        <v>#DIV/0!</v>
      </c>
      <c r="S47" s="3333"/>
      <c r="T47" s="3333" t="e">
        <f>ROUND(PRODUCT(T46,AB7:AB45),0)</f>
        <v>#DIV/0!</v>
      </c>
      <c r="U47" s="3333"/>
      <c r="V47" s="3333" t="e">
        <f>ROUND(PRODUCT(V46,AC7:AC45),0)</f>
        <v>#DIV/0!</v>
      </c>
      <c r="W47" s="3333"/>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39"/>
      <c r="M48" s="1140"/>
      <c r="N48" s="1140"/>
      <c r="O48" s="1140"/>
      <c r="P48" s="3259" t="str">
        <f>A48</f>
        <v>估价对象XX用房的比较价值（楼面单价，元/平方米）</v>
      </c>
      <c r="Q48" s="3260"/>
      <c r="R48" s="3334" t="e">
        <f>ROUND(AVERAGE(R47:V47),0)</f>
        <v>#DIV/0!</v>
      </c>
      <c r="S48" s="3334"/>
      <c r="T48" s="3334"/>
      <c r="U48" s="3334"/>
      <c r="V48" s="3334"/>
      <c r="W48" s="3334"/>
      <c r="X48" s="759"/>
      <c r="Y48" s="759"/>
      <c r="Z48" s="759"/>
      <c r="AA48" s="759"/>
      <c r="AB48" s="759"/>
      <c r="AC48" s="759"/>
    </row>
    <row r="49" spans="1:15">
      <c r="A49" s="1140"/>
      <c r="B49" s="1140"/>
      <c r="C49" s="1140"/>
      <c r="D49" s="1140"/>
      <c r="E49" s="1140"/>
      <c r="F49" s="1140"/>
      <c r="G49" s="1143"/>
      <c r="H49" s="1140"/>
      <c r="I49" s="1140"/>
      <c r="J49" s="1140"/>
      <c r="K49" s="1103"/>
      <c r="L49" s="1104"/>
      <c r="M49" s="1140"/>
      <c r="N49" s="1140"/>
      <c r="O49" s="1140"/>
    </row>
    <row r="50" spans="1:15">
      <c r="A50" s="1140"/>
      <c r="B50" s="1140"/>
      <c r="C50" s="1140"/>
      <c r="D50" s="1140"/>
      <c r="E50" s="1140"/>
      <c r="F50" s="1140"/>
      <c r="G50" s="1140"/>
      <c r="H50" s="1140"/>
      <c r="I50" s="1140"/>
      <c r="J50" s="1140"/>
      <c r="K50" s="1103"/>
      <c r="L50" s="1104"/>
      <c r="M50" s="1140"/>
      <c r="N50" s="1140"/>
      <c r="O50" s="1140"/>
    </row>
    <row r="51" spans="1:15" ht="13.5" customHeight="1">
      <c r="A51" s="1140"/>
      <c r="B51" s="1140"/>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0"/>
      <c r="N51" s="1140"/>
      <c r="O51" s="1140"/>
    </row>
    <row r="52" spans="1:15" ht="13.5" customHeight="1">
      <c r="A52" s="1140"/>
      <c r="B52" s="1140"/>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0"/>
      <c r="N52" s="1140"/>
      <c r="O52" s="1140"/>
    </row>
    <row r="53" spans="1:15" s="502" customFormat="1" ht="13.5" customHeight="1">
      <c r="A53" s="1141"/>
      <c r="B53" s="1141"/>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2757</v>
      </c>
      <c r="B55" s="685" t="s">
        <v>2758</v>
      </c>
      <c r="C55" s="2700" t="s">
        <v>2759</v>
      </c>
      <c r="D55" s="2701" t="s">
        <v>2760</v>
      </c>
      <c r="E55" s="686" t="s">
        <v>2761</v>
      </c>
      <c r="F55" s="1105" t="s">
        <v>2762</v>
      </c>
      <c r="G55" s="3235" t="s">
        <v>2763</v>
      </c>
      <c r="H55" s="3335"/>
      <c r="I55" s="144" t="s">
        <v>2764</v>
      </c>
      <c r="J55" s="2702">
        <f>项目基本情况!F35</f>
        <v>0</v>
      </c>
      <c r="K55" s="2703" t="s">
        <v>2765</v>
      </c>
      <c r="L55" s="1104"/>
      <c r="M55" s="1140"/>
      <c r="N55" s="1140"/>
      <c r="O55" s="1140"/>
    </row>
    <row r="56" spans="1:15" s="692" customFormat="1">
      <c r="A56" s="688" t="s">
        <v>2766</v>
      </c>
      <c r="B56" s="689" t="e">
        <f>C48</f>
        <v>#DIV/0!</v>
      </c>
      <c r="C56" s="690">
        <v>1</v>
      </c>
      <c r="D56" s="1159">
        <v>1</v>
      </c>
      <c r="E56" s="690">
        <f>'数据-汇总表'!E8+'数据-汇总表'!E9</f>
        <v>10514.43</v>
      </c>
      <c r="F56" s="1101" t="e">
        <f t="shared" ref="F56:F65" si="15">ROUND(B56*E56/10000,0)</f>
        <v>#DIV/0!</v>
      </c>
      <c r="G56" s="3234"/>
      <c r="H56" s="3257"/>
      <c r="I56" s="1106">
        <v>1</v>
      </c>
      <c r="J56" s="1109">
        <v>1</v>
      </c>
      <c r="K56" s="1141"/>
      <c r="L56" s="939"/>
      <c r="M56" s="939"/>
      <c r="N56" s="939"/>
      <c r="O56" s="939"/>
    </row>
    <row r="57" spans="1:15" s="692" customFormat="1">
      <c r="A57" s="693" t="s">
        <v>2767</v>
      </c>
      <c r="B57" s="262" t="e">
        <f>ROUND($C$48*C57*D57,0)</f>
        <v>#DIV/0!</v>
      </c>
      <c r="C57" s="200">
        <f t="shared" ref="C57:C65" si="16">IF($C$55="北京市系数",I57,J57)</f>
        <v>0.7</v>
      </c>
      <c r="D57" s="1160">
        <v>0.25</v>
      </c>
      <c r="E57" s="694"/>
      <c r="F57" s="1101" t="e">
        <f t="shared" si="15"/>
        <v>#DIV/0!</v>
      </c>
      <c r="G57" s="3336" t="s">
        <v>2768</v>
      </c>
      <c r="H57" s="1102" t="str">
        <f>项目基本情况!B37</f>
        <v>五级</v>
      </c>
      <c r="I57" s="1106">
        <f>SUMIF(修正!A45:A56,H57,修正!B45:B56)</f>
        <v>0.7</v>
      </c>
      <c r="J57" s="1110"/>
      <c r="K57" s="1140"/>
      <c r="L57" s="939"/>
      <c r="M57" s="939"/>
      <c r="N57" s="939"/>
      <c r="O57" s="939"/>
    </row>
    <row r="58" spans="1:15" s="692" customFormat="1">
      <c r="A58" s="693" t="s">
        <v>2769</v>
      </c>
      <c r="B58" s="262" t="e">
        <f t="shared" ref="B58:B65" si="17">ROUND($C$48*C58*D58,0)</f>
        <v>#DIV/0!</v>
      </c>
      <c r="C58" s="200">
        <f t="shared" si="16"/>
        <v>0.4</v>
      </c>
      <c r="D58" s="1160">
        <v>0.25</v>
      </c>
      <c r="E58" s="694"/>
      <c r="F58" s="1101" t="e">
        <f t="shared" si="15"/>
        <v>#DIV/0!</v>
      </c>
      <c r="G58" s="3336"/>
      <c r="H58" s="1102" t="str">
        <f>项目基本情况!B37</f>
        <v>五级</v>
      </c>
      <c r="I58" s="1106">
        <f>SUMIF(修正!A45:A56,H58,修正!C45:C56)</f>
        <v>0.4</v>
      </c>
      <c r="J58" s="1110"/>
      <c r="K58" s="1141"/>
      <c r="L58" s="939"/>
      <c r="M58" s="939"/>
      <c r="N58" s="939"/>
      <c r="O58" s="939"/>
    </row>
    <row r="59" spans="1:15" s="692" customFormat="1">
      <c r="A59" s="693" t="s">
        <v>2770</v>
      </c>
      <c r="B59" s="262" t="e">
        <f t="shared" si="17"/>
        <v>#DIV/0!</v>
      </c>
      <c r="C59" s="200">
        <f t="shared" si="16"/>
        <v>0.28000000000000003</v>
      </c>
      <c r="D59" s="1160">
        <v>0.25</v>
      </c>
      <c r="E59" s="694"/>
      <c r="F59" s="1101" t="e">
        <f t="shared" si="15"/>
        <v>#DIV/0!</v>
      </c>
      <c r="G59" s="3336"/>
      <c r="H59" s="1102" t="str">
        <f>项目基本情况!B37</f>
        <v>五级</v>
      </c>
      <c r="I59" s="1106">
        <f>SUMIF(修正!A45:A56,H59,修正!D45:D56)</f>
        <v>0.28000000000000003</v>
      </c>
      <c r="J59" s="1110"/>
      <c r="K59" s="1140"/>
      <c r="L59" s="939"/>
      <c r="M59" s="939"/>
      <c r="N59" s="939"/>
      <c r="O59" s="939"/>
    </row>
    <row r="60" spans="1:15" s="692" customFormat="1">
      <c r="A60" s="693" t="s">
        <v>2771</v>
      </c>
      <c r="B60" s="262" t="e">
        <f t="shared" si="17"/>
        <v>#DIV/0!</v>
      </c>
      <c r="C60" s="200">
        <f t="shared" si="16"/>
        <v>0.25</v>
      </c>
      <c r="D60" s="1160">
        <v>0.25</v>
      </c>
      <c r="E60" s="694"/>
      <c r="F60" s="1101" t="e">
        <f t="shared" si="15"/>
        <v>#DIV/0!</v>
      </c>
      <c r="G60" s="3336"/>
      <c r="H60" s="1102" t="str">
        <f>项目基本情况!B37</f>
        <v>五级</v>
      </c>
      <c r="I60" s="1106">
        <f>SUMIF(修正!A45:A56,H60,修正!E45:E56)</f>
        <v>0.25</v>
      </c>
      <c r="J60" s="1110"/>
      <c r="K60" s="1141"/>
      <c r="L60" s="939"/>
      <c r="M60" s="939"/>
      <c r="N60" s="939"/>
      <c r="O60" s="939"/>
    </row>
    <row r="61" spans="1:15" s="692" customFormat="1">
      <c r="A61" s="693" t="s">
        <v>2772</v>
      </c>
      <c r="B61" s="262" t="e">
        <f t="shared" si="17"/>
        <v>#DIV/0!</v>
      </c>
      <c r="C61" s="200">
        <f t="shared" si="16"/>
        <v>0.25</v>
      </c>
      <c r="D61" s="1160">
        <v>0.25</v>
      </c>
      <c r="E61" s="261">
        <f>'数据-汇总表'!E11</f>
        <v>0</v>
      </c>
      <c r="F61" s="1101" t="e">
        <f t="shared" si="15"/>
        <v>#DIV/0!</v>
      </c>
      <c r="G61" s="2704" t="s">
        <v>2773</v>
      </c>
      <c r="H61" s="1102" t="str">
        <f>项目基本情况!C37</f>
        <v>五级</v>
      </c>
      <c r="I61" s="1106">
        <f>SUMIF(修正!A45:A56,H61,修正!F45:F56)</f>
        <v>0.25</v>
      </c>
      <c r="J61" s="1110"/>
      <c r="K61" s="1140"/>
      <c r="L61" s="939"/>
      <c r="M61" s="939"/>
      <c r="N61" s="939"/>
      <c r="O61" s="939"/>
    </row>
    <row r="62" spans="1:15" s="692" customFormat="1">
      <c r="A62" s="693" t="s">
        <v>2774</v>
      </c>
      <c r="B62" s="262" t="e">
        <f t="shared" si="17"/>
        <v>#DIV/0!</v>
      </c>
      <c r="C62" s="200">
        <f t="shared" si="16"/>
        <v>0.25</v>
      </c>
      <c r="D62" s="1160">
        <v>0.25</v>
      </c>
      <c r="E62" s="261">
        <f>'数据-汇总表'!E12</f>
        <v>2046.64</v>
      </c>
      <c r="F62" s="1101" t="e">
        <f t="shared" si="15"/>
        <v>#DIV/0!</v>
      </c>
      <c r="G62" s="1107" t="s">
        <v>2775</v>
      </c>
      <c r="H62" s="1102" t="str">
        <f>IF(G62="商业",项目基本情况!B37,IF(G62="办公",项目基本情况!C37,IF(G62="住宅",项目基本情况!D37,项目基本情况!E37)))</f>
        <v>五级</v>
      </c>
      <c r="I62" s="1106">
        <f>SUMIF(修正!A45:A56,H62,修正!G45:G56)</f>
        <v>0.25</v>
      </c>
      <c r="J62" s="1110"/>
      <c r="K62" s="1141"/>
      <c r="L62" s="939"/>
      <c r="M62" s="939"/>
      <c r="N62" s="939"/>
      <c r="O62" s="939"/>
    </row>
    <row r="63" spans="1:15" s="692" customFormat="1">
      <c r="A63" s="693" t="s">
        <v>2776</v>
      </c>
      <c r="B63" s="262" t="e">
        <f t="shared" si="17"/>
        <v>#DIV/0!</v>
      </c>
      <c r="C63" s="200">
        <f t="shared" si="16"/>
        <v>0</v>
      </c>
      <c r="D63" s="1160">
        <v>0.25</v>
      </c>
      <c r="E63" s="261">
        <f>'数据-汇总表'!E13</f>
        <v>15254.020000000017</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0"/>
      <c r="L63" s="939"/>
      <c r="M63" s="939"/>
      <c r="N63" s="939"/>
      <c r="O63" s="939"/>
    </row>
    <row r="64" spans="1:15" s="692" customFormat="1">
      <c r="A64" s="693" t="s">
        <v>2778</v>
      </c>
      <c r="B64" s="262" t="e">
        <f t="shared" si="17"/>
        <v>#DIV/0!</v>
      </c>
      <c r="C64" s="200">
        <f t="shared" si="16"/>
        <v>0.2</v>
      </c>
      <c r="D64" s="1160">
        <v>0.25</v>
      </c>
      <c r="E64" s="261">
        <f>'数据-汇总表'!E14</f>
        <v>0</v>
      </c>
      <c r="F64" s="1101" t="e">
        <f t="shared" si="15"/>
        <v>#DIV/0!</v>
      </c>
      <c r="G64" s="2704" t="s">
        <v>2768</v>
      </c>
      <c r="H64" s="1102" t="str">
        <f>项目基本情况!B37</f>
        <v>五级</v>
      </c>
      <c r="I64" s="1106">
        <f>SUMIF(修正!A45:A56,H64,修正!H45:H56)</f>
        <v>0.2</v>
      </c>
      <c r="J64" s="1110"/>
      <c r="K64" s="1141"/>
      <c r="L64" s="939"/>
      <c r="M64" s="939"/>
      <c r="N64" s="939"/>
      <c r="O64" s="939"/>
    </row>
    <row r="65" spans="1:17" s="692" customFormat="1" ht="15" thickBot="1">
      <c r="A65" s="693" t="s">
        <v>2779</v>
      </c>
      <c r="B65" s="262" t="e">
        <f t="shared" si="17"/>
        <v>#DIV/0!</v>
      </c>
      <c r="C65" s="200">
        <f t="shared" si="16"/>
        <v>0.2</v>
      </c>
      <c r="D65" s="1160">
        <v>0.25</v>
      </c>
      <c r="E65" s="261">
        <f>'数据-汇总表'!E15</f>
        <v>0</v>
      </c>
      <c r="F65" s="1101" t="e">
        <f t="shared" si="15"/>
        <v>#DIV/0!</v>
      </c>
      <c r="G65" s="2705" t="s">
        <v>2773</v>
      </c>
      <c r="H65" s="1112" t="str">
        <f>项目基本情况!C37</f>
        <v>五级</v>
      </c>
      <c r="I65" s="1108">
        <f>SUMIF(修正!A45:A56,H65,修正!H45:H56)</f>
        <v>0.2</v>
      </c>
      <c r="J65" s="1111"/>
      <c r="K65" s="1140"/>
      <c r="L65" s="939"/>
      <c r="M65" s="939"/>
      <c r="N65" s="939"/>
      <c r="O65" s="939"/>
    </row>
    <row r="66" spans="1:17" s="692" customFormat="1" ht="13.5" thickBot="1">
      <c r="A66" s="695" t="s">
        <v>2780</v>
      </c>
      <c r="B66" s="696" t="s">
        <v>28</v>
      </c>
      <c r="C66" s="696" t="s">
        <v>29</v>
      </c>
      <c r="D66" s="696" t="s">
        <v>1029</v>
      </c>
      <c r="E66" s="696">
        <f>IF(B46="楼面地价",SUM(E56:E65),'数据-汇总表'!D3)</f>
        <v>27815.090000000018</v>
      </c>
      <c r="F66" s="697" t="e">
        <f>IF(B46="楼面地价",SUM(F56:F65),ROUND(C48*E66/10000,0))</f>
        <v>#DIV/0!</v>
      </c>
      <c r="G66" s="787"/>
      <c r="H66" s="787"/>
      <c r="I66" s="787"/>
      <c r="J66" s="787"/>
      <c r="K66" s="1154"/>
      <c r="L66" s="939"/>
      <c r="M66" s="939"/>
      <c r="N66" s="939"/>
      <c r="O66" s="939"/>
    </row>
    <row r="67" spans="1:17">
      <c r="A67" s="759"/>
      <c r="B67" s="761"/>
      <c r="C67" s="762"/>
      <c r="D67" s="759"/>
      <c r="E67" s="759"/>
      <c r="F67" s="759"/>
      <c r="G67" s="759"/>
      <c r="H67" s="759"/>
      <c r="I67" s="759"/>
      <c r="J67" s="1140"/>
      <c r="K67" s="1103"/>
      <c r="L67" s="1104"/>
      <c r="M67" s="1140"/>
      <c r="N67" s="1140"/>
      <c r="O67" s="1140"/>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2674</v>
      </c>
      <c r="B69" s="759"/>
      <c r="C69" s="764"/>
      <c r="D69" s="764"/>
      <c r="E69" s="764"/>
      <c r="F69" s="765"/>
      <c r="G69" s="765"/>
      <c r="H69" s="764"/>
      <c r="I69" s="764"/>
      <c r="J69" s="1155"/>
      <c r="K69" s="1156"/>
      <c r="L69" s="1157"/>
      <c r="M69" s="1155"/>
      <c r="N69" s="1155"/>
      <c r="O69" s="1155"/>
      <c r="P69" s="503"/>
      <c r="Q69" s="504"/>
    </row>
    <row r="70" spans="1:17" s="508"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7"/>
    </row>
    <row r="71" spans="1:17" s="117" customFormat="1" ht="30" customHeight="1">
      <c r="A71" s="2707" t="s">
        <v>2782</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3"/>
      <c r="N71" s="595"/>
      <c r="O71" s="1564"/>
      <c r="P71" s="504"/>
    </row>
    <row r="72" spans="1:17" s="117" customFormat="1" ht="15.75" thickBot="1">
      <c r="A72" s="515" t="s">
        <v>2585</v>
      </c>
      <c r="B72" s="516"/>
      <c r="C72" s="517"/>
      <c r="D72" s="518"/>
      <c r="E72" s="518"/>
      <c r="F72" s="518"/>
      <c r="G72" s="518"/>
      <c r="H72" s="518"/>
      <c r="I72" s="518"/>
      <c r="J72" s="518"/>
      <c r="K72" s="518"/>
      <c r="L72" s="518"/>
      <c r="M72" s="519"/>
      <c r="N72" s="518"/>
      <c r="O72" s="1158"/>
      <c r="P72" s="504"/>
      <c r="Q72" s="504"/>
    </row>
    <row r="73" spans="1:17" s="117" customFormat="1" ht="15">
      <c r="A73" s="521" t="s">
        <v>2550</v>
      </c>
      <c r="B73" s="510"/>
      <c r="C73" s="522" t="s">
        <v>2652</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2588</v>
      </c>
      <c r="B75" s="528" t="s">
        <v>2554</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2557</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2691</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2749</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2791</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2792</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2793</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2794</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2645</v>
      </c>
      <c r="B4" s="402"/>
      <c r="C4" s="3235" t="s">
        <v>2646</v>
      </c>
      <c r="D4" s="3236"/>
      <c r="E4" s="3237" t="s">
        <v>2647</v>
      </c>
      <c r="F4" s="3238"/>
      <c r="G4" s="3235" t="s">
        <v>2648</v>
      </c>
      <c r="H4" s="3236"/>
      <c r="I4" s="3235" t="s">
        <v>2649</v>
      </c>
      <c r="J4" s="3236"/>
      <c r="K4" s="610" t="s">
        <v>2650</v>
      </c>
      <c r="L4" s="1126"/>
      <c r="M4" s="1127"/>
      <c r="N4" s="1127"/>
      <c r="O4" s="1127"/>
      <c r="P4" s="3239" t="s">
        <v>2651</v>
      </c>
      <c r="Q4" s="3240"/>
      <c r="R4" s="3221" t="s">
        <v>2647</v>
      </c>
      <c r="S4" s="3222"/>
      <c r="T4" s="3221" t="s">
        <v>2648</v>
      </c>
      <c r="U4" s="3222"/>
      <c r="V4" s="3218" t="s">
        <v>2649</v>
      </c>
      <c r="W4" s="3218"/>
      <c r="X4" s="1808"/>
      <c r="Y4" s="3221" t="s">
        <v>2651</v>
      </c>
      <c r="Z4" s="3222"/>
      <c r="AA4" s="3215" t="s">
        <v>2647</v>
      </c>
      <c r="AB4" s="3216" t="s">
        <v>2648</v>
      </c>
      <c r="AC4" s="3215" t="s">
        <v>2649</v>
      </c>
    </row>
    <row r="5" spans="1:29" ht="15">
      <c r="A5" s="404"/>
      <c r="B5" s="405"/>
      <c r="C5" s="3227" t="s">
        <v>2542</v>
      </c>
      <c r="D5" s="3228"/>
      <c r="E5" s="3315" t="s">
        <v>2543</v>
      </c>
      <c r="F5" s="3226"/>
      <c r="G5" s="3227" t="s">
        <v>2544</v>
      </c>
      <c r="H5" s="3228"/>
      <c r="I5" s="3227" t="s">
        <v>2545</v>
      </c>
      <c r="J5" s="3228"/>
      <c r="K5" s="610"/>
      <c r="L5" s="1126"/>
      <c r="M5" s="1127"/>
      <c r="N5" s="1127"/>
      <c r="O5" s="1127"/>
      <c r="P5" s="3241"/>
      <c r="Q5" s="3242"/>
      <c r="R5" s="3223"/>
      <c r="S5" s="3224"/>
      <c r="T5" s="3223"/>
      <c r="U5" s="3224"/>
      <c r="V5" s="3218"/>
      <c r="W5" s="3218"/>
      <c r="X5" s="1808"/>
      <c r="Y5" s="3223"/>
      <c r="Z5" s="3224"/>
      <c r="AA5" s="3216"/>
      <c r="AB5" s="3216"/>
      <c r="AC5" s="3216"/>
    </row>
    <row r="6" spans="1:29" ht="15.75" thickBot="1">
      <c r="A6" s="406"/>
      <c r="B6" s="407"/>
      <c r="C6" s="3337" t="s">
        <v>2796</v>
      </c>
      <c r="D6" s="3338"/>
      <c r="E6" s="3339" t="s">
        <v>2796</v>
      </c>
      <c r="F6" s="3340"/>
      <c r="G6" s="3337" t="s">
        <v>2796</v>
      </c>
      <c r="H6" s="3338"/>
      <c r="I6" s="3337" t="s">
        <v>2796</v>
      </c>
      <c r="J6" s="3338"/>
      <c r="K6" s="610" t="s">
        <v>2547</v>
      </c>
      <c r="L6" s="1126"/>
      <c r="M6" s="1127"/>
      <c r="N6" s="1127"/>
      <c r="O6" s="1127"/>
      <c r="P6" s="3243"/>
      <c r="Q6" s="3244"/>
      <c r="R6" s="3223"/>
      <c r="S6" s="3224"/>
      <c r="T6" s="3245"/>
      <c r="U6" s="3246"/>
      <c r="V6" s="3218"/>
      <c r="W6" s="3218"/>
      <c r="X6" s="1808"/>
      <c r="Y6" s="3245"/>
      <c r="Z6" s="3246"/>
      <c r="AA6" s="3217"/>
      <c r="AB6" s="3217"/>
      <c r="AC6" s="3217"/>
    </row>
    <row r="7" spans="1:29" s="117" customFormat="1" ht="15.75" thickBot="1">
      <c r="A7" s="408" t="s">
        <v>2548</v>
      </c>
      <c r="B7" s="409"/>
      <c r="C7" s="410">
        <f>'数据-取费表'!B2</f>
        <v>43342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19" t="s">
        <v>2549</v>
      </c>
      <c r="Q7" s="3247"/>
      <c r="R7" s="770" t="s">
        <v>17</v>
      </c>
      <c r="S7" s="771">
        <f t="shared" ref="S7:S15" si="0">F7</f>
        <v>0</v>
      </c>
      <c r="T7" s="770" t="s">
        <v>17</v>
      </c>
      <c r="U7" s="771">
        <f t="shared" ref="U7:U15" si="1">H7</f>
        <v>0</v>
      </c>
      <c r="V7" s="770" t="s">
        <v>17</v>
      </c>
      <c r="W7" s="771">
        <f t="shared" ref="W7:W15" si="2">J7</f>
        <v>0</v>
      </c>
      <c r="X7" s="772"/>
      <c r="Y7" s="3219" t="s">
        <v>2549</v>
      </c>
      <c r="Z7" s="322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19" t="s">
        <v>2552</v>
      </c>
      <c r="Q8" s="3220"/>
      <c r="R8" s="770" t="s">
        <v>17</v>
      </c>
      <c r="S8" s="771">
        <f t="shared" si="0"/>
        <v>0</v>
      </c>
      <c r="T8" s="770" t="s">
        <v>17</v>
      </c>
      <c r="U8" s="771">
        <f t="shared" si="1"/>
        <v>0</v>
      </c>
      <c r="V8" s="770" t="s">
        <v>17</v>
      </c>
      <c r="W8" s="771">
        <f t="shared" si="2"/>
        <v>0</v>
      </c>
      <c r="X8" s="772"/>
      <c r="Y8" s="3219" t="s">
        <v>2552</v>
      </c>
      <c r="Z8" s="3220"/>
      <c r="AA8" s="773" t="e">
        <f t="shared" ref="AA8:AA40" si="3">D8/F8</f>
        <v>#DIV/0!</v>
      </c>
      <c r="AB8" s="773" t="e">
        <f t="shared" ref="AB8:AB40" si="4">D8/H8</f>
        <v>#DIV/0!</v>
      </c>
      <c r="AC8" s="773" t="e">
        <f t="shared" ref="AC8:AC40" si="5">D8/J8</f>
        <v>#DIV/0!</v>
      </c>
    </row>
    <row r="9" spans="1:29" s="117" customFormat="1">
      <c r="A9" s="415" t="s">
        <v>2553</v>
      </c>
      <c r="B9" s="71" t="s">
        <v>2554</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57" t="s">
        <v>2555</v>
      </c>
      <c r="Q9" s="1790" t="str">
        <f t="shared" ref="Q9:Q15" si="6">B9</f>
        <v>用途</v>
      </c>
      <c r="R9" s="770" t="s">
        <v>17</v>
      </c>
      <c r="S9" s="771">
        <f t="shared" si="0"/>
        <v>100</v>
      </c>
      <c r="T9" s="770" t="s">
        <v>17</v>
      </c>
      <c r="U9" s="771">
        <f t="shared" si="1"/>
        <v>100</v>
      </c>
      <c r="V9" s="770" t="s">
        <v>17</v>
      </c>
      <c r="W9" s="771">
        <f t="shared" si="2"/>
        <v>100</v>
      </c>
      <c r="X9" s="772"/>
      <c r="Y9" s="3095"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2"/>
      <c r="L10" s="1131"/>
      <c r="M10" s="1132"/>
      <c r="N10" s="1132"/>
      <c r="O10" s="1133"/>
      <c r="P10" s="3257"/>
      <c r="Q10" s="1790" t="str">
        <f t="shared" si="6"/>
        <v>土地使用年限（年）</v>
      </c>
      <c r="R10" s="770" t="s">
        <v>17</v>
      </c>
      <c r="S10" s="771">
        <f t="shared" si="0"/>
        <v>106</v>
      </c>
      <c r="T10" s="770" t="s">
        <v>17</v>
      </c>
      <c r="U10" s="771">
        <f t="shared" si="1"/>
        <v>106</v>
      </c>
      <c r="V10" s="770" t="s">
        <v>17</v>
      </c>
      <c r="W10" s="771">
        <f t="shared" si="2"/>
        <v>106</v>
      </c>
      <c r="X10" s="772"/>
      <c r="Y10" s="3095"/>
      <c r="Z10" s="55" t="str">
        <f t="shared" si="7"/>
        <v>土地使用年限（年）</v>
      </c>
      <c r="AA10" s="773">
        <f t="shared" si="3"/>
        <v>0.94339622641509435</v>
      </c>
      <c r="AB10" s="773">
        <f t="shared" si="4"/>
        <v>0.94339622641509435</v>
      </c>
      <c r="AC10" s="773">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57"/>
      <c r="Q11" s="1790"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57"/>
      <c r="Q12" s="1790">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57"/>
      <c r="Q13" s="1790">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57"/>
      <c r="Q14" s="1790">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57">
      <c r="A15" s="440" t="s">
        <v>2559</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50" t="s">
        <v>2560</v>
      </c>
      <c r="Q15" s="1805" t="str">
        <f t="shared" si="6"/>
        <v>产业集聚程度</v>
      </c>
      <c r="R15" s="774" t="s">
        <v>17</v>
      </c>
      <c r="S15" s="775">
        <f t="shared" si="0"/>
        <v>100</v>
      </c>
      <c r="T15" s="774" t="s">
        <v>17</v>
      </c>
      <c r="U15" s="775">
        <f t="shared" si="1"/>
        <v>100</v>
      </c>
      <c r="V15" s="774" t="s">
        <v>17</v>
      </c>
      <c r="W15" s="775">
        <f t="shared" si="2"/>
        <v>100</v>
      </c>
      <c r="X15" s="1808"/>
      <c r="Y15" s="3250" t="s">
        <v>2560</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251"/>
      <c r="Q16" s="1805"/>
      <c r="R16" s="774"/>
      <c r="S16" s="775"/>
      <c r="T16" s="774"/>
      <c r="U16" s="775"/>
      <c r="V16" s="774"/>
      <c r="W16" s="775"/>
      <c r="X16" s="1808"/>
      <c r="Y16" s="3251"/>
      <c r="Z16" s="1809"/>
      <c r="AA16" s="1806">
        <v>1</v>
      </c>
      <c r="AB16" s="1806">
        <v>1</v>
      </c>
      <c r="AC16" s="1806">
        <v>1</v>
      </c>
    </row>
    <row r="17" spans="1:29" ht="85.5">
      <c r="A17" s="428"/>
      <c r="B17" s="631" t="s">
        <v>2709</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51"/>
      <c r="Q17" s="1805" t="str">
        <f>B17</f>
        <v>交通便捷度</v>
      </c>
      <c r="R17" s="774" t="s">
        <v>17</v>
      </c>
      <c r="S17" s="775">
        <f>F17</f>
        <v>100</v>
      </c>
      <c r="T17" s="774" t="s">
        <v>17</v>
      </c>
      <c r="U17" s="775">
        <f>H17</f>
        <v>100</v>
      </c>
      <c r="V17" s="774" t="s">
        <v>17</v>
      </c>
      <c r="W17" s="775">
        <f>J17</f>
        <v>100</v>
      </c>
      <c r="X17" s="1808"/>
      <c r="Y17" s="3251"/>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251"/>
      <c r="Q18" s="1805"/>
      <c r="R18" s="774"/>
      <c r="S18" s="775"/>
      <c r="T18" s="774"/>
      <c r="U18" s="775"/>
      <c r="V18" s="774"/>
      <c r="W18" s="775"/>
      <c r="X18" s="1808"/>
      <c r="Y18" s="3251"/>
      <c r="Z18" s="1809"/>
      <c r="AA18" s="1806">
        <v>1</v>
      </c>
      <c r="AB18" s="1806">
        <v>1</v>
      </c>
      <c r="AC18" s="1806">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51"/>
      <c r="Q19" s="1805" t="str">
        <f t="shared" ref="Q19:Q33" si="8">B19</f>
        <v>区域土地利用方向</v>
      </c>
      <c r="R19" s="774" t="s">
        <v>17</v>
      </c>
      <c r="S19" s="775">
        <f>F19</f>
        <v>100</v>
      </c>
      <c r="T19" s="774" t="s">
        <v>17</v>
      </c>
      <c r="U19" s="775">
        <f>H19</f>
        <v>100</v>
      </c>
      <c r="V19" s="774" t="s">
        <v>17</v>
      </c>
      <c r="W19" s="775">
        <f>J19</f>
        <v>100</v>
      </c>
      <c r="X19" s="1808"/>
      <c r="Y19" s="3251"/>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251"/>
      <c r="Q20" s="1805"/>
      <c r="R20" s="774"/>
      <c r="S20" s="775"/>
      <c r="T20" s="774"/>
      <c r="U20" s="775"/>
      <c r="V20" s="774"/>
      <c r="W20" s="775"/>
      <c r="X20" s="1808"/>
      <c r="Y20" s="3251"/>
      <c r="Z20" s="1809"/>
      <c r="AA20" s="1806"/>
      <c r="AB20" s="1806"/>
      <c r="AC20" s="1806"/>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51"/>
      <c r="Q21" s="1805" t="str">
        <f t="shared" si="8"/>
        <v>环境状况</v>
      </c>
      <c r="R21" s="774" t="s">
        <v>17</v>
      </c>
      <c r="S21" s="775">
        <f>F21</f>
        <v>100</v>
      </c>
      <c r="T21" s="774" t="s">
        <v>17</v>
      </c>
      <c r="U21" s="775">
        <f>H21</f>
        <v>100</v>
      </c>
      <c r="V21" s="774" t="s">
        <v>17</v>
      </c>
      <c r="W21" s="775">
        <f>J21</f>
        <v>100</v>
      </c>
      <c r="X21" s="1808"/>
      <c r="Y21" s="3251"/>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251"/>
      <c r="Q22" s="1805"/>
      <c r="R22" s="774"/>
      <c r="S22" s="775"/>
      <c r="T22" s="774"/>
      <c r="U22" s="775"/>
      <c r="V22" s="774"/>
      <c r="W22" s="775"/>
      <c r="X22" s="1808"/>
      <c r="Y22" s="3251"/>
      <c r="Z22" s="1809"/>
      <c r="AA22" s="1806">
        <v>1</v>
      </c>
      <c r="AB22" s="1806">
        <v>1</v>
      </c>
      <c r="AC22" s="1806">
        <v>1</v>
      </c>
    </row>
    <row r="23" spans="1:29" s="117" customFormat="1" ht="42.75">
      <c r="A23" s="649"/>
      <c r="B23" s="633" t="s">
        <v>2654</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51"/>
      <c r="Q23" s="1790" t="str">
        <f t="shared" si="8"/>
        <v>公共配套设施</v>
      </c>
      <c r="R23" s="770" t="s">
        <v>17</v>
      </c>
      <c r="S23" s="771">
        <f>F23</f>
        <v>100</v>
      </c>
      <c r="T23" s="770" t="s">
        <v>17</v>
      </c>
      <c r="U23" s="771">
        <f>H23</f>
        <v>100</v>
      </c>
      <c r="V23" s="770" t="s">
        <v>17</v>
      </c>
      <c r="W23" s="771">
        <f>J23</f>
        <v>100</v>
      </c>
      <c r="X23" s="772"/>
      <c r="Y23" s="3251"/>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251"/>
      <c r="Q24" s="1790"/>
      <c r="R24" s="770"/>
      <c r="S24" s="771"/>
      <c r="T24" s="770"/>
      <c r="U24" s="771"/>
      <c r="V24" s="770"/>
      <c r="W24" s="771"/>
      <c r="X24" s="772"/>
      <c r="Y24" s="3251"/>
      <c r="Z24" s="55"/>
      <c r="AA24" s="773">
        <v>1</v>
      </c>
      <c r="AB24" s="773">
        <v>1</v>
      </c>
      <c r="AC24" s="773">
        <v>1</v>
      </c>
    </row>
    <row r="25" spans="1:29" s="117" customFormat="1" ht="28.5">
      <c r="A25" s="649"/>
      <c r="B25" s="633" t="s">
        <v>2655</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51"/>
      <c r="Q25" s="1790" t="str">
        <f t="shared" ref="Q25" si="9">B25</f>
        <v>基础设施水平</v>
      </c>
      <c r="R25" s="770" t="s">
        <v>17</v>
      </c>
      <c r="S25" s="771">
        <f>F25</f>
        <v>100</v>
      </c>
      <c r="T25" s="770" t="s">
        <v>17</v>
      </c>
      <c r="U25" s="771">
        <f>H25</f>
        <v>100</v>
      </c>
      <c r="V25" s="770" t="s">
        <v>17</v>
      </c>
      <c r="W25" s="771">
        <f>J25</f>
        <v>100</v>
      </c>
      <c r="X25" s="772"/>
      <c r="Y25" s="3251"/>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251"/>
      <c r="Q26" s="1790"/>
      <c r="R26" s="770"/>
      <c r="S26" s="771"/>
      <c r="T26" s="770"/>
      <c r="U26" s="771"/>
      <c r="V26" s="770"/>
      <c r="W26" s="771"/>
      <c r="X26" s="772"/>
      <c r="Y26" s="325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51"/>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51"/>
      <c r="Z27" s="1809" t="str">
        <f t="shared" ref="Z27:Z40" si="13">Q27</f>
        <v>临街状况</v>
      </c>
      <c r="AA27" s="1806">
        <f t="shared" si="3"/>
        <v>1</v>
      </c>
      <c r="AB27" s="1806">
        <f t="shared" si="4"/>
        <v>1</v>
      </c>
      <c r="AC27" s="1806">
        <f t="shared" si="5"/>
        <v>1</v>
      </c>
    </row>
    <row r="28" spans="1:29" ht="27">
      <c r="A28" s="428"/>
      <c r="B28" s="633" t="s">
        <v>2691</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51"/>
      <c r="Q28" s="1805" t="str">
        <f t="shared" si="8"/>
        <v>毗邻道路的类型与等级</v>
      </c>
      <c r="R28" s="774" t="s">
        <v>17</v>
      </c>
      <c r="S28" s="775">
        <f t="shared" si="10"/>
        <v>100</v>
      </c>
      <c r="T28" s="774" t="s">
        <v>17</v>
      </c>
      <c r="U28" s="775">
        <f t="shared" si="11"/>
        <v>100</v>
      </c>
      <c r="V28" s="774" t="s">
        <v>17</v>
      </c>
      <c r="W28" s="775">
        <f t="shared" si="12"/>
        <v>100</v>
      </c>
      <c r="X28" s="1808"/>
      <c r="Y28" s="3251"/>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251"/>
      <c r="Q29" s="1805"/>
      <c r="R29" s="774"/>
      <c r="S29" s="775"/>
      <c r="T29" s="774"/>
      <c r="U29" s="775"/>
      <c r="V29" s="774"/>
      <c r="W29" s="775"/>
      <c r="X29" s="1808"/>
      <c r="Y29" s="3251"/>
      <c r="Z29" s="1809"/>
      <c r="AA29" s="1806">
        <v>1</v>
      </c>
      <c r="AB29" s="1806">
        <v>1</v>
      </c>
      <c r="AC29" s="1806">
        <v>1</v>
      </c>
    </row>
    <row r="30" spans="1:29" ht="15">
      <c r="A30" s="428"/>
      <c r="B30" s="654" t="s">
        <v>2749</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51"/>
      <c r="Q30" s="1805" t="str">
        <f t="shared" si="8"/>
        <v>土地级别</v>
      </c>
      <c r="R30" s="774" t="s">
        <v>17</v>
      </c>
      <c r="S30" s="775">
        <f t="shared" si="10"/>
        <v>100</v>
      </c>
      <c r="T30" s="774" t="s">
        <v>17</v>
      </c>
      <c r="U30" s="775">
        <f t="shared" si="11"/>
        <v>100</v>
      </c>
      <c r="V30" s="774" t="s">
        <v>17</v>
      </c>
      <c r="W30" s="775">
        <f t="shared" si="12"/>
        <v>100</v>
      </c>
      <c r="X30" s="1808"/>
      <c r="Y30" s="3251"/>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1"/>
      <c r="Q31" s="1805">
        <f t="shared" si="8"/>
        <v>111</v>
      </c>
      <c r="R31" s="774" t="s">
        <v>17</v>
      </c>
      <c r="S31" s="775">
        <f t="shared" si="10"/>
        <v>100</v>
      </c>
      <c r="T31" s="774" t="s">
        <v>17</v>
      </c>
      <c r="U31" s="775">
        <f t="shared" si="11"/>
        <v>100</v>
      </c>
      <c r="V31" s="774" t="s">
        <v>17</v>
      </c>
      <c r="W31" s="775">
        <f t="shared" si="12"/>
        <v>100</v>
      </c>
      <c r="X31" s="1808"/>
      <c r="Y31" s="3251"/>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31" t="s">
        <v>2565</v>
      </c>
      <c r="Q32" s="1805">
        <f t="shared" si="8"/>
        <v>111</v>
      </c>
      <c r="R32" s="774" t="s">
        <v>17</v>
      </c>
      <c r="S32" s="775">
        <f t="shared" si="10"/>
        <v>100</v>
      </c>
      <c r="T32" s="774" t="s">
        <v>17</v>
      </c>
      <c r="U32" s="775">
        <f t="shared" si="11"/>
        <v>100</v>
      </c>
      <c r="V32" s="774" t="s">
        <v>17</v>
      </c>
      <c r="W32" s="775">
        <f t="shared" si="12"/>
        <v>100</v>
      </c>
      <c r="X32" s="1808"/>
      <c r="Y32" s="3255" t="s">
        <v>2565</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55"/>
      <c r="Q33" s="1805">
        <f t="shared" si="8"/>
        <v>111</v>
      </c>
      <c r="R33" s="777" t="s">
        <v>17</v>
      </c>
      <c r="S33" s="778">
        <f t="shared" si="10"/>
        <v>100</v>
      </c>
      <c r="T33" s="777" t="s">
        <v>17</v>
      </c>
      <c r="U33" s="778">
        <f t="shared" si="11"/>
        <v>100</v>
      </c>
      <c r="V33" s="777" t="s">
        <v>17</v>
      </c>
      <c r="W33" s="778">
        <f t="shared" si="12"/>
        <v>100</v>
      </c>
      <c r="X33" s="779"/>
      <c r="Y33" s="3255"/>
      <c r="Z33" s="780">
        <f t="shared" si="13"/>
        <v>111</v>
      </c>
      <c r="AA33" s="1806">
        <f t="shared" si="3"/>
        <v>1</v>
      </c>
      <c r="AB33" s="1806">
        <f t="shared" si="4"/>
        <v>1</v>
      </c>
      <c r="AC33" s="180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55"/>
      <c r="Q34" s="1805" t="str">
        <f>B34</f>
        <v>宗地面积</v>
      </c>
      <c r="R34" s="774" t="s">
        <v>17</v>
      </c>
      <c r="S34" s="775" t="e">
        <f t="shared" si="10"/>
        <v>#N/A</v>
      </c>
      <c r="T34" s="774" t="s">
        <v>17</v>
      </c>
      <c r="U34" s="775" t="e">
        <f t="shared" si="11"/>
        <v>#N/A</v>
      </c>
      <c r="V34" s="774" t="s">
        <v>17</v>
      </c>
      <c r="W34" s="775" t="e">
        <f t="shared" si="12"/>
        <v>#N/A</v>
      </c>
      <c r="X34" s="1808"/>
      <c r="Y34" s="3255"/>
      <c r="Z34" s="1809" t="str">
        <f t="shared" si="13"/>
        <v>宗地面积</v>
      </c>
      <c r="AA34" s="1806" t="e">
        <f t="shared" si="3"/>
        <v>#N/A</v>
      </c>
      <c r="AB34" s="1806" t="e">
        <f t="shared" si="4"/>
        <v>#N/A</v>
      </c>
      <c r="AC34" s="1806"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55"/>
      <c r="Q35" s="1805" t="str">
        <f t="shared" ref="Q35:Q40" si="14">B35</f>
        <v>宗地形状</v>
      </c>
      <c r="R35" s="774" t="s">
        <v>17</v>
      </c>
      <c r="S35" s="775">
        <f t="shared" si="10"/>
        <v>100</v>
      </c>
      <c r="T35" s="774" t="s">
        <v>17</v>
      </c>
      <c r="U35" s="775">
        <f t="shared" si="11"/>
        <v>100</v>
      </c>
      <c r="V35" s="774" t="s">
        <v>17</v>
      </c>
      <c r="W35" s="775">
        <f t="shared" si="12"/>
        <v>100</v>
      </c>
      <c r="X35" s="1808"/>
      <c r="Y35" s="3255"/>
      <c r="Z35" s="1809" t="str">
        <f t="shared" si="13"/>
        <v>宗地形状</v>
      </c>
      <c r="AA35" s="1806">
        <f t="shared" si="3"/>
        <v>1</v>
      </c>
      <c r="AB35" s="1806">
        <f t="shared" si="4"/>
        <v>1</v>
      </c>
      <c r="AC35" s="1806">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55"/>
      <c r="Q36" s="1805" t="str">
        <f t="shared" si="14"/>
        <v>宗地开发程度</v>
      </c>
      <c r="R36" s="770" t="s">
        <v>17</v>
      </c>
      <c r="S36" s="771">
        <f t="shared" si="10"/>
        <v>100</v>
      </c>
      <c r="T36" s="770" t="s">
        <v>17</v>
      </c>
      <c r="U36" s="771">
        <f t="shared" si="11"/>
        <v>100</v>
      </c>
      <c r="V36" s="770" t="s">
        <v>17</v>
      </c>
      <c r="W36" s="771">
        <f t="shared" si="12"/>
        <v>100</v>
      </c>
      <c r="X36" s="772"/>
      <c r="Y36" s="3255"/>
      <c r="Z36" s="55" t="str">
        <f t="shared" si="13"/>
        <v>宗地开发程度</v>
      </c>
      <c r="AA36" s="773">
        <f t="shared" si="3"/>
        <v>1</v>
      </c>
      <c r="AB36" s="773">
        <f t="shared" si="4"/>
        <v>1</v>
      </c>
      <c r="AC36" s="773">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55" t="s">
        <v>2565</v>
      </c>
      <c r="Q37" s="1805" t="str">
        <f t="shared" si="14"/>
        <v>工程地质条件</v>
      </c>
      <c r="R37" s="774" t="s">
        <v>17</v>
      </c>
      <c r="S37" s="775">
        <f t="shared" si="10"/>
        <v>100</v>
      </c>
      <c r="T37" s="774" t="s">
        <v>17</v>
      </c>
      <c r="U37" s="775">
        <f t="shared" si="11"/>
        <v>100</v>
      </c>
      <c r="V37" s="774" t="s">
        <v>17</v>
      </c>
      <c r="W37" s="775">
        <f t="shared" si="12"/>
        <v>100</v>
      </c>
      <c r="X37" s="1808"/>
      <c r="Y37" s="3255" t="s">
        <v>2565</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55"/>
      <c r="Q38" s="1805">
        <f t="shared" si="14"/>
        <v>111</v>
      </c>
      <c r="R38" s="774" t="s">
        <v>17</v>
      </c>
      <c r="S38" s="775">
        <f t="shared" si="10"/>
        <v>100</v>
      </c>
      <c r="T38" s="774" t="s">
        <v>17</v>
      </c>
      <c r="U38" s="775">
        <f t="shared" si="11"/>
        <v>100</v>
      </c>
      <c r="V38" s="774" t="s">
        <v>17</v>
      </c>
      <c r="W38" s="775">
        <f t="shared" si="12"/>
        <v>100</v>
      </c>
      <c r="X38" s="1808"/>
      <c r="Y38" s="3255"/>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55"/>
      <c r="Q39" s="1805">
        <f t="shared" si="14"/>
        <v>111</v>
      </c>
      <c r="R39" s="774" t="s">
        <v>17</v>
      </c>
      <c r="S39" s="775">
        <f t="shared" si="10"/>
        <v>100</v>
      </c>
      <c r="T39" s="774" t="s">
        <v>17</v>
      </c>
      <c r="U39" s="775">
        <f t="shared" si="11"/>
        <v>100</v>
      </c>
      <c r="V39" s="774" t="s">
        <v>17</v>
      </c>
      <c r="W39" s="775">
        <f t="shared" si="12"/>
        <v>100</v>
      </c>
      <c r="X39" s="1808"/>
      <c r="Y39" s="3255"/>
      <c r="Z39" s="1809">
        <f t="shared" si="13"/>
        <v>111</v>
      </c>
      <c r="AA39" s="1806">
        <f t="shared" si="3"/>
        <v>1</v>
      </c>
      <c r="AB39" s="1806">
        <f t="shared" si="4"/>
        <v>1</v>
      </c>
      <c r="AC39" s="1806">
        <f t="shared" si="5"/>
        <v>1</v>
      </c>
    </row>
    <row r="40" spans="1:29" s="471" customFormat="1" ht="15.75"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55"/>
      <c r="Q40" s="1805">
        <f t="shared" si="14"/>
        <v>111</v>
      </c>
      <c r="R40" s="777" t="s">
        <v>17</v>
      </c>
      <c r="S40" s="778">
        <f t="shared" si="10"/>
        <v>100</v>
      </c>
      <c r="T40" s="777" t="s">
        <v>17</v>
      </c>
      <c r="U40" s="778">
        <f t="shared" si="11"/>
        <v>100</v>
      </c>
      <c r="V40" s="777" t="s">
        <v>17</v>
      </c>
      <c r="W40" s="778">
        <f t="shared" si="12"/>
        <v>100</v>
      </c>
      <c r="X40" s="779"/>
      <c r="Y40" s="3255"/>
      <c r="Z40" s="780">
        <f t="shared" si="13"/>
        <v>111</v>
      </c>
      <c r="AA40" s="1806">
        <f t="shared" si="3"/>
        <v>1</v>
      </c>
      <c r="AB40" s="1806">
        <f t="shared" si="4"/>
        <v>1</v>
      </c>
      <c r="AC40" s="1806">
        <f t="shared" si="5"/>
        <v>1</v>
      </c>
    </row>
    <row r="41" spans="1:29" ht="15">
      <c r="A41" s="479" t="s">
        <v>2720</v>
      </c>
      <c r="B41" s="2699" t="s">
        <v>2799</v>
      </c>
      <c r="C41" s="682" t="s">
        <v>1</v>
      </c>
      <c r="D41" s="481"/>
      <c r="E41" s="482"/>
      <c r="F41" s="483"/>
      <c r="G41" s="484"/>
      <c r="H41" s="485"/>
      <c r="I41" s="482"/>
      <c r="J41" s="485"/>
      <c r="K41" s="783"/>
      <c r="L41" s="1139"/>
      <c r="M41" s="1127"/>
      <c r="N41" s="1127"/>
      <c r="O41" s="1140"/>
      <c r="P41" s="3257" t="str">
        <f>A41</f>
        <v>成交单价</v>
      </c>
      <c r="Q41" s="3257"/>
      <c r="R41" s="3218">
        <f>E41</f>
        <v>0</v>
      </c>
      <c r="S41" s="3218"/>
      <c r="T41" s="3218">
        <f>G41</f>
        <v>0</v>
      </c>
      <c r="U41" s="3218"/>
      <c r="V41" s="3218">
        <f>I41</f>
        <v>0</v>
      </c>
      <c r="W41" s="321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39"/>
      <c r="M42" s="1127"/>
      <c r="N42" s="1127"/>
      <c r="O42" s="1140"/>
      <c r="P42" s="3257" t="str">
        <f>A42</f>
        <v>比较价值（元/平方米）</v>
      </c>
      <c r="Q42" s="3257"/>
      <c r="R42" s="3333" t="e">
        <f>ROUND(PRODUCT(R41,AA7:AA40),0)</f>
        <v>#DIV/0!</v>
      </c>
      <c r="S42" s="3333"/>
      <c r="T42" s="3333" t="e">
        <f>ROUND(PRODUCT(T41,AB7:AB40),0)</f>
        <v>#DIV/0!</v>
      </c>
      <c r="U42" s="3333"/>
      <c r="V42" s="3333" t="e">
        <f>ROUND(PRODUCT(V41,AC7:AC40),0)</f>
        <v>#DIV/0!</v>
      </c>
      <c r="W42" s="333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39"/>
      <c r="M43" s="1127"/>
      <c r="N43" s="1127"/>
      <c r="O43" s="1140"/>
      <c r="P43" s="3259" t="str">
        <f>A43</f>
        <v>估价对象XX用房的比较价值（楼面单价，元/平方米）</v>
      </c>
      <c r="Q43" s="3260"/>
      <c r="R43" s="3334" t="e">
        <f>ROUND(AVERAGE(R42:V42),0)</f>
        <v>#DIV/0!</v>
      </c>
      <c r="S43" s="3334"/>
      <c r="T43" s="3334"/>
      <c r="U43" s="3334"/>
      <c r="V43" s="3334"/>
      <c r="W43" s="3334"/>
      <c r="X43" s="759"/>
      <c r="Y43" s="759"/>
      <c r="Z43" s="759"/>
      <c r="AA43" s="759"/>
      <c r="AB43" s="759"/>
      <c r="AC43" s="759"/>
    </row>
    <row r="44" spans="1:29">
      <c r="A44" s="1140"/>
      <c r="B44" s="1140"/>
      <c r="C44" s="1140"/>
      <c r="D44" s="1140"/>
      <c r="E44" s="1140"/>
      <c r="F44" s="1140"/>
      <c r="G44" s="1143"/>
      <c r="H44" s="1140"/>
      <c r="I44" s="1140"/>
      <c r="J44" s="1140"/>
      <c r="K44" s="1103"/>
      <c r="L44" s="1104"/>
      <c r="M44" s="1127"/>
      <c r="N44" s="1127"/>
      <c r="O44" s="1140"/>
    </row>
    <row r="45" spans="1:29">
      <c r="A45" s="1140"/>
      <c r="B45" s="1140"/>
      <c r="C45" s="1140"/>
      <c r="D45" s="1140"/>
      <c r="E45" s="1140"/>
      <c r="F45" s="1140"/>
      <c r="G45" s="1140"/>
      <c r="H45" s="1140"/>
      <c r="I45" s="1140"/>
      <c r="J45" s="1140"/>
      <c r="K45" s="1103"/>
      <c r="L45" s="1104"/>
      <c r="M45" s="1127"/>
      <c r="N45" s="1127"/>
      <c r="O45" s="1140"/>
    </row>
    <row r="46" spans="1:29" ht="13.5" customHeight="1">
      <c r="A46" s="1140"/>
      <c r="B46" s="1140"/>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7"/>
      <c r="N46" s="1127"/>
      <c r="O46" s="1140"/>
    </row>
    <row r="47" spans="1:29" ht="13.5" customHeight="1">
      <c r="A47" s="1140"/>
      <c r="B47" s="1140"/>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0"/>
      <c r="N47" s="1140"/>
      <c r="O47" s="1140"/>
    </row>
    <row r="48" spans="1:29" s="502" customFormat="1" ht="13.5" customHeight="1">
      <c r="A48" s="1141"/>
      <c r="B48" s="1141"/>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2757</v>
      </c>
      <c r="B50" s="685" t="s">
        <v>2758</v>
      </c>
      <c r="C50" s="2700" t="s">
        <v>2759</v>
      </c>
      <c r="D50" s="2701" t="s">
        <v>2760</v>
      </c>
      <c r="E50" s="686" t="s">
        <v>2761</v>
      </c>
      <c r="F50" s="687" t="s">
        <v>2762</v>
      </c>
      <c r="G50" s="3235" t="s">
        <v>2763</v>
      </c>
      <c r="H50" s="3335"/>
      <c r="I50" s="1809" t="s">
        <v>2800</v>
      </c>
      <c r="J50" s="1809">
        <f>项目基本情况!F35</f>
        <v>0</v>
      </c>
      <c r="K50" s="2703" t="s">
        <v>2765</v>
      </c>
      <c r="L50" s="1104"/>
      <c r="M50" s="1140"/>
      <c r="N50" s="1140"/>
      <c r="O50" s="1140"/>
    </row>
    <row r="51" spans="1:17" s="692" customFormat="1">
      <c r="A51" s="688" t="s">
        <v>2766</v>
      </c>
      <c r="B51" s="689" t="e">
        <f>C43</f>
        <v>#DIV/0!</v>
      </c>
      <c r="C51" s="690">
        <v>1</v>
      </c>
      <c r="D51" s="1159">
        <v>1</v>
      </c>
      <c r="E51" s="690">
        <f>'数据-汇总表'!E8+'数据-汇总表'!E9</f>
        <v>10514.43</v>
      </c>
      <c r="F51" s="691" t="e">
        <f t="shared" ref="F51:F60" si="15">ROUND(B51*E51/10000,0)</f>
        <v>#DIV/0!</v>
      </c>
      <c r="G51" s="3234"/>
      <c r="H51" s="3257"/>
      <c r="I51" s="940">
        <v>1</v>
      </c>
      <c r="J51" s="940">
        <v>1</v>
      </c>
      <c r="K51" s="1141"/>
      <c r="L51" s="939"/>
      <c r="M51" s="939"/>
      <c r="N51" s="939"/>
      <c r="O51" s="939"/>
    </row>
    <row r="52" spans="1:17" s="692" customFormat="1">
      <c r="A52" s="693" t="s">
        <v>2767</v>
      </c>
      <c r="B52" s="262" t="e">
        <f>ROUND($C$43*C52*D52,0)</f>
        <v>#DIV/0!</v>
      </c>
      <c r="C52" s="200">
        <f t="shared" ref="C52:C60" si="16">IF($C$50="北京市系数",I52,J52)</f>
        <v>0.7</v>
      </c>
      <c r="D52" s="1160">
        <v>0.25</v>
      </c>
      <c r="E52" s="694"/>
      <c r="F52" s="691" t="e">
        <f t="shared" si="15"/>
        <v>#DIV/0!</v>
      </c>
      <c r="G52" s="3336" t="s">
        <v>2768</v>
      </c>
      <c r="H52" s="1102" t="str">
        <f>项目基本情况!B37</f>
        <v>五级</v>
      </c>
      <c r="I52" s="940">
        <f>SUMIF(修正!A45:A56,H52,修正!B45:B56)</f>
        <v>0.7</v>
      </c>
      <c r="J52" s="941"/>
      <c r="K52" s="1140"/>
      <c r="L52" s="939"/>
      <c r="M52" s="939"/>
      <c r="N52" s="939"/>
      <c r="O52" s="939"/>
    </row>
    <row r="53" spans="1:17" s="692" customFormat="1">
      <c r="A53" s="693" t="s">
        <v>2769</v>
      </c>
      <c r="B53" s="262" t="e">
        <f t="shared" ref="B53:B60" si="17">ROUND($C$43*C53*D53,0)</f>
        <v>#DIV/0!</v>
      </c>
      <c r="C53" s="200">
        <f t="shared" si="16"/>
        <v>0.4</v>
      </c>
      <c r="D53" s="1160">
        <v>0.25</v>
      </c>
      <c r="E53" s="694"/>
      <c r="F53" s="691" t="e">
        <f t="shared" si="15"/>
        <v>#DIV/0!</v>
      </c>
      <c r="G53" s="3336"/>
      <c r="H53" s="1102" t="str">
        <f>项目基本情况!B37</f>
        <v>五级</v>
      </c>
      <c r="I53" s="940">
        <f>SUMIF(修正!A45:A56,H53,修正!C45:C56)</f>
        <v>0.4</v>
      </c>
      <c r="J53" s="941"/>
      <c r="K53" s="1141"/>
      <c r="L53" s="939"/>
      <c r="M53" s="939"/>
      <c r="N53" s="939"/>
      <c r="O53" s="939"/>
    </row>
    <row r="54" spans="1:17" s="692" customFormat="1">
      <c r="A54" s="693" t="s">
        <v>2770</v>
      </c>
      <c r="B54" s="262" t="e">
        <f t="shared" si="17"/>
        <v>#DIV/0!</v>
      </c>
      <c r="C54" s="200">
        <f t="shared" si="16"/>
        <v>0.28000000000000003</v>
      </c>
      <c r="D54" s="1160">
        <v>0.25</v>
      </c>
      <c r="E54" s="694"/>
      <c r="F54" s="691" t="e">
        <f t="shared" si="15"/>
        <v>#DIV/0!</v>
      </c>
      <c r="G54" s="3336"/>
      <c r="H54" s="1102" t="str">
        <f>项目基本情况!B37</f>
        <v>五级</v>
      </c>
      <c r="I54" s="940">
        <f>SUMIF(修正!A45:A56,H54,修正!D45:D56)</f>
        <v>0.28000000000000003</v>
      </c>
      <c r="J54" s="941"/>
      <c r="K54" s="1140"/>
      <c r="L54" s="939"/>
      <c r="M54" s="939"/>
      <c r="N54" s="939"/>
      <c r="O54" s="939"/>
    </row>
    <row r="55" spans="1:17" s="692" customFormat="1">
      <c r="A55" s="693" t="s">
        <v>2771</v>
      </c>
      <c r="B55" s="262" t="e">
        <f t="shared" si="17"/>
        <v>#DIV/0!</v>
      </c>
      <c r="C55" s="200">
        <f t="shared" si="16"/>
        <v>0.25</v>
      </c>
      <c r="D55" s="1160">
        <v>0.25</v>
      </c>
      <c r="E55" s="694"/>
      <c r="F55" s="691" t="e">
        <f t="shared" si="15"/>
        <v>#DIV/0!</v>
      </c>
      <c r="G55" s="3336"/>
      <c r="H55" s="1102" t="str">
        <f>项目基本情况!B37</f>
        <v>五级</v>
      </c>
      <c r="I55" s="940">
        <f>SUMIF(修正!A45:A56,H55,修正!E45:E56)</f>
        <v>0.25</v>
      </c>
      <c r="J55" s="941"/>
      <c r="K55" s="1141"/>
      <c r="L55" s="939"/>
      <c r="M55" s="939"/>
      <c r="N55" s="939"/>
      <c r="O55" s="939"/>
    </row>
    <row r="56" spans="1:17" s="692" customFormat="1">
      <c r="A56" s="693" t="s">
        <v>2772</v>
      </c>
      <c r="B56" s="262" t="e">
        <f t="shared" si="17"/>
        <v>#DIV/0!</v>
      </c>
      <c r="C56" s="200">
        <f t="shared" si="16"/>
        <v>0.25</v>
      </c>
      <c r="D56" s="1160">
        <v>0.25</v>
      </c>
      <c r="E56" s="261">
        <f>'数据-汇总表'!E11</f>
        <v>0</v>
      </c>
      <c r="F56" s="691" t="e">
        <f t="shared" si="15"/>
        <v>#DIV/0!</v>
      </c>
      <c r="G56" s="2704" t="s">
        <v>2773</v>
      </c>
      <c r="H56" s="1102" t="str">
        <f>项目基本情况!C37</f>
        <v>五级</v>
      </c>
      <c r="I56" s="940">
        <f>SUMIF(修正!A45:A56,H56,修正!F45:F56)</f>
        <v>0.25</v>
      </c>
      <c r="J56" s="941"/>
      <c r="K56" s="1140"/>
      <c r="L56" s="939"/>
      <c r="M56" s="939"/>
      <c r="N56" s="939"/>
      <c r="O56" s="939"/>
    </row>
    <row r="57" spans="1:17" s="692" customFormat="1">
      <c r="A57" s="693" t="s">
        <v>2774</v>
      </c>
      <c r="B57" s="262" t="e">
        <f t="shared" si="17"/>
        <v>#DIV/0!</v>
      </c>
      <c r="C57" s="200">
        <f t="shared" si="16"/>
        <v>0.25</v>
      </c>
      <c r="D57" s="1160">
        <v>0.25</v>
      </c>
      <c r="E57" s="261">
        <f>'数据-汇总表'!E12</f>
        <v>2046.64</v>
      </c>
      <c r="F57" s="691" t="e">
        <f t="shared" si="15"/>
        <v>#DIV/0!</v>
      </c>
      <c r="G57" s="1107" t="s">
        <v>2775</v>
      </c>
      <c r="H57" s="1102" t="str">
        <f>IF(G57="商业",项目基本情况!B37,IF(G57="办公",项目基本情况!C37,IF(G57="住宅",项目基本情况!D37,项目基本情况!E37)))</f>
        <v>五级</v>
      </c>
      <c r="I57" s="940">
        <f>SUMIF(修正!A45:A56,H57,修正!G45:G56)</f>
        <v>0.25</v>
      </c>
      <c r="J57" s="941"/>
      <c r="K57" s="1141"/>
      <c r="L57" s="939"/>
      <c r="M57" s="939"/>
      <c r="N57" s="939"/>
      <c r="O57" s="939"/>
    </row>
    <row r="58" spans="1:17" s="692" customFormat="1">
      <c r="A58" s="693" t="s">
        <v>2776</v>
      </c>
      <c r="B58" s="262" t="e">
        <f t="shared" si="17"/>
        <v>#DIV/0!</v>
      </c>
      <c r="C58" s="200">
        <f t="shared" si="16"/>
        <v>0</v>
      </c>
      <c r="D58" s="1160">
        <v>0.25</v>
      </c>
      <c r="E58" s="261">
        <f>'数据-汇总表'!E13</f>
        <v>15254.020000000017</v>
      </c>
      <c r="F58" s="691" t="e">
        <f t="shared" si="15"/>
        <v>#DIV/0!</v>
      </c>
      <c r="G58" s="1107" t="s">
        <v>2777</v>
      </c>
      <c r="H58" s="1102">
        <f>IF(G58="商业",项目基本情况!B37,IF(G58="办公",项目基本情况!C37,IF(G58="住宅",项目基本情况!D37,项目基本情况!E37)))</f>
        <v>0</v>
      </c>
      <c r="I58" s="940">
        <f>SUMIF(修正!A45:A56,H58,修正!H45:H56)</f>
        <v>0</v>
      </c>
      <c r="J58" s="941"/>
      <c r="K58" s="1140"/>
      <c r="L58" s="939"/>
      <c r="M58" s="939"/>
      <c r="N58" s="939"/>
      <c r="O58" s="939"/>
    </row>
    <row r="59" spans="1:17" s="692" customFormat="1">
      <c r="A59" s="693" t="s">
        <v>2778</v>
      </c>
      <c r="B59" s="262" t="e">
        <f t="shared" si="17"/>
        <v>#DIV/0!</v>
      </c>
      <c r="C59" s="200">
        <f t="shared" si="16"/>
        <v>0.2</v>
      </c>
      <c r="D59" s="1160">
        <v>0.25</v>
      </c>
      <c r="E59" s="261">
        <f>'数据-汇总表'!E14</f>
        <v>0</v>
      </c>
      <c r="F59" s="691" t="e">
        <f t="shared" si="15"/>
        <v>#DIV/0!</v>
      </c>
      <c r="G59" s="2704" t="s">
        <v>2768</v>
      </c>
      <c r="H59" s="1102" t="str">
        <f>项目基本情况!B37</f>
        <v>五级</v>
      </c>
      <c r="I59" s="940">
        <f>SUMIF(修正!A45:A56,H59,修正!H45:H56)</f>
        <v>0.2</v>
      </c>
      <c r="J59" s="941"/>
      <c r="K59" s="1141"/>
      <c r="L59" s="939"/>
      <c r="M59" s="939"/>
      <c r="N59" s="939"/>
      <c r="O59" s="939"/>
    </row>
    <row r="60" spans="1:17" s="692" customFormat="1" ht="15" thickBot="1">
      <c r="A60" s="693" t="s">
        <v>2779</v>
      </c>
      <c r="B60" s="262" t="e">
        <f t="shared" si="17"/>
        <v>#DIV/0!</v>
      </c>
      <c r="C60" s="200">
        <f t="shared" si="16"/>
        <v>0.2</v>
      </c>
      <c r="D60" s="1160">
        <v>0.25</v>
      </c>
      <c r="E60" s="261">
        <f>'数据-汇总表'!E15</f>
        <v>0</v>
      </c>
      <c r="F60" s="691" t="e">
        <f t="shared" si="15"/>
        <v>#DIV/0!</v>
      </c>
      <c r="G60" s="2705" t="s">
        <v>2773</v>
      </c>
      <c r="H60" s="1112" t="str">
        <f>项目基本情况!C37</f>
        <v>五级</v>
      </c>
      <c r="I60" s="940">
        <f>SUMIF(修正!A45:A56,H60,修正!H45:H56)</f>
        <v>0.2</v>
      </c>
      <c r="J60" s="941"/>
      <c r="K60" s="1140"/>
      <c r="L60" s="939"/>
      <c r="M60" s="939"/>
      <c r="N60" s="939"/>
      <c r="O60" s="939"/>
    </row>
    <row r="61" spans="1:17" s="692" customFormat="1" ht="15" thickBot="1">
      <c r="A61" s="695" t="s">
        <v>2780</v>
      </c>
      <c r="B61" s="696" t="s">
        <v>28</v>
      </c>
      <c r="C61" s="696" t="s">
        <v>29</v>
      </c>
      <c r="D61" s="696" t="s">
        <v>1029</v>
      </c>
      <c r="E61" s="696">
        <f>IF(B41="楼面地价",SUM(E51:E60),'数据-汇总表'!D3)</f>
        <v>6030.62</v>
      </c>
      <c r="F61" s="697" t="e">
        <f>IF(B41="楼面地价",SUM(F51:F60),ROUND(C43*E61/10000,0))</f>
        <v>#DIV/0!</v>
      </c>
      <c r="G61" s="1154"/>
      <c r="H61" s="1154"/>
      <c r="I61" s="1154"/>
      <c r="J61" s="1154"/>
      <c r="K61" s="1103"/>
      <c r="L61" s="939"/>
      <c r="M61" s="939"/>
      <c r="N61" s="939"/>
      <c r="O61" s="939"/>
    </row>
    <row r="62" spans="1:17">
      <c r="A62" s="1140"/>
      <c r="B62" s="1142"/>
      <c r="C62" s="1146"/>
      <c r="D62" s="1140"/>
      <c r="E62" s="1140"/>
      <c r="F62" s="1140"/>
      <c r="G62" s="1140"/>
      <c r="H62" s="1140"/>
      <c r="I62" s="1140"/>
      <c r="J62" s="1140"/>
      <c r="K62" s="1103"/>
      <c r="L62" s="1104"/>
      <c r="M62" s="1140"/>
      <c r="N62" s="1140"/>
      <c r="O62" s="1140"/>
    </row>
    <row r="63" spans="1:17">
      <c r="A63" s="1140"/>
      <c r="B63" s="1142"/>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2674</v>
      </c>
      <c r="B64" s="759"/>
      <c r="C64" s="764"/>
      <c r="D64" s="764"/>
      <c r="E64" s="764"/>
      <c r="F64" s="765"/>
      <c r="G64" s="765"/>
      <c r="H64" s="764"/>
      <c r="I64" s="764"/>
      <c r="J64" s="764"/>
      <c r="K64" s="766"/>
      <c r="L64" s="767"/>
      <c r="M64" s="764"/>
      <c r="N64" s="764"/>
      <c r="O64" s="1155"/>
      <c r="P64" s="503"/>
      <c r="Q64" s="504"/>
    </row>
    <row r="65" spans="1:17" s="508"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7"/>
    </row>
    <row r="66" spans="1:17" s="117" customFormat="1" ht="30.75" customHeight="1">
      <c r="A66" s="2711" t="s">
        <v>2801</v>
      </c>
      <c r="B66" s="332" t="str">
        <f>"北京市平均增长率"&amp;TEXT(基准地价修正!P24,"0.00%")</f>
        <v>北京市平均增长率1.28%</v>
      </c>
      <c r="C66" s="603">
        <v>100</v>
      </c>
      <c r="D66" s="595"/>
      <c r="E66" s="595"/>
      <c r="F66" s="595"/>
      <c r="G66" s="595"/>
      <c r="H66" s="595"/>
      <c r="I66" s="595"/>
      <c r="J66" s="595"/>
      <c r="K66" s="595"/>
      <c r="L66" s="595"/>
      <c r="M66" s="1563"/>
      <c r="N66" s="1563"/>
      <c r="O66" s="1565"/>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2588</v>
      </c>
      <c r="B70" s="528" t="s">
        <v>2554</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2557</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2691</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2749</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2791</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2793</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2794</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1" t="s">
        <v>183</v>
      </c>
      <c r="B18" s="878" t="s">
        <v>560</v>
      </c>
      <c r="C18" s="879" t="s">
        <v>561</v>
      </c>
      <c r="D18" s="880"/>
      <c r="E18" s="878">
        <v>1</v>
      </c>
      <c r="F18" s="881" t="s">
        <v>562</v>
      </c>
      <c r="G18" s="882"/>
      <c r="H18" s="874"/>
      <c r="I18" s="874"/>
    </row>
    <row r="19" spans="1:9" s="883" customFormat="1" ht="19.5" customHeight="1">
      <c r="A19" s="3341"/>
      <c r="B19" s="3341" t="s">
        <v>563</v>
      </c>
      <c r="C19" s="879" t="s">
        <v>564</v>
      </c>
      <c r="D19" s="880"/>
      <c r="E19" s="878">
        <v>0.9</v>
      </c>
      <c r="F19" s="881" t="s">
        <v>565</v>
      </c>
      <c r="G19" s="882"/>
      <c r="H19" s="874"/>
      <c r="I19" s="874"/>
    </row>
    <row r="20" spans="1:9" s="883" customFormat="1" ht="19.5" customHeight="1">
      <c r="A20" s="3341"/>
      <c r="B20" s="3341"/>
      <c r="C20" s="879" t="s">
        <v>566</v>
      </c>
      <c r="D20" s="880"/>
      <c r="E20" s="878">
        <v>1.1000000000000001</v>
      </c>
      <c r="F20" s="881" t="s">
        <v>567</v>
      </c>
      <c r="G20" s="882"/>
      <c r="H20" s="874"/>
      <c r="I20" s="874"/>
    </row>
    <row r="21" spans="1:9" s="883" customFormat="1" ht="19.5" customHeight="1">
      <c r="A21" s="3341"/>
      <c r="B21" s="3341"/>
      <c r="C21" s="879" t="s">
        <v>568</v>
      </c>
      <c r="D21" s="880"/>
      <c r="E21" s="878">
        <v>0.8</v>
      </c>
      <c r="F21" s="881" t="s">
        <v>569</v>
      </c>
      <c r="G21" s="882"/>
      <c r="H21" s="874"/>
      <c r="I21" s="874"/>
    </row>
    <row r="22" spans="1:9" s="883" customFormat="1" ht="19.5" customHeight="1">
      <c r="A22" s="3341"/>
      <c r="B22" s="3341"/>
      <c r="C22" s="879" t="s">
        <v>570</v>
      </c>
      <c r="D22" s="880"/>
      <c r="E22" s="878">
        <v>0.5</v>
      </c>
      <c r="F22" s="881"/>
      <c r="G22" s="882"/>
      <c r="H22" s="874"/>
      <c r="I22" s="874"/>
    </row>
    <row r="23" spans="1:9" s="883" customFormat="1" ht="19.5" customHeight="1">
      <c r="A23" s="3341" t="s">
        <v>184</v>
      </c>
      <c r="B23" s="878" t="s">
        <v>560</v>
      </c>
      <c r="C23" s="879" t="s">
        <v>571</v>
      </c>
      <c r="D23" s="880"/>
      <c r="E23" s="878">
        <v>1</v>
      </c>
      <c r="F23" s="881" t="s">
        <v>572</v>
      </c>
      <c r="G23" s="882"/>
      <c r="H23" s="874"/>
      <c r="I23" s="874"/>
    </row>
    <row r="24" spans="1:9" s="883" customFormat="1" ht="19.5" customHeight="1">
      <c r="A24" s="3341"/>
      <c r="B24" s="3341" t="s">
        <v>563</v>
      </c>
      <c r="C24" s="879" t="s">
        <v>573</v>
      </c>
      <c r="D24" s="880"/>
      <c r="E24" s="878">
        <v>0.5</v>
      </c>
      <c r="F24" s="881"/>
      <c r="G24" s="882"/>
      <c r="H24" s="874"/>
      <c r="I24" s="874"/>
    </row>
    <row r="25" spans="1:9" s="883" customFormat="1" ht="19.5" customHeight="1">
      <c r="A25" s="3341"/>
      <c r="B25" s="3341"/>
      <c r="C25" s="879" t="s">
        <v>574</v>
      </c>
      <c r="D25" s="880"/>
      <c r="E25" s="878">
        <v>1.1000000000000001</v>
      </c>
      <c r="F25" s="881"/>
      <c r="G25" s="882"/>
      <c r="H25" s="874"/>
      <c r="I25" s="874"/>
    </row>
    <row r="26" spans="1:9" s="883" customFormat="1" ht="19.5" customHeight="1">
      <c r="A26" s="3341"/>
      <c r="B26" s="3341"/>
      <c r="C26" s="879" t="s">
        <v>575</v>
      </c>
      <c r="D26" s="880"/>
      <c r="E26" s="878">
        <v>1.1000000000000001</v>
      </c>
      <c r="F26" s="881"/>
      <c r="G26" s="882"/>
      <c r="H26" s="874"/>
      <c r="I26" s="874"/>
    </row>
    <row r="27" spans="1:9" s="883" customFormat="1" ht="19.5" customHeight="1">
      <c r="A27" s="3341"/>
      <c r="B27" s="3341"/>
      <c r="C27" s="879" t="s">
        <v>576</v>
      </c>
      <c r="D27" s="880"/>
      <c r="E27" s="878">
        <v>0.9</v>
      </c>
      <c r="F27" s="881" t="s">
        <v>577</v>
      </c>
      <c r="G27" s="882"/>
      <c r="H27" s="874"/>
      <c r="I27" s="874"/>
    </row>
    <row r="28" spans="1:9" s="883" customFormat="1" ht="19.5" customHeight="1">
      <c r="A28" s="3341"/>
      <c r="B28" s="3341"/>
      <c r="C28" s="879" t="s">
        <v>578</v>
      </c>
      <c r="D28" s="880"/>
      <c r="E28" s="878">
        <v>0.9</v>
      </c>
      <c r="F28" s="881" t="s">
        <v>579</v>
      </c>
      <c r="G28" s="882"/>
      <c r="H28" s="874"/>
      <c r="I28" s="874"/>
    </row>
    <row r="29" spans="1:9" s="883" customFormat="1" ht="19.5" customHeight="1">
      <c r="A29" s="3341"/>
      <c r="B29" s="3341"/>
      <c r="C29" s="879" t="s">
        <v>580</v>
      </c>
      <c r="D29" s="880"/>
      <c r="E29" s="878">
        <v>0.9</v>
      </c>
      <c r="F29" s="881" t="s">
        <v>581</v>
      </c>
      <c r="G29" s="882"/>
      <c r="H29" s="874"/>
      <c r="I29" s="874"/>
    </row>
    <row r="30" spans="1:9" s="883" customFormat="1" ht="19.5" customHeight="1">
      <c r="A30" s="3341"/>
      <c r="B30" s="3341"/>
      <c r="C30" s="879" t="s">
        <v>582</v>
      </c>
      <c r="D30" s="880"/>
      <c r="E30" s="878">
        <v>0.9</v>
      </c>
      <c r="F30" s="881" t="s">
        <v>583</v>
      </c>
      <c r="G30" s="882"/>
      <c r="H30" s="874"/>
      <c r="I30" s="874"/>
    </row>
    <row r="31" spans="1:9" s="883" customFormat="1" ht="19.5" customHeight="1">
      <c r="A31" s="3341"/>
      <c r="B31" s="3341"/>
      <c r="C31" s="879" t="s">
        <v>584</v>
      </c>
      <c r="D31" s="880"/>
      <c r="E31" s="878">
        <v>0.8</v>
      </c>
      <c r="F31" s="881" t="s">
        <v>585</v>
      </c>
      <c r="G31" s="882"/>
      <c r="H31" s="874"/>
      <c r="I31" s="874"/>
    </row>
    <row r="32" spans="1:9" s="883" customFormat="1" ht="19.5" customHeight="1">
      <c r="A32" s="3341"/>
      <c r="B32" s="3341"/>
      <c r="C32" s="879" t="s">
        <v>586</v>
      </c>
      <c r="D32" s="880"/>
      <c r="E32" s="878">
        <v>0.8</v>
      </c>
      <c r="F32" s="881" t="s">
        <v>587</v>
      </c>
      <c r="G32" s="882"/>
      <c r="H32" s="874"/>
      <c r="I32" s="874"/>
    </row>
    <row r="33" spans="1:9" s="883" customFormat="1" ht="19.5" customHeight="1">
      <c r="A33" s="3341" t="s">
        <v>185</v>
      </c>
      <c r="B33" s="878" t="s">
        <v>560</v>
      </c>
      <c r="C33" s="879" t="s">
        <v>588</v>
      </c>
      <c r="D33" s="880"/>
      <c r="E33" s="878">
        <v>1</v>
      </c>
      <c r="F33" s="881" t="s">
        <v>589</v>
      </c>
      <c r="G33" s="882"/>
      <c r="H33" s="874"/>
      <c r="I33" s="874"/>
    </row>
    <row r="34" spans="1:9" s="883" customFormat="1" ht="19.5" customHeight="1">
      <c r="A34" s="3341"/>
      <c r="B34" s="878" t="s">
        <v>563</v>
      </c>
      <c r="C34" s="879" t="s">
        <v>590</v>
      </c>
      <c r="D34" s="880"/>
      <c r="E34" s="878">
        <v>1.5</v>
      </c>
      <c r="F34" s="881" t="s">
        <v>591</v>
      </c>
      <c r="G34" s="882"/>
      <c r="H34" s="874"/>
      <c r="I34" s="874"/>
    </row>
    <row r="35" spans="1:9" s="883" customFormat="1" ht="19.5" customHeight="1">
      <c r="A35" s="3341" t="s">
        <v>186</v>
      </c>
      <c r="B35" s="878" t="s">
        <v>560</v>
      </c>
      <c r="C35" s="879" t="s">
        <v>592</v>
      </c>
      <c r="D35" s="880"/>
      <c r="E35" s="878">
        <v>1</v>
      </c>
      <c r="F35" s="881" t="s">
        <v>593</v>
      </c>
      <c r="G35" s="882"/>
      <c r="H35" s="874"/>
      <c r="I35" s="874"/>
    </row>
    <row r="36" spans="1:9" s="883" customFormat="1" ht="19.5" customHeight="1">
      <c r="A36" s="3341"/>
      <c r="B36" s="3341" t="s">
        <v>563</v>
      </c>
      <c r="C36" s="879" t="s">
        <v>594</v>
      </c>
      <c r="D36" s="880"/>
      <c r="E36" s="878">
        <v>1</v>
      </c>
      <c r="F36" s="881" t="s">
        <v>595</v>
      </c>
      <c r="G36" s="882"/>
      <c r="H36" s="874"/>
      <c r="I36" s="874"/>
    </row>
    <row r="37" spans="1:9" s="883" customFormat="1" ht="19.5" customHeight="1">
      <c r="A37" s="3341"/>
      <c r="B37" s="3341"/>
      <c r="C37" s="879" t="s">
        <v>596</v>
      </c>
      <c r="D37" s="880"/>
      <c r="E37" s="878">
        <v>1.5</v>
      </c>
      <c r="F37" s="881" t="s">
        <v>597</v>
      </c>
      <c r="G37" s="882"/>
      <c r="H37" s="874"/>
      <c r="I37" s="874"/>
    </row>
    <row r="38" spans="1:9" s="883" customFormat="1" ht="19.5" customHeight="1">
      <c r="A38" s="3341"/>
      <c r="B38" s="3341"/>
      <c r="C38" s="879" t="s">
        <v>598</v>
      </c>
      <c r="D38" s="880"/>
      <c r="E38" s="878">
        <v>1</v>
      </c>
      <c r="F38" s="881" t="s">
        <v>599</v>
      </c>
      <c r="G38" s="882"/>
      <c r="H38" s="874"/>
      <c r="I38" s="874"/>
    </row>
    <row r="39" spans="1:9" s="883" customFormat="1" ht="19.5" customHeight="1">
      <c r="A39" s="3341"/>
      <c r="B39" s="334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341" t="s">
        <v>614</v>
      </c>
      <c r="C61" s="814" t="s">
        <v>615</v>
      </c>
      <c r="D61" s="814" t="s">
        <v>616</v>
      </c>
      <c r="E61" s="891">
        <v>0.5</v>
      </c>
      <c r="F61" s="878">
        <v>80</v>
      </c>
    </row>
    <row r="62" spans="1:8" s="874" customFormat="1" ht="24">
      <c r="A62" s="878">
        <v>2</v>
      </c>
      <c r="B62" s="3341"/>
      <c r="C62" s="814" t="s">
        <v>617</v>
      </c>
      <c r="D62" s="814" t="s">
        <v>618</v>
      </c>
      <c r="E62" s="891">
        <v>0.5</v>
      </c>
      <c r="F62" s="878">
        <v>80</v>
      </c>
    </row>
    <row r="63" spans="1:8" s="874" customFormat="1" ht="36">
      <c r="A63" s="878">
        <v>3</v>
      </c>
      <c r="B63" s="3341"/>
      <c r="C63" s="814" t="s">
        <v>619</v>
      </c>
      <c r="D63" s="814" t="s">
        <v>620</v>
      </c>
      <c r="E63" s="891">
        <v>0.5</v>
      </c>
      <c r="F63" s="878">
        <v>80</v>
      </c>
    </row>
    <row r="64" spans="1:8" s="874" customFormat="1" ht="36">
      <c r="A64" s="878">
        <v>4</v>
      </c>
      <c r="B64" s="3341"/>
      <c r="C64" s="814" t="s">
        <v>621</v>
      </c>
      <c r="D64" s="814" t="s">
        <v>622</v>
      </c>
      <c r="E64" s="891">
        <v>0.4</v>
      </c>
      <c r="F64" s="878">
        <v>60</v>
      </c>
    </row>
    <row r="65" spans="1:6" s="874" customFormat="1" ht="36">
      <c r="A65" s="878">
        <v>5</v>
      </c>
      <c r="B65" s="3341"/>
      <c r="C65" s="814" t="s">
        <v>623</v>
      </c>
      <c r="D65" s="814" t="s">
        <v>624</v>
      </c>
      <c r="E65" s="891">
        <v>0.2</v>
      </c>
      <c r="F65" s="878">
        <v>30</v>
      </c>
    </row>
    <row r="66" spans="1:6" s="874" customFormat="1" ht="36">
      <c r="A66" s="878">
        <v>6</v>
      </c>
      <c r="B66" s="3341"/>
      <c r="C66" s="814" t="s">
        <v>625</v>
      </c>
      <c r="D66" s="814" t="s">
        <v>626</v>
      </c>
      <c r="E66" s="891">
        <v>0.3</v>
      </c>
      <c r="F66" s="878">
        <v>50</v>
      </c>
    </row>
    <row r="67" spans="1:6" s="874" customFormat="1" ht="36">
      <c r="A67" s="878">
        <v>7</v>
      </c>
      <c r="B67" s="3341"/>
      <c r="C67" s="814" t="s">
        <v>627</v>
      </c>
      <c r="D67" s="814" t="s">
        <v>628</v>
      </c>
      <c r="E67" s="891">
        <v>0.2</v>
      </c>
      <c r="F67" s="878">
        <v>30</v>
      </c>
    </row>
    <row r="68" spans="1:6" s="874" customFormat="1" ht="36">
      <c r="A68" s="878">
        <v>8</v>
      </c>
      <c r="B68" s="3341"/>
      <c r="C68" s="814" t="s">
        <v>629</v>
      </c>
      <c r="D68" s="814" t="s">
        <v>630</v>
      </c>
      <c r="E68" s="891">
        <v>0.2</v>
      </c>
      <c r="F68" s="878">
        <v>30</v>
      </c>
    </row>
    <row r="69" spans="1:6" s="874" customFormat="1" ht="36">
      <c r="A69" s="878">
        <v>9</v>
      </c>
      <c r="B69" s="3341"/>
      <c r="C69" s="814" t="s">
        <v>631</v>
      </c>
      <c r="D69" s="814" t="s">
        <v>632</v>
      </c>
      <c r="E69" s="891">
        <v>0.2</v>
      </c>
      <c r="F69" s="878">
        <v>30</v>
      </c>
    </row>
    <row r="70" spans="1:6" s="874" customFormat="1" ht="48">
      <c r="A70" s="878">
        <v>10</v>
      </c>
      <c r="B70" s="3341"/>
      <c r="C70" s="814" t="s">
        <v>633</v>
      </c>
      <c r="D70" s="814" t="s">
        <v>634</v>
      </c>
      <c r="E70" s="891">
        <v>0.2</v>
      </c>
      <c r="F70" s="878">
        <v>30</v>
      </c>
    </row>
    <row r="71" spans="1:6" s="874" customFormat="1" ht="48">
      <c r="A71" s="878">
        <v>11</v>
      </c>
      <c r="B71" s="3341"/>
      <c r="C71" s="814" t="s">
        <v>635</v>
      </c>
      <c r="D71" s="814" t="s">
        <v>636</v>
      </c>
      <c r="E71" s="891">
        <v>0.2</v>
      </c>
      <c r="F71" s="878">
        <v>30</v>
      </c>
    </row>
    <row r="72" spans="1:6" s="874" customFormat="1" ht="36">
      <c r="A72" s="878">
        <v>12</v>
      </c>
      <c r="B72" s="3341"/>
      <c r="C72" s="814" t="s">
        <v>637</v>
      </c>
      <c r="D72" s="814" t="s">
        <v>638</v>
      </c>
      <c r="E72" s="891">
        <v>0.5</v>
      </c>
      <c r="F72" s="878">
        <v>80</v>
      </c>
    </row>
    <row r="73" spans="1:6" s="874" customFormat="1" ht="24">
      <c r="A73" s="878">
        <v>13</v>
      </c>
      <c r="B73" s="3341"/>
      <c r="C73" s="814" t="s">
        <v>639</v>
      </c>
      <c r="D73" s="814" t="s">
        <v>640</v>
      </c>
      <c r="E73" s="891">
        <v>0.4</v>
      </c>
      <c r="F73" s="878">
        <v>60</v>
      </c>
    </row>
    <row r="74" spans="1:6" s="874" customFormat="1" ht="24">
      <c r="A74" s="878">
        <v>14</v>
      </c>
      <c r="B74" s="3341"/>
      <c r="C74" s="814" t="s">
        <v>641</v>
      </c>
      <c r="D74" s="814" t="s">
        <v>642</v>
      </c>
      <c r="E74" s="891">
        <v>0.2</v>
      </c>
      <c r="F74" s="878">
        <v>30</v>
      </c>
    </row>
    <row r="75" spans="1:6" s="874" customFormat="1" ht="24">
      <c r="A75" s="878">
        <v>15</v>
      </c>
      <c r="B75" s="3341"/>
      <c r="C75" s="814" t="s">
        <v>643</v>
      </c>
      <c r="D75" s="814" t="s">
        <v>644</v>
      </c>
      <c r="E75" s="891">
        <v>0.2</v>
      </c>
      <c r="F75" s="878">
        <v>30</v>
      </c>
    </row>
    <row r="76" spans="1:6" s="874" customFormat="1" ht="24">
      <c r="A76" s="878">
        <v>16</v>
      </c>
      <c r="B76" s="3341" t="s">
        <v>645</v>
      </c>
      <c r="C76" s="814" t="s">
        <v>646</v>
      </c>
      <c r="D76" s="814" t="s">
        <v>647</v>
      </c>
      <c r="E76" s="891">
        <v>0.5</v>
      </c>
      <c r="F76" s="878">
        <v>80</v>
      </c>
    </row>
    <row r="77" spans="1:6" s="874" customFormat="1" ht="24">
      <c r="A77" s="878">
        <v>17</v>
      </c>
      <c r="B77" s="3341"/>
      <c r="C77" s="814" t="s">
        <v>648</v>
      </c>
      <c r="D77" s="814" t="s">
        <v>649</v>
      </c>
      <c r="E77" s="891">
        <v>0.5</v>
      </c>
      <c r="F77" s="878">
        <v>80</v>
      </c>
    </row>
    <row r="78" spans="1:6" s="874" customFormat="1" ht="24">
      <c r="A78" s="878">
        <v>18</v>
      </c>
      <c r="B78" s="3341"/>
      <c r="C78" s="814" t="s">
        <v>650</v>
      </c>
      <c r="D78" s="814" t="s">
        <v>651</v>
      </c>
      <c r="E78" s="891">
        <v>0.2</v>
      </c>
      <c r="F78" s="878">
        <v>30</v>
      </c>
    </row>
    <row r="79" spans="1:6" s="874" customFormat="1" ht="24">
      <c r="A79" s="878">
        <v>19</v>
      </c>
      <c r="B79" s="3341"/>
      <c r="C79" s="814" t="s">
        <v>652</v>
      </c>
      <c r="D79" s="814" t="s">
        <v>653</v>
      </c>
      <c r="E79" s="891">
        <v>0.5</v>
      </c>
      <c r="F79" s="878">
        <v>80</v>
      </c>
    </row>
    <row r="80" spans="1:6" s="874" customFormat="1" ht="36">
      <c r="A80" s="878">
        <v>20</v>
      </c>
      <c r="B80" s="3341"/>
      <c r="C80" s="814" t="s">
        <v>654</v>
      </c>
      <c r="D80" s="814" t="s">
        <v>655</v>
      </c>
      <c r="E80" s="891">
        <v>0.2</v>
      </c>
      <c r="F80" s="878">
        <v>30</v>
      </c>
    </row>
    <row r="81" spans="1:6" s="874" customFormat="1" ht="36">
      <c r="A81" s="878">
        <v>21</v>
      </c>
      <c r="B81" s="3341"/>
      <c r="C81" s="814" t="s">
        <v>656</v>
      </c>
      <c r="D81" s="814" t="s">
        <v>657</v>
      </c>
      <c r="E81" s="891">
        <v>0.2</v>
      </c>
      <c r="F81" s="878">
        <v>30</v>
      </c>
    </row>
    <row r="82" spans="1:6" s="874" customFormat="1" ht="48">
      <c r="A82" s="878">
        <v>22</v>
      </c>
      <c r="B82" s="3341"/>
      <c r="C82" s="814" t="s">
        <v>658</v>
      </c>
      <c r="D82" s="814" t="s">
        <v>659</v>
      </c>
      <c r="E82" s="891">
        <v>0.2</v>
      </c>
      <c r="F82" s="878">
        <v>30</v>
      </c>
    </row>
    <row r="83" spans="1:6" s="874" customFormat="1" ht="48">
      <c r="A83" s="878">
        <v>23</v>
      </c>
      <c r="B83" s="3341"/>
      <c r="C83" s="814" t="s">
        <v>660</v>
      </c>
      <c r="D83" s="814" t="s">
        <v>661</v>
      </c>
      <c r="E83" s="891">
        <v>0.2</v>
      </c>
      <c r="F83" s="878">
        <v>30</v>
      </c>
    </row>
    <row r="84" spans="1:6" s="874" customFormat="1" ht="36">
      <c r="A84" s="878">
        <v>24</v>
      </c>
      <c r="B84" s="3341"/>
      <c r="C84" s="814" t="s">
        <v>662</v>
      </c>
      <c r="D84" s="814" t="s">
        <v>663</v>
      </c>
      <c r="E84" s="891">
        <v>0.2</v>
      </c>
      <c r="F84" s="878">
        <v>30</v>
      </c>
    </row>
    <row r="85" spans="1:6" s="874" customFormat="1" ht="36">
      <c r="A85" s="878">
        <v>25</v>
      </c>
      <c r="B85" s="3341"/>
      <c r="C85" s="814" t="s">
        <v>664</v>
      </c>
      <c r="D85" s="814" t="s">
        <v>665</v>
      </c>
      <c r="E85" s="891">
        <v>0.5</v>
      </c>
      <c r="F85" s="878">
        <v>80</v>
      </c>
    </row>
    <row r="86" spans="1:6" s="874" customFormat="1" ht="36">
      <c r="A86" s="878">
        <v>26</v>
      </c>
      <c r="B86" s="3341"/>
      <c r="C86" s="814" t="s">
        <v>666</v>
      </c>
      <c r="D86" s="814" t="s">
        <v>667</v>
      </c>
      <c r="E86" s="891">
        <v>0.2</v>
      </c>
      <c r="F86" s="878">
        <v>30</v>
      </c>
    </row>
    <row r="87" spans="1:6" s="874" customFormat="1" ht="36">
      <c r="A87" s="878">
        <v>27</v>
      </c>
      <c r="B87" s="3341"/>
      <c r="C87" s="814" t="s">
        <v>668</v>
      </c>
      <c r="D87" s="814" t="s">
        <v>669</v>
      </c>
      <c r="E87" s="891">
        <v>0.2</v>
      </c>
      <c r="F87" s="878">
        <v>30</v>
      </c>
    </row>
    <row r="88" spans="1:6" s="874" customFormat="1" ht="36">
      <c r="A88" s="878">
        <v>28</v>
      </c>
      <c r="B88" s="3341"/>
      <c r="C88" s="814" t="s">
        <v>670</v>
      </c>
      <c r="D88" s="814" t="s">
        <v>671</v>
      </c>
      <c r="E88" s="891">
        <v>0.2</v>
      </c>
      <c r="F88" s="878">
        <v>30</v>
      </c>
    </row>
    <row r="89" spans="1:6" s="874" customFormat="1" ht="24">
      <c r="A89" s="878">
        <v>29</v>
      </c>
      <c r="B89" s="3341"/>
      <c r="C89" s="814" t="s">
        <v>672</v>
      </c>
      <c r="D89" s="814" t="s">
        <v>673</v>
      </c>
      <c r="E89" s="891">
        <v>0.2</v>
      </c>
      <c r="F89" s="878">
        <v>30</v>
      </c>
    </row>
    <row r="90" spans="1:6" s="874" customFormat="1" ht="24">
      <c r="A90" s="878">
        <v>30</v>
      </c>
      <c r="B90" s="3341"/>
      <c r="C90" s="814" t="s">
        <v>674</v>
      </c>
      <c r="D90" s="814" t="s">
        <v>675</v>
      </c>
      <c r="E90" s="891">
        <v>0.2</v>
      </c>
      <c r="F90" s="878">
        <v>30</v>
      </c>
    </row>
    <row r="91" spans="1:6" s="874" customFormat="1" ht="36">
      <c r="A91" s="878">
        <v>31</v>
      </c>
      <c r="B91" s="3341"/>
      <c r="C91" s="814" t="s">
        <v>676</v>
      </c>
      <c r="D91" s="814" t="s">
        <v>677</v>
      </c>
      <c r="E91" s="891">
        <v>0.2</v>
      </c>
      <c r="F91" s="878">
        <v>30</v>
      </c>
    </row>
    <row r="92" spans="1:6" s="874" customFormat="1" ht="24">
      <c r="A92" s="878">
        <v>32</v>
      </c>
      <c r="B92" s="3341" t="s">
        <v>678</v>
      </c>
      <c r="C92" s="878" t="s">
        <v>679</v>
      </c>
      <c r="D92" s="814" t="s">
        <v>680</v>
      </c>
      <c r="E92" s="891">
        <v>0.2</v>
      </c>
      <c r="F92" s="878">
        <v>30</v>
      </c>
    </row>
    <row r="93" spans="1:6" s="874" customFormat="1" ht="36">
      <c r="A93" s="878">
        <v>33</v>
      </c>
      <c r="B93" s="3341"/>
      <c r="C93" s="878" t="s">
        <v>681</v>
      </c>
      <c r="D93" s="814" t="s">
        <v>682</v>
      </c>
      <c r="E93" s="891">
        <v>0.2</v>
      </c>
      <c r="F93" s="878">
        <v>30</v>
      </c>
    </row>
    <row r="94" spans="1:6" s="874" customFormat="1" ht="48">
      <c r="A94" s="878">
        <v>34</v>
      </c>
      <c r="B94" s="3341"/>
      <c r="C94" s="878" t="s">
        <v>683</v>
      </c>
      <c r="D94" s="814" t="s">
        <v>684</v>
      </c>
      <c r="E94" s="891">
        <v>0.2</v>
      </c>
      <c r="F94" s="878">
        <v>30</v>
      </c>
    </row>
    <row r="95" spans="1:6" s="874" customFormat="1" ht="36">
      <c r="A95" s="878">
        <v>35</v>
      </c>
      <c r="B95" s="3341"/>
      <c r="C95" s="878" t="s">
        <v>685</v>
      </c>
      <c r="D95" s="814" t="s">
        <v>686</v>
      </c>
      <c r="E95" s="891">
        <v>0.2</v>
      </c>
      <c r="F95" s="878">
        <v>30</v>
      </c>
    </row>
    <row r="96" spans="1:6" s="874" customFormat="1" ht="48">
      <c r="A96" s="878">
        <v>36</v>
      </c>
      <c r="B96" s="3341"/>
      <c r="C96" s="814" t="s">
        <v>687</v>
      </c>
      <c r="D96" s="814" t="s">
        <v>688</v>
      </c>
      <c r="E96" s="891">
        <v>0.2</v>
      </c>
      <c r="F96" s="878">
        <v>30</v>
      </c>
    </row>
    <row r="97" spans="1:6" s="874" customFormat="1" ht="36">
      <c r="A97" s="878">
        <v>37</v>
      </c>
      <c r="B97" s="3341"/>
      <c r="C97" s="878" t="s">
        <v>689</v>
      </c>
      <c r="D97" s="814" t="s">
        <v>690</v>
      </c>
      <c r="E97" s="891">
        <v>0.2</v>
      </c>
      <c r="F97" s="878">
        <v>30</v>
      </c>
    </row>
    <row r="98" spans="1:6" s="874" customFormat="1" ht="36">
      <c r="A98" s="878">
        <v>38</v>
      </c>
      <c r="B98" s="3341"/>
      <c r="C98" s="878" t="s">
        <v>691</v>
      </c>
      <c r="D98" s="814" t="s">
        <v>692</v>
      </c>
      <c r="E98" s="891">
        <v>0.2</v>
      </c>
      <c r="F98" s="878">
        <v>30</v>
      </c>
    </row>
    <row r="99" spans="1:6" s="874" customFormat="1" ht="36">
      <c r="A99" s="878">
        <v>39</v>
      </c>
      <c r="B99" s="3341" t="s">
        <v>693</v>
      </c>
      <c r="C99" s="878" t="s">
        <v>694</v>
      </c>
      <c r="D99" s="814" t="s">
        <v>695</v>
      </c>
      <c r="E99" s="891">
        <v>0.3</v>
      </c>
      <c r="F99" s="878">
        <v>50</v>
      </c>
    </row>
    <row r="100" spans="1:6" s="874" customFormat="1" ht="24">
      <c r="A100" s="878">
        <v>40</v>
      </c>
      <c r="B100" s="3341"/>
      <c r="C100" s="878" t="s">
        <v>696</v>
      </c>
      <c r="D100" s="814" t="s">
        <v>697</v>
      </c>
      <c r="E100" s="891">
        <v>0.2</v>
      </c>
      <c r="F100" s="878">
        <v>30</v>
      </c>
    </row>
    <row r="101" spans="1:6" s="874" customFormat="1" ht="36">
      <c r="A101" s="878">
        <v>41</v>
      </c>
      <c r="B101" s="334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1" t="s">
        <v>708</v>
      </c>
      <c r="C105" s="878" t="s">
        <v>709</v>
      </c>
      <c r="D105" s="814" t="s">
        <v>710</v>
      </c>
      <c r="E105" s="891">
        <v>0.2</v>
      </c>
      <c r="F105" s="878">
        <v>30</v>
      </c>
    </row>
    <row r="106" spans="1:6" s="874" customFormat="1" ht="36">
      <c r="A106" s="878">
        <v>46</v>
      </c>
      <c r="B106" s="3341"/>
      <c r="C106" s="878" t="s">
        <v>711</v>
      </c>
      <c r="D106" s="814" t="s">
        <v>712</v>
      </c>
      <c r="E106" s="891">
        <v>0.2</v>
      </c>
      <c r="F106" s="878">
        <v>30</v>
      </c>
    </row>
    <row r="107" spans="1:6" s="874" customFormat="1" ht="36">
      <c r="A107" s="878">
        <v>47</v>
      </c>
      <c r="B107" s="3341" t="s">
        <v>713</v>
      </c>
      <c r="C107" s="878" t="s">
        <v>714</v>
      </c>
      <c r="D107" s="814" t="s">
        <v>715</v>
      </c>
      <c r="E107" s="891">
        <v>0.3</v>
      </c>
      <c r="F107" s="878">
        <v>50</v>
      </c>
    </row>
    <row r="108" spans="1:6" s="874" customFormat="1" ht="36">
      <c r="A108" s="878">
        <v>48</v>
      </c>
      <c r="B108" s="334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1" t="s">
        <v>724</v>
      </c>
      <c r="C111" s="878" t="s">
        <v>725</v>
      </c>
      <c r="D111" s="814" t="s">
        <v>726</v>
      </c>
      <c r="E111" s="891">
        <v>0.2</v>
      </c>
      <c r="F111" s="878">
        <v>30</v>
      </c>
    </row>
    <row r="112" spans="1:6" s="874" customFormat="1" ht="24">
      <c r="A112" s="878">
        <v>52</v>
      </c>
      <c r="B112" s="3341"/>
      <c r="C112" s="878" t="s">
        <v>727</v>
      </c>
      <c r="D112" s="814" t="s">
        <v>728</v>
      </c>
      <c r="E112" s="891">
        <v>0.2</v>
      </c>
      <c r="F112" s="878">
        <v>30</v>
      </c>
    </row>
    <row r="113" spans="1:6" s="874" customFormat="1" ht="24">
      <c r="A113" s="878">
        <v>53</v>
      </c>
      <c r="B113" s="334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1" t="s">
        <v>737</v>
      </c>
      <c r="C116" s="878" t="s">
        <v>738</v>
      </c>
      <c r="D116" s="814" t="s">
        <v>739</v>
      </c>
      <c r="E116" s="891">
        <v>0.2</v>
      </c>
      <c r="F116" s="878">
        <v>30</v>
      </c>
    </row>
    <row r="117" spans="1:6" ht="36">
      <c r="A117" s="878">
        <v>57</v>
      </c>
      <c r="B117" s="334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0.86009999999999998</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3001</v>
      </c>
    </row>
    <row r="2" spans="1:5" ht="15.75">
      <c r="A2" s="2905" t="s">
        <v>2993</v>
      </c>
      <c r="B2" s="2906">
        <f ca="1">SUMIF(B6:B13,"&lt;&gt;#ref!",B6:B13)</f>
        <v>755</v>
      </c>
      <c r="C2" s="2905" t="s">
        <v>2994</v>
      </c>
      <c r="D2" s="2905" t="s">
        <v>2995</v>
      </c>
      <c r="E2" s="2906">
        <f ca="1">SUMIF(E6:E13,"&lt;&gt;#ref!",E6:E13)</f>
        <v>2046.64</v>
      </c>
    </row>
    <row r="3" spans="1:5" ht="15.75">
      <c r="A3" s="2905" t="s">
        <v>2996</v>
      </c>
      <c r="B3" s="2906">
        <f ca="1">ROUND(B2*10000/E2,0)</f>
        <v>3689</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f ca="1">SUMIF(INDIRECT("'"&amp;A6&amp;"'"&amp;"!A:A"),"总价",INDIRECT("'"&amp;A6&amp;"'"&amp;"!B:B"))</f>
        <v>755</v>
      </c>
      <c r="C6" s="2905" t="s">
        <v>2994</v>
      </c>
      <c r="D6" s="2907"/>
      <c r="E6" s="2570">
        <f ca="1">SUMIF(INDIRECT("'"&amp;A6&amp;"'"&amp;"!C:C"),"建筑面积",INDIRECT("'"&amp;A6&amp;"'"&amp;"!D:D"))</f>
        <v>2046.64</v>
      </c>
    </row>
    <row r="7" spans="1:5" ht="15.75">
      <c r="A7" s="2910"/>
      <c r="B7" s="2906" t="e">
        <f ca="1">SUMIF(INDIRECT("'"&amp;A7&amp;"'"&amp;"!A:A"),"总价",INDIRECT("'"&amp;A7&amp;"'"&amp;"!B:B"))</f>
        <v>#REF!</v>
      </c>
      <c r="C7" s="2905" t="s">
        <v>2994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0" t="e">
        <f t="shared" ca="1" si="0"/>
        <v>#REF!</v>
      </c>
    </row>
    <row r="9" spans="1:5" ht="15.75">
      <c r="A9" s="2910"/>
      <c r="B9" s="2906" t="e">
        <f t="shared" ca="1" si="1"/>
        <v>#REF!</v>
      </c>
      <c r="C9" s="2905" t="s">
        <v>2994</v>
      </c>
      <c r="D9" s="2907"/>
      <c r="E9" s="2570" t="e">
        <f t="shared" ca="1" si="0"/>
        <v>#REF!</v>
      </c>
    </row>
    <row r="10" spans="1:5" ht="15.75">
      <c r="A10" s="2910"/>
      <c r="B10" s="2906" t="e">
        <f t="shared" ca="1" si="1"/>
        <v>#REF!</v>
      </c>
      <c r="C10" s="2905" t="s">
        <v>2994</v>
      </c>
      <c r="D10" s="2907"/>
      <c r="E10" s="2570" t="e">
        <f t="shared" ca="1" si="0"/>
        <v>#REF!</v>
      </c>
    </row>
    <row r="11" spans="1:5" ht="15.75">
      <c r="A11" s="2910"/>
      <c r="B11" s="2906" t="e">
        <f t="shared" ca="1" si="1"/>
        <v>#REF!</v>
      </c>
      <c r="C11" s="2905" t="s">
        <v>2994</v>
      </c>
      <c r="D11" s="2907"/>
      <c r="E11" s="2570" t="e">
        <f t="shared" ca="1" si="0"/>
        <v>#REF!</v>
      </c>
    </row>
    <row r="12" spans="1:5" ht="15.75">
      <c r="A12" s="2910"/>
      <c r="B12" s="2906" t="e">
        <f t="shared" ca="1" si="1"/>
        <v>#REF!</v>
      </c>
      <c r="C12" s="2905" t="s">
        <v>2994</v>
      </c>
      <c r="D12" s="2907"/>
      <c r="E12" s="2570" t="e">
        <f t="shared" ca="1" si="0"/>
        <v>#REF!</v>
      </c>
    </row>
    <row r="13" spans="1:5" ht="15.75">
      <c r="A13" s="2910"/>
      <c r="B13" s="2906" t="e">
        <f t="shared" ca="1" si="1"/>
        <v>#REF!</v>
      </c>
      <c r="C13" s="2905" t="s">
        <v>2994</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7" t="s">
        <v>1150</v>
      </c>
      <c r="C1" s="3347"/>
      <c r="D1" s="3347"/>
      <c r="E1" s="3347"/>
      <c r="F1" s="3347"/>
      <c r="G1" s="3343" t="s">
        <v>1151</v>
      </c>
      <c r="H1" s="3343"/>
      <c r="I1" s="3343"/>
      <c r="J1" s="3343"/>
      <c r="K1" s="3343"/>
      <c r="L1" s="3343"/>
      <c r="N1" s="3343" t="s">
        <v>1152</v>
      </c>
      <c r="O1" s="3343"/>
      <c r="P1" s="3343"/>
      <c r="Q1" s="3343"/>
      <c r="R1" s="1442"/>
      <c r="S1" s="3343" t="s">
        <v>1153</v>
      </c>
      <c r="T1" s="3343"/>
      <c r="U1" s="3343"/>
      <c r="V1" s="3343"/>
      <c r="X1" s="3342" t="s">
        <v>1154</v>
      </c>
      <c r="Y1" s="3343"/>
      <c r="Z1" s="3343"/>
      <c r="AA1" s="3343"/>
      <c r="AB1" s="3343"/>
      <c r="AD1" s="3342" t="s">
        <v>1155</v>
      </c>
      <c r="AE1" s="3343"/>
      <c r="AF1" s="3343"/>
      <c r="AG1" s="3343"/>
      <c r="AH1" s="3343"/>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3029</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6">
        <v>2018</v>
      </c>
      <c r="H5" s="1726">
        <v>3</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ROUND(SUMPRODUCT(PRODUCT(1+N5:N$22)),4)</f>
        <v>1.4517</v>
      </c>
      <c r="Y5" s="1722">
        <f>ROUND(SUMPRODUCT(PRODUCT(1+O5:O$22)),4)</f>
        <v>1.2928999999999999</v>
      </c>
      <c r="Z5" s="1722">
        <f t="shared" ref="Z5" si="10">Y5</f>
        <v>1.2928999999999999</v>
      </c>
      <c r="AA5" s="1722">
        <f>ROUND(SUMPRODUCT(PRODUCT(1+P5:P$22)),4)</f>
        <v>1.5068999999999999</v>
      </c>
      <c r="AB5" s="1722">
        <f>ROUND(SUMPRODUCT(PRODUCT(1+Q5:Q$22)),4)</f>
        <v>1.2557</v>
      </c>
      <c r="AD5" s="1464">
        <f>ROUND(AVERAGE(I5:I$23)/100,4)</f>
        <v>2.1499999999999998E-2</v>
      </c>
      <c r="AE5" s="1464">
        <f>ROUND(AVERAGE(J5:J$23)/100,4)</f>
        <v>1.49E-2</v>
      </c>
      <c r="AF5" s="1464">
        <f t="shared" ref="AF5" si="11">AE5</f>
        <v>1.49E-2</v>
      </c>
      <c r="AG5" s="1464">
        <f>ROUND(AVERAGE(K5:K$23)/100,4)</f>
        <v>2.3699999999999999E-2</v>
      </c>
      <c r="AH5" s="1464">
        <f>ROUND(AVERAGE(L5:L$23)/100,4)</f>
        <v>1.2800000000000001E-2</v>
      </c>
    </row>
    <row r="6" spans="1:34" s="1462" customFormat="1" ht="13.5" thickBot="1">
      <c r="A6" s="1457" t="s">
        <v>3037</v>
      </c>
      <c r="B6" s="1473">
        <f t="shared" ref="B6" si="12">B7*(1+N6)</f>
        <v>446.46299999999997</v>
      </c>
      <c r="C6" s="1473">
        <f t="shared" ref="C6" si="13">C7*(1+O6)</f>
        <v>333.27840000000003</v>
      </c>
      <c r="D6" s="1473">
        <f t="shared" ref="D6" si="14">C6</f>
        <v>333.27840000000003</v>
      </c>
      <c r="E6" s="1473">
        <f t="shared" ref="E6" si="15">E7*(1+P6)</f>
        <v>637.28279999999995</v>
      </c>
      <c r="F6" s="1473">
        <f t="shared" ref="F6" si="16">F7*(1+Q6)</f>
        <v>288.68830000000003</v>
      </c>
      <c r="G6" s="2934"/>
      <c r="H6" s="1460">
        <v>2</v>
      </c>
      <c r="I6" s="1460">
        <v>0</v>
      </c>
      <c r="J6" s="1460">
        <v>0</v>
      </c>
      <c r="K6" s="1460">
        <v>0</v>
      </c>
      <c r="L6" s="1474">
        <v>0</v>
      </c>
      <c r="M6" s="1467"/>
      <c r="N6" s="1468">
        <f t="shared" ref="N6" si="17">I6/100</f>
        <v>0</v>
      </c>
      <c r="O6" s="1469">
        <f t="shared" ref="O6" si="18">J6/100</f>
        <v>0</v>
      </c>
      <c r="P6" s="1469">
        <f t="shared" ref="P6" si="19">K6/100</f>
        <v>0</v>
      </c>
      <c r="Q6" s="1469">
        <f t="shared" ref="Q6" si="20">L6/100</f>
        <v>0</v>
      </c>
      <c r="R6" s="1470"/>
      <c r="S6" s="1468"/>
      <c r="T6" s="1469"/>
      <c r="U6" s="1469"/>
      <c r="V6" s="1469"/>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2" customFormat="1" ht="13.5" thickBot="1">
      <c r="A7" s="1457" t="s">
        <v>3028</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4"/>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3025</v>
      </c>
      <c r="B8" s="1465">
        <v>439</v>
      </c>
      <c r="C8" s="1465">
        <v>327</v>
      </c>
      <c r="D8" s="1465">
        <f>C8</f>
        <v>327</v>
      </c>
      <c r="E8" s="1465">
        <v>627</v>
      </c>
      <c r="F8" s="1466">
        <v>283</v>
      </c>
      <c r="G8" s="2921">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3026</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7"/>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7" customFormat="1">
      <c r="A10" s="1457" t="s">
        <v>1386</v>
      </c>
      <c r="B10" s="1473">
        <f t="shared" si="40"/>
        <v>419.31181600000002</v>
      </c>
      <c r="C10" s="1473">
        <f t="shared" si="41"/>
        <v>313.95436800000004</v>
      </c>
      <c r="D10" s="1473">
        <f t="shared" si="42"/>
        <v>313.95436800000004</v>
      </c>
      <c r="E10" s="1473">
        <f t="shared" si="43"/>
        <v>596.63028431999999</v>
      </c>
      <c r="F10" s="1473">
        <f t="shared" si="44"/>
        <v>274.74220703999998</v>
      </c>
      <c r="G10" s="2916"/>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1161</v>
      </c>
      <c r="B11" s="1473">
        <f>B12*(1+N11)</f>
        <v>405.524</v>
      </c>
      <c r="C11" s="1473">
        <f>C12*(1+O11)</f>
        <v>307.79840000000002</v>
      </c>
      <c r="D11" s="1473">
        <f>C11</f>
        <v>307.79840000000002</v>
      </c>
      <c r="E11" s="1473">
        <f>E12*(1+P11)</f>
        <v>574.67759999999998</v>
      </c>
      <c r="F11" s="1473">
        <f>F12*(1+Q11)</f>
        <v>270.20280000000002</v>
      </c>
      <c r="G11" s="2917"/>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48">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45"/>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45"/>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46"/>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44">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45"/>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45"/>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46"/>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44">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45"/>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45"/>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46"/>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1162</v>
      </c>
      <c r="X23" s="1501">
        <v>1</v>
      </c>
      <c r="Y23" s="1501">
        <v>1</v>
      </c>
      <c r="Z23" s="1501">
        <v>1</v>
      </c>
      <c r="AA23" s="1501">
        <v>1</v>
      </c>
      <c r="AB23" s="1501">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7" t="s">
        <v>1163</v>
      </c>
      <c r="B24" s="1465">
        <v>299</v>
      </c>
      <c r="C24" s="1465">
        <v>252</v>
      </c>
      <c r="D24" s="1465">
        <f t="shared" si="54"/>
        <v>252</v>
      </c>
      <c r="E24" s="1465">
        <v>409</v>
      </c>
      <c r="F24" s="1466">
        <v>227</v>
      </c>
      <c r="G24" s="3349">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1164</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50"/>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1165</v>
      </c>
      <c r="B26" s="1473">
        <f t="shared" si="63"/>
        <v>288.2649053828776</v>
      </c>
      <c r="C26" s="1473">
        <f t="shared" si="63"/>
        <v>243.64564425013293</v>
      </c>
      <c r="D26" s="1473">
        <f t="shared" si="54"/>
        <v>243.64564425013293</v>
      </c>
      <c r="E26" s="1473">
        <f t="shared" si="64"/>
        <v>393.31080825986544</v>
      </c>
      <c r="F26" s="1473">
        <f t="shared" si="64"/>
        <v>223.07903790551154</v>
      </c>
      <c r="G26" s="3350"/>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1166</v>
      </c>
      <c r="B27" s="1473">
        <f t="shared" si="63"/>
        <v>282.50186729015837</v>
      </c>
      <c r="C27" s="1473">
        <f t="shared" si="63"/>
        <v>238.09796174155468</v>
      </c>
      <c r="D27" s="1473">
        <f t="shared" si="54"/>
        <v>238.09796174155468</v>
      </c>
      <c r="E27" s="1473">
        <f t="shared" si="64"/>
        <v>385.33438646014054</v>
      </c>
      <c r="F27" s="1473">
        <f t="shared" si="64"/>
        <v>221.55034055567739</v>
      </c>
      <c r="G27" s="3351"/>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1167</v>
      </c>
      <c r="B28" s="1507">
        <v>278</v>
      </c>
      <c r="C28" s="1507">
        <v>234</v>
      </c>
      <c r="D28" s="1507">
        <f t="shared" si="54"/>
        <v>234</v>
      </c>
      <c r="E28" s="1507">
        <v>379</v>
      </c>
      <c r="F28" s="1508">
        <v>220</v>
      </c>
      <c r="G28" s="3344">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1168</v>
      </c>
      <c r="B29" s="1473">
        <f>B28/(1+N28)</f>
        <v>275.49301357645425</v>
      </c>
      <c r="C29" s="1473">
        <f>C28/(1+O28)</f>
        <v>232.41954707985698</v>
      </c>
      <c r="D29" s="1473">
        <f t="shared" si="54"/>
        <v>232.41954707985698</v>
      </c>
      <c r="E29" s="1473">
        <f t="shared" ref="E29:F31" si="65">E28/(1+P28)</f>
        <v>375.32184591008121</v>
      </c>
      <c r="F29" s="1473">
        <f t="shared" si="65"/>
        <v>218.03766105054513</v>
      </c>
      <c r="G29" s="3345"/>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1169</v>
      </c>
      <c r="B30" s="1473">
        <f>B29/(1+N29)</f>
        <v>275.24529281292263</v>
      </c>
      <c r="C30" s="1473">
        <f>C29/(1+O29)</f>
        <v>231.74747938962707</v>
      </c>
      <c r="D30" s="1473">
        <f t="shared" si="54"/>
        <v>231.74747938962707</v>
      </c>
      <c r="E30" s="1473">
        <f t="shared" si="65"/>
        <v>375.35938184826603</v>
      </c>
      <c r="F30" s="1473">
        <f t="shared" si="65"/>
        <v>216.78033510692495</v>
      </c>
      <c r="G30" s="3345"/>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1170</v>
      </c>
      <c r="B31" s="1473">
        <f>B30/(1+N30)</f>
        <v>275.19025476197027</v>
      </c>
      <c r="C31" s="1509">
        <v>232</v>
      </c>
      <c r="D31" s="1509">
        <f t="shared" si="54"/>
        <v>232</v>
      </c>
      <c r="E31" s="1473">
        <f t="shared" si="65"/>
        <v>375.65990977608692</v>
      </c>
      <c r="F31" s="1473">
        <f t="shared" si="65"/>
        <v>214.12518283971252</v>
      </c>
      <c r="G31" s="3346"/>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1171</v>
      </c>
      <c r="B32" s="1465">
        <v>275</v>
      </c>
      <c r="C32" s="1465">
        <v>232</v>
      </c>
      <c r="D32" s="1465">
        <f t="shared" si="54"/>
        <v>232</v>
      </c>
      <c r="E32" s="1465">
        <v>376</v>
      </c>
      <c r="F32" s="1466">
        <v>213</v>
      </c>
      <c r="G32" s="3344">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1172</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45">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1173</v>
      </c>
      <c r="B34" s="1473">
        <f t="shared" si="66"/>
        <v>275.19335084830601</v>
      </c>
      <c r="C34" s="1473">
        <f t="shared" si="66"/>
        <v>230.18088050139744</v>
      </c>
      <c r="D34" s="1473">
        <f t="shared" si="54"/>
        <v>230.18088050139744</v>
      </c>
      <c r="E34" s="1473">
        <f t="shared" si="67"/>
        <v>377.58482925212331</v>
      </c>
      <c r="F34" s="1473">
        <f t="shared" si="67"/>
        <v>210.90687997847917</v>
      </c>
      <c r="G34" s="3345">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1174</v>
      </c>
      <c r="B35" s="1473">
        <f t="shared" si="66"/>
        <v>276.29854502841971</v>
      </c>
      <c r="C35" s="1473">
        <f t="shared" si="66"/>
        <v>229.79023709833027</v>
      </c>
      <c r="D35" s="1473">
        <f t="shared" si="54"/>
        <v>229.79023709833027</v>
      </c>
      <c r="E35" s="1473">
        <f t="shared" si="67"/>
        <v>379.78759731655936</v>
      </c>
      <c r="F35" s="1473">
        <f t="shared" si="67"/>
        <v>211.32953905659235</v>
      </c>
      <c r="G35" s="3346">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1175</v>
      </c>
      <c r="B36" s="1465">
        <v>269</v>
      </c>
      <c r="C36" s="1465">
        <v>221</v>
      </c>
      <c r="D36" s="1465">
        <f t="shared" si="54"/>
        <v>221</v>
      </c>
      <c r="E36" s="1465">
        <v>373</v>
      </c>
      <c r="F36" s="1466">
        <v>196</v>
      </c>
      <c r="G36" s="3344">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1176</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45">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1177</v>
      </c>
      <c r="B38" s="1473">
        <f t="shared" si="68"/>
        <v>242.95398227588385</v>
      </c>
      <c r="C38" s="1473">
        <f t="shared" si="68"/>
        <v>199.59137053614126</v>
      </c>
      <c r="D38" s="1473">
        <f t="shared" si="54"/>
        <v>199.59137053614126</v>
      </c>
      <c r="E38" s="1473">
        <f t="shared" si="69"/>
        <v>335.92189522342125</v>
      </c>
      <c r="F38" s="1473">
        <f t="shared" si="69"/>
        <v>183.10139991109489</v>
      </c>
      <c r="G38" s="3345">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1178</v>
      </c>
      <c r="B39" s="1473">
        <f t="shared" si="68"/>
        <v>232.06990378821649</v>
      </c>
      <c r="C39" s="1473">
        <f t="shared" si="68"/>
        <v>192.74878854286936</v>
      </c>
      <c r="D39" s="1473">
        <f t="shared" si="54"/>
        <v>192.74878854286936</v>
      </c>
      <c r="E39" s="1473">
        <f t="shared" si="69"/>
        <v>319.71247284992984</v>
      </c>
      <c r="F39" s="1473">
        <f t="shared" si="69"/>
        <v>175.67053622862409</v>
      </c>
      <c r="G39" s="3346">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1179</v>
      </c>
      <c r="B40" s="1465">
        <v>220</v>
      </c>
      <c r="C40" s="1465">
        <v>187</v>
      </c>
      <c r="D40" s="1465">
        <f t="shared" si="54"/>
        <v>187</v>
      </c>
      <c r="E40" s="1465">
        <v>301</v>
      </c>
      <c r="F40" s="1466">
        <v>168</v>
      </c>
      <c r="G40" s="3344">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1180</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45">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1181</v>
      </c>
      <c r="B42" s="1473">
        <f t="shared" si="70"/>
        <v>210.630522469011</v>
      </c>
      <c r="C42" s="1473">
        <f t="shared" si="70"/>
        <v>181.69567812247232</v>
      </c>
      <c r="D42" s="1473">
        <f t="shared" si="54"/>
        <v>181.69567812247232</v>
      </c>
      <c r="E42" s="1473">
        <f t="shared" si="71"/>
        <v>286.13517466736738</v>
      </c>
      <c r="F42" s="1473">
        <f t="shared" si="71"/>
        <v>165.47535084591149</v>
      </c>
      <c r="G42" s="3345">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1182</v>
      </c>
      <c r="B43" s="1473">
        <f t="shared" si="70"/>
        <v>208.83454537875372</v>
      </c>
      <c r="C43" s="1473">
        <f t="shared" si="70"/>
        <v>183.77230517090351</v>
      </c>
      <c r="D43" s="1473">
        <f t="shared" si="54"/>
        <v>183.77230517090351</v>
      </c>
      <c r="E43" s="1473">
        <f t="shared" si="71"/>
        <v>281.10342338870947</v>
      </c>
      <c r="F43" s="1473">
        <f t="shared" si="71"/>
        <v>168.97309388942256</v>
      </c>
      <c r="G43" s="3346">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1183</v>
      </c>
      <c r="B44" s="1507">
        <v>214</v>
      </c>
      <c r="C44" s="1507">
        <v>188</v>
      </c>
      <c r="D44" s="1507">
        <f t="shared" si="54"/>
        <v>188</v>
      </c>
      <c r="E44" s="1507">
        <v>289</v>
      </c>
      <c r="F44" s="1508">
        <v>166</v>
      </c>
      <c r="G44" s="3344">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1184</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45">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1185</v>
      </c>
      <c r="B46" s="1473">
        <f t="shared" si="72"/>
        <v>206.31694671589116</v>
      </c>
      <c r="C46" s="1473">
        <f t="shared" si="72"/>
        <v>183.61041121036101</v>
      </c>
      <c r="D46" s="1473">
        <f t="shared" si="54"/>
        <v>183.61041121036101</v>
      </c>
      <c r="E46" s="1473">
        <f t="shared" si="73"/>
        <v>276.66850301795557</v>
      </c>
      <c r="F46" s="1473">
        <f t="shared" si="73"/>
        <v>165.1360938278614</v>
      </c>
      <c r="G46" s="3345">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1186</v>
      </c>
      <c r="B47" s="1510">
        <f t="shared" si="72"/>
        <v>196.62341248059772</v>
      </c>
      <c r="C47" s="1510">
        <f t="shared" si="72"/>
        <v>170.99125648199012</v>
      </c>
      <c r="D47" s="1510">
        <f t="shared" si="54"/>
        <v>170.99125648199012</v>
      </c>
      <c r="E47" s="1510">
        <f t="shared" si="73"/>
        <v>266.07857570490052</v>
      </c>
      <c r="F47" s="1510">
        <f t="shared" si="73"/>
        <v>154.53499328828505</v>
      </c>
      <c r="G47" s="3346">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1187</v>
      </c>
      <c r="B48" s="1465">
        <v>188</v>
      </c>
      <c r="C48" s="1465">
        <v>165</v>
      </c>
      <c r="D48" s="1465">
        <f t="shared" si="54"/>
        <v>165</v>
      </c>
      <c r="E48" s="1465">
        <v>254</v>
      </c>
      <c r="F48" s="1466">
        <v>148</v>
      </c>
      <c r="G48" s="3344">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1188</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45">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1189</v>
      </c>
      <c r="B50" s="1473">
        <f t="shared" si="76"/>
        <v>168.82017748715555</v>
      </c>
      <c r="C50" s="1473">
        <f t="shared" si="76"/>
        <v>148.06267029972753</v>
      </c>
      <c r="D50" s="1473">
        <f t="shared" si="54"/>
        <v>148.06267029972753</v>
      </c>
      <c r="E50" s="1473">
        <f t="shared" si="77"/>
        <v>216.46288379323747</v>
      </c>
      <c r="F50" s="1473">
        <f t="shared" si="77"/>
        <v>134.23529411764704</v>
      </c>
      <c r="G50" s="3345">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1190</v>
      </c>
      <c r="B51" s="1473">
        <f t="shared" si="76"/>
        <v>163.84913591779542</v>
      </c>
      <c r="C51" s="1473">
        <f t="shared" si="76"/>
        <v>145.0283378746594</v>
      </c>
      <c r="D51" s="1473">
        <f t="shared" si="54"/>
        <v>145.0283378746594</v>
      </c>
      <c r="E51" s="1473">
        <f t="shared" si="77"/>
        <v>204.95180722891567</v>
      </c>
      <c r="F51" s="1473">
        <f t="shared" si="77"/>
        <v>125.95920303605313</v>
      </c>
      <c r="G51" s="3346">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1191</v>
      </c>
      <c r="B52" s="1486">
        <v>159</v>
      </c>
      <c r="C52" s="1486">
        <v>141</v>
      </c>
      <c r="D52" s="1486">
        <f t="shared" si="54"/>
        <v>141</v>
      </c>
      <c r="E52" s="1486">
        <v>195</v>
      </c>
      <c r="F52" s="1487">
        <v>122</v>
      </c>
      <c r="G52" s="3344">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1192</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45">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1193</v>
      </c>
      <c r="B54" s="1473">
        <f t="shared" si="80"/>
        <v>146.57412060301507</v>
      </c>
      <c r="C54" s="1473">
        <f t="shared" si="80"/>
        <v>136.46831955922866</v>
      </c>
      <c r="D54" s="1473">
        <f t="shared" si="54"/>
        <v>136.46831955922866</v>
      </c>
      <c r="E54" s="1473">
        <f t="shared" si="81"/>
        <v>166.73864894795128</v>
      </c>
      <c r="F54" s="1473">
        <f t="shared" si="81"/>
        <v>115.05882352941177</v>
      </c>
      <c r="G54" s="3345">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1194</v>
      </c>
      <c r="B55" s="1473">
        <f t="shared" si="80"/>
        <v>144.04145728643215</v>
      </c>
      <c r="C55" s="1473">
        <f t="shared" si="80"/>
        <v>136.12396694214877</v>
      </c>
      <c r="D55" s="1473">
        <f t="shared" si="54"/>
        <v>136.12396694214877</v>
      </c>
      <c r="E55" s="1473">
        <f t="shared" si="81"/>
        <v>158.32225913621264</v>
      </c>
      <c r="F55" s="1473">
        <f t="shared" si="81"/>
        <v>114.04278074866311</v>
      </c>
      <c r="G55" s="3346">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1195</v>
      </c>
      <c r="B56" s="1486">
        <v>138</v>
      </c>
      <c r="C56" s="1486">
        <v>131</v>
      </c>
      <c r="D56" s="1486">
        <f t="shared" si="54"/>
        <v>131</v>
      </c>
      <c r="E56" s="1486">
        <v>155</v>
      </c>
      <c r="F56" s="1487">
        <v>114</v>
      </c>
      <c r="G56" s="3344">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1196</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45">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1197</v>
      </c>
      <c r="B58" s="1473">
        <f t="shared" si="84"/>
        <v>124.29032258064517</v>
      </c>
      <c r="C58" s="1473">
        <f t="shared" si="84"/>
        <v>123.8968609865471</v>
      </c>
      <c r="D58" s="1473">
        <f t="shared" si="54"/>
        <v>123.8968609865471</v>
      </c>
      <c r="E58" s="1473">
        <f t="shared" si="85"/>
        <v>138.00507614213197</v>
      </c>
      <c r="F58" s="1473">
        <f t="shared" si="85"/>
        <v>107.96106557377048</v>
      </c>
      <c r="G58" s="3345">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1198</v>
      </c>
      <c r="B59" s="1473">
        <f t="shared" si="84"/>
        <v>122.57204301075269</v>
      </c>
      <c r="C59" s="1473">
        <f t="shared" si="84"/>
        <v>123.4932735426009</v>
      </c>
      <c r="D59" s="1473">
        <f t="shared" si="54"/>
        <v>123.4932735426009</v>
      </c>
      <c r="E59" s="1473">
        <f t="shared" si="85"/>
        <v>129.82233502538071</v>
      </c>
      <c r="F59" s="1473">
        <f t="shared" si="85"/>
        <v>107.39446721311475</v>
      </c>
      <c r="G59" s="3346">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1199</v>
      </c>
      <c r="B60" s="1507">
        <v>121</v>
      </c>
      <c r="C60" s="1507">
        <v>122</v>
      </c>
      <c r="D60" s="1507">
        <f t="shared" si="54"/>
        <v>122</v>
      </c>
      <c r="E60" s="1507">
        <v>124</v>
      </c>
      <c r="F60" s="1508">
        <v>107</v>
      </c>
      <c r="G60" s="3344">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1200</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45">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1201</v>
      </c>
      <c r="B62" s="1473">
        <f t="shared" si="88"/>
        <v>116.99099099099099</v>
      </c>
      <c r="C62" s="1473">
        <f t="shared" si="88"/>
        <v>118.84848484848486</v>
      </c>
      <c r="D62" s="1473">
        <f t="shared" si="54"/>
        <v>118.84848484848486</v>
      </c>
      <c r="E62" s="1473">
        <f t="shared" si="89"/>
        <v>117.60960960960961</v>
      </c>
      <c r="F62" s="1473">
        <f t="shared" si="89"/>
        <v>104</v>
      </c>
      <c r="G62" s="3345">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1202</v>
      </c>
      <c r="B63" s="1510">
        <f t="shared" si="88"/>
        <v>112.48648648648648</v>
      </c>
      <c r="C63" s="1510">
        <f t="shared" si="88"/>
        <v>115.21212121212122</v>
      </c>
      <c r="D63" s="1510">
        <f t="shared" si="54"/>
        <v>115.21212121212122</v>
      </c>
      <c r="E63" s="1510">
        <f t="shared" si="89"/>
        <v>110.4024024024024</v>
      </c>
      <c r="F63" s="1510">
        <f t="shared" si="89"/>
        <v>104</v>
      </c>
      <c r="G63" s="3346">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1203</v>
      </c>
      <c r="B64" s="1528">
        <v>111</v>
      </c>
      <c r="C64" s="1528">
        <v>114</v>
      </c>
      <c r="D64" s="1528">
        <f t="shared" si="54"/>
        <v>114</v>
      </c>
      <c r="E64" s="1528">
        <v>108</v>
      </c>
      <c r="F64" s="1529">
        <v>104</v>
      </c>
      <c r="G64" s="3344">
        <v>2003</v>
      </c>
      <c r="H64" s="1518">
        <v>4</v>
      </c>
      <c r="I64" s="1530"/>
      <c r="J64" s="1530"/>
      <c r="K64" s="1530"/>
      <c r="L64" s="1530"/>
      <c r="N64" s="1531"/>
      <c r="O64" s="1530"/>
      <c r="P64" s="1530"/>
      <c r="Q64" s="1530"/>
      <c r="S64" s="1531"/>
      <c r="T64" s="1530"/>
      <c r="U64" s="1530"/>
      <c r="V64" s="1530"/>
      <c r="X64" s="1522"/>
      <c r="Y64" s="1522"/>
      <c r="Z64" s="1522"/>
    </row>
    <row r="65" spans="1:26">
      <c r="A65" s="1457" t="s">
        <v>1204</v>
      </c>
      <c r="B65" s="1532">
        <f t="shared" ref="B65:C67" si="90">B66+(B$64-B$68)/4</f>
        <v>109.75</v>
      </c>
      <c r="C65" s="1532">
        <f t="shared" si="90"/>
        <v>112.25</v>
      </c>
      <c r="D65" s="1532">
        <f t="shared" si="54"/>
        <v>112.25</v>
      </c>
      <c r="E65" s="1532">
        <f t="shared" ref="E65:F67" si="91">E66+(E$64-E$68)/4</f>
        <v>107.25</v>
      </c>
      <c r="F65" s="1532">
        <f t="shared" si="91"/>
        <v>103.5</v>
      </c>
      <c r="G65" s="3345">
        <v>2003</v>
      </c>
      <c r="H65" s="1483">
        <v>3</v>
      </c>
      <c r="I65" s="1530"/>
      <c r="J65" s="1530"/>
      <c r="K65" s="1530"/>
      <c r="L65" s="1530"/>
      <c r="X65" s="1522"/>
      <c r="Y65" s="1522"/>
      <c r="Z65" s="1522"/>
    </row>
    <row r="66" spans="1:26">
      <c r="A66" s="1457" t="s">
        <v>1205</v>
      </c>
      <c r="B66" s="1532">
        <f t="shared" si="90"/>
        <v>108.5</v>
      </c>
      <c r="C66" s="1532">
        <f t="shared" si="90"/>
        <v>110.5</v>
      </c>
      <c r="D66" s="1532">
        <f t="shared" si="54"/>
        <v>110.5</v>
      </c>
      <c r="E66" s="1532">
        <f t="shared" si="91"/>
        <v>106.5</v>
      </c>
      <c r="F66" s="1532">
        <f t="shared" si="91"/>
        <v>103</v>
      </c>
      <c r="G66" s="3345">
        <v>2003</v>
      </c>
      <c r="H66" s="1461">
        <v>2</v>
      </c>
      <c r="I66" s="1530"/>
      <c r="J66" s="1530"/>
      <c r="K66" s="1530"/>
      <c r="L66" s="1530"/>
      <c r="X66" s="1522"/>
      <c r="Y66" s="1522"/>
      <c r="Z66" s="1522"/>
    </row>
    <row r="67" spans="1:26" ht="13.5" thickBot="1">
      <c r="A67" s="1457" t="s">
        <v>1206</v>
      </c>
      <c r="B67" s="1532">
        <f t="shared" si="90"/>
        <v>107.25</v>
      </c>
      <c r="C67" s="1532">
        <f t="shared" si="90"/>
        <v>108.75</v>
      </c>
      <c r="D67" s="1532">
        <f t="shared" si="54"/>
        <v>108.75</v>
      </c>
      <c r="E67" s="1532">
        <f t="shared" si="91"/>
        <v>105.75</v>
      </c>
      <c r="F67" s="1532">
        <f t="shared" si="91"/>
        <v>102.5</v>
      </c>
      <c r="G67" s="3346">
        <v>2003</v>
      </c>
      <c r="H67" s="1533">
        <v>1</v>
      </c>
      <c r="I67" s="1530"/>
      <c r="J67" s="1530"/>
      <c r="K67" s="1530"/>
      <c r="L67" s="1530"/>
      <c r="S67" s="1468"/>
      <c r="T67" s="1469"/>
      <c r="U67" s="1469"/>
      <c r="X67" s="1522"/>
      <c r="Y67" s="1522"/>
      <c r="Z67" s="1522"/>
    </row>
    <row r="68" spans="1:26" ht="13.5" thickBot="1">
      <c r="A68" s="1457" t="s">
        <v>1207</v>
      </c>
      <c r="B68" s="1534">
        <v>106</v>
      </c>
      <c r="C68" s="1534">
        <v>107</v>
      </c>
      <c r="D68" s="1534">
        <f t="shared" si="54"/>
        <v>107</v>
      </c>
      <c r="E68" s="1534">
        <v>105</v>
      </c>
      <c r="F68" s="1535">
        <v>102</v>
      </c>
      <c r="G68" s="3344">
        <v>2002</v>
      </c>
      <c r="H68" s="1478">
        <v>4</v>
      </c>
      <c r="I68" s="1530"/>
      <c r="J68" s="1530"/>
      <c r="K68" s="1530"/>
      <c r="L68" s="1530"/>
      <c r="N68" s="1531"/>
      <c r="O68" s="1530"/>
      <c r="P68" s="1530"/>
      <c r="Q68" s="1530"/>
      <c r="S68" s="1531"/>
      <c r="T68" s="1530"/>
      <c r="U68" s="1530"/>
      <c r="V68" s="1530"/>
      <c r="X68" s="1522"/>
      <c r="Y68" s="1522"/>
      <c r="Z68" s="1522"/>
    </row>
    <row r="69" spans="1:26">
      <c r="A69" s="1457" t="s">
        <v>1208</v>
      </c>
      <c r="B69" s="1532">
        <f t="shared" ref="B69:C71" si="92">B70+(B$68-B$72)/4</f>
        <v>105</v>
      </c>
      <c r="C69" s="1532">
        <f t="shared" si="92"/>
        <v>106</v>
      </c>
      <c r="D69" s="1532">
        <f t="shared" si="54"/>
        <v>106</v>
      </c>
      <c r="E69" s="1532">
        <f t="shared" ref="E69:F71" si="93">E70+(E$68-E$72)/4</f>
        <v>104.5</v>
      </c>
      <c r="F69" s="1532">
        <f t="shared" si="93"/>
        <v>101.5</v>
      </c>
      <c r="G69" s="3345">
        <v>2002</v>
      </c>
      <c r="H69" s="1483">
        <v>3</v>
      </c>
      <c r="I69" s="1530"/>
      <c r="J69" s="1530"/>
      <c r="K69" s="1530"/>
      <c r="L69" s="1530"/>
      <c r="X69" s="1522"/>
      <c r="Y69" s="1522"/>
      <c r="Z69" s="1522"/>
    </row>
    <row r="70" spans="1:26">
      <c r="A70" s="1457" t="s">
        <v>1209</v>
      </c>
      <c r="B70" s="1532">
        <f t="shared" si="92"/>
        <v>104</v>
      </c>
      <c r="C70" s="1532">
        <f t="shared" si="92"/>
        <v>105</v>
      </c>
      <c r="D70" s="1532">
        <f t="shared" si="54"/>
        <v>105</v>
      </c>
      <c r="E70" s="1532">
        <f t="shared" si="93"/>
        <v>104</v>
      </c>
      <c r="F70" s="1532">
        <f t="shared" si="93"/>
        <v>101</v>
      </c>
      <c r="G70" s="3345">
        <v>2002</v>
      </c>
      <c r="H70" s="1461">
        <v>2</v>
      </c>
      <c r="I70" s="1530"/>
      <c r="J70" s="1530"/>
      <c r="K70" s="1530"/>
      <c r="L70" s="1530"/>
      <c r="X70" s="1522"/>
      <c r="Y70" s="1522"/>
      <c r="Z70" s="1522"/>
    </row>
    <row r="71" spans="1:26" s="1494" customFormat="1" ht="13.5" thickBot="1">
      <c r="A71" s="1490" t="s">
        <v>1210</v>
      </c>
      <c r="B71" s="1536">
        <f t="shared" si="92"/>
        <v>103</v>
      </c>
      <c r="C71" s="1536">
        <f t="shared" si="92"/>
        <v>104</v>
      </c>
      <c r="D71" s="1536">
        <f t="shared" si="54"/>
        <v>104</v>
      </c>
      <c r="E71" s="1536">
        <f t="shared" si="93"/>
        <v>103.5</v>
      </c>
      <c r="F71" s="1536">
        <f t="shared" si="93"/>
        <v>100.5</v>
      </c>
      <c r="G71" s="3346">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1211</v>
      </c>
      <c r="G74" s="1546"/>
      <c r="N74" s="1546"/>
      <c r="S74" s="1546"/>
    </row>
    <row r="75" spans="1:26" s="1545" customFormat="1">
      <c r="A75" s="1545" t="s">
        <v>1212</v>
      </c>
      <c r="G75" s="1546"/>
      <c r="N75" s="1546"/>
      <c r="S75" s="1546"/>
    </row>
    <row r="76" spans="1:26" s="1545" customFormat="1">
      <c r="A76" s="1545" t="s">
        <v>1213</v>
      </c>
      <c r="G76" s="1546"/>
      <c r="I76" s="1547"/>
      <c r="J76" s="1547"/>
      <c r="K76" s="1547"/>
      <c r="L76" s="1547"/>
      <c r="N76" s="1548"/>
      <c r="O76" s="1547"/>
      <c r="P76" s="1547"/>
      <c r="Q76" s="1547"/>
      <c r="S76" s="1548"/>
      <c r="T76" s="1547"/>
      <c r="U76" s="1547"/>
      <c r="V76" s="1547"/>
    </row>
    <row r="77" spans="1:26" s="1545" customFormat="1">
      <c r="A77" s="1545" t="s">
        <v>1214</v>
      </c>
      <c r="G77" s="1546"/>
      <c r="N77" s="1546"/>
      <c r="S77" s="1546"/>
    </row>
    <row r="84" spans="7:22" ht="13.5" thickBot="1"/>
    <row r="85" spans="7:22">
      <c r="G85" s="1467"/>
      <c r="S85" s="1549" t="s">
        <v>1215</v>
      </c>
      <c r="T85" s="1550" t="s">
        <v>1216</v>
      </c>
      <c r="U85" s="1550" t="s">
        <v>1217</v>
      </c>
      <c r="V85" s="1550" t="s">
        <v>1218</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42487</v>
      </c>
      <c r="C2" s="2" t="s">
        <v>133</v>
      </c>
      <c r="D2" s="243"/>
      <c r="E2" s="243"/>
      <c r="F2" s="243"/>
      <c r="G2" s="243"/>
    </row>
    <row r="3" spans="1:7" s="244" customFormat="1" ht="18" customHeight="1" thickBot="1">
      <c r="A3" s="247" t="s">
        <v>85</v>
      </c>
      <c r="B3" s="248">
        <f ca="1">ROUND(B2*10000/'数据-汇总表'!E3,0)</f>
        <v>12435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683</v>
      </c>
      <c r="D10" s="1030">
        <f>'数据-汇总表'!E6</f>
        <v>34166.230000000018</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683</v>
      </c>
      <c r="D19" s="1034">
        <f>'数据-汇总表'!E3</f>
        <v>34166.230000000018</v>
      </c>
      <c r="E19" s="255">
        <f>'数据-取费表'!B31</f>
        <v>200</v>
      </c>
      <c r="F19" s="275"/>
      <c r="G19" s="1" t="s">
        <v>1074</v>
      </c>
    </row>
    <row r="20" spans="1:7" s="258" customFormat="1" ht="13.5" customHeight="1">
      <c r="A20" s="946" t="s">
        <v>1057</v>
      </c>
      <c r="B20" s="254" t="s">
        <v>104</v>
      </c>
      <c r="C20" s="276">
        <f>ROUND((C5+C19)*F20,0)</f>
        <v>426</v>
      </c>
      <c r="D20" s="276"/>
      <c r="E20" s="276"/>
      <c r="F20" s="277">
        <f>'数据-取费表'!B37</f>
        <v>0.02</v>
      </c>
      <c r="G20" s="1285"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0">
        <f ca="1">ROUND(SUM(C23:C25),0)</f>
        <v>2090</v>
      </c>
      <c r="D22" s="279">
        <f ca="1">C26</f>
        <v>1E-3</v>
      </c>
      <c r="E22" s="280" t="s">
        <v>126</v>
      </c>
      <c r="F22" s="281">
        <f ca="1">'数据-取费表'!B40</f>
        <v>4.7500000000000001E-2</v>
      </c>
      <c r="G22" s="1285" t="str">
        <f>IF('数据-取费表'!B22&lt;=1,"单利计息","复利计息")</f>
        <v>复利计息</v>
      </c>
    </row>
    <row r="23" spans="1:7" s="258" customFormat="1" ht="13.5" customHeight="1">
      <c r="A23" s="949" t="s">
        <v>794</v>
      </c>
      <c r="B23" s="259" t="s">
        <v>1061</v>
      </c>
      <c r="C23" s="1351">
        <f ca="1">ROUND(IF('数据-取费表'!B22&lt;=1,C5*F22*'数据-取费表'!B23,C5*(POWER((1+F22),'数据-取费表'!B23)-1)),0)</f>
        <v>2004</v>
      </c>
      <c r="D23" s="282"/>
      <c r="E23" s="282"/>
      <c r="F23" s="283"/>
      <c r="G23" s="284" t="s">
        <v>108</v>
      </c>
    </row>
    <row r="24" spans="1:7" s="258" customFormat="1" ht="13.5" customHeight="1">
      <c r="A24" s="949" t="s">
        <v>792</v>
      </c>
      <c r="B24" s="259" t="s">
        <v>1056</v>
      </c>
      <c r="C24" s="1351">
        <f ca="1">ROUND(IF('数据-取费表'!B22&lt;=1,C19*F22*('数据-取费表'!B19/2+'数据-取费表'!B21),C19*(POWER((1+F22),('数据-取费表'!B19/2+'数据-取费表'!B21))-1)),0)</f>
        <v>66</v>
      </c>
      <c r="D24" s="282"/>
      <c r="E24" s="282"/>
      <c r="F24" s="283"/>
      <c r="G24" s="284" t="s">
        <v>109</v>
      </c>
    </row>
    <row r="25" spans="1:7" s="258" customFormat="1" ht="24">
      <c r="A25" s="949" t="s">
        <v>793</v>
      </c>
      <c r="B25" s="259" t="s">
        <v>1058</v>
      </c>
      <c r="C25" s="1351">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2389</v>
      </c>
      <c r="D27" s="279">
        <f>C29</f>
        <v>2.2000000000000001E-3</v>
      </c>
      <c r="E27" s="280" t="s">
        <v>126</v>
      </c>
      <c r="F27" s="290">
        <f>'数据-取费表'!Q16</f>
        <v>0.11</v>
      </c>
      <c r="G27" s="291" t="s">
        <v>1069</v>
      </c>
    </row>
    <row r="28" spans="1:7" s="258" customFormat="1" ht="13.5" customHeight="1">
      <c r="A28" s="949" t="s">
        <v>794</v>
      </c>
      <c r="B28" s="292" t="s">
        <v>1062</v>
      </c>
      <c r="C28" s="293">
        <f>ROUND((C5+C19+C20)*F27*'数据-取费表'!B21/'数据-取费表'!B20,0)</f>
        <v>2389</v>
      </c>
      <c r="D28" s="279"/>
      <c r="E28" s="280"/>
      <c r="F28" s="290"/>
      <c r="G28" s="291"/>
    </row>
    <row r="29" spans="1:7" s="258" customFormat="1" ht="13.5" customHeight="1">
      <c r="A29" s="949" t="s">
        <v>792</v>
      </c>
      <c r="B29" s="292" t="s">
        <v>1063</v>
      </c>
      <c r="C29" s="282">
        <f>ROUND(C21*F27*'数据-取费表'!B21/'数据-取费表'!B20,4)</f>
        <v>2.2000000000000001E-3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11384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10240</v>
      </c>
      <c r="D34" s="261"/>
      <c r="E34" s="264"/>
      <c r="F34" s="301">
        <f>IF('数据-取费表'!B24=0,1,'数据-取费表'!N16)</f>
        <v>1</v>
      </c>
      <c r="G34" s="263" t="s">
        <v>116</v>
      </c>
    </row>
    <row r="35" spans="1:7" ht="13.5" customHeight="1">
      <c r="A35" s="949" t="s">
        <v>796</v>
      </c>
      <c r="B35" s="259" t="s">
        <v>60</v>
      </c>
      <c r="C35" s="264">
        <f>ROUND(C34*F35,0)</f>
        <v>307</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683</v>
      </c>
      <c r="D37" s="261">
        <f>'数据-汇总表'!E3</f>
        <v>34166.230000000018</v>
      </c>
      <c r="E37" s="293">
        <f>'数据-取费表'!B35</f>
        <v>200</v>
      </c>
      <c r="F37" s="303"/>
      <c r="G37" s="305" t="s">
        <v>119</v>
      </c>
    </row>
    <row r="38" spans="1:7" ht="13.5" customHeight="1">
      <c r="A38" s="949" t="s">
        <v>799</v>
      </c>
      <c r="B38" s="259" t="s">
        <v>63</v>
      </c>
      <c r="C38" s="264">
        <f>ROUND(C34*F38,0)</f>
        <v>154</v>
      </c>
      <c r="D38" s="264"/>
      <c r="E38" s="264"/>
      <c r="F38" s="303">
        <f>'数据-取费表'!B36</f>
        <v>1.4999999999999999E-2</v>
      </c>
      <c r="G38" s="263" t="s">
        <v>117</v>
      </c>
    </row>
    <row r="39" spans="1:7" s="258" customFormat="1" ht="13.5" customHeight="1">
      <c r="A39" s="946" t="s">
        <v>783</v>
      </c>
      <c r="B39" s="254" t="s">
        <v>104</v>
      </c>
      <c r="C39" s="276">
        <f>ROUND(C33*F20,0)</f>
        <v>228</v>
      </c>
      <c r="D39" s="276"/>
      <c r="E39" s="276"/>
      <c r="F39" s="277"/>
      <c r="G39" s="1285"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552</v>
      </c>
      <c r="D41" s="279">
        <f ca="1">C44</f>
        <v>1E-3</v>
      </c>
      <c r="E41" s="280" t="s">
        <v>129</v>
      </c>
      <c r="F41" s="281"/>
      <c r="G41" s="1285" t="str">
        <f>IF('数据-取费表'!B22&lt;=1,"单利计息","复利计息")</f>
        <v>复利计息</v>
      </c>
    </row>
    <row r="42" spans="1:7" ht="13.5" customHeight="1">
      <c r="A42" s="949" t="s">
        <v>794</v>
      </c>
      <c r="B42" s="259" t="s">
        <v>1061</v>
      </c>
      <c r="C42" s="282">
        <f ca="1">ROUND(IF('数据-取费表'!B22&lt;=1,C33*F22*'数据-取费表'!B21/2,C33*(POWER((1+F22),'数据-取费表'!B21/2)-1)),0)</f>
        <v>541</v>
      </c>
      <c r="D42" s="282"/>
      <c r="E42" s="282"/>
      <c r="F42" s="283"/>
      <c r="G42" s="3271" t="s">
        <v>121</v>
      </c>
    </row>
    <row r="43" spans="1:7" ht="13.5" customHeight="1">
      <c r="A43" s="949" t="s">
        <v>792</v>
      </c>
      <c r="B43" s="259" t="s">
        <v>1064</v>
      </c>
      <c r="C43" s="282">
        <f ca="1">ROUND(IF('数据-取费表'!B22&lt;=1,C39*F22*'数据-取费表'!B21/2,C39*(POWER((1+F22),'数据-取费表'!B21/2)-1)),0)</f>
        <v>11</v>
      </c>
      <c r="D43" s="282"/>
      <c r="E43" s="282"/>
      <c r="F43" s="283"/>
      <c r="G43" s="3272"/>
    </row>
    <row r="44" spans="1:7" ht="13.5" customHeight="1">
      <c r="A44" s="949" t="s">
        <v>793</v>
      </c>
      <c r="B44" s="259" t="s">
        <v>1066</v>
      </c>
      <c r="C44" s="282">
        <f ca="1">ROUND(IF('数据-取费表'!B22&lt;=1,C40*F22*'数据-取费表'!B21/2,C40*(POWER((1+F22),'数据-取费表'!B21/2)-1)),4)</f>
        <v>1E-3</v>
      </c>
      <c r="D44" s="282"/>
      <c r="E44" s="282"/>
      <c r="F44" s="283"/>
      <c r="G44" s="3273"/>
    </row>
    <row r="45" spans="1:7" s="258" customFormat="1" ht="13.5" customHeight="1">
      <c r="A45" s="946" t="s">
        <v>786</v>
      </c>
      <c r="B45" s="288" t="s">
        <v>112</v>
      </c>
      <c r="C45" s="289">
        <f>C46</f>
        <v>1277</v>
      </c>
      <c r="D45" s="279">
        <f>C47</f>
        <v>2.2000000000000001E-3</v>
      </c>
      <c r="E45" s="280" t="s">
        <v>129</v>
      </c>
      <c r="F45" s="290"/>
      <c r="G45" s="291" t="s">
        <v>1072</v>
      </c>
    </row>
    <row r="46" spans="1:7" s="258" customFormat="1" ht="13.5" customHeight="1">
      <c r="A46" s="949" t="s">
        <v>794</v>
      </c>
      <c r="B46" s="292" t="s">
        <v>1065</v>
      </c>
      <c r="C46" s="293">
        <f>ROUND((C33+C39)*F27,0)</f>
        <v>1277</v>
      </c>
      <c r="D46" s="307"/>
      <c r="E46" s="280"/>
      <c r="F46" s="290"/>
      <c r="G46" s="291"/>
    </row>
    <row r="47" spans="1:7" s="258" customFormat="1" ht="13.5" customHeight="1">
      <c r="A47" s="949" t="s">
        <v>792</v>
      </c>
      <c r="B47" s="292" t="s">
        <v>1067</v>
      </c>
      <c r="C47" s="282">
        <f>ROUND(C40*F27,4)</f>
        <v>2.2000000000000001E-3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14555</v>
      </c>
      <c r="D49" s="276"/>
      <c r="E49" s="276"/>
      <c r="F49" s="308"/>
      <c r="G49" s="278" t="s">
        <v>1073</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14118</v>
      </c>
      <c r="D51" s="276"/>
      <c r="E51" s="276"/>
      <c r="F51" s="308"/>
      <c r="G51" s="278" t="s">
        <v>64</v>
      </c>
    </row>
    <row r="52" spans="1:7" s="252" customFormat="1" ht="16.5" thickBot="1">
      <c r="A52" s="309" t="s">
        <v>65</v>
      </c>
      <c r="B52" s="310"/>
      <c r="C52" s="311">
        <f ca="1">C31+C51</f>
        <v>42487</v>
      </c>
      <c r="D52" s="310"/>
      <c r="E52" s="310"/>
      <c r="F52" s="310"/>
      <c r="G52" s="312"/>
    </row>
    <row r="55" spans="1:7" ht="15">
      <c r="B55" s="314" t="s">
        <v>66</v>
      </c>
      <c r="C55" s="315"/>
    </row>
    <row r="56" spans="1:7">
      <c r="B56" s="317" t="s">
        <v>67</v>
      </c>
      <c r="C56" s="318">
        <f ca="1">ROUND(C51/C52,3)</f>
        <v>0.33200000000000002</v>
      </c>
    </row>
    <row r="57" spans="1:7">
      <c r="B57" s="317" t="s">
        <v>68</v>
      </c>
      <c r="C57" s="319">
        <f ca="1">1-C56</f>
        <v>0.66799999999999993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2" t="s">
        <v>156</v>
      </c>
      <c r="B1" s="3352"/>
      <c r="C1" s="3352"/>
      <c r="D1" s="3352"/>
      <c r="E1" s="3352"/>
      <c r="F1" s="33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3" t="s">
        <v>169</v>
      </c>
      <c r="B2" s="3353"/>
      <c r="C2" s="3353"/>
      <c r="D2" s="3353"/>
      <c r="E2" s="3353"/>
      <c r="F2" s="33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建筑物价值</v>
      </c>
      <c r="G2" s="3041"/>
      <c r="H2" s="3041" t="str">
        <f>IF(项目基本情况!B9="房地产市场价值","房地产市场价值","房地产价值")</f>
        <v>房地产价值</v>
      </c>
      <c r="I2" s="3041"/>
    </row>
    <row r="3" spans="1:9" ht="15">
      <c r="A3" s="3042"/>
      <c r="B3" s="3042"/>
      <c r="C3" s="3042"/>
      <c r="D3" s="1042" t="s">
        <v>1638</v>
      </c>
      <c r="E3" s="1042" t="s">
        <v>1644</v>
      </c>
      <c r="F3" s="1042" t="s">
        <v>1638</v>
      </c>
      <c r="G3" s="1042" t="s">
        <v>1639</v>
      </c>
      <c r="H3" s="1042" t="s">
        <v>1638</v>
      </c>
      <c r="I3" s="1042" t="s">
        <v>1639</v>
      </c>
    </row>
    <row r="4" spans="1:9" ht="45">
      <c r="A4" s="1968" t="str">
        <f>项目基本情况!S2</f>
        <v>北京市丰台区汽车博物馆西路8号院1、2、3号楼、4幢房地产</v>
      </c>
      <c r="B4" s="1042">
        <f>项目基本情况!C17</f>
        <v>34166.230000000018</v>
      </c>
      <c r="C4" s="1042">
        <f>项目基本情况!C18</f>
        <v>6030.62</v>
      </c>
      <c r="D4" s="1042">
        <f ca="1">结果表!D118</f>
        <v>48541</v>
      </c>
      <c r="E4" s="1042">
        <f ca="1">结果表!E118</f>
        <v>14207</v>
      </c>
      <c r="F4" s="1042">
        <f ca="1">结果表!F118</f>
        <v>10946</v>
      </c>
      <c r="G4" s="1042">
        <f ca="1">结果表!G118</f>
        <v>3204</v>
      </c>
      <c r="H4" s="1042">
        <f ca="1">结果表!H118</f>
        <v>59487</v>
      </c>
      <c r="I4" s="1042">
        <f ca="1">结果表!I118</f>
        <v>17411</v>
      </c>
    </row>
    <row r="5" spans="1:9" ht="30" customHeight="1">
      <c r="A5" s="3042" t="s">
        <v>1640</v>
      </c>
      <c r="B5" s="3042"/>
      <c r="C5" s="3042"/>
      <c r="D5" s="3043" t="str">
        <f ca="1">结果表!D119</f>
        <v>肆亿捌仟伍佰肆拾壹万元整</v>
      </c>
      <c r="E5" s="3043"/>
      <c r="F5" s="3043" t="str">
        <f ca="1">结果表!F119</f>
        <v>壹亿零玖佰肆拾陆万元整</v>
      </c>
      <c r="G5" s="3043"/>
      <c r="H5" s="3043" t="str">
        <f ca="1">结果表!H119</f>
        <v>伍亿玖仟肆佰捌拾柒万元整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房地产抵押价值</v>
      </c>
      <c r="B8" s="3044"/>
      <c r="C8" s="3044"/>
      <c r="D8" s="3044">
        <f ca="1">结果表!D122</f>
        <v>59487</v>
      </c>
      <c r="E8" s="3044"/>
      <c r="F8" s="3044"/>
      <c r="G8" s="3044"/>
      <c r="H8" s="3044"/>
      <c r="I8" s="3044"/>
    </row>
    <row r="9" spans="1:9" ht="15">
      <c r="A9" s="3042" t="s">
        <v>1640</v>
      </c>
      <c r="B9" s="3042"/>
      <c r="C9" s="3042"/>
      <c r="D9" s="3043" t="str">
        <f ca="1">结果表!D123</f>
        <v>伍亿玖仟肆佰捌拾柒万元整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2" t="s">
        <v>871</v>
      </c>
      <c r="B1" s="335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workbookViewId="0">
      <selection activeCell="B1" sqref="B1:I7"/>
    </sheetView>
  </sheetViews>
  <sheetFormatPr defaultRowHeight="13.5"/>
  <cols>
    <col min="3" max="3" width="11.375" customWidth="1"/>
  </cols>
  <sheetData>
    <row r="1" spans="2:9">
      <c r="B1" s="3358" t="s">
        <v>3866</v>
      </c>
      <c r="C1" s="3358" t="s">
        <v>3867</v>
      </c>
      <c r="D1" s="3358" t="s">
        <v>3868</v>
      </c>
      <c r="E1" s="3358" t="s">
        <v>3869</v>
      </c>
      <c r="F1" s="3356" t="s">
        <v>3869</v>
      </c>
      <c r="G1" s="3357"/>
      <c r="H1" s="3357"/>
      <c r="I1" s="3357"/>
    </row>
    <row r="2" spans="2:9">
      <c r="B2" s="3358"/>
      <c r="C2" s="3358"/>
      <c r="D2" s="3358"/>
      <c r="E2" s="3358"/>
      <c r="F2" s="3006" t="s">
        <v>3870</v>
      </c>
      <c r="G2" s="3006" t="s">
        <v>3871</v>
      </c>
      <c r="H2" s="3006" t="s">
        <v>3872</v>
      </c>
      <c r="I2" s="3006" t="s">
        <v>3873</v>
      </c>
    </row>
    <row r="3" spans="2:9">
      <c r="B3" s="3007">
        <v>1</v>
      </c>
      <c r="C3" s="3006" t="s">
        <v>3874</v>
      </c>
      <c r="D3" s="3007">
        <f>ROUND(E3/E7*D7,2)</f>
        <v>876.9</v>
      </c>
      <c r="E3" s="3007">
        <f>SUM(F3:I3)</f>
        <v>4968.0199999999995</v>
      </c>
      <c r="F3" s="3007">
        <f>面积表!I2+面积表!I3</f>
        <v>4968.0199999999995</v>
      </c>
      <c r="G3" s="3006" t="s">
        <v>3879</v>
      </c>
      <c r="H3" s="3006" t="s">
        <v>3879</v>
      </c>
      <c r="I3" s="3006" t="s">
        <v>3879</v>
      </c>
    </row>
    <row r="4" spans="2:9">
      <c r="B4" s="3007">
        <v>2</v>
      </c>
      <c r="C4" s="3006" t="s">
        <v>3875</v>
      </c>
      <c r="D4" s="3007">
        <f>ROUND(E4/E7*D7,2)</f>
        <v>362.71</v>
      </c>
      <c r="E4" s="3007">
        <f t="shared" ref="E4:E6" si="0">SUM(F4:I4)</f>
        <v>2054.94</v>
      </c>
      <c r="F4" s="3007">
        <f>面积表!J3</f>
        <v>2054.94</v>
      </c>
      <c r="G4" s="3006" t="s">
        <v>3879</v>
      </c>
      <c r="H4" s="3006" t="s">
        <v>3879</v>
      </c>
      <c r="I4" s="3006" t="s">
        <v>3879</v>
      </c>
    </row>
    <row r="5" spans="2:9">
      <c r="B5" s="3007">
        <v>3</v>
      </c>
      <c r="C5" s="3006" t="s">
        <v>3876</v>
      </c>
      <c r="D5" s="3007">
        <f>ROUND(E5/E7*D7,2)</f>
        <v>616.27</v>
      </c>
      <c r="E5" s="3007">
        <f t="shared" si="0"/>
        <v>3491.4700000000003</v>
      </c>
      <c r="F5" s="3007">
        <f>面积表!K2+面积表!K3</f>
        <v>3491.4700000000003</v>
      </c>
      <c r="G5" s="3006" t="s">
        <v>3879</v>
      </c>
      <c r="H5" s="3006" t="s">
        <v>3879</v>
      </c>
      <c r="I5" s="3006" t="s">
        <v>3880</v>
      </c>
    </row>
    <row r="6" spans="2:9">
      <c r="B6" s="3007">
        <v>4</v>
      </c>
      <c r="C6" s="3006" t="s">
        <v>3877</v>
      </c>
      <c r="D6" s="3007">
        <f>ROUND(E6/E7*D7,2)</f>
        <v>4174.74</v>
      </c>
      <c r="E6" s="3007">
        <f t="shared" si="0"/>
        <v>23651.800000000017</v>
      </c>
      <c r="F6" s="3006" t="s">
        <v>3879</v>
      </c>
      <c r="G6" s="3007">
        <f>面积表!L4+面积表!L5</f>
        <v>6351.14</v>
      </c>
      <c r="H6" s="3007">
        <f>面积表!L8</f>
        <v>2046.64</v>
      </c>
      <c r="I6" s="3007">
        <f>面积表!L7</f>
        <v>15254.020000000017</v>
      </c>
    </row>
    <row r="7" spans="2:9">
      <c r="B7" s="3356" t="s">
        <v>3878</v>
      </c>
      <c r="C7" s="3357"/>
      <c r="D7" s="3007">
        <f>面积表!N11</f>
        <v>6030.62</v>
      </c>
      <c r="E7" s="3007">
        <f>SUM(E3:E6)</f>
        <v>34166.230000000018</v>
      </c>
      <c r="F7" s="3007">
        <f>SUM(F3:F6)</f>
        <v>10514.43</v>
      </c>
      <c r="G7" s="3007">
        <f>SUM(G6)</f>
        <v>6351.14</v>
      </c>
      <c r="H7" s="3007">
        <f>SUM(H6)</f>
        <v>2046.64</v>
      </c>
      <c r="I7" s="3007">
        <f>SUM(I6)</f>
        <v>15254.020000000017</v>
      </c>
    </row>
  </sheetData>
  <mergeCells count="6">
    <mergeCell ref="B7:C7"/>
    <mergeCell ref="F1:I1"/>
    <mergeCell ref="B1:B2"/>
    <mergeCell ref="C1:C2"/>
    <mergeCell ref="D1:D2"/>
    <mergeCell ref="E1:E2"/>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51" t="s">
        <v>1662</v>
      </c>
      <c r="B1" s="3051"/>
      <c r="C1" s="3051"/>
      <c r="D1" s="3051"/>
    </row>
    <row r="2" spans="1:4" ht="18">
      <c r="A2" s="3052" t="s">
        <v>1646</v>
      </c>
      <c r="B2" s="3052"/>
      <c r="C2" s="3052"/>
      <c r="D2" s="3052"/>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崔锴</v>
      </c>
      <c r="B5" s="1974">
        <f ca="1">项目基本情况!E4</f>
        <v>1120100036</v>
      </c>
      <c r="C5" s="1977"/>
      <c r="D5" s="1976" t="s">
        <v>1651</v>
      </c>
    </row>
    <row r="6" spans="1:4" ht="18">
      <c r="A6" s="3052" t="s">
        <v>1652</v>
      </c>
      <c r="B6" s="3052"/>
      <c r="C6" s="3052"/>
      <c r="D6" s="3052"/>
    </row>
    <row r="7" spans="1:4" ht="18.75">
      <c r="A7" s="1972" t="s">
        <v>1647</v>
      </c>
      <c r="B7" s="1974" t="s">
        <v>1653</v>
      </c>
      <c r="C7" s="1972" t="s">
        <v>1649</v>
      </c>
      <c r="D7" s="1972" t="s">
        <v>1650</v>
      </c>
    </row>
    <row r="8" spans="1:4" ht="56.25" customHeight="1">
      <c r="A8" s="1978" t="s">
        <v>869</v>
      </c>
      <c r="B8" s="1978" t="s">
        <v>1</v>
      </c>
      <c r="C8" s="1975"/>
      <c r="D8" s="1976" t="s">
        <v>1651</v>
      </c>
    </row>
    <row r="9" spans="1:4">
      <c r="A9" s="728"/>
      <c r="B9" s="728"/>
      <c r="C9" s="728"/>
      <c r="D9" s="728"/>
    </row>
    <row r="10" spans="1:4" ht="18.75">
      <c r="A10" s="1979" t="s">
        <v>1654</v>
      </c>
      <c r="B10" s="728"/>
      <c r="C10" s="728"/>
      <c r="D10" s="728"/>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（1）根据估价对象《房屋所有权证》原件、《国有土地使用权》——，截至价值时点，估价对象抵押权未见登记。</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65" t="s">
        <v>1669</v>
      </c>
      <c r="B15" s="3060" t="s">
        <v>136</v>
      </c>
      <c r="C15" s="3061"/>
    </row>
    <row r="16" spans="1:7" ht="13.5">
      <c r="A16" s="3066"/>
      <c r="B16" s="3060" t="s">
        <v>69</v>
      </c>
      <c r="C16" s="3061"/>
    </row>
    <row r="17" spans="1:3" ht="13.5">
      <c r="A17" s="3066"/>
      <c r="B17" s="3063" t="s">
        <v>1670</v>
      </c>
      <c r="C17" s="1995" t="s">
        <v>1669</v>
      </c>
    </row>
    <row r="18" spans="1:3" ht="13.5">
      <c r="A18" s="3066"/>
      <c r="B18" s="3063"/>
      <c r="C18" s="1995" t="s">
        <v>1671</v>
      </c>
    </row>
    <row r="19" spans="1:3" ht="13.5">
      <c r="A19" s="3066"/>
      <c r="B19" s="3063"/>
      <c r="C19" s="1995" t="s">
        <v>1672</v>
      </c>
    </row>
    <row r="20" spans="1:3" ht="13.5">
      <c r="A20" s="3067"/>
      <c r="B20" s="3062" t="s">
        <v>1673</v>
      </c>
      <c r="C20" s="3061"/>
    </row>
    <row r="21" spans="1:3" ht="13.5">
      <c r="A21" s="1996" t="s">
        <v>1674</v>
      </c>
      <c r="B21" s="1997"/>
      <c r="C21" s="1998"/>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5" t="s">
        <v>1680</v>
      </c>
    </row>
    <row r="26" spans="1:3" ht="13.5">
      <c r="A26" s="3064"/>
      <c r="B26" s="3063"/>
      <c r="C26" s="1995" t="s">
        <v>1681</v>
      </c>
    </row>
    <row r="27" spans="1:3" ht="13.5">
      <c r="A27" s="3064"/>
      <c r="B27" s="3063"/>
      <c r="C27" s="1995" t="s">
        <v>1682</v>
      </c>
    </row>
    <row r="28" spans="1:3" ht="13.5">
      <c r="A28" s="3064"/>
      <c r="B28" s="3063"/>
      <c r="C28" s="1995" t="s">
        <v>1683</v>
      </c>
    </row>
    <row r="29" spans="1:3" ht="13.5">
      <c r="A29" s="3064"/>
      <c r="B29" s="3063"/>
      <c r="C29" s="1995" t="s">
        <v>1684</v>
      </c>
    </row>
    <row r="30" spans="1:3" ht="13.5">
      <c r="A30" s="3064"/>
      <c r="B30" s="3063"/>
      <c r="C30" s="1995" t="s">
        <v>1685</v>
      </c>
    </row>
    <row r="31" spans="1:3" ht="13.5">
      <c r="A31" s="3064"/>
      <c r="B31" s="3063"/>
      <c r="C31" s="1995" t="s">
        <v>1686</v>
      </c>
    </row>
    <row r="32" spans="1:3" ht="13.5">
      <c r="A32" s="3064"/>
      <c r="B32" s="3063"/>
      <c r="C32" s="1995" t="s">
        <v>1687</v>
      </c>
    </row>
    <row r="33" spans="1:3" ht="13.5">
      <c r="A33" s="3064"/>
      <c r="B33" s="3063"/>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43357</v>
      </c>
      <c r="C2" s="1017" t="s">
        <v>826</v>
      </c>
      <c r="D2" s="1017"/>
    </row>
    <row r="3" spans="1:6" ht="24" customHeight="1">
      <c r="A3" s="1018" t="s">
        <v>827</v>
      </c>
      <c r="B3" s="1019" t="s">
        <v>828</v>
      </c>
      <c r="C3" s="2340" t="s">
        <v>829</v>
      </c>
      <c r="D3" s="2343" t="s">
        <v>830</v>
      </c>
      <c r="E3" s="1020" t="s">
        <v>831</v>
      </c>
      <c r="F3" s="1019" t="s">
        <v>829</v>
      </c>
    </row>
    <row r="4" spans="1:6" ht="24" customHeight="1">
      <c r="A4" s="1698" t="s">
        <v>832</v>
      </c>
      <c r="B4" s="1020">
        <f ca="1">IF(C4&lt;B2,"已过期",1119970066)</f>
        <v>1119970066</v>
      </c>
      <c r="C4" s="2341">
        <v>43849</v>
      </c>
      <c r="D4" s="2344" t="s">
        <v>832</v>
      </c>
      <c r="E4" s="1020">
        <f ca="1">IF(F4&lt;B2,"已过期",96010014)</f>
        <v>96010014</v>
      </c>
      <c r="F4" s="1028">
        <v>47118</v>
      </c>
    </row>
    <row r="5" spans="1:6" ht="24" customHeight="1">
      <c r="A5" s="1698" t="s">
        <v>833</v>
      </c>
      <c r="B5" s="1020">
        <f ca="1">IF(C5&lt;B2,"已过期",1119970074)</f>
        <v>1119970074</v>
      </c>
      <c r="C5" s="2341">
        <v>43849</v>
      </c>
      <c r="D5" s="2344" t="s">
        <v>833</v>
      </c>
      <c r="E5" s="1020">
        <f ca="1">IF(F5&lt;B2,"已过期",2002110027)</f>
        <v>2002110027</v>
      </c>
      <c r="F5" s="1028">
        <v>46752</v>
      </c>
    </row>
    <row r="6" spans="1:6" ht="24" customHeight="1">
      <c r="A6" s="1698" t="s">
        <v>834</v>
      </c>
      <c r="B6" s="1020">
        <f ca="1">IF(C6&lt;B2,"已过期",1119970111)</f>
        <v>1119970111</v>
      </c>
      <c r="C6" s="2341">
        <v>43849</v>
      </c>
      <c r="D6" s="2344" t="s">
        <v>834</v>
      </c>
      <c r="E6" s="1020">
        <f ca="1">IF(F6&lt;B2,"已过期",94010078)</f>
        <v>94010078</v>
      </c>
      <c r="F6" s="1028">
        <v>46387</v>
      </c>
    </row>
    <row r="7" spans="1:6" ht="24" customHeight="1">
      <c r="A7" s="1698" t="s">
        <v>835</v>
      </c>
      <c r="B7" s="1020">
        <f ca="1">IF(C7&lt;B2,"已过期",1120050019)</f>
        <v>1120050019</v>
      </c>
      <c r="C7" s="2341">
        <v>43359</v>
      </c>
      <c r="D7" s="2344" t="s">
        <v>835</v>
      </c>
      <c r="E7" s="1020">
        <f ca="1">IF(F7&lt;B2,"已过期",2002110030)</f>
        <v>2002110030</v>
      </c>
      <c r="F7" s="1028">
        <v>46387</v>
      </c>
    </row>
    <row r="8" spans="1:6" ht="24" customHeight="1">
      <c r="A8" s="1698" t="s">
        <v>836</v>
      </c>
      <c r="B8" s="1020">
        <f ca="1">IF(C8&lt;B2,"已过期",1120000080)</f>
        <v>1120000080</v>
      </c>
      <c r="C8" s="2341">
        <v>43849</v>
      </c>
      <c r="D8" s="2344" t="s">
        <v>836</v>
      </c>
      <c r="E8" s="1020">
        <f ca="1">IF(F8&lt;B2,"已过期",2000110082)</f>
        <v>2000110082</v>
      </c>
      <c r="F8" s="1028">
        <v>46387</v>
      </c>
    </row>
    <row r="9" spans="1:6" ht="24" customHeight="1">
      <c r="A9" s="1698" t="s">
        <v>837</v>
      </c>
      <c r="B9" s="1020">
        <f ca="1">IF(C9&lt;B2,"已过期",1419970001)</f>
        <v>1419970001</v>
      </c>
      <c r="C9" s="2341">
        <v>43867</v>
      </c>
      <c r="D9" s="2344" t="s">
        <v>837</v>
      </c>
      <c r="E9" s="1020">
        <f ca="1">IF(F9&lt;B2,"已过期",2002110125)</f>
        <v>2002110125</v>
      </c>
      <c r="F9" s="1028">
        <v>47118</v>
      </c>
    </row>
    <row r="10" spans="1:6" ht="24" customHeight="1">
      <c r="A10" s="1698" t="s">
        <v>838</v>
      </c>
      <c r="B10" s="1020">
        <f ca="1">IF(C10&lt;B2,"已过期",1120060040)</f>
        <v>1120060040</v>
      </c>
      <c r="C10" s="2341">
        <v>43483</v>
      </c>
      <c r="D10" s="2344" t="s">
        <v>838</v>
      </c>
      <c r="E10" s="1020">
        <f ca="1">IF(F10&lt;B2,"已过期",2004110096)</f>
        <v>2004110096</v>
      </c>
      <c r="F10" s="1028">
        <v>47118</v>
      </c>
    </row>
    <row r="11" spans="1:6" ht="24" customHeight="1">
      <c r="A11" s="1698" t="s">
        <v>839</v>
      </c>
      <c r="B11" s="1020">
        <f ca="1">IF(C11&lt;B2,"已过期",1120100036)</f>
        <v>1120100036</v>
      </c>
      <c r="C11" s="2341">
        <v>43622</v>
      </c>
      <c r="D11" s="2344" t="s">
        <v>839</v>
      </c>
      <c r="E11" s="1020">
        <f ca="1">IF(F11&lt;B2,"已过期",2010110070)</f>
        <v>2010110070</v>
      </c>
      <c r="F11" s="1028">
        <v>47907</v>
      </c>
    </row>
    <row r="12" spans="1:6" ht="24" customHeight="1">
      <c r="A12" s="1698" t="s">
        <v>3035</v>
      </c>
      <c r="B12" s="1020">
        <v>1120110054</v>
      </c>
      <c r="C12" s="2935">
        <v>43937</v>
      </c>
      <c r="D12" s="1698" t="s">
        <v>3035</v>
      </c>
      <c r="E12" s="1020">
        <v>2008110060</v>
      </c>
      <c r="F12" s="1028">
        <v>47177</v>
      </c>
    </row>
    <row r="13" spans="1:6" ht="24" customHeight="1">
      <c r="A13" s="1698" t="s">
        <v>840</v>
      </c>
      <c r="B13" s="1020">
        <f ca="1">IF(C13&lt;B2,"已过期",1120070131)</f>
        <v>1120070131</v>
      </c>
      <c r="C13" s="2341">
        <v>43814</v>
      </c>
      <c r="D13" s="2344" t="s">
        <v>840</v>
      </c>
      <c r="E13" s="1020">
        <v>2014110011</v>
      </c>
      <c r="F13" s="1028">
        <v>49302</v>
      </c>
    </row>
    <row r="14" spans="1:6" ht="24" customHeight="1">
      <c r="A14" s="1698" t="s">
        <v>841</v>
      </c>
      <c r="B14" s="1020">
        <f ca="1">IF(C14&lt;B2,"已过期",1120130020)</f>
        <v>1120130020</v>
      </c>
      <c r="C14" s="2341">
        <v>43622</v>
      </c>
      <c r="D14" s="2344"/>
      <c r="E14" s="1020"/>
      <c r="F14" s="1020"/>
    </row>
    <row r="15" spans="1:6" ht="24" customHeight="1">
      <c r="A15" s="1699" t="s">
        <v>1149</v>
      </c>
      <c r="B15" s="1020">
        <v>1120070085</v>
      </c>
      <c r="C15" s="2341">
        <v>43814</v>
      </c>
      <c r="D15" s="2345" t="s">
        <v>1149</v>
      </c>
      <c r="E15" s="1020">
        <v>2004110128</v>
      </c>
      <c r="F15" s="1021">
        <v>47118</v>
      </c>
    </row>
    <row r="16" spans="1:6" ht="24" customHeight="1">
      <c r="A16" s="1698" t="s">
        <v>842</v>
      </c>
      <c r="B16" s="1020">
        <f ca="1">IF(C16&lt;B2,"已过期",1120140022)</f>
        <v>1120140022</v>
      </c>
      <c r="C16" s="2341">
        <v>44029</v>
      </c>
      <c r="D16" s="2344" t="s">
        <v>842</v>
      </c>
      <c r="E16" s="1020">
        <f ca="1">IF(F16&lt;B2,"已过期",2008110059)</f>
        <v>2008110059</v>
      </c>
      <c r="F16" s="1028">
        <v>47177</v>
      </c>
    </row>
    <row r="17" spans="1:7" ht="24" customHeight="1">
      <c r="A17" s="1698"/>
      <c r="B17" s="1020"/>
      <c r="C17" s="2341"/>
      <c r="D17" s="2344"/>
      <c r="E17" s="1020"/>
      <c r="F17" s="1028"/>
    </row>
    <row r="18" spans="1:7" ht="24" customHeight="1">
      <c r="A18" s="1698"/>
      <c r="B18" s="1020"/>
      <c r="C18" s="2341"/>
      <c r="D18" s="2344"/>
      <c r="E18" s="1020"/>
      <c r="F18" s="1028"/>
    </row>
    <row r="19" spans="1:7" ht="24" customHeight="1">
      <c r="A19" s="1698"/>
      <c r="B19" s="1020"/>
      <c r="C19" s="2341"/>
      <c r="D19" s="2344"/>
      <c r="E19" s="1020"/>
      <c r="F19" s="1020"/>
    </row>
    <row r="20" spans="1:7" ht="24" customHeight="1">
      <c r="A20" s="1698"/>
      <c r="B20" s="1020"/>
      <c r="C20" s="2341"/>
      <c r="D20" s="2344"/>
      <c r="E20" s="1020"/>
      <c r="F20" s="1020"/>
    </row>
    <row r="21" spans="1:7" ht="24" customHeight="1">
      <c r="A21" s="1698"/>
      <c r="B21" s="1020"/>
      <c r="C21" s="2341"/>
      <c r="D21" s="2344" t="s">
        <v>843</v>
      </c>
      <c r="E21" s="1020">
        <f ca="1">IF(F21&lt;B2,"已过期",2011110090)</f>
        <v>2011110090</v>
      </c>
      <c r="F21" s="1028">
        <v>48302</v>
      </c>
    </row>
    <row r="22" spans="1:7" ht="24" customHeight="1">
      <c r="A22" s="1698" t="s">
        <v>844</v>
      </c>
      <c r="B22" s="1020">
        <f ca="1">IF(C22&lt;B2,"已过期",1120020033)</f>
        <v>1120020033</v>
      </c>
      <c r="C22" s="2935">
        <v>44339</v>
      </c>
      <c r="D22" s="2344" t="s">
        <v>844</v>
      </c>
      <c r="E22" s="1020">
        <f ca="1">IF(F22&lt;B2,"已过期",2000110137)</f>
        <v>2000110137</v>
      </c>
      <c r="F22" s="1028">
        <v>46387</v>
      </c>
    </row>
    <row r="23" spans="1:7" ht="24" customHeight="1">
      <c r="A23" s="1698" t="s">
        <v>845</v>
      </c>
      <c r="B23" s="1020">
        <f ca="1">IF(C23&lt;B2,"已过期",1120130048)</f>
        <v>1120130048</v>
      </c>
      <c r="C23" s="2341">
        <v>43686</v>
      </c>
      <c r="D23" s="2344"/>
      <c r="E23" s="1020"/>
      <c r="F23" s="1020"/>
    </row>
    <row r="24" spans="1:7" s="1022" customFormat="1" ht="24" customHeight="1">
      <c r="A24" s="1699" t="s">
        <v>1333</v>
      </c>
      <c r="B24" s="1699" t="s">
        <v>1333</v>
      </c>
      <c r="C24" s="2342" t="s">
        <v>1333</v>
      </c>
      <c r="D24" s="2345" t="s">
        <v>1333</v>
      </c>
      <c r="E24" s="1699" t="s">
        <v>1333</v>
      </c>
      <c r="F24" s="1699" t="s">
        <v>1333</v>
      </c>
    </row>
    <row r="25" spans="1:7" ht="24" customHeight="1">
      <c r="A25" s="3068" t="s">
        <v>846</v>
      </c>
      <c r="B25" s="3068"/>
      <c r="C25" s="3068"/>
      <c r="D25" s="3068"/>
      <c r="E25" s="3068"/>
      <c r="F25" s="3068"/>
      <c r="G25" s="3068"/>
    </row>
    <row r="26" spans="1:7" s="1023" customFormat="1" ht="24" customHeight="1">
      <c r="A26" s="3069" t="s">
        <v>847</v>
      </c>
      <c r="B26" s="3069"/>
      <c r="C26" s="3070"/>
      <c r="D26" s="3071" t="s">
        <v>848</v>
      </c>
      <c r="E26" s="3069"/>
      <c r="F26" s="3069"/>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198" t="s">
        <v>1384</v>
      </c>
      <c r="F29" s="1199">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54" priority="66">
      <formula>AND($C28-TODAY()&lt;30,TODAY()&lt;$C28)</formula>
    </cfRule>
  </conditionalFormatting>
  <conditionalFormatting sqref="C28 F4">
    <cfRule type="cellIs" dxfId="253" priority="68" stopIfTrue="1" operator="lessThan">
      <formula>$B$2</formula>
    </cfRule>
  </conditionalFormatting>
  <conditionalFormatting sqref="C5">
    <cfRule type="expression" dxfId="252" priority="63">
      <formula>AND($C5-TODAY()&lt;30,TODAY()&lt;$C5)</formula>
    </cfRule>
  </conditionalFormatting>
  <conditionalFormatting sqref="C5 F5">
    <cfRule type="cellIs" dxfId="251" priority="64" stopIfTrue="1" operator="lessThan">
      <formula>$B$2</formula>
    </cfRule>
  </conditionalFormatting>
  <conditionalFormatting sqref="F6 F8 F10">
    <cfRule type="cellIs" dxfId="250" priority="62" stopIfTrue="1" operator="lessThan">
      <formula>$B$2</formula>
    </cfRule>
  </conditionalFormatting>
  <conditionalFormatting sqref="C4:C11 C13:C21 C23">
    <cfRule type="expression" dxfId="249" priority="60">
      <formula>AND($C4-TODAY()&lt;30,TODAY()&lt;$C4)</formula>
    </cfRule>
  </conditionalFormatting>
  <conditionalFormatting sqref="F7 F9 F11 C4:C11 C13:C21 C23">
    <cfRule type="cellIs" dxfId="248" priority="61" stopIfTrue="1" operator="lessThan">
      <formula>$B$2</formula>
    </cfRule>
  </conditionalFormatting>
  <conditionalFormatting sqref="C14">
    <cfRule type="expression" dxfId="247" priority="54">
      <formula>AND($C14-TODAY()&lt;30,TODAY()&lt;$C14)</formula>
    </cfRule>
  </conditionalFormatting>
  <conditionalFormatting sqref="C14">
    <cfRule type="cellIs" dxfId="246" priority="55" stopIfTrue="1" operator="lessThan">
      <formula>$B$2</formula>
    </cfRule>
  </conditionalFormatting>
  <conditionalFormatting sqref="C16">
    <cfRule type="expression" dxfId="245" priority="52">
      <formula>AND($C16-TODAY()&lt;30,TODAY()&lt;$C16)</formula>
    </cfRule>
  </conditionalFormatting>
  <conditionalFormatting sqref="C16">
    <cfRule type="cellIs" dxfId="244" priority="53" stopIfTrue="1" operator="lessThan">
      <formula>$B$2</formula>
    </cfRule>
  </conditionalFormatting>
  <conditionalFormatting sqref="C18">
    <cfRule type="expression" dxfId="243" priority="50">
      <formula>AND($C18-TODAY()&lt;30,TODAY()&lt;$C18)</formula>
    </cfRule>
  </conditionalFormatting>
  <conditionalFormatting sqref="C18">
    <cfRule type="cellIs" dxfId="242" priority="51" stopIfTrue="1" operator="lessThan">
      <formula>$B$2</formula>
    </cfRule>
  </conditionalFormatting>
  <conditionalFormatting sqref="C20">
    <cfRule type="expression" dxfId="241" priority="48">
      <formula>AND($C20-TODAY()&lt;30,TODAY()&lt;$C20)</formula>
    </cfRule>
  </conditionalFormatting>
  <conditionalFormatting sqref="C20">
    <cfRule type="cellIs" dxfId="240" priority="49" stopIfTrue="1" operator="lessThan">
      <formula>$B$2</formula>
    </cfRule>
  </conditionalFormatting>
  <conditionalFormatting sqref="C15">
    <cfRule type="expression" dxfId="239" priority="44">
      <formula>AND($C15-TODAY()&lt;30,TODAY()&lt;$C15)</formula>
    </cfRule>
  </conditionalFormatting>
  <conditionalFormatting sqref="C15">
    <cfRule type="cellIs" dxfId="238" priority="45" stopIfTrue="1" operator="lessThan">
      <formula>$B$2</formula>
    </cfRule>
  </conditionalFormatting>
  <conditionalFormatting sqref="C17">
    <cfRule type="expression" dxfId="237" priority="42">
      <formula>AND($C17-TODAY()&lt;30,TODAY()&lt;$C17)</formula>
    </cfRule>
  </conditionalFormatting>
  <conditionalFormatting sqref="C17">
    <cfRule type="cellIs" dxfId="236" priority="43" stopIfTrue="1" operator="lessThan">
      <formula>$B$2</formula>
    </cfRule>
  </conditionalFormatting>
  <conditionalFormatting sqref="C19">
    <cfRule type="expression" dxfId="235" priority="40">
      <formula>AND($C19-TODAY()&lt;30,TODAY()&lt;$C19)</formula>
    </cfRule>
  </conditionalFormatting>
  <conditionalFormatting sqref="C19">
    <cfRule type="cellIs" dxfId="234" priority="41" stopIfTrue="1" operator="lessThan">
      <formula>$B$2</formula>
    </cfRule>
  </conditionalFormatting>
  <conditionalFormatting sqref="C21">
    <cfRule type="expression" dxfId="233" priority="38">
      <formula>AND($C21-TODAY()&lt;30,TODAY()&lt;$C21)</formula>
    </cfRule>
  </conditionalFormatting>
  <conditionalFormatting sqref="C21">
    <cfRule type="cellIs" dxfId="232" priority="39" stopIfTrue="1" operator="lessThan">
      <formula>$B$2</formula>
    </cfRule>
  </conditionalFormatting>
  <conditionalFormatting sqref="C23">
    <cfRule type="expression" dxfId="231" priority="36">
      <formula>AND($C23-TODAY()&lt;30,TODAY()&lt;$C23)</formula>
    </cfRule>
  </conditionalFormatting>
  <conditionalFormatting sqref="C23">
    <cfRule type="cellIs" dxfId="230" priority="37" stopIfTrue="1" operator="lessThan">
      <formula>$B$2</formula>
    </cfRule>
  </conditionalFormatting>
  <conditionalFormatting sqref="F16">
    <cfRule type="cellIs" dxfId="229" priority="34" stopIfTrue="1" operator="lessThan">
      <formula>$B$2</formula>
    </cfRule>
  </conditionalFormatting>
  <conditionalFormatting sqref="F18">
    <cfRule type="cellIs" dxfId="228" priority="33" stopIfTrue="1" operator="lessThan">
      <formula>$B$2</formula>
    </cfRule>
  </conditionalFormatting>
  <conditionalFormatting sqref="F22">
    <cfRule type="cellIs" dxfId="227" priority="32" stopIfTrue="1" operator="lessThan">
      <formula>$B$2</formula>
    </cfRule>
  </conditionalFormatting>
  <conditionalFormatting sqref="F21">
    <cfRule type="cellIs" dxfId="226" priority="31" stopIfTrue="1" operator="lessThan">
      <formula>$B$2</formula>
    </cfRule>
  </conditionalFormatting>
  <conditionalFormatting sqref="F17">
    <cfRule type="cellIs" dxfId="225" priority="30" stopIfTrue="1" operator="lessThan">
      <formula>$B$2</formula>
    </cfRule>
  </conditionalFormatting>
  <conditionalFormatting sqref="B4:B11 E4:E11 B16:B23 E16:E23 B13:B14 E13:E14">
    <cfRule type="cellIs" dxfId="224" priority="29" stopIfTrue="1" operator="equal">
      <formula>"已过期"</formula>
    </cfRule>
  </conditionalFormatting>
  <conditionalFormatting sqref="A24:F24">
    <cfRule type="cellIs" dxfId="223" priority="25" stopIfTrue="1" operator="equal">
      <formula>"已过期"</formula>
    </cfRule>
  </conditionalFormatting>
  <conditionalFormatting sqref="F28">
    <cfRule type="expression" dxfId="222" priority="23">
      <formula>AND($E28-TODAY()&lt;30,TODAY()&lt;$E28)</formula>
    </cfRule>
  </conditionalFormatting>
  <conditionalFormatting sqref="F28">
    <cfRule type="cellIs" dxfId="221" priority="24" stopIfTrue="1" operator="lessThan">
      <formula>$B$2</formula>
    </cfRule>
  </conditionalFormatting>
  <conditionalFormatting sqref="F29">
    <cfRule type="expression" dxfId="220" priority="19" stopIfTrue="1">
      <formula>AND($E29-TODAY()&lt;30,TODAY()&lt;$E29)</formula>
    </cfRule>
  </conditionalFormatting>
  <conditionalFormatting sqref="F29">
    <cfRule type="cellIs" dxfId="219" priority="20" stopIfTrue="1" operator="lessThan">
      <formula>$B$2</formula>
    </cfRule>
  </conditionalFormatting>
  <conditionalFormatting sqref="B15">
    <cfRule type="cellIs" dxfId="218" priority="17" stopIfTrue="1" operator="equal">
      <formula>"已过期"</formula>
    </cfRule>
  </conditionalFormatting>
  <conditionalFormatting sqref="A15">
    <cfRule type="cellIs" dxfId="217" priority="16" stopIfTrue="1" operator="equal">
      <formula>"已过期"</formula>
    </cfRule>
  </conditionalFormatting>
  <conditionalFormatting sqref="C15">
    <cfRule type="expression" dxfId="216" priority="15">
      <formula>AND($C15-TODAY()&lt;30,TODAY()&lt;$C15)</formula>
    </cfRule>
  </conditionalFormatting>
  <conditionalFormatting sqref="E15">
    <cfRule type="cellIs" dxfId="215" priority="14" stopIfTrue="1" operator="equal">
      <formula>"已过期"</formula>
    </cfRule>
  </conditionalFormatting>
  <conditionalFormatting sqref="D15">
    <cfRule type="cellIs" dxfId="214" priority="13" stopIfTrue="1" operator="equal">
      <formula>"已过期"</formula>
    </cfRule>
  </conditionalFormatting>
  <conditionalFormatting sqref="F13">
    <cfRule type="cellIs" dxfId="213" priority="12" stopIfTrue="1" operator="lessThan">
      <formula>$B$2</formula>
    </cfRule>
  </conditionalFormatting>
  <conditionalFormatting sqref="C12">
    <cfRule type="expression" dxfId="212" priority="10">
      <formula>AND($C12-TODAY()&lt;30,TODAY()&lt;$C12)</formula>
    </cfRule>
  </conditionalFormatting>
  <conditionalFormatting sqref="C12">
    <cfRule type="cellIs" dxfId="211" priority="11" stopIfTrue="1" operator="lessThan">
      <formula>$B$2</formula>
    </cfRule>
  </conditionalFormatting>
  <conditionalFormatting sqref="C12">
    <cfRule type="expression" dxfId="210" priority="8">
      <formula>AND($C12-TODAY()&lt;30,TODAY()&lt;$C12)</formula>
    </cfRule>
  </conditionalFormatting>
  <conditionalFormatting sqref="C12">
    <cfRule type="cellIs" dxfId="209" priority="9" stopIfTrue="1" operator="lessThan">
      <formula>$B$2</formula>
    </cfRule>
  </conditionalFormatting>
  <conditionalFormatting sqref="B12">
    <cfRule type="cellIs" dxfId="208" priority="7" stopIfTrue="1" operator="equal">
      <formula>"已过期"</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C22">
    <cfRule type="expression" dxfId="205" priority="3">
      <formula>AND($C22-TODAY()&lt;30,TODAY()&lt;$C22)</formula>
    </cfRule>
  </conditionalFormatting>
  <conditionalFormatting sqref="C22">
    <cfRule type="cellIs" dxfId="204" priority="4" stopIfTrue="1" operator="lessThan">
      <formula>$B$2</formula>
    </cfRule>
  </conditionalFormatting>
  <conditionalFormatting sqref="C22">
    <cfRule type="expression" dxfId="203" priority="1">
      <formula>AND($C22-TODAY()&lt;30,TODAY()&lt;$C22)</formula>
    </cfRule>
  </conditionalFormatting>
  <conditionalFormatting sqref="C22">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150</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(1层商业)</vt:lpstr>
      <vt:lpstr>结果表 (库房)</vt:lpstr>
      <vt:lpstr>结果表 (地下车库)</vt:lpstr>
      <vt:lpstr>面积表</vt:lpstr>
      <vt:lpstr>比较法-商业1层</vt:lpstr>
      <vt:lpstr>比较法-商业 (一层租金)</vt:lpstr>
      <vt:lpstr>收益法</vt:lpstr>
      <vt:lpstr>典型户型修正</vt:lpstr>
      <vt:lpstr>成本法</vt:lpstr>
      <vt:lpstr>成本法 (元)</vt:lpstr>
      <vt:lpstr>假设开发法</vt:lpstr>
      <vt:lpstr>收益法 (元)</vt:lpstr>
      <vt:lpstr>基准地价修正</vt:lpstr>
      <vt:lpstr>收益法 (库房)</vt:lpstr>
      <vt:lpstr>酒店收入计算</vt:lpstr>
      <vt:lpstr>比较法-住宅</vt:lpstr>
      <vt:lpstr>比较法-办公</vt:lpstr>
      <vt:lpstr>比较法-工业</vt:lpstr>
      <vt:lpstr>比较法-车位</vt:lpstr>
      <vt:lpstr>收益法 (地下车库)</vt:lpstr>
      <vt:lpstr>比较法-仓储</vt:lpstr>
      <vt:lpstr>案例</vt:lpstr>
      <vt:lpstr>收益法（汇总）</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(地下车库)'!Print_Area</vt:lpstr>
      <vt:lpstr>'收益法 (库房)'!Print_Area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(一层租金)'!商业层高</vt:lpstr>
      <vt:lpstr>商业层高</vt:lpstr>
      <vt:lpstr>'比较法-商业 (一层租金)'!商业成新度</vt:lpstr>
      <vt:lpstr>商业成新度</vt:lpstr>
      <vt:lpstr>商业繁华度</vt:lpstr>
      <vt:lpstr>'比较法-商业 (一层租金)'!商业公共部分装修</vt:lpstr>
      <vt:lpstr>商业公共部分装修</vt:lpstr>
      <vt:lpstr>'比较法-商业 (一层租金)'!商业基础设施水平</vt:lpstr>
      <vt:lpstr>商业基础设施水平</vt:lpstr>
      <vt:lpstr>'比较法-商业 (一层租金)'!商业建筑结构</vt:lpstr>
      <vt:lpstr>商业建筑结构</vt:lpstr>
      <vt:lpstr>'比较法-商业 (一层租金)'!商业交易情况</vt:lpstr>
      <vt:lpstr>商业交易情况</vt:lpstr>
      <vt:lpstr>商业街名称</vt:lpstr>
      <vt:lpstr>'比较法-商业 (一层租金)'!商业进深比</vt:lpstr>
      <vt:lpstr>商业进深比</vt:lpstr>
      <vt:lpstr>'比较法-商业 (一层租金)'!商业类型</vt:lpstr>
      <vt:lpstr>商业类型</vt:lpstr>
      <vt:lpstr>'比较法-商业 (一层租金)'!商业临街状况</vt:lpstr>
      <vt:lpstr>商业临街状况</vt:lpstr>
      <vt:lpstr>'比较法-商业 (一层租金)'!商业楼层</vt:lpstr>
      <vt:lpstr>商业楼层</vt:lpstr>
      <vt:lpstr>'比较法-商业 (一层租金)'!商业内部装修</vt:lpstr>
      <vt:lpstr>商业内部装修</vt:lpstr>
      <vt:lpstr>'比较法-商业 (一层租金)'!商业人流量</vt:lpstr>
      <vt:lpstr>商业人流量</vt:lpstr>
      <vt:lpstr>'比较法-商业 (一层租金)'!商业业态</vt:lpstr>
      <vt:lpstr>商业业态</vt:lpstr>
      <vt:lpstr>'比较法-商业 (一层租金)'!商业用途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2018-09-14T05:58:06Z</dcterms:modified>
</cp:coreProperties>
</file>